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交易记录" sheetId="3" state="visible" r:id="rId3"/>
    <sheet xmlns:r="http://schemas.openxmlformats.org/officeDocument/2006/relationships" name="成交明细" sheetId="4" state="visible" r:id="rId4"/>
    <sheet xmlns:r="http://schemas.openxmlformats.org/officeDocument/2006/relationships" name="资金费流水" sheetId="5" state="visible" r:id="rId5"/>
    <sheet xmlns:r="http://schemas.openxmlformats.org/officeDocument/2006/relationships" name="每日记录" sheetId="6" state="visible" r:id="rId6"/>
    <sheet xmlns:r="http://schemas.openxmlformats.org/officeDocument/2006/relationships" name="周复盘" sheetId="7" state="visible" r:id="rId7"/>
    <sheet xmlns:r="http://schemas.openxmlformats.org/officeDocument/2006/relationships" name="例-交易记录" sheetId="8" state="visible" r:id="rId8"/>
    <sheet xmlns:r="http://schemas.openxmlformats.org/officeDocument/2006/relationships" name="例-成交明细" sheetId="9" state="visible" r:id="rId9"/>
    <sheet xmlns:r="http://schemas.openxmlformats.org/officeDocument/2006/relationships" name="例-资金费流水" sheetId="10" state="visible" r:id="rId10"/>
    <sheet xmlns:r="http://schemas.openxmlformats.org/officeDocument/2006/relationships" name="例-每日记录" sheetId="11" state="visible" r:id="rId11"/>
    <sheet xmlns:r="http://schemas.openxmlformats.org/officeDocument/2006/relationships" name="例-周复盘" sheetId="12" state="visible" r:id="rId12"/>
  </sheets>
  <definedNames>
    <definedName name="_xlnm.Print_Area" localSheetId="0">'使用说明'!$A$1:$D$59</definedName>
    <definedName name="_xlnm.Print_Area" localSheetId="1">'参数'!$A$1:$K$48</definedName>
    <definedName name="_xlnm.Print_Titles" localSheetId="2">'交易记录'!$3:$4,'交易记录'!$A:$C</definedName>
    <definedName name="_xlnm.Print_Area" localSheetId="2">'交易记录'!$A$1:$AR$29</definedName>
    <definedName name="_xlnm.Print_Titles" localSheetId="3">'成交明细'!$3:$4</definedName>
    <definedName name="_xlnm.Print_Area" localSheetId="3">'成交明细'!$A$1:$N$29</definedName>
    <definedName name="_xlnm.Print_Titles" localSheetId="4">'资金费流水'!$3:$4</definedName>
    <definedName name="_xlnm.Print_Area" localSheetId="4">'资金费流水'!$A$1:$H$35</definedName>
    <definedName name="_xlnm.Print_Titles" localSheetId="5">'每日记录'!$3:$4</definedName>
    <definedName name="_xlnm.Print_Area" localSheetId="5">'每日记录'!$A$1:$K$34</definedName>
    <definedName name="_xlnm.Print_Area" localSheetId="6">'周复盘'!$A$1:$J$89</definedName>
    <definedName name="_xlnm.Print_Titles" localSheetId="7">'例-交易记录'!$3:$4,'例-交易记录'!$A:$C</definedName>
    <definedName name="_xlnm.Print_Area" localSheetId="7">'例-交易记录'!$A$1:$AR$13</definedName>
    <definedName name="_xlnm.Print_Titles" localSheetId="8">'例-成交明细'!$3:$4</definedName>
    <definedName name="_xlnm.Print_Area" localSheetId="8">'例-成交明细'!$A$1:$N$16</definedName>
    <definedName name="_xlnm.Print_Titles" localSheetId="9">'例-资金费流水'!$3:$4</definedName>
    <definedName name="_xlnm.Print_Area" localSheetId="9">'例-资金费流水'!$A$1:$H$18</definedName>
    <definedName name="_xlnm.Print_Titles" localSheetId="10">'例-每日记录'!$3:$4</definedName>
    <definedName name="_xlnm.Print_Area" localSheetId="10">'例-每日记录'!$A$1:$K$13</definedName>
    <definedName name="_xlnm.Print_Area" localSheetId="11">'例-周复盘'!$A$1:$J$107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0.0%"/>
    <numFmt numFmtId="165" formatCode="0.0"/>
    <numFmt numFmtId="166" formatCode="0.000%"/>
    <numFmt numFmtId="167" formatCode="hh:mm"/>
    <numFmt numFmtId="168" formatCode="yyyy-mm-dd"/>
    <numFmt numFmtId="169" formatCode="0.00##"/>
    <numFmt numFmtId="170" formatCode="#,##0.####"/>
    <numFmt numFmtId="171" formatCode="+#,##0.00;-#,##0.00;0.00"/>
    <numFmt numFmtId="172" formatCode="+0.00&quot;R&quot;;-0.00&quot;R&quot;;0.00&quot;R&quot;"/>
    <numFmt numFmtId="173" formatCode="+0.00##;-0.00##;0"/>
    <numFmt numFmtId="174" formatCode="0.00&quot;R&quot;"/>
    <numFmt numFmtId="175" formatCode="yyyy-mm-dd hh:mm"/>
    <numFmt numFmtId="176" formatCode="0.0000%"/>
  </numFmts>
  <fonts count="16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b val="1"/>
      <color rgb="009D4616"/>
      <sz val="11"/>
    </font>
    <font>
      <name val="Microsoft YaHei"/>
      <color rgb="000000FF"/>
      <sz val="10"/>
    </font>
    <font>
      <name val="Microsoft YaHei"/>
      <b val="1"/>
      <color rgb="007C350E"/>
      <sz val="9"/>
    </font>
    <font>
      <name val="Microsoft YaHei"/>
      <color rgb="00008000"/>
      <sz val="10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6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>
      <left/>
      <right/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 style="thin">
        <color rgb="00D9CFBF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center" vertical="center"/>
    </xf>
    <xf numFmtId="164" fontId="1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4" fontId="4" fillId="3" borderId="2" applyAlignment="1" pivotButton="0" quotePrefix="0" xfId="0">
      <alignment horizontal="center" vertical="center"/>
    </xf>
    <xf numFmtId="165" fontId="12" fillId="0" borderId="2" applyAlignment="1" pivotButton="0" quotePrefix="0" xfId="0">
      <alignment horizontal="center" vertical="center"/>
    </xf>
    <xf numFmtId="166" fontId="12" fillId="0" borderId="2" applyAlignment="1" pivotButton="0" quotePrefix="0" xfId="0">
      <alignment horizontal="center" vertical="center"/>
    </xf>
    <xf numFmtId="10" fontId="12" fillId="0" borderId="2" applyAlignment="1" pivotButton="0" quotePrefix="0" xfId="0">
      <alignment horizontal="center" vertical="center"/>
    </xf>
    <xf numFmtId="1" fontId="12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167" fontId="12" fillId="0" borderId="2" applyAlignment="1" pivotButton="0" quotePrefix="0" xfId="0">
      <alignment horizontal="center" vertical="center"/>
    </xf>
    <xf numFmtId="0" fontId="13" fillId="4" borderId="2" applyAlignment="1" pivotButton="0" quotePrefix="0" xfId="0">
      <alignment horizontal="center" vertical="center"/>
    </xf>
    <xf numFmtId="168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/>
    </xf>
    <xf numFmtId="169" fontId="12" fillId="0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center" vertical="center"/>
    </xf>
    <xf numFmtId="170" fontId="14" fillId="3" borderId="2" applyAlignment="1" pivotButton="0" quotePrefix="0" xfId="0">
      <alignment horizontal="center" vertical="center"/>
    </xf>
    <xf numFmtId="170" fontId="12" fillId="0" borderId="2" applyAlignment="1" pivotButton="0" quotePrefix="0" xfId="0">
      <alignment horizontal="center" vertical="center"/>
    </xf>
    <xf numFmtId="169" fontId="4" fillId="3" borderId="2" applyAlignment="1" pivotButton="0" quotePrefix="0" xfId="0">
      <alignment horizontal="center" vertical="center"/>
    </xf>
    <xf numFmtId="164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168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  <xf numFmtId="169" fontId="14" fillId="3" borderId="2" applyAlignment="1" pivotButton="0" quotePrefix="0" xfId="0">
      <alignment horizontal="center" vertical="center"/>
    </xf>
    <xf numFmtId="4" fontId="14" fillId="3" borderId="2" applyAlignment="1" pivotButton="0" quotePrefix="0" xfId="0">
      <alignment horizontal="center" vertical="center"/>
    </xf>
    <xf numFmtId="171" fontId="14" fillId="3" borderId="2" applyAlignment="1" pivotButton="0" quotePrefix="0" xfId="0">
      <alignment horizontal="center" vertical="center"/>
    </xf>
    <xf numFmtId="172" fontId="4" fillId="3" borderId="2" applyAlignment="1" pivotButton="0" quotePrefix="0" xfId="0">
      <alignment horizontal="center" vertical="center"/>
    </xf>
    <xf numFmtId="173" fontId="4" fillId="3" borderId="2" applyAlignment="1" pivotButton="0" quotePrefix="0" xfId="0">
      <alignment horizontal="center" vertical="center"/>
    </xf>
    <xf numFmtId="174" fontId="4" fillId="3" borderId="2" applyAlignment="1" pivotButton="0" quotePrefix="0" xfId="0">
      <alignment horizontal="center" vertical="center"/>
    </xf>
    <xf numFmtId="4" fontId="12" fillId="0" borderId="2" applyAlignment="1" pivotButton="0" quotePrefix="0" xfId="0">
      <alignment horizontal="center" vertical="center"/>
    </xf>
    <xf numFmtId="175" fontId="12" fillId="0" borderId="2" applyAlignment="1" pivotButton="0" quotePrefix="0" xfId="0">
      <alignment horizontal="center" vertical="center"/>
    </xf>
    <xf numFmtId="176" fontId="12" fillId="0" borderId="2" applyAlignment="1" pivotButton="0" quotePrefix="0" xfId="0">
      <alignment horizontal="center" vertical="center"/>
    </xf>
    <xf numFmtId="171" fontId="4" fillId="3" borderId="2" applyAlignment="1" pivotButton="0" quotePrefix="0" xfId="0">
      <alignment horizontal="center" vertical="center"/>
    </xf>
    <xf numFmtId="171" fontId="12" fillId="0" borderId="2" applyAlignment="1" pivotButton="0" quotePrefix="0" xfId="0">
      <alignment horizontal="center" vertical="center"/>
    </xf>
    <xf numFmtId="1" fontId="14" fillId="3" borderId="2" applyAlignment="1" pivotButton="0" quotePrefix="0" xfId="0">
      <alignment horizontal="center" vertical="center"/>
    </xf>
    <xf numFmtId="172" fontId="1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/>
    </xf>
    <xf numFmtId="168" fontId="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 shrinkToFit="1"/>
    </xf>
    <xf numFmtId="3" fontId="14" fillId="3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  <xf numFmtId="174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/>
    </xf>
    <xf numFmtId="1" fontId="4" fillId="3" borderId="2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color rgb="001E8449"/>
      </font>
    </dxf>
    <dxf>
      <font>
        <color rgb="00C0392B"/>
      </font>
    </dxf>
    <dxf>
      <fill>
        <patternFill patternType="solid">
          <fgColor rgb="00FCE9C8"/>
          <bgColor rgb="00FCE9C8"/>
        </patternFill>
      </fill>
    </dxf>
    <dxf>
      <fill>
        <patternFill patternType="solid">
          <fgColor rgb="00F6C7BE"/>
          <bgColor rgb="00F6C7BE"/>
        </patternFill>
      </fill>
    </dxf>
    <dxf>
      <fill>
        <patternFill patternType="solid">
          <fgColor rgb="00FFF4D6"/>
          <bgColor rgb="00FFF4D6"/>
        </patternFill>
      </fill>
    </dxf>
    <dxf>
      <fill>
        <patternFill patternType="solid">
          <fgColor rgb="00FFE08A"/>
          <bgColor rgb="00FFE08A"/>
        </patternFill>
      </fill>
    </dxf>
    <dxf>
      <font>
        <b val="1"/>
        <color rgb="00C0392B"/>
      </font>
      <fill>
        <patternFill patternType="solid">
          <fgColor rgb="00F6C7BE"/>
          <bgColor rgb="00F6C7B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累计净R（按交易记录顺序）</a:t>
            </a:r>
          </a:p>
        </rich>
      </tx>
    </title>
    <plotArea>
      <lineChart>
        <grouping val="standard"/>
        <ser>
          <idx val="0"/>
          <order val="0"/>
          <tx>
            <strRef>
              <f>'例-交易记录'!AQ4</f>
            </strRef>
          </tx>
          <spPr>
            <a:ln xmlns:a="http://schemas.openxmlformats.org/drawingml/2006/main" w="28575">
              <a:solidFill>
                <a:srgbClr val="9D461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9D4616"/>
              </a:solidFill>
              <a:ln xmlns:a="http://schemas.openxmlformats.org/drawingml/2006/main">
                <a:solidFill>
                  <a:srgbClr val="9D4616"/>
                </a:solidFill>
                <a:prstDash val="solid"/>
              </a:ln>
            </spPr>
          </marker>
          <cat>
            <numRef>
              <f>'例-交易记录'!$A$5:$A$12</f>
            </numRef>
          </cat>
          <val>
            <numRef>
              <f>'例-交易记录'!$AQ$5:$AQ$12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交易编号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90</row>
      <rowOff>0</rowOff>
    </from>
    <ext cx="64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docs/crypto-perp/?src=tpl-crypto" TargetMode="External" Id="rId1"/><Relationship Type="http://schemas.openxmlformats.org/officeDocument/2006/relationships/hyperlink" Target="https://trade1469.com/docs/crypto-spot/?src=tpl-crypto" TargetMode="External" Id="rId2"/><Relationship Type="http://schemas.openxmlformats.org/officeDocument/2006/relationships/hyperlink" Target="https://trade1469.com/roll/7-1.html?src=tpl-crypto" TargetMode="External" Id="rId3"/><Relationship Type="http://schemas.openxmlformats.org/officeDocument/2006/relationships/hyperlink" Target="https://trade1469.com/roll/calculator.html?src=tpl-crypto" TargetMode="External" Id="rId4"/><Relationship Type="http://schemas.openxmlformats.org/officeDocument/2006/relationships/hyperlink" Target="https://trade1469.com/docs/review/?src=tpl-crypto" TargetMode="External" Id="rId5"/><Relationship Type="http://schemas.openxmlformats.org/officeDocument/2006/relationships/hyperlink" Target="https://trade1469.com/roll/?src=tpl-crypto" TargetMode="External" Id="rId6"/><Relationship Type="http://schemas.openxmlformats.org/officeDocument/2006/relationships/hyperlink" Target="https://trade1469.com/templates/crypto-journal/?src=tpl-crypto" TargetMode="External" Id="rId7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加密货币交易日志</t>
        </is>
      </c>
    </row>
    <row r="2">
      <c r="B2" s="2" t="inlineStr">
        <is>
          <t>TradeLearn · XtradingTime 交易内训 · v1.0 · 现货与永续合约 · 免费使用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现货和永续合约记在同一张表。合约多记杠杆、保证金模式、名义价值、占用保证金和资金费；开仓前先看估算的强平价在不在止损外面，在里面就先降杠杆或减量。</t>
        </is>
      </c>
    </row>
    <row r="6" ht="18" customHeight="1">
      <c r="B6" s="5" t="inlineStr">
        <is>
          <t>成绩一律按 R 记：1R 是打到止损亏的钱，跟杠杆几倍无关。手续费、资金费、链上转账费全算进去，算的是费后结果。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参数</t>
        </is>
      </c>
      <c r="C9" s="8" t="inlineStr">
        <is>
          <t>第一次用之前</t>
        </is>
      </c>
      <c r="D9" s="8" t="inlineStr">
        <is>
          <t>账户资金（USDT）、每笔最多亏多少、挂单吃单费率、默认维持保证金率、强平离止损最少多远</t>
        </is>
      </c>
    </row>
    <row r="10" ht="32" customHeight="1">
      <c r="B10" s="7" t="inlineStr">
        <is>
          <t>交易记录</t>
        </is>
      </c>
      <c r="C10" s="8" t="inlineStr">
        <is>
          <t>下单前写计划，平仓后打分</t>
        </is>
      </c>
      <c r="D10" s="8" t="inlineStr">
        <is>
          <t>一行一个计划：现货还是合约、杠杆、保证金模式、入场、止损、目标、数量；自动算强平价和费后 R</t>
        </is>
      </c>
    </row>
    <row r="11" ht="32" customHeight="1">
      <c r="B11" s="7" t="inlineStr">
        <is>
          <t>成交明细</t>
        </is>
      </c>
      <c r="C11" s="8" t="inlineStr">
        <is>
          <t>每成交一笔</t>
        </is>
      </c>
      <c r="D11" s="8" t="inlineStr">
        <is>
          <t>照成交记录抄：编号、时间、买卖、价格、数量、挂单还是吃单</t>
        </is>
      </c>
    </row>
    <row r="12" ht="32" customHeight="1">
      <c r="B12" s="7" t="inlineStr">
        <is>
          <t>资金费流水</t>
        </is>
      </c>
      <c r="C12" s="8" t="inlineStr">
        <is>
          <t>持仓过结算点就记</t>
        </is>
      </c>
      <c r="D12" s="8" t="inlineStr">
        <is>
          <t>结算时间、编号、名义价值、费率，金额自动算，按编号汇总</t>
        </is>
      </c>
    </row>
    <row r="13" ht="18" customHeight="1">
      <c r="B13" s="7" t="inlineStr">
        <is>
          <t>每日记录</t>
        </is>
      </c>
      <c r="C13" s="8" t="inlineStr">
        <is>
          <t>每天</t>
        </is>
      </c>
      <c r="D13" s="8" t="inlineStr">
        <is>
          <t>今天做了什么、没做的原因、明天的条件</t>
        </is>
      </c>
    </row>
    <row r="14" ht="32" customHeight="1">
      <c r="B14" s="7" t="inlineStr">
        <is>
          <t>周复盘</t>
        </is>
      </c>
      <c r="C14" s="8" t="inlineStr">
        <is>
          <t>每周</t>
        </is>
      </c>
      <c r="D14" s="8" t="inlineStr">
        <is>
          <t>执行、成绩、按策略、开仓时段和现货合约分组，写下周只改的一处</t>
        </is>
      </c>
    </row>
    <row r="15" ht="18" customHeight="1">
      <c r="B15" s="7" t="inlineStr">
        <is>
          <t>示例开头的表</t>
        </is>
      </c>
      <c r="C15" s="8" t="inlineStr">
        <is>
          <t>先看一遍</t>
        </is>
      </c>
      <c r="D15" s="8" t="inlineStr">
        <is>
          <t>虚构的一周示例，可以直接删掉</t>
        </is>
      </c>
    </row>
    <row r="16" ht="24" customHeight="1">
      <c r="B16" s="3" t="inlineStr">
        <is>
          <t>四步用起来</t>
        </is>
      </c>
      <c r="C16" s="4" t="n"/>
      <c r="D16" s="4" t="n"/>
    </row>
    <row r="17" ht="18" customHeight="1">
      <c r="B17" s="9" t="inlineStr">
        <is>
          <t>1. 先改参数</t>
        </is>
      </c>
      <c r="C17" s="5" t="inlineStr">
        <is>
          <t>账户资金、每笔最多亏多少、你的挂单和吃单费率。维持保证金率是估算用的近似值。</t>
        </is>
      </c>
    </row>
    <row r="18" ht="32" customHeight="1">
      <c r="B18" s="9" t="inlineStr">
        <is>
          <t>2. 下单前</t>
        </is>
      </c>
      <c r="C18" s="5" t="inlineStr">
        <is>
          <t>写好计划。合约单看三格：建议数量（按止损算）、估算强平价、强平检查。标红的先降杠杆或减量，再下单。</t>
        </is>
      </c>
    </row>
    <row r="19" ht="18" customHeight="1">
      <c r="B19" s="9" t="inlineStr">
        <is>
          <t>3. 成交后</t>
        </is>
      </c>
      <c r="C19" s="5" t="inlineStr">
        <is>
          <t>去「成交明细」逐笔记，挂单吃单分清。持仓过结算点，在「资金费流水」记一行。</t>
        </is>
      </c>
    </row>
    <row r="20" ht="18" customHeight="1">
      <c r="B20" s="9" t="inlineStr">
        <is>
          <t>4. 每周</t>
        </is>
      </c>
      <c r="C20" s="5" t="inlineStr">
        <is>
          <t>在「周复盘」填日期，先看执行，再看成绩。合约和现货分开看。</t>
        </is>
      </c>
    </row>
    <row r="21" ht="24" customHeight="1">
      <c r="B21" s="3" t="inlineStr">
        <is>
          <t>颜色怎么认</t>
        </is>
      </c>
      <c r="C21" s="4" t="n"/>
      <c r="D21" s="4" t="n"/>
    </row>
    <row r="22" ht="32" customHeight="1">
      <c r="B22" s="5" t="inlineStr">
        <is>
          <t>蓝字是你填的；灰底黑字是公式；灰底绿字是从别的表引用过来的。绿字是赚、红字是亏。红底是要先处理的：强平价离止损太近、现货填了做空、编号没找到。黄底是提醒：追价超过 1%、一笔「赚了钱的坏交易」。</t>
        </is>
      </c>
    </row>
    <row r="23" ht="24" customHeight="1">
      <c r="B23" s="3" t="inlineStr">
        <is>
          <t>几个口径</t>
        </is>
      </c>
      <c r="C23" s="4" t="n"/>
      <c r="D23" s="4" t="n"/>
    </row>
    <row r="24" ht="32" customHeight="1">
      <c r="B24" s="9" t="inlineStr">
        <is>
          <t>1R</t>
        </is>
      </c>
      <c r="C24" s="5" t="inlineStr">
        <is>
          <t>1R = |计划入场价 − 止损价| × 计划数量。下单前定，平仓后不改；跳空、滑点亏多了，也不改分母。</t>
        </is>
      </c>
    </row>
    <row r="25" ht="46" customHeight="1">
      <c r="B25" s="9" t="inlineStr">
        <is>
          <t>净R 与毛R</t>
        </is>
      </c>
      <c r="C25" s="5" t="inlineStr">
        <is>
          <t>净R =（卖出金额 − 买入金额 − 全部费用）÷ 1R；毛R 不扣费用。两个差多少，就是费用吃掉了几个 R。做空同一个式子：先卖后买，照样是卖出金额减买入金额。资金费也算进净R：收到的加上，付出去的减掉。</t>
        </is>
      </c>
    </row>
    <row r="26" ht="32" customHeight="1">
      <c r="B26" s="9" t="inlineStr">
        <is>
          <t>建议数量</t>
        </is>
      </c>
      <c r="C26" s="5" t="inlineStr">
        <is>
          <t>按止损算：1R 预算 ÷（每单位打到止损亏多少 + 每单位来回费用），向下取到最小单位。算出 0 就显示「预算不足，这笔不做」，别往上凑整。</t>
        </is>
      </c>
    </row>
    <row r="27" ht="32" customHeight="1">
      <c r="B27" s="9" t="inlineStr">
        <is>
          <t>执行情况</t>
        </is>
      </c>
      <c r="C27" s="5" t="inlineStr">
        <is>
          <t>已执行、未成交、主动放弃、漏单四种。只有已平仓的进胜率；没平仓的显示「持仓中」，不进统计。</t>
        </is>
      </c>
    </row>
    <row r="28" ht="32" customHeight="1">
      <c r="B28" s="9" t="inlineStr">
        <is>
          <t>过程打分</t>
        </is>
      </c>
      <c r="C28" s="5" t="inlineStr">
        <is>
          <t>A 完全照计划，B 小偏差，C 违反一条规则，D 没计划就下单。只看执行，和赚亏无关；C、D 档却赚了的标黄，周复盘单独数。</t>
        </is>
      </c>
    </row>
    <row r="29" ht="32" customHeight="1">
      <c r="B29" s="9" t="inlineStr">
        <is>
          <t>偏差</t>
        </is>
      </c>
      <c r="C29" s="5" t="inlineStr">
        <is>
          <t>进场偏差 = 实际开仓均价比计划价差多少，对你不利为正，超过计划价 1% 标黄。出场偏差：亏的单比止损差多少，赚的单比目标差多少，同样不利为正。</t>
        </is>
      </c>
    </row>
    <row r="30" ht="18" customHeight="1">
      <c r="B30" s="9" t="inlineStr">
        <is>
          <t>累计净R</t>
        </is>
      </c>
      <c r="C30" s="5" t="inlineStr">
        <is>
          <t>按交易记录一行行往下加，不是严格按平仓先后。想看平仓顺序的曲线，用复盘看板那份表。</t>
        </is>
      </c>
    </row>
    <row r="31" ht="46" customHeight="1">
      <c r="B31" s="9" t="inlineStr">
        <is>
          <t>强平价估算</t>
        </is>
      </c>
      <c r="C31" s="5" t="inlineStr">
        <is>
          <t>只估逐仓、USDT 本位的线性合约：多单 ≈ 入场价 ×（1 − 1 ÷ 杠杆 + 维持保证金率），空单 ≈ 入场价 ×（1 + 1 ÷ 杠杆 − 维持保证金率）。没算手续费、资金费、分层保证金和追加保证金；平台按标记价格触发，以平台显示为准。全仓和币本位显示「看平台」。</t>
        </is>
      </c>
    </row>
    <row r="32" ht="32" customHeight="1">
      <c r="B32" s="9" t="inlineStr">
        <is>
          <t>资金费</t>
        </is>
      </c>
      <c r="C32" s="5" t="inlineStr">
        <is>
          <t>按名义价值收付：费率为正时多单付、空单收，为负时反过来。金额 = −方向 × 名义价值 × 费率，多单方向记 1、空单记 −1。账户记录里有实际金额就填实际数。</t>
        </is>
      </c>
    </row>
    <row r="33" ht="32" customHeight="1">
      <c r="B33" s="9" t="inlineStr">
        <is>
          <t>挂单和吃单</t>
        </is>
      </c>
      <c r="C33" s="5" t="inlineStr">
        <is>
          <t>挂单（Maker）是先挂在盘口等别人来成交，费率低；吃单（Taker）是直接成交现有的单，费率高。建议数量按来回都吃单算，偏保守。</t>
        </is>
      </c>
    </row>
    <row r="34" ht="24" customHeight="1">
      <c r="B34" s="3" t="inlineStr">
        <is>
          <t>常见问题</t>
        </is>
      </c>
      <c r="C34" s="4" t="n"/>
      <c r="D34" s="4" t="n"/>
    </row>
    <row r="35" ht="18" customHeight="1">
      <c r="B35" s="9" t="inlineStr">
        <is>
          <t>问：没交易的日子也要写吗？</t>
        </is>
      </c>
    </row>
    <row r="36" ht="35" customHeight="1">
      <c r="B36" s="10" t="inlineStr">
        <is>
          <t>答：要。在「每日记录」写一行，「今天做了什么」选「按计划空仓」或「没等到条件」，再写明天的条件。空仓是按计划做出来的，也算执行。</t>
        </is>
      </c>
    </row>
    <row r="37" ht="18" customHeight="1">
      <c r="B37" s="9" t="inlineStr">
        <is>
          <t>问：没成交的单要记吗？</t>
        </is>
      </c>
    </row>
    <row r="38" ht="35" customHeight="1">
      <c r="B38" s="10" t="inlineStr">
        <is>
          <t>答：要。挂了没成交选「未成交」，看到了但按规则不做选「主动放弃」，该做没做选「漏单」。它们不进胜率，周复盘会单独数；漏单多，先修提醒和流程。</t>
        </is>
      </c>
    </row>
    <row r="39" ht="18" customHeight="1">
      <c r="B39" s="9" t="inlineStr">
        <is>
          <t>问：分批进出场怎么记？</t>
        </is>
      </c>
    </row>
    <row r="40" ht="35" customHeight="1">
      <c r="B40" s="10" t="inlineStr">
        <is>
          <t>答：「交易记录」一行写一个计划，「成交明细」每成交一笔记一行，编号相同。开仓均价、平仓均价、费用、开平仓日都自动汇总；只平了一部分显示「持仓中」。</t>
        </is>
      </c>
    </row>
    <row r="41" ht="18" customHeight="1">
      <c r="B41" s="9" t="inlineStr">
        <is>
          <t>问：胜率不低，为什么还亏钱？</t>
        </is>
      </c>
    </row>
    <row r="42" ht="21" customHeight="1">
      <c r="B42" s="10" t="inlineStr">
        <is>
          <t>答：看「周复盘」里的平均盈利 R、平均亏损 R 和每笔平均净R。赢的时候赚得少、亏的时候亏得多，胜率再高也会亏。</t>
        </is>
      </c>
    </row>
    <row r="43" ht="18" customHeight="1">
      <c r="B43" s="9" t="inlineStr">
        <is>
          <t>问：照计划做却亏了，算好交易吗？</t>
        </is>
      </c>
    </row>
    <row r="44" ht="35" customHeight="1">
      <c r="B44" s="10" t="inlineStr">
        <is>
          <t>答：算。过程打分只看有没有照计划。违规赚的钱要单独标出来，周复盘里有一行「赚了钱的坏交易」，它最容易让你下次接着违规。</t>
        </is>
      </c>
    </row>
    <row r="45" ht="18" customHeight="1">
      <c r="B45" s="9" t="inlineStr">
        <is>
          <t>问：多少笔才能下结论？</t>
        </is>
      </c>
    </row>
    <row r="46" ht="35" customHeight="1">
      <c r="B46" s="10" t="inlineStr">
        <is>
          <t>答：20 笔够看出执行上的大问题，比如止损常被违反。判断一个方法本身有没有用，至少 50 到 100 笔。分组少于 10 笔，只看不下结论。</t>
        </is>
      </c>
    </row>
    <row r="47" ht="18" customHeight="1">
      <c r="B47" s="9" t="inlineStr">
        <is>
          <t>问：杠杆开大一点，1R 会变吗？</t>
        </is>
      </c>
    </row>
    <row r="48" ht="35" customHeight="1">
      <c r="B48" s="10" t="inlineStr">
        <is>
          <t>答：不会。1R 只看止损和数量：打到止损亏多少就是多少。杠杆只改变占用多少保证金和强平价离你多近，开得越大，强平越可能跑到止损前面。</t>
        </is>
      </c>
    </row>
    <row r="49" ht="24" customHeight="1">
      <c r="B49" s="3" t="inlineStr">
        <is>
          <t>接着学（免费）</t>
        </is>
      </c>
      <c r="C49" s="4" t="n"/>
      <c r="D49" s="4" t="n"/>
    </row>
    <row r="50" ht="18" customHeight="1">
      <c r="B50" s="5" t="inlineStr">
        <is>
          <t>加密货币合约学习路线：杠杆、保证金、资金费和强平</t>
        </is>
      </c>
      <c r="D50" s="11" t="inlineStr">
        <is>
          <t>trade1469.com/docs/crypto-perp/</t>
        </is>
      </c>
    </row>
    <row r="51" ht="18" customHeight="1">
      <c r="B51" s="5" t="inlineStr">
        <is>
          <t>加密货币现货学习路线</t>
        </is>
      </c>
      <c r="D51" s="11" t="inlineStr">
        <is>
          <t>trade1469.com/docs/crypto-spot/</t>
        </is>
      </c>
    </row>
    <row r="52" ht="18" customHeight="1">
      <c r="B52" s="5" t="inlineStr">
        <is>
          <t>滚仓专题免费节：先把强平算清楚</t>
        </is>
      </c>
      <c r="D52" s="11" t="inlineStr">
        <is>
          <t>trade1469.com/roll/7-1.html</t>
        </is>
      </c>
    </row>
    <row r="53" ht="18" customHeight="1">
      <c r="B53" s="5" t="inlineStr">
        <is>
          <t>滚仓与强平计算器（免费）</t>
        </is>
      </c>
      <c r="D53" s="11" t="inlineStr">
        <is>
          <t>trade1469.com/roll/calculator.html</t>
        </is>
      </c>
    </row>
    <row r="54" ht="18" customHeight="1">
      <c r="B54" s="5" t="inlineStr">
        <is>
          <t>复盘与交易日志：怎么记、记什么、怎么改下一笔</t>
        </is>
      </c>
      <c r="D54" s="11" t="inlineStr">
        <is>
          <t>trade1469.com/docs/review/</t>
        </is>
      </c>
    </row>
    <row r="55" ht="32" customHeight="1">
      <c r="B55" s="5" t="inlineStr">
        <is>
          <t>想系统学仓位、加仓和强平：滚仓不爆仓专题（付费，有免费试看节）</t>
        </is>
      </c>
      <c r="D55" s="11" t="inlineStr">
        <is>
          <t>trade1469.com/roll/</t>
        </is>
      </c>
    </row>
    <row r="56" ht="24" customHeight="1">
      <c r="B56" s="3" t="inlineStr">
        <is>
          <t>说明</t>
        </is>
      </c>
      <c r="C56" s="4" t="n"/>
      <c r="D56" s="4" t="n"/>
    </row>
    <row r="57" ht="32" customHeight="1">
      <c r="B57" s="5" t="inlineStr">
        <is>
          <t>本表只用于记录和练习，不构成投资建议，不推荐任何币种和平台。示例页的币种、日期、价格和成交全部虚构。强平价是按上面的模型估的近似值，以平台显示为准。</t>
        </is>
      </c>
    </row>
    <row r="59">
      <c r="B59" s="12" t="inlineStr">
        <is>
          <t>TradeLearn · XtradingTime 交易内训 · v1.0</t>
        </is>
      </c>
      <c r="D59" s="11" t="inlineStr">
        <is>
          <t>更新版与使用教程：trade1469.com/templates/crypto-journal/</t>
        </is>
      </c>
    </row>
  </sheetData>
  <mergeCells count="48">
    <mergeCell ref="B42:D42"/>
    <mergeCell ref="B54:C54"/>
    <mergeCell ref="C24:D24"/>
    <mergeCell ref="C30:D30"/>
    <mergeCell ref="B23:D23"/>
    <mergeCell ref="C33:D33"/>
    <mergeCell ref="B1:D1"/>
    <mergeCell ref="B48:D48"/>
    <mergeCell ref="B57:D57"/>
    <mergeCell ref="B44:D44"/>
    <mergeCell ref="C26:D26"/>
    <mergeCell ref="B38:D38"/>
    <mergeCell ref="B34:D34"/>
    <mergeCell ref="C20:D20"/>
    <mergeCell ref="B52:C52"/>
    <mergeCell ref="C29:D29"/>
    <mergeCell ref="B37:D37"/>
    <mergeCell ref="C25:D25"/>
    <mergeCell ref="B49:D49"/>
    <mergeCell ref="B40:D40"/>
    <mergeCell ref="C31:D31"/>
    <mergeCell ref="B6:D6"/>
    <mergeCell ref="B53:C53"/>
    <mergeCell ref="B5:D5"/>
    <mergeCell ref="B36:D36"/>
    <mergeCell ref="B43:D43"/>
    <mergeCell ref="B45:D45"/>
    <mergeCell ref="B41:D41"/>
    <mergeCell ref="C27:D27"/>
    <mergeCell ref="B4:D4"/>
    <mergeCell ref="B35:D35"/>
    <mergeCell ref="B7:D7"/>
    <mergeCell ref="C17:D17"/>
    <mergeCell ref="B47:D47"/>
    <mergeCell ref="B16:D16"/>
    <mergeCell ref="B55:C55"/>
    <mergeCell ref="C32:D32"/>
    <mergeCell ref="B46:D46"/>
    <mergeCell ref="B22:D22"/>
    <mergeCell ref="B51:C51"/>
    <mergeCell ref="C19:D19"/>
    <mergeCell ref="B56:D56"/>
    <mergeCell ref="C28:D28"/>
    <mergeCell ref="B21:D21"/>
    <mergeCell ref="B50:C50"/>
    <mergeCell ref="C18:D18"/>
    <mergeCell ref="B39:D39"/>
    <mergeCell ref="B2:D2"/>
  </mergeCells>
  <hyperlinks>
    <hyperlink xmlns:r="http://schemas.openxmlformats.org/officeDocument/2006/relationships" ref="D50" r:id="rId1"/>
    <hyperlink xmlns:r="http://schemas.openxmlformats.org/officeDocument/2006/relationships" ref="D51" r:id="rId2"/>
    <hyperlink xmlns:r="http://schemas.openxmlformats.org/officeDocument/2006/relationships" ref="D52" r:id="rId3"/>
    <hyperlink xmlns:r="http://schemas.openxmlformats.org/officeDocument/2006/relationships" ref="D53" r:id="rId4"/>
    <hyperlink xmlns:r="http://schemas.openxmlformats.org/officeDocument/2006/relationships" ref="D54" r:id="rId5"/>
    <hyperlink xmlns:r="http://schemas.openxmlformats.org/officeDocument/2006/relationships" ref="D55" r:id="rId6"/>
    <hyperlink xmlns:r="http://schemas.openxmlformats.org/officeDocument/2006/relationships" ref="D59" r:id="rId7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A1:K4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2" customWidth="1" min="2" max="2"/>
    <col width="13" customWidth="1" min="3" max="3"/>
    <col width="17" customWidth="1" min="4" max="4"/>
    <col width="10" customWidth="1" min="5" max="5"/>
    <col width="13" customWidth="1" min="6" max="6"/>
    <col width="10" customWidth="1" min="7" max="7"/>
    <col width="16" customWidth="1" min="8" max="8"/>
    <col width="10" customWidth="1" min="9" max="9"/>
    <col width="16" customWidth="1" min="10" max="10"/>
    <col width="10" customWidth="1" min="11" max="11"/>
  </cols>
  <sheetData>
    <row r="1" ht="30" customHeight="1">
      <c r="A1" s="13" t="inlineStr">
        <is>
          <t>参数：先把这一页改成你自己的</t>
        </is>
      </c>
      <c r="I1" s="14" t="inlineStr">
        <is>
          <t>TradeLearn · XtradingTime 交易内训</t>
        </is>
      </c>
    </row>
    <row r="2" ht="20" customHeight="1">
      <c r="A2" s="2" t="inlineStr">
        <is>
          <t>蓝字可以改。费率都是示例，用之前按你的成交单核对一遍；改这里一处，整份表跟着变。</t>
        </is>
      </c>
    </row>
    <row r="4">
      <c r="B4" s="15" t="inlineStr">
        <is>
          <t>账户与风险</t>
        </is>
      </c>
    </row>
    <row r="5">
      <c r="B5" s="16" t="inlineStr">
        <is>
          <t>账户资金（USDT）</t>
        </is>
      </c>
      <c r="C5" s="17" t="n">
        <v>10000</v>
      </c>
    </row>
    <row r="6" ht="18" customHeight="1">
      <c r="B6" s="16" t="inlineStr">
        <is>
          <t>单笔最多亏（占账户）</t>
        </is>
      </c>
      <c r="C6" s="18" t="n">
        <v>0.01</v>
      </c>
      <c r="D6" s="19" t="inlineStr">
        <is>
          <t>新手先用 1% 或更低。这是教学示例，不是建议。</t>
        </is>
      </c>
      <c r="E6" s="19" t="n"/>
      <c r="F6" s="19" t="n"/>
      <c r="G6" s="19" t="n"/>
      <c r="H6" s="19" t="n"/>
      <c r="I6" s="19" t="n"/>
      <c r="J6" s="19" t="n"/>
      <c r="K6" s="19" t="n"/>
    </row>
    <row r="7" ht="18" customHeight="1">
      <c r="B7" s="16" t="inlineStr">
        <is>
          <t>1R 预算（USDT）</t>
        </is>
      </c>
      <c r="C7" s="20">
        <f>C5*C6</f>
        <v>100</v>
      </c>
      <c r="D7" s="19" t="inlineStr">
        <is>
          <t>按止损算建议数量时用这个数。下单前定，平仓后不改。</t>
        </is>
      </c>
      <c r="E7" s="19" t="n"/>
      <c r="F7" s="19" t="n"/>
      <c r="G7" s="19" t="n"/>
      <c r="H7" s="19" t="n"/>
      <c r="I7" s="19" t="n"/>
      <c r="J7" s="19" t="n"/>
      <c r="K7" s="19" t="n"/>
    </row>
    <row r="8" ht="18" customHeight="1">
      <c r="B8" s="16" t="inlineStr">
        <is>
          <t>当天平仓亏到几 R 停手</t>
        </is>
      </c>
      <c r="C8" s="21" t="n">
        <v>3</v>
      </c>
      <c r="D8" s="19" t="inlineStr">
        <is>
          <t>每日记录会按当天平仓的净R 提示「触及停手线」。</t>
        </is>
      </c>
      <c r="E8" s="19" t="n"/>
      <c r="F8" s="19" t="n"/>
      <c r="G8" s="19" t="n"/>
      <c r="H8" s="19" t="n"/>
      <c r="I8" s="19" t="n"/>
      <c r="J8" s="19" t="n"/>
      <c r="K8" s="19" t="n"/>
    </row>
    <row r="10">
      <c r="B10" s="15" t="inlineStr">
        <is>
          <t>费用（按你的成交单改）</t>
        </is>
      </c>
    </row>
    <row r="11" ht="18" customHeight="1">
      <c r="B11" s="16" t="inlineStr">
        <is>
          <t>挂单费率（Maker）</t>
        </is>
      </c>
      <c r="C11" s="22" t="n">
        <v>0.0002</v>
      </c>
      <c r="D11" s="19" t="inlineStr">
        <is>
          <t>示例：万分之 2。按你的账户等级改。</t>
        </is>
      </c>
      <c r="E11" s="19" t="n"/>
      <c r="F11" s="19" t="n"/>
      <c r="G11" s="19" t="n"/>
      <c r="H11" s="19" t="n"/>
      <c r="I11" s="19" t="n"/>
      <c r="J11" s="19" t="n"/>
      <c r="K11" s="19" t="n"/>
    </row>
    <row r="12" ht="18" customHeight="1">
      <c r="B12" s="16" t="inlineStr">
        <is>
          <t>吃单费率（Taker）</t>
        </is>
      </c>
      <c r="C12" s="22" t="n">
        <v>0.0005</v>
      </c>
      <c r="D12" s="19" t="inlineStr">
        <is>
          <t>示例：万分之 5。建议数量按来回都吃单算，偏保守。</t>
        </is>
      </c>
      <c r="E12" s="19" t="n"/>
      <c r="F12" s="19" t="n"/>
      <c r="G12" s="19" t="n"/>
      <c r="H12" s="19" t="n"/>
      <c r="I12" s="19" t="n"/>
      <c r="J12" s="19" t="n"/>
      <c r="K12" s="19" t="n"/>
    </row>
    <row r="13" ht="18" customHeight="1">
      <c r="B13" s="16" t="inlineStr">
        <is>
          <t>默认维持保证金率</t>
        </is>
      </c>
      <c r="C13" s="23" t="n">
        <v>0.005</v>
      </c>
      <c r="D13" s="19" t="inlineStr">
        <is>
          <t>估算强平价用的近似值。仓位越大，平台实际的维持保证金率越高（分层），以平台显示为准。</t>
        </is>
      </c>
      <c r="E13" s="19" t="n"/>
      <c r="F13" s="19" t="n"/>
      <c r="G13" s="19" t="n"/>
      <c r="H13" s="19" t="n"/>
      <c r="I13" s="19" t="n"/>
      <c r="J13" s="19" t="n"/>
      <c r="K13" s="19" t="n"/>
    </row>
    <row r="14" ht="18" customHeight="1">
      <c r="B14" s="16" t="inlineStr">
        <is>
          <t>资金费结算间隔（小时）</t>
        </is>
      </c>
      <c r="C14" s="24" t="n">
        <v>8</v>
      </c>
      <c r="D14" s="19" t="inlineStr">
        <is>
          <t>多数永续合约每 8 小时结算一次，有的品种 4 小时或 1 小时。只作提示，资金费按流水实际记。</t>
        </is>
      </c>
      <c r="E14" s="19" t="n"/>
      <c r="F14" s="19" t="n"/>
      <c r="G14" s="19" t="n"/>
      <c r="H14" s="19" t="n"/>
      <c r="I14" s="19" t="n"/>
      <c r="J14" s="19" t="n"/>
      <c r="K14" s="19" t="n"/>
    </row>
    <row r="15" ht="18" customHeight="1">
      <c r="B15" s="16" t="inlineStr">
        <is>
          <t>强平价离止损最少要多远（占入场价）</t>
        </is>
      </c>
      <c r="C15" s="18" t="n">
        <v>0.02</v>
      </c>
      <c r="D15" s="19" t="inlineStr">
        <is>
          <t>强平价比这个更靠近止损（或在止损里面），交易记录会标红：这笔先降杠杆或减量。</t>
        </is>
      </c>
      <c r="E15" s="19" t="n"/>
      <c r="F15" s="19" t="n"/>
      <c r="G15" s="19" t="n"/>
      <c r="H15" s="19" t="n"/>
      <c r="I15" s="19" t="n"/>
      <c r="J15" s="19" t="n"/>
      <c r="K15" s="19" t="n"/>
    </row>
    <row r="16" ht="41.8" customHeight="1">
      <c r="B16" s="19" t="inlineStr">
        <is>
          <t>强平价估算的模型假设：只估逐仓、USDT 本位的线性合约。多单 ≈ 入场价 ×（1 − 1 ÷ 杠杆 + 维持保证金率），空单 ≈ 入场价 ×（1 + 1 ÷ 杠杆 − 维持保证金率）。没算手续费、资金费、分层维持保证金和追加保证金；平台按标记价格触发强平，实际以平台显示为准。全仓和币本位不估，显示「看平台」。例：10 倍、维持保证金率 0.5%，多单强平大约在入场价下方 9.5%。</t>
        </is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</row>
    <row r="20">
      <c r="B20" s="15" t="inlineStr">
        <is>
          <t>下拉选项（可以增删，改完下拉会跟着变）</t>
        </is>
      </c>
    </row>
    <row r="21">
      <c r="B21" s="25" t="inlineStr">
        <is>
          <t>策略</t>
        </is>
      </c>
      <c r="C21" s="25" t="inlineStr">
        <is>
          <t>方向</t>
        </is>
      </c>
      <c r="D21" s="25" t="inlineStr">
        <is>
          <t>执行情况</t>
        </is>
      </c>
      <c r="E21" s="25" t="inlineStr">
        <is>
          <t>过程打分</t>
        </is>
      </c>
      <c r="F21" s="25" t="inlineStr">
        <is>
          <t>偏差标签</t>
        </is>
      </c>
      <c r="G21" s="25" t="inlineStr">
        <is>
          <t>今天做了什么</t>
        </is>
      </c>
      <c r="H21" s="25" t="inlineStr">
        <is>
          <t>买卖</t>
        </is>
      </c>
      <c r="I21" s="25" t="inlineStr">
        <is>
          <t>类型</t>
        </is>
      </c>
      <c r="J21" s="25" t="inlineStr">
        <is>
          <t>保证金模式</t>
        </is>
      </c>
      <c r="K21" s="25" t="inlineStr">
        <is>
          <t>成交角色</t>
        </is>
      </c>
    </row>
    <row r="22">
      <c r="B22" s="26" t="inlineStr">
        <is>
          <t>突破</t>
        </is>
      </c>
      <c r="C22" s="26" t="inlineStr">
        <is>
          <t>多</t>
        </is>
      </c>
      <c r="D22" s="26" t="inlineStr">
        <is>
          <t>已执行</t>
        </is>
      </c>
      <c r="E22" s="26" t="inlineStr">
        <is>
          <t>A</t>
        </is>
      </c>
      <c r="F22" s="26" t="inlineStr">
        <is>
          <t>无</t>
        </is>
      </c>
      <c r="G22" s="26" t="inlineStr">
        <is>
          <t>有成交</t>
        </is>
      </c>
      <c r="H22" s="26" t="inlineStr">
        <is>
          <t>买</t>
        </is>
      </c>
      <c r="I22" s="26" t="inlineStr">
        <is>
          <t>现货</t>
        </is>
      </c>
      <c r="J22" s="26" t="inlineStr">
        <is>
          <t>逐仓</t>
        </is>
      </c>
      <c r="K22" s="26" t="inlineStr">
        <is>
          <t>挂单</t>
        </is>
      </c>
    </row>
    <row r="23">
      <c r="B23" s="26" t="inlineStr">
        <is>
          <t>回踩</t>
        </is>
      </c>
      <c r="C23" s="26" t="inlineStr">
        <is>
          <t>空</t>
        </is>
      </c>
      <c r="D23" s="26" t="inlineStr">
        <is>
          <t>未成交</t>
        </is>
      </c>
      <c r="E23" s="26" t="inlineStr">
        <is>
          <t>B</t>
        </is>
      </c>
      <c r="F23" s="26" t="inlineStr">
        <is>
          <t>追单</t>
        </is>
      </c>
      <c r="G23" s="26" t="inlineStr">
        <is>
          <t>挂单没成交</t>
        </is>
      </c>
      <c r="H23" s="26" t="inlineStr">
        <is>
          <t>卖</t>
        </is>
      </c>
      <c r="I23" s="26" t="inlineStr">
        <is>
          <t>合约</t>
        </is>
      </c>
      <c r="J23" s="26" t="inlineStr">
        <is>
          <t>全仓</t>
        </is>
      </c>
      <c r="K23" s="26" t="inlineStr">
        <is>
          <t>吃单</t>
        </is>
      </c>
    </row>
    <row r="24">
      <c r="B24" s="26" t="inlineStr">
        <is>
          <t>区间反转</t>
        </is>
      </c>
      <c r="C24" s="26" t="n"/>
      <c r="D24" s="26" t="inlineStr">
        <is>
          <t>主动放弃</t>
        </is>
      </c>
      <c r="E24" s="26" t="inlineStr">
        <is>
          <t>C</t>
        </is>
      </c>
      <c r="F24" s="26" t="inlineStr">
        <is>
          <t>扛单</t>
        </is>
      </c>
      <c r="G24" s="26" t="inlineStr">
        <is>
          <t>按计划空仓</t>
        </is>
      </c>
      <c r="H24" s="26" t="n"/>
      <c r="I24" s="26" t="n"/>
      <c r="J24" s="26" t="inlineStr">
        <is>
          <t>币本位</t>
        </is>
      </c>
      <c r="K24" s="26" t="n"/>
    </row>
    <row r="25">
      <c r="B25" s="26" t="inlineStr">
        <is>
          <t>趋势跟随</t>
        </is>
      </c>
      <c r="C25" s="26" t="n"/>
      <c r="D25" s="26" t="inlineStr">
        <is>
          <t>漏单</t>
        </is>
      </c>
      <c r="E25" s="26" t="inlineStr">
        <is>
          <t>D</t>
        </is>
      </c>
      <c r="F25" s="26" t="inlineStr">
        <is>
          <t>提前跑</t>
        </is>
      </c>
      <c r="G25" s="26" t="inlineStr">
        <is>
          <t>没等到条件</t>
        </is>
      </c>
      <c r="H25" s="26" t="n"/>
      <c r="I25" s="26" t="n"/>
      <c r="J25" s="26" t="n"/>
      <c r="K25" s="26" t="n"/>
    </row>
    <row r="26">
      <c r="B26" s="26" t="inlineStr">
        <is>
          <t>其他</t>
        </is>
      </c>
      <c r="C26" s="26" t="n"/>
      <c r="D26" s="26" t="n"/>
      <c r="E26" s="26" t="n"/>
      <c r="F26" s="26" t="inlineStr">
        <is>
          <t>加仓回本</t>
        </is>
      </c>
      <c r="G26" s="26" t="inlineStr">
        <is>
          <t>休息</t>
        </is>
      </c>
      <c r="H26" s="26" t="n"/>
      <c r="I26" s="26" t="n"/>
      <c r="J26" s="26" t="n"/>
      <c r="K26" s="26" t="n"/>
    </row>
    <row r="27">
      <c r="B27" s="26" t="n"/>
      <c r="C27" s="26" t="n"/>
      <c r="D27" s="26" t="n"/>
      <c r="E27" s="26" t="n"/>
      <c r="F27" s="26" t="inlineStr">
        <is>
          <t>没计划</t>
        </is>
      </c>
      <c r="G27" s="26" t="n"/>
      <c r="H27" s="26" t="n"/>
      <c r="I27" s="26" t="n"/>
      <c r="J27" s="26" t="n"/>
      <c r="K27" s="26" t="n"/>
    </row>
    <row r="28">
      <c r="B28" s="26" t="n"/>
      <c r="C28" s="26" t="n"/>
      <c r="D28" s="26" t="n"/>
      <c r="E28" s="26" t="n"/>
      <c r="F28" s="26" t="inlineStr">
        <is>
          <t>超仓位</t>
        </is>
      </c>
      <c r="G28" s="26" t="n"/>
      <c r="H28" s="26" t="n"/>
      <c r="I28" s="26" t="n"/>
      <c r="J28" s="26" t="n"/>
      <c r="K28" s="26" t="n"/>
    </row>
    <row r="29">
      <c r="B29" s="26" t="n"/>
      <c r="C29" s="26" t="n"/>
      <c r="D29" s="26" t="n"/>
      <c r="E29" s="26" t="n"/>
      <c r="F29" s="26" t="inlineStr">
        <is>
          <t>止损挪远</t>
        </is>
      </c>
      <c r="G29" s="26" t="n"/>
      <c r="H29" s="26" t="n"/>
      <c r="I29" s="26" t="n"/>
      <c r="J29" s="26" t="n"/>
      <c r="K29" s="26" t="n"/>
    </row>
    <row r="30">
      <c r="B30" s="26" t="n"/>
      <c r="C30" s="26" t="n"/>
      <c r="D30" s="26" t="n"/>
      <c r="E30" s="26" t="n"/>
      <c r="F30" s="26" t="inlineStr">
        <is>
          <t>盘中改计划</t>
        </is>
      </c>
      <c r="G30" s="26" t="n"/>
      <c r="H30" s="26" t="n"/>
      <c r="I30" s="26" t="n"/>
      <c r="J30" s="26" t="n"/>
      <c r="K30" s="26" t="n"/>
    </row>
    <row r="31">
      <c r="B31" s="26" t="n"/>
      <c r="C31" s="26" t="n"/>
      <c r="D31" s="26" t="n"/>
      <c r="E31" s="26" t="n"/>
      <c r="F31" s="26" t="inlineStr">
        <is>
          <t>其他</t>
        </is>
      </c>
      <c r="G31" s="26" t="n"/>
      <c r="H31" s="26" t="n"/>
      <c r="I31" s="26" t="n"/>
      <c r="J31" s="26" t="n"/>
      <c r="K31" s="26" t="n"/>
    </row>
    <row r="32"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</row>
    <row r="33"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</row>
    <row r="35">
      <c r="B35" s="19" t="inlineStr">
        <is>
          <t>过程打分：A 完全照计划；B 有小偏差；C 违反一条规则；D 没有计划就下单。打分只看有没有照计划，不看这笔赚没赚。</t>
        </is>
      </c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</row>
    <row r="37">
      <c r="B37" s="15" t="inlineStr">
        <is>
          <t>开仓时段划分（按开仓那笔成交的时间自动分组）</t>
        </is>
      </c>
    </row>
    <row r="38">
      <c r="B38" s="25" t="inlineStr">
        <is>
          <t>从几点开始</t>
        </is>
      </c>
      <c r="C38" s="25" t="inlineStr">
        <is>
          <t>时段名</t>
        </is>
      </c>
    </row>
    <row r="39">
      <c r="B39" s="27" t="n">
        <v>0</v>
      </c>
      <c r="C39" s="26" t="inlineStr">
        <is>
          <t>00～04 点</t>
        </is>
      </c>
      <c r="D39" s="19" t="inlineStr">
        <is>
          <t>24 小时市场，默认按北京时间每 4 小时一段。可以改成你自己的作息，比如「上班前」「午休」「下班后」「深夜」。时间从小到大排，第一行必须是 00:00。</t>
        </is>
      </c>
      <c r="E39" s="19" t="n"/>
      <c r="F39" s="19" t="n"/>
      <c r="G39" s="19" t="n"/>
      <c r="H39" s="19" t="n"/>
      <c r="I39" s="19" t="n"/>
      <c r="J39" s="19" t="n"/>
      <c r="K39" s="19" t="n"/>
    </row>
    <row r="40">
      <c r="B40" s="27" t="n">
        <v>0.1666666666666667</v>
      </c>
      <c r="C40" s="26" t="inlineStr">
        <is>
          <t>04～08 点</t>
        </is>
      </c>
      <c r="D40" s="19" t="n"/>
      <c r="E40" s="19" t="n"/>
      <c r="F40" s="19" t="n"/>
      <c r="G40" s="19" t="n"/>
      <c r="H40" s="19" t="n"/>
      <c r="I40" s="19" t="n"/>
      <c r="J40" s="19" t="n"/>
      <c r="K40" s="19" t="n"/>
    </row>
    <row r="41">
      <c r="B41" s="27" t="n">
        <v>0.3333333333333333</v>
      </c>
      <c r="C41" s="26" t="inlineStr">
        <is>
          <t>08～12 点</t>
        </is>
      </c>
      <c r="D41" s="19" t="n"/>
      <c r="E41" s="19" t="n"/>
      <c r="F41" s="19" t="n"/>
      <c r="G41" s="19" t="n"/>
      <c r="H41" s="19" t="n"/>
      <c r="I41" s="19" t="n"/>
      <c r="J41" s="19" t="n"/>
      <c r="K41" s="19" t="n"/>
    </row>
    <row r="42">
      <c r="B42" s="27" t="n">
        <v>0.5</v>
      </c>
      <c r="C42" s="26" t="inlineStr">
        <is>
          <t>12～16 点</t>
        </is>
      </c>
    </row>
    <row r="43">
      <c r="B43" s="27" t="n">
        <v>0.6666666666666666</v>
      </c>
      <c r="C43" s="26" t="inlineStr">
        <is>
          <t>16～20 点</t>
        </is>
      </c>
    </row>
    <row r="44">
      <c r="B44" s="27" t="n">
        <v>0.8333333333333334</v>
      </c>
      <c r="C44" s="26" t="inlineStr">
        <is>
          <t>20～24 点</t>
        </is>
      </c>
    </row>
    <row r="45">
      <c r="B45" s="27" t="n"/>
      <c r="C45" s="26" t="n"/>
    </row>
    <row r="46">
      <c r="B46" s="27" t="n"/>
      <c r="C46" s="26" t="n"/>
    </row>
    <row r="47">
      <c r="B47" s="27" t="n"/>
      <c r="C47" s="26" t="n"/>
    </row>
    <row r="48">
      <c r="B48" s="27" t="n"/>
      <c r="C48" s="26" t="n"/>
    </row>
  </sheetData>
  <mergeCells count="14">
    <mergeCell ref="D7:K7"/>
    <mergeCell ref="D8:K8"/>
    <mergeCell ref="D6:K6"/>
    <mergeCell ref="D15:K15"/>
    <mergeCell ref="D11:K11"/>
    <mergeCell ref="B35:K35"/>
    <mergeCell ref="I1:K1"/>
    <mergeCell ref="A2:K2"/>
    <mergeCell ref="B16:K16"/>
    <mergeCell ref="D13:K13"/>
    <mergeCell ref="D14:K14"/>
    <mergeCell ref="A1:H1"/>
    <mergeCell ref="D39:K41"/>
    <mergeCell ref="D12:K12"/>
  </mergeCell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0"/>
  </sheetPr>
  <dimension ref="A1:AR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5.5" customWidth="1" min="4" max="4"/>
    <col width="8" customWidth="1" min="5" max="5"/>
    <col width="5" customWidth="1" min="6" max="6"/>
    <col width="5.5" customWidth="1" min="7" max="7"/>
    <col width="6.5" customWidth="1" min="8" max="8"/>
    <col width="8" customWidth="1" min="9" max="9"/>
    <col width="6" customWidth="1" min="10" max="10"/>
    <col width="8" customWidth="1" min="11" max="11"/>
    <col width="8" customWidth="1" min="12" max="12"/>
    <col width="8" customWidth="1" min="13" max="13"/>
    <col width="6.5" customWidth="1" min="14" max="14"/>
    <col width="8.5" customWidth="1" min="15" max="15"/>
    <col width="8" customWidth="1" min="16" max="16"/>
    <col width="8.5" customWidth="1" min="17" max="17"/>
    <col width="9" customWidth="1" min="18" max="18"/>
    <col width="8.5" customWidth="1" min="19" max="19"/>
    <col width="8.5" customWidth="1" min="20" max="20"/>
    <col width="7.5" customWidth="1" min="21" max="21"/>
    <col width="13" customWidth="1" min="22" max="22"/>
    <col width="18" customWidth="1" min="23" max="23"/>
    <col width="7.5" customWidth="1" min="24" max="24"/>
    <col width="10.5" customWidth="1" min="25" max="25"/>
    <col width="10.5" customWidth="1" min="26" max="26"/>
    <col width="9" customWidth="1" min="27" max="27"/>
    <col width="7.5" customWidth="1" min="28" max="28"/>
    <col width="8" customWidth="1" min="29" max="29"/>
    <col width="7.5" customWidth="1" min="30" max="30"/>
    <col width="8" customWidth="1" min="31" max="31"/>
    <col width="7.5" customWidth="1" min="32" max="32"/>
    <col width="8" customWidth="1" min="33" max="33"/>
    <col width="8" customWidth="1" min="34" max="34"/>
    <col width="9.5" customWidth="1" min="35" max="35"/>
    <col width="6.5" customWidth="1" min="36" max="36"/>
    <col width="6.5" customWidth="1" min="37" max="37"/>
    <col width="7.5" customWidth="1" min="38" max="38"/>
    <col width="9" customWidth="1" min="39" max="39"/>
    <col width="6" customWidth="1" min="40" max="40"/>
    <col width="8" customWidth="1" min="41" max="41"/>
    <col width="30" customWidth="1" min="42" max="42"/>
    <col width="7" customWidth="1" min="43" max="43"/>
    <col width="7" customWidth="1" min="44" max="44"/>
  </cols>
  <sheetData>
    <row r="1" ht="30" customHeight="1">
      <c r="A1" s="13" t="inlineStr">
        <is>
          <t>加密货币交易日志：交易记录</t>
        </is>
      </c>
      <c r="AP1" s="14" t="inlineStr">
        <is>
          <t>TradeLearn · XtradingTime 交易内训</t>
        </is>
      </c>
    </row>
    <row r="2" ht="20" customHeight="1">
      <c r="A2" s="2" t="inlineStr">
        <is>
          <t>现货和合约记在同一张表，「类型」一列区分。合约要填杠杆和保证金模式，表会估算强平价、看它在不在止损外面；资金费在「资金费流水」逐笔记，按编号汇总进来。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8" t="n"/>
      <c r="O3" s="28" t="n"/>
      <c r="P3" s="28" t="n"/>
      <c r="Q3" s="28" t="n"/>
      <c r="R3" s="28" t="inlineStr">
        <is>
          <t>合约：保证金与强平</t>
        </is>
      </c>
      <c r="S3" s="28" t="n"/>
      <c r="T3" s="28" t="n"/>
      <c r="U3" s="28" t="n"/>
      <c r="V3" s="28" t="n"/>
      <c r="W3" s="28" t="inlineStr">
        <is>
          <t>失效条件</t>
        </is>
      </c>
      <c r="X3" s="28" t="inlineStr">
        <is>
          <t>实际成交（从成交明细自动汇总）</t>
        </is>
      </c>
      <c r="Y3" s="28" t="n"/>
      <c r="Z3" s="28" t="n"/>
      <c r="AA3" s="28" t="n"/>
      <c r="AB3" s="28" t="n"/>
      <c r="AC3" s="28" t="n"/>
      <c r="AD3" s="28" t="n"/>
      <c r="AE3" s="28" t="n"/>
      <c r="AF3" s="28" t="n"/>
      <c r="AG3" s="28" t="inlineStr">
        <is>
          <t>结果（费后）</t>
        </is>
      </c>
      <c r="AH3" s="28" t="n"/>
      <c r="AI3" s="28" t="n"/>
      <c r="AJ3" s="28" t="n"/>
      <c r="AK3" s="28" t="n"/>
      <c r="AL3" s="28" t="n"/>
      <c r="AM3" s="28" t="n"/>
      <c r="AN3" s="28" t="inlineStr">
        <is>
          <t>过程</t>
        </is>
      </c>
      <c r="AO3" s="28" t="n"/>
      <c r="AP3" s="28" t="n"/>
      <c r="AQ3" s="28" t="inlineStr">
        <is>
          <t>曲线</t>
        </is>
      </c>
      <c r="AR3" s="28" t="n"/>
    </row>
    <row r="4" ht="79.59999999999999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品种</t>
        </is>
      </c>
      <c r="D4" s="25" t="inlineStr">
        <is>
          <t>类型</t>
        </is>
      </c>
      <c r="E4" s="25" t="inlineStr">
        <is>
          <t>策略</t>
        </is>
      </c>
      <c r="F4" s="25" t="inlineStr">
        <is>
          <t>方向</t>
        </is>
      </c>
      <c r="G4" s="25" t="inlineStr">
        <is>
          <t>杠杆（倍）</t>
        </is>
      </c>
      <c r="H4" s="25" t="inlineStr">
        <is>
          <t>保证金模式</t>
        </is>
      </c>
      <c r="I4" s="25" t="inlineStr">
        <is>
          <t>维持保证金率（空着用默认）</t>
        </is>
      </c>
      <c r="J4" s="25" t="inlineStr">
        <is>
          <t>最小单位</t>
        </is>
      </c>
      <c r="K4" s="25" t="inlineStr">
        <is>
          <t>计划入场价</t>
        </is>
      </c>
      <c r="L4" s="25" t="inlineStr">
        <is>
          <t>止损价</t>
        </is>
      </c>
      <c r="M4" s="25" t="inlineStr">
        <is>
          <t>目标价</t>
        </is>
      </c>
      <c r="N4" s="25" t="inlineStr">
        <is>
          <t>计划风报比</t>
        </is>
      </c>
      <c r="O4" s="25" t="inlineStr">
        <is>
          <t>建议数量</t>
        </is>
      </c>
      <c r="P4" s="25" t="inlineStr">
        <is>
          <t>计划数量</t>
        </is>
      </c>
      <c r="Q4" s="25" t="inlineStr">
        <is>
          <t>1R（USDT）</t>
        </is>
      </c>
      <c r="R4" s="25" t="inlineStr">
        <is>
          <t>名义价值（USDT）</t>
        </is>
      </c>
      <c r="S4" s="25" t="inlineStr">
        <is>
          <t>占用保证金</t>
        </is>
      </c>
      <c r="T4" s="25" t="inlineStr">
        <is>
          <t>估算强平价</t>
        </is>
      </c>
      <c r="U4" s="25" t="inlineStr">
        <is>
          <t>强平离止损多远</t>
        </is>
      </c>
      <c r="V4" s="25" t="inlineStr">
        <is>
          <t>强平检查</t>
        </is>
      </c>
      <c r="W4" s="25" t="inlineStr">
        <is>
          <t>失效条件 / 不做的情况</t>
        </is>
      </c>
      <c r="X4" s="25" t="inlineStr">
        <is>
          <t>执行情况</t>
        </is>
      </c>
      <c r="Y4" s="25" t="inlineStr">
        <is>
          <t>开仓日</t>
        </is>
      </c>
      <c r="Z4" s="25" t="inlineStr">
        <is>
          <t>平仓日</t>
        </is>
      </c>
      <c r="AA4" s="25" t="inlineStr">
        <is>
          <t>开仓时段</t>
        </is>
      </c>
      <c r="AB4" s="25" t="inlineStr">
        <is>
          <t>开仓数量</t>
        </is>
      </c>
      <c r="AC4" s="25" t="inlineStr">
        <is>
          <t>开仓均价</t>
        </is>
      </c>
      <c r="AD4" s="25" t="inlineStr">
        <is>
          <t>平仓数量</t>
        </is>
      </c>
      <c r="AE4" s="25" t="inlineStr">
        <is>
          <t>平仓均价</t>
        </is>
      </c>
      <c r="AF4" s="25" t="inlineStr">
        <is>
          <t>状态</t>
        </is>
      </c>
      <c r="AG4" s="25" t="inlineStr">
        <is>
          <t>费用</t>
        </is>
      </c>
      <c r="AH4" s="25" t="inlineStr">
        <is>
          <t>资金费合计（收为正）</t>
        </is>
      </c>
      <c r="AI4" s="25" t="inlineStr">
        <is>
          <t>净盈亏</t>
        </is>
      </c>
      <c r="AJ4" s="25" t="inlineStr">
        <is>
          <t>毛R（不扣费用）</t>
        </is>
      </c>
      <c r="AK4" s="25" t="inlineStr">
        <is>
          <t>净R</t>
        </is>
      </c>
      <c r="AL4" s="25" t="inlineStr">
        <is>
          <t>进场偏差（不利为正）</t>
        </is>
      </c>
      <c r="AM4" s="25" t="inlineStr">
        <is>
          <t>出场偏差（亏单比止损、赚单比目标，不利为正）</t>
        </is>
      </c>
      <c r="AN4" s="25" t="inlineStr">
        <is>
          <t>过程打分</t>
        </is>
      </c>
      <c r="AO4" s="25" t="inlineStr">
        <is>
          <t>偏差标签</t>
        </is>
      </c>
      <c r="AP4" s="25" t="inlineStr">
        <is>
          <t>备注（截图编号、下一步只改一处）</t>
        </is>
      </c>
      <c r="AQ4" s="25" t="inlineStr">
        <is>
          <t>累计净R</t>
        </is>
      </c>
      <c r="AR4" s="25" t="inlineStr">
        <is>
          <t>离高点回撤</t>
        </is>
      </c>
    </row>
    <row r="5">
      <c r="A5" s="24" t="n"/>
      <c r="B5" s="29" t="n"/>
      <c r="C5" s="30" t="n"/>
      <c r="D5" s="31" t="n"/>
      <c r="E5" s="31" t="n"/>
      <c r="F5" s="31" t="n"/>
      <c r="G5" s="21" t="n"/>
      <c r="H5" s="31" t="n"/>
      <c r="I5" s="23" t="n"/>
      <c r="J5" s="31" t="n"/>
      <c r="K5" s="32" t="n"/>
      <c r="L5" s="32" t="n"/>
      <c r="M5" s="32" t="n"/>
      <c r="N5" s="33" t="str">
        <f>IF(AND(ISNUMBER(K5),ISNUMBER(L5),ISNUMBER(M5)),IF(OR(AND(F5="多",K5&gt;L5),AND(F5="空",K5&lt;L5)),ABS(M5-K5)/ABS(K5-L5),"止损方向不对"),"")</f>
        <v/>
      </c>
      <c r="O5" s="34" t="str">
        <f>IF(AND(ISNUMBER(K5),ISNUMBER(L5)),IF(K5=L5,"",IF(INT(ROUND('参数'!$C$7/(ABS(K5-L5)*1+2*K5*'参数'!$C$12)/IF(N(J5)&gt;0,J5,1),6))*IF(N(J5)&gt;0,J5,1)&gt;0,INT(ROUND('参数'!$C$7/(ABS(K5-L5)*1+2*K5*'参数'!$C$12)/IF(N(J5)&gt;0,J5,1),6))*IF(N(J5)&gt;0,J5,1),"预算不足，这笔不做")),"")</f>
        <v/>
      </c>
      <c r="P5" s="35" t="n"/>
      <c r="Q5" s="20" t="str">
        <f>IF(AND(ISNUMBER(K5),ISNUMBER(L5),ISNUMBER(P5)),IF(AND(K5&lt;&gt;L5,P5&gt;0),ABS(K5-L5)*P5*1,""),"")</f>
        <v/>
      </c>
      <c r="R5" s="20" t="str">
        <f>IF(AND(ISNUMBER(K5),ISNUMBER(P5)),K5*P5,"")</f>
        <v/>
      </c>
      <c r="S5" s="20" t="str">
        <f>IF(AND(D5="合约",ISNUMBER(R5),N(G5)&gt;0),R5/G5,"")</f>
        <v/>
      </c>
      <c r="T5" s="36" t="str">
        <f>IF(NOT(D5="合约"),"",IF(H5&lt;&gt;"逐仓","看平台",IF(AND(ISNUMBER(K5),N(G5)&gt;0),IF(F5="空",K5*(1+1/G5-IF(ISNUMBER(I5),I5,'参数'!$C$13)),K5*(1-1/G5+IF(ISNUMBER(I5),I5,'参数'!$C$13))),"")))</f>
        <v/>
      </c>
      <c r="U5" s="37" t="str">
        <f>IF(AND(ISNUMBER(T5),ISNUMBER(L5),ISNUMBER(K5)),IF(F5="空",T5-L5,L5-T5)/K5,"")</f>
        <v/>
      </c>
      <c r="V5" s="38" t="str">
        <f>IF(ISNUMBER(U5),IF(U5&lt;'参数'!$C$15,"先降杠杆或减量","在止损外"),"")</f>
        <v/>
      </c>
      <c r="W5" s="30" t="n"/>
      <c r="X5" s="31" t="n"/>
      <c r="Y5" s="39" t="str">
        <f>IF(N(AB5)&gt;0,SUMPRODUCT(LARGE(('成交明细'!$A$5:$A$804=A5)*('成交明细'!$D$5:$D$804=IF(F5="空","卖","买"))*'成交明细'!$B$5:$B$804,COUNTIFS('成交明细'!$A$5:$A$804,A5,'成交明细'!$D$5:$D$804,IF(F5="空","卖","买")))),"")</f>
        <v/>
      </c>
      <c r="Z5" s="39" t="str">
        <f>IF(AND(N(AB5)&gt;0,N(AD5)&gt;=N(AB5)),SUMPRODUCT(MAX(('成交明细'!$A$5:$A$804=A5)*('成交明细'!$D$5:$D$804=IF(F5="空","买","卖"))*'成交明细'!$B$5:$B$804)),"")</f>
        <v/>
      </c>
      <c r="AA5" s="40" t="str">
        <f>IF(N(AB5)=0,"",IF(SUMPRODUCT(('成交明细'!$A$5:$A$804=A5)*('成交明细'!$D$5:$D$804=IF(F5="空","卖","买"))*ISNUMBER('成交明细'!$C$5:$C$804))=0,"没填时间",IFERROR(VLOOKUP(MOD(SUMPRODUCT(LARGE(('成交明细'!$A$5:$A$804=A5)*('成交明细'!$D$5:$D$804=IF(F5="空","卖","买"))*('成交明细'!$B$5:$B$804+'成交明细'!$C$5:$C$804),COUNTIFS('成交明细'!$A$5:$A$804,A5,'成交明细'!$D$5:$D$804,IF(F5="空","卖","买")))),1),'参数'!$B$39:$C$48,2,TRUE),"")))</f>
        <v/>
      </c>
      <c r="AB5" s="34" t="str">
        <f>IF(A5="","",SUMIFS('成交明细'!$F$5:$F$804,'成交明细'!$A$5:$A$804,A5,'成交明细'!$D$5:$D$804,IF(F5="空","卖","买")))</f>
        <v/>
      </c>
      <c r="AC5" s="41" t="str">
        <f>IF(N(AB5)&gt;0,SUMIFS('成交明细'!$H$5:$H$804,'成交明细'!$A$5:$A$804,A5,'成交明细'!$D$5:$D$804,IF(F5="空","卖","买"))/AB5,"")</f>
        <v/>
      </c>
      <c r="AD5" s="34" t="str">
        <f>IF(A5="","",SUMIFS('成交明细'!$F$5:$F$804,'成交明细'!$A$5:$A$804,A5,'成交明细'!$D$5:$D$804,IF(F5="空","买","卖")))</f>
        <v/>
      </c>
      <c r="AE5" s="41" t="str">
        <f>IF(N(AD5)&gt;0,SUMIFS('成交明细'!$H$5:$H$804,'成交明细'!$A$5:$A$804,A5,'成交明细'!$D$5:$D$804,IF(F5="空","买","卖"))/AD5,"")</f>
        <v/>
      </c>
      <c r="AF5" s="38" t="str">
        <f>IF(A5="","",IF(X5&lt;&gt;"已执行",IF(X5="","未填执行情况",X5),IF(N(AB5)=0,"待录成交",IF(N(AD5)&gt;N(AB5),"平仓多于开仓",IF(N(AD5)&lt;N(AB5),"持仓中","已平仓")))))</f>
        <v/>
      </c>
      <c r="AG5" s="42" t="str">
        <f>IF(N(AB5)=0,"",SUMIFS('成交明细'!$L$5:$L$804,'成交明细'!$A$5:$A$804,A5))</f>
        <v/>
      </c>
      <c r="AH5" s="43" t="str">
        <f>IF(A5="","",SUMIFS('资金费流水'!$F$5:$F$604,'资金费流水'!$B$5:$B$604,A5))</f>
        <v/>
      </c>
      <c r="AI5" s="43" t="str">
        <f>IF(AF5&lt;&gt;"已平仓","",(SUMIFS('成交明细'!$H$5:$H$804,'成交明细'!$A$5:$A$804,A5,'成交明细'!$D$5:$D$804,"卖")-SUMIFS('成交明细'!$H$5:$H$804,'成交明细'!$A$5:$A$804,A5,'成交明细'!$D$5:$D$804,"买"))*1-AG5+N(AH5))</f>
        <v/>
      </c>
      <c r="AJ5" s="44" t="str">
        <f>IF(AND(AF5="已平仓",ISNUMBER(Q5)),(SUMIFS('成交明细'!$H$5:$H$804,'成交明细'!$A$5:$A$804,A5,'成交明细'!$D$5:$D$804,"卖")-SUMIFS('成交明细'!$H$5:$H$804,'成交明细'!$A$5:$A$804,A5,'成交明细'!$D$5:$D$804,"买"))*1/Q5,"")</f>
        <v/>
      </c>
      <c r="AK5" s="44" t="str">
        <f>IF(AND(AF5="已平仓",ISNUMBER(Q5)),AI5/Q5,"")</f>
        <v/>
      </c>
      <c r="AL5" s="45" t="str">
        <f>IF(AND(ISNUMBER(AC5),ISNUMBER(K5)),IF(F5="空",K5-AC5,AC5-K5),"")</f>
        <v/>
      </c>
      <c r="AM5" s="45" t="str">
        <f>IF(OR(NOT(ISNUMBER(AI5)),NOT(ISNUMBER(AE5))),"",IF(AI5&lt;0,IF(F5="空",AE5-L5,L5-AE5),IF(NOT(ISNUMBER(M5)),"",IF(F5="空",AE5-M5,M5-AE5))))</f>
        <v/>
      </c>
      <c r="AN5" s="31" t="n"/>
      <c r="AO5" s="31" t="n"/>
      <c r="AP5" s="30" t="n"/>
      <c r="AQ5" s="44" t="str">
        <f>IF(A5="","",SUM(AK$5:AK5))</f>
        <v/>
      </c>
      <c r="AR5" s="46" t="str">
        <f>IF(A5="","",MAX(0,MAX(AQ$5:AQ5))-AQ5)</f>
        <v/>
      </c>
    </row>
    <row r="6">
      <c r="A6" s="24" t="n"/>
      <c r="B6" s="29" t="n"/>
      <c r="C6" s="30" t="n"/>
      <c r="D6" s="31" t="n"/>
      <c r="E6" s="31" t="n"/>
      <c r="F6" s="31" t="n"/>
      <c r="G6" s="21" t="n"/>
      <c r="H6" s="31" t="n"/>
      <c r="I6" s="23" t="n"/>
      <c r="J6" s="31" t="n"/>
      <c r="K6" s="32" t="n"/>
      <c r="L6" s="32" t="n"/>
      <c r="M6" s="32" t="n"/>
      <c r="N6" s="33" t="str">
        <f>IF(AND(ISNUMBER(K6),ISNUMBER(L6),ISNUMBER(M6)),IF(OR(AND(F6="多",K6&gt;L6),AND(F6="空",K6&lt;L6)),ABS(M6-K6)/ABS(K6-L6),"止损方向不对"),"")</f>
        <v/>
      </c>
      <c r="O6" s="34" t="str">
        <f>IF(AND(ISNUMBER(K6),ISNUMBER(L6)),IF(K6=L6,"",IF(INT(ROUND('参数'!$C$7/(ABS(K6-L6)*1+2*K6*'参数'!$C$12)/IF(N(J6)&gt;0,J6,1),6))*IF(N(J6)&gt;0,J6,1)&gt;0,INT(ROUND('参数'!$C$7/(ABS(K6-L6)*1+2*K6*'参数'!$C$12)/IF(N(J6)&gt;0,J6,1),6))*IF(N(J6)&gt;0,J6,1),"预算不足，这笔不做")),"")</f>
        <v/>
      </c>
      <c r="P6" s="35" t="n"/>
      <c r="Q6" s="20" t="str">
        <f>IF(AND(ISNUMBER(K6),ISNUMBER(L6),ISNUMBER(P6)),IF(AND(K6&lt;&gt;L6,P6&gt;0),ABS(K6-L6)*P6*1,""),"")</f>
        <v/>
      </c>
      <c r="R6" s="20" t="str">
        <f>IF(AND(ISNUMBER(K6),ISNUMBER(P6)),K6*P6,"")</f>
        <v/>
      </c>
      <c r="S6" s="20" t="str">
        <f>IF(AND(D6="合约",ISNUMBER(R6),N(G6)&gt;0),R6/G6,"")</f>
        <v/>
      </c>
      <c r="T6" s="36" t="str">
        <f>IF(NOT(D6="合约"),"",IF(H6&lt;&gt;"逐仓","看平台",IF(AND(ISNUMBER(K6),N(G6)&gt;0),IF(F6="空",K6*(1+1/G6-IF(ISNUMBER(I6),I6,'参数'!$C$13)),K6*(1-1/G6+IF(ISNUMBER(I6),I6,'参数'!$C$13))),"")))</f>
        <v/>
      </c>
      <c r="U6" s="37" t="str">
        <f>IF(AND(ISNUMBER(T6),ISNUMBER(L6),ISNUMBER(K6)),IF(F6="空",T6-L6,L6-T6)/K6,"")</f>
        <v/>
      </c>
      <c r="V6" s="38" t="str">
        <f>IF(ISNUMBER(U6),IF(U6&lt;'参数'!$C$15,"先降杠杆或减量","在止损外"),"")</f>
        <v/>
      </c>
      <c r="W6" s="30" t="n"/>
      <c r="X6" s="31" t="n"/>
      <c r="Y6" s="39" t="str">
        <f>IF(N(AB6)&gt;0,SUMPRODUCT(LARGE(('成交明细'!$A$5:$A$804=A6)*('成交明细'!$D$5:$D$804=IF(F6="空","卖","买"))*'成交明细'!$B$5:$B$804,COUNTIFS('成交明细'!$A$5:$A$804,A6,'成交明细'!$D$5:$D$804,IF(F6="空","卖","买")))),"")</f>
        <v/>
      </c>
      <c r="Z6" s="39" t="str">
        <f>IF(AND(N(AB6)&gt;0,N(AD6)&gt;=N(AB6)),SUMPRODUCT(MAX(('成交明细'!$A$5:$A$804=A6)*('成交明细'!$D$5:$D$804=IF(F6="空","买","卖"))*'成交明细'!$B$5:$B$804)),"")</f>
        <v/>
      </c>
      <c r="AA6" s="40" t="str">
        <f>IF(N(AB6)=0,"",IF(SUMPRODUCT(('成交明细'!$A$5:$A$804=A6)*('成交明细'!$D$5:$D$804=IF(F6="空","卖","买"))*ISNUMBER('成交明细'!$C$5:$C$804))=0,"没填时间",IFERROR(VLOOKUP(MOD(SUMPRODUCT(LARGE(('成交明细'!$A$5:$A$804=A6)*('成交明细'!$D$5:$D$804=IF(F6="空","卖","买"))*('成交明细'!$B$5:$B$804+'成交明细'!$C$5:$C$804),COUNTIFS('成交明细'!$A$5:$A$804,A6,'成交明细'!$D$5:$D$804,IF(F6="空","卖","买")))),1),'参数'!$B$39:$C$48,2,TRUE),"")))</f>
        <v/>
      </c>
      <c r="AB6" s="34" t="str">
        <f>IF(A6="","",SUMIFS('成交明细'!$F$5:$F$804,'成交明细'!$A$5:$A$804,A6,'成交明细'!$D$5:$D$804,IF(F6="空","卖","买")))</f>
        <v/>
      </c>
      <c r="AC6" s="41" t="str">
        <f>IF(N(AB6)&gt;0,SUMIFS('成交明细'!$H$5:$H$804,'成交明细'!$A$5:$A$804,A6,'成交明细'!$D$5:$D$804,IF(F6="空","卖","买"))/AB6,"")</f>
        <v/>
      </c>
      <c r="AD6" s="34" t="str">
        <f>IF(A6="","",SUMIFS('成交明细'!$F$5:$F$804,'成交明细'!$A$5:$A$804,A6,'成交明细'!$D$5:$D$804,IF(F6="空","买","卖")))</f>
        <v/>
      </c>
      <c r="AE6" s="41" t="str">
        <f>IF(N(AD6)&gt;0,SUMIFS('成交明细'!$H$5:$H$804,'成交明细'!$A$5:$A$804,A6,'成交明细'!$D$5:$D$804,IF(F6="空","买","卖"))/AD6,"")</f>
        <v/>
      </c>
      <c r="AF6" s="38" t="str">
        <f>IF(A6="","",IF(X6&lt;&gt;"已执行",IF(X6="","未填执行情况",X6),IF(N(AB6)=0,"待录成交",IF(N(AD6)&gt;N(AB6),"平仓多于开仓",IF(N(AD6)&lt;N(AB6),"持仓中","已平仓")))))</f>
        <v/>
      </c>
      <c r="AG6" s="42" t="str">
        <f>IF(N(AB6)=0,"",SUMIFS('成交明细'!$L$5:$L$804,'成交明细'!$A$5:$A$804,A6))</f>
        <v/>
      </c>
      <c r="AH6" s="43" t="str">
        <f>IF(A6="","",SUMIFS('资金费流水'!$F$5:$F$604,'资金费流水'!$B$5:$B$604,A6))</f>
        <v/>
      </c>
      <c r="AI6" s="43" t="str">
        <f>IF(AF6&lt;&gt;"已平仓","",(SUMIFS('成交明细'!$H$5:$H$804,'成交明细'!$A$5:$A$804,A6,'成交明细'!$D$5:$D$804,"卖")-SUMIFS('成交明细'!$H$5:$H$804,'成交明细'!$A$5:$A$804,A6,'成交明细'!$D$5:$D$804,"买"))*1-AG6+N(AH6))</f>
        <v/>
      </c>
      <c r="AJ6" s="44" t="str">
        <f>IF(AND(AF6="已平仓",ISNUMBER(Q6)),(SUMIFS('成交明细'!$H$5:$H$804,'成交明细'!$A$5:$A$804,A6,'成交明细'!$D$5:$D$804,"卖")-SUMIFS('成交明细'!$H$5:$H$804,'成交明细'!$A$5:$A$804,A6,'成交明细'!$D$5:$D$804,"买"))*1/Q6,"")</f>
        <v/>
      </c>
      <c r="AK6" s="44" t="str">
        <f>IF(AND(AF6="已平仓",ISNUMBER(Q6)),AI6/Q6,"")</f>
        <v/>
      </c>
      <c r="AL6" s="45" t="str">
        <f>IF(AND(ISNUMBER(AC6),ISNUMBER(K6)),IF(F6="空",K6-AC6,AC6-K6),"")</f>
        <v/>
      </c>
      <c r="AM6" s="45" t="str">
        <f>IF(OR(NOT(ISNUMBER(AI6)),NOT(ISNUMBER(AE6))),"",IF(AI6&lt;0,IF(F6="空",AE6-L6,L6-AE6),IF(NOT(ISNUMBER(M6)),"",IF(F6="空",AE6-M6,M6-AE6))))</f>
        <v/>
      </c>
      <c r="AN6" s="31" t="n"/>
      <c r="AO6" s="31" t="n"/>
      <c r="AP6" s="30" t="n"/>
      <c r="AQ6" s="44" t="str">
        <f>IF(A6="","",SUM(AK$5:AK6))</f>
        <v/>
      </c>
      <c r="AR6" s="46" t="str">
        <f>IF(A6="","",MAX(0,MAX(AQ$5:AQ6))-AQ6)</f>
        <v/>
      </c>
    </row>
    <row r="7">
      <c r="A7" s="24" t="n"/>
      <c r="B7" s="29" t="n"/>
      <c r="C7" s="30" t="n"/>
      <c r="D7" s="31" t="n"/>
      <c r="E7" s="31" t="n"/>
      <c r="F7" s="31" t="n"/>
      <c r="G7" s="21" t="n"/>
      <c r="H7" s="31" t="n"/>
      <c r="I7" s="23" t="n"/>
      <c r="J7" s="31" t="n"/>
      <c r="K7" s="32" t="n"/>
      <c r="L7" s="32" t="n"/>
      <c r="M7" s="32" t="n"/>
      <c r="N7" s="33" t="str">
        <f>IF(AND(ISNUMBER(K7),ISNUMBER(L7),ISNUMBER(M7)),IF(OR(AND(F7="多",K7&gt;L7),AND(F7="空",K7&lt;L7)),ABS(M7-K7)/ABS(K7-L7),"止损方向不对"),"")</f>
        <v/>
      </c>
      <c r="O7" s="34" t="str">
        <f>IF(AND(ISNUMBER(K7),ISNUMBER(L7)),IF(K7=L7,"",IF(INT(ROUND('参数'!$C$7/(ABS(K7-L7)*1+2*K7*'参数'!$C$12)/IF(N(J7)&gt;0,J7,1),6))*IF(N(J7)&gt;0,J7,1)&gt;0,INT(ROUND('参数'!$C$7/(ABS(K7-L7)*1+2*K7*'参数'!$C$12)/IF(N(J7)&gt;0,J7,1),6))*IF(N(J7)&gt;0,J7,1),"预算不足，这笔不做")),"")</f>
        <v/>
      </c>
      <c r="P7" s="35" t="n"/>
      <c r="Q7" s="20" t="str">
        <f>IF(AND(ISNUMBER(K7),ISNUMBER(L7),ISNUMBER(P7)),IF(AND(K7&lt;&gt;L7,P7&gt;0),ABS(K7-L7)*P7*1,""),"")</f>
        <v/>
      </c>
      <c r="R7" s="20" t="str">
        <f>IF(AND(ISNUMBER(K7),ISNUMBER(P7)),K7*P7,"")</f>
        <v/>
      </c>
      <c r="S7" s="20" t="str">
        <f>IF(AND(D7="合约",ISNUMBER(R7),N(G7)&gt;0),R7/G7,"")</f>
        <v/>
      </c>
      <c r="T7" s="36" t="str">
        <f>IF(NOT(D7="合约"),"",IF(H7&lt;&gt;"逐仓","看平台",IF(AND(ISNUMBER(K7),N(G7)&gt;0),IF(F7="空",K7*(1+1/G7-IF(ISNUMBER(I7),I7,'参数'!$C$13)),K7*(1-1/G7+IF(ISNUMBER(I7),I7,'参数'!$C$13))),"")))</f>
        <v/>
      </c>
      <c r="U7" s="37" t="str">
        <f>IF(AND(ISNUMBER(T7),ISNUMBER(L7),ISNUMBER(K7)),IF(F7="空",T7-L7,L7-T7)/K7,"")</f>
        <v/>
      </c>
      <c r="V7" s="38" t="str">
        <f>IF(ISNUMBER(U7),IF(U7&lt;'参数'!$C$15,"先降杠杆或减量","在止损外"),"")</f>
        <v/>
      </c>
      <c r="W7" s="30" t="n"/>
      <c r="X7" s="31" t="n"/>
      <c r="Y7" s="39" t="str">
        <f>IF(N(AB7)&gt;0,SUMPRODUCT(LARGE(('成交明细'!$A$5:$A$804=A7)*('成交明细'!$D$5:$D$804=IF(F7="空","卖","买"))*'成交明细'!$B$5:$B$804,COUNTIFS('成交明细'!$A$5:$A$804,A7,'成交明细'!$D$5:$D$804,IF(F7="空","卖","买")))),"")</f>
        <v/>
      </c>
      <c r="Z7" s="39" t="str">
        <f>IF(AND(N(AB7)&gt;0,N(AD7)&gt;=N(AB7)),SUMPRODUCT(MAX(('成交明细'!$A$5:$A$804=A7)*('成交明细'!$D$5:$D$804=IF(F7="空","买","卖"))*'成交明细'!$B$5:$B$804)),"")</f>
        <v/>
      </c>
      <c r="AA7" s="40" t="str">
        <f>IF(N(AB7)=0,"",IF(SUMPRODUCT(('成交明细'!$A$5:$A$804=A7)*('成交明细'!$D$5:$D$804=IF(F7="空","卖","买"))*ISNUMBER('成交明细'!$C$5:$C$804))=0,"没填时间",IFERROR(VLOOKUP(MOD(SUMPRODUCT(LARGE(('成交明细'!$A$5:$A$804=A7)*('成交明细'!$D$5:$D$804=IF(F7="空","卖","买"))*('成交明细'!$B$5:$B$804+'成交明细'!$C$5:$C$804),COUNTIFS('成交明细'!$A$5:$A$804,A7,'成交明细'!$D$5:$D$804,IF(F7="空","卖","买")))),1),'参数'!$B$39:$C$48,2,TRUE),"")))</f>
        <v/>
      </c>
      <c r="AB7" s="34" t="str">
        <f>IF(A7="","",SUMIFS('成交明细'!$F$5:$F$804,'成交明细'!$A$5:$A$804,A7,'成交明细'!$D$5:$D$804,IF(F7="空","卖","买")))</f>
        <v/>
      </c>
      <c r="AC7" s="41" t="str">
        <f>IF(N(AB7)&gt;0,SUMIFS('成交明细'!$H$5:$H$804,'成交明细'!$A$5:$A$804,A7,'成交明细'!$D$5:$D$804,IF(F7="空","卖","买"))/AB7,"")</f>
        <v/>
      </c>
      <c r="AD7" s="34" t="str">
        <f>IF(A7="","",SUMIFS('成交明细'!$F$5:$F$804,'成交明细'!$A$5:$A$804,A7,'成交明细'!$D$5:$D$804,IF(F7="空","买","卖")))</f>
        <v/>
      </c>
      <c r="AE7" s="41" t="str">
        <f>IF(N(AD7)&gt;0,SUMIFS('成交明细'!$H$5:$H$804,'成交明细'!$A$5:$A$804,A7,'成交明细'!$D$5:$D$804,IF(F7="空","买","卖"))/AD7,"")</f>
        <v/>
      </c>
      <c r="AF7" s="38" t="str">
        <f>IF(A7="","",IF(X7&lt;&gt;"已执行",IF(X7="","未填执行情况",X7),IF(N(AB7)=0,"待录成交",IF(N(AD7)&gt;N(AB7),"平仓多于开仓",IF(N(AD7)&lt;N(AB7),"持仓中","已平仓")))))</f>
        <v/>
      </c>
      <c r="AG7" s="42" t="str">
        <f>IF(N(AB7)=0,"",SUMIFS('成交明细'!$L$5:$L$804,'成交明细'!$A$5:$A$804,A7))</f>
        <v/>
      </c>
      <c r="AH7" s="43" t="str">
        <f>IF(A7="","",SUMIFS('资金费流水'!$F$5:$F$604,'资金费流水'!$B$5:$B$604,A7))</f>
        <v/>
      </c>
      <c r="AI7" s="43" t="str">
        <f>IF(AF7&lt;&gt;"已平仓","",(SUMIFS('成交明细'!$H$5:$H$804,'成交明细'!$A$5:$A$804,A7,'成交明细'!$D$5:$D$804,"卖")-SUMIFS('成交明细'!$H$5:$H$804,'成交明细'!$A$5:$A$804,A7,'成交明细'!$D$5:$D$804,"买"))*1-AG7+N(AH7))</f>
        <v/>
      </c>
      <c r="AJ7" s="44" t="str">
        <f>IF(AND(AF7="已平仓",ISNUMBER(Q7)),(SUMIFS('成交明细'!$H$5:$H$804,'成交明细'!$A$5:$A$804,A7,'成交明细'!$D$5:$D$804,"卖")-SUMIFS('成交明细'!$H$5:$H$804,'成交明细'!$A$5:$A$804,A7,'成交明细'!$D$5:$D$804,"买"))*1/Q7,"")</f>
        <v/>
      </c>
      <c r="AK7" s="44" t="str">
        <f>IF(AND(AF7="已平仓",ISNUMBER(Q7)),AI7/Q7,"")</f>
        <v/>
      </c>
      <c r="AL7" s="45" t="str">
        <f>IF(AND(ISNUMBER(AC7),ISNUMBER(K7)),IF(F7="空",K7-AC7,AC7-K7),"")</f>
        <v/>
      </c>
      <c r="AM7" s="45" t="str">
        <f>IF(OR(NOT(ISNUMBER(AI7)),NOT(ISNUMBER(AE7))),"",IF(AI7&lt;0,IF(F7="空",AE7-L7,L7-AE7),IF(NOT(ISNUMBER(M7)),"",IF(F7="空",AE7-M7,M7-AE7))))</f>
        <v/>
      </c>
      <c r="AN7" s="31" t="n"/>
      <c r="AO7" s="31" t="n"/>
      <c r="AP7" s="30" t="n"/>
      <c r="AQ7" s="44" t="str">
        <f>IF(A7="","",SUM(AK$5:AK7))</f>
        <v/>
      </c>
      <c r="AR7" s="46" t="str">
        <f>IF(A7="","",MAX(0,MAX(AQ$5:AQ7))-AQ7)</f>
        <v/>
      </c>
    </row>
    <row r="8">
      <c r="A8" s="24" t="n"/>
      <c r="B8" s="29" t="n"/>
      <c r="C8" s="30" t="n"/>
      <c r="D8" s="31" t="n"/>
      <c r="E8" s="31" t="n"/>
      <c r="F8" s="31" t="n"/>
      <c r="G8" s="21" t="n"/>
      <c r="H8" s="31" t="n"/>
      <c r="I8" s="23" t="n"/>
      <c r="J8" s="31" t="n"/>
      <c r="K8" s="32" t="n"/>
      <c r="L8" s="32" t="n"/>
      <c r="M8" s="32" t="n"/>
      <c r="N8" s="33" t="str">
        <f>IF(AND(ISNUMBER(K8),ISNUMBER(L8),ISNUMBER(M8)),IF(OR(AND(F8="多",K8&gt;L8),AND(F8="空",K8&lt;L8)),ABS(M8-K8)/ABS(K8-L8),"止损方向不对"),"")</f>
        <v/>
      </c>
      <c r="O8" s="34" t="str">
        <f>IF(AND(ISNUMBER(K8),ISNUMBER(L8)),IF(K8=L8,"",IF(INT(ROUND('参数'!$C$7/(ABS(K8-L8)*1+2*K8*'参数'!$C$12)/IF(N(J8)&gt;0,J8,1),6))*IF(N(J8)&gt;0,J8,1)&gt;0,INT(ROUND('参数'!$C$7/(ABS(K8-L8)*1+2*K8*'参数'!$C$12)/IF(N(J8)&gt;0,J8,1),6))*IF(N(J8)&gt;0,J8,1),"预算不足，这笔不做")),"")</f>
        <v/>
      </c>
      <c r="P8" s="35" t="n"/>
      <c r="Q8" s="20" t="str">
        <f>IF(AND(ISNUMBER(K8),ISNUMBER(L8),ISNUMBER(P8)),IF(AND(K8&lt;&gt;L8,P8&gt;0),ABS(K8-L8)*P8*1,""),"")</f>
        <v/>
      </c>
      <c r="R8" s="20" t="str">
        <f>IF(AND(ISNUMBER(K8),ISNUMBER(P8)),K8*P8,"")</f>
        <v/>
      </c>
      <c r="S8" s="20" t="str">
        <f>IF(AND(D8="合约",ISNUMBER(R8),N(G8)&gt;0),R8/G8,"")</f>
        <v/>
      </c>
      <c r="T8" s="36" t="str">
        <f>IF(NOT(D8="合约"),"",IF(H8&lt;&gt;"逐仓","看平台",IF(AND(ISNUMBER(K8),N(G8)&gt;0),IF(F8="空",K8*(1+1/G8-IF(ISNUMBER(I8),I8,'参数'!$C$13)),K8*(1-1/G8+IF(ISNUMBER(I8),I8,'参数'!$C$13))),"")))</f>
        <v/>
      </c>
      <c r="U8" s="37" t="str">
        <f>IF(AND(ISNUMBER(T8),ISNUMBER(L8),ISNUMBER(K8)),IF(F8="空",T8-L8,L8-T8)/K8,"")</f>
        <v/>
      </c>
      <c r="V8" s="38" t="str">
        <f>IF(ISNUMBER(U8),IF(U8&lt;'参数'!$C$15,"先降杠杆或减量","在止损外"),"")</f>
        <v/>
      </c>
      <c r="W8" s="30" t="n"/>
      <c r="X8" s="31" t="n"/>
      <c r="Y8" s="39" t="str">
        <f>IF(N(AB8)&gt;0,SUMPRODUCT(LARGE(('成交明细'!$A$5:$A$804=A8)*('成交明细'!$D$5:$D$804=IF(F8="空","卖","买"))*'成交明细'!$B$5:$B$804,COUNTIFS('成交明细'!$A$5:$A$804,A8,'成交明细'!$D$5:$D$804,IF(F8="空","卖","买")))),"")</f>
        <v/>
      </c>
      <c r="Z8" s="39" t="str">
        <f>IF(AND(N(AB8)&gt;0,N(AD8)&gt;=N(AB8)),SUMPRODUCT(MAX(('成交明细'!$A$5:$A$804=A8)*('成交明细'!$D$5:$D$804=IF(F8="空","买","卖"))*'成交明细'!$B$5:$B$804)),"")</f>
        <v/>
      </c>
      <c r="AA8" s="40" t="str">
        <f>IF(N(AB8)=0,"",IF(SUMPRODUCT(('成交明细'!$A$5:$A$804=A8)*('成交明细'!$D$5:$D$804=IF(F8="空","卖","买"))*ISNUMBER('成交明细'!$C$5:$C$804))=0,"没填时间",IFERROR(VLOOKUP(MOD(SUMPRODUCT(LARGE(('成交明细'!$A$5:$A$804=A8)*('成交明细'!$D$5:$D$804=IF(F8="空","卖","买"))*('成交明细'!$B$5:$B$804+'成交明细'!$C$5:$C$804),COUNTIFS('成交明细'!$A$5:$A$804,A8,'成交明细'!$D$5:$D$804,IF(F8="空","卖","买")))),1),'参数'!$B$39:$C$48,2,TRUE),"")))</f>
        <v/>
      </c>
      <c r="AB8" s="34" t="str">
        <f>IF(A8="","",SUMIFS('成交明细'!$F$5:$F$804,'成交明细'!$A$5:$A$804,A8,'成交明细'!$D$5:$D$804,IF(F8="空","卖","买")))</f>
        <v/>
      </c>
      <c r="AC8" s="41" t="str">
        <f>IF(N(AB8)&gt;0,SUMIFS('成交明细'!$H$5:$H$804,'成交明细'!$A$5:$A$804,A8,'成交明细'!$D$5:$D$804,IF(F8="空","卖","买"))/AB8,"")</f>
        <v/>
      </c>
      <c r="AD8" s="34" t="str">
        <f>IF(A8="","",SUMIFS('成交明细'!$F$5:$F$804,'成交明细'!$A$5:$A$804,A8,'成交明细'!$D$5:$D$804,IF(F8="空","买","卖")))</f>
        <v/>
      </c>
      <c r="AE8" s="41" t="str">
        <f>IF(N(AD8)&gt;0,SUMIFS('成交明细'!$H$5:$H$804,'成交明细'!$A$5:$A$804,A8,'成交明细'!$D$5:$D$804,IF(F8="空","买","卖"))/AD8,"")</f>
        <v/>
      </c>
      <c r="AF8" s="38" t="str">
        <f>IF(A8="","",IF(X8&lt;&gt;"已执行",IF(X8="","未填执行情况",X8),IF(N(AB8)=0,"待录成交",IF(N(AD8)&gt;N(AB8),"平仓多于开仓",IF(N(AD8)&lt;N(AB8),"持仓中","已平仓")))))</f>
        <v/>
      </c>
      <c r="AG8" s="42" t="str">
        <f>IF(N(AB8)=0,"",SUMIFS('成交明细'!$L$5:$L$804,'成交明细'!$A$5:$A$804,A8))</f>
        <v/>
      </c>
      <c r="AH8" s="43" t="str">
        <f>IF(A8="","",SUMIFS('资金费流水'!$F$5:$F$604,'资金费流水'!$B$5:$B$604,A8))</f>
        <v/>
      </c>
      <c r="AI8" s="43" t="str">
        <f>IF(AF8&lt;&gt;"已平仓","",(SUMIFS('成交明细'!$H$5:$H$804,'成交明细'!$A$5:$A$804,A8,'成交明细'!$D$5:$D$804,"卖")-SUMIFS('成交明细'!$H$5:$H$804,'成交明细'!$A$5:$A$804,A8,'成交明细'!$D$5:$D$804,"买"))*1-AG8+N(AH8))</f>
        <v/>
      </c>
      <c r="AJ8" s="44" t="str">
        <f>IF(AND(AF8="已平仓",ISNUMBER(Q8)),(SUMIFS('成交明细'!$H$5:$H$804,'成交明细'!$A$5:$A$804,A8,'成交明细'!$D$5:$D$804,"卖")-SUMIFS('成交明细'!$H$5:$H$804,'成交明细'!$A$5:$A$804,A8,'成交明细'!$D$5:$D$804,"买"))*1/Q8,"")</f>
        <v/>
      </c>
      <c r="AK8" s="44" t="str">
        <f>IF(AND(AF8="已平仓",ISNUMBER(Q8)),AI8/Q8,"")</f>
        <v/>
      </c>
      <c r="AL8" s="45" t="str">
        <f>IF(AND(ISNUMBER(AC8),ISNUMBER(K8)),IF(F8="空",K8-AC8,AC8-K8),"")</f>
        <v/>
      </c>
      <c r="AM8" s="45" t="str">
        <f>IF(OR(NOT(ISNUMBER(AI8)),NOT(ISNUMBER(AE8))),"",IF(AI8&lt;0,IF(F8="空",AE8-L8,L8-AE8),IF(NOT(ISNUMBER(M8)),"",IF(F8="空",AE8-M8,M8-AE8))))</f>
        <v/>
      </c>
      <c r="AN8" s="31" t="n"/>
      <c r="AO8" s="31" t="n"/>
      <c r="AP8" s="30" t="n"/>
      <c r="AQ8" s="44" t="str">
        <f>IF(A8="","",SUM(AK$5:AK8))</f>
        <v/>
      </c>
      <c r="AR8" s="46" t="str">
        <f>IF(A8="","",MAX(0,MAX(AQ$5:AQ8))-AQ8)</f>
        <v/>
      </c>
    </row>
    <row r="9">
      <c r="A9" s="24" t="n"/>
      <c r="B9" s="29" t="n"/>
      <c r="C9" s="30" t="n"/>
      <c r="D9" s="31" t="n"/>
      <c r="E9" s="31" t="n"/>
      <c r="F9" s="31" t="n"/>
      <c r="G9" s="21" t="n"/>
      <c r="H9" s="31" t="n"/>
      <c r="I9" s="23" t="n"/>
      <c r="J9" s="31" t="n"/>
      <c r="K9" s="32" t="n"/>
      <c r="L9" s="32" t="n"/>
      <c r="M9" s="32" t="n"/>
      <c r="N9" s="33" t="str">
        <f>IF(AND(ISNUMBER(K9),ISNUMBER(L9),ISNUMBER(M9)),IF(OR(AND(F9="多",K9&gt;L9),AND(F9="空",K9&lt;L9)),ABS(M9-K9)/ABS(K9-L9),"止损方向不对"),"")</f>
        <v/>
      </c>
      <c r="O9" s="34" t="str">
        <f>IF(AND(ISNUMBER(K9),ISNUMBER(L9)),IF(K9=L9,"",IF(INT(ROUND('参数'!$C$7/(ABS(K9-L9)*1+2*K9*'参数'!$C$12)/IF(N(J9)&gt;0,J9,1),6))*IF(N(J9)&gt;0,J9,1)&gt;0,INT(ROUND('参数'!$C$7/(ABS(K9-L9)*1+2*K9*'参数'!$C$12)/IF(N(J9)&gt;0,J9,1),6))*IF(N(J9)&gt;0,J9,1),"预算不足，这笔不做")),"")</f>
        <v/>
      </c>
      <c r="P9" s="35" t="n"/>
      <c r="Q9" s="20" t="str">
        <f>IF(AND(ISNUMBER(K9),ISNUMBER(L9),ISNUMBER(P9)),IF(AND(K9&lt;&gt;L9,P9&gt;0),ABS(K9-L9)*P9*1,""),"")</f>
        <v/>
      </c>
      <c r="R9" s="20" t="str">
        <f>IF(AND(ISNUMBER(K9),ISNUMBER(P9)),K9*P9,"")</f>
        <v/>
      </c>
      <c r="S9" s="20" t="str">
        <f>IF(AND(D9="合约",ISNUMBER(R9),N(G9)&gt;0),R9/G9,"")</f>
        <v/>
      </c>
      <c r="T9" s="36" t="str">
        <f>IF(NOT(D9="合约"),"",IF(H9&lt;&gt;"逐仓","看平台",IF(AND(ISNUMBER(K9),N(G9)&gt;0),IF(F9="空",K9*(1+1/G9-IF(ISNUMBER(I9),I9,'参数'!$C$13)),K9*(1-1/G9+IF(ISNUMBER(I9),I9,'参数'!$C$13))),"")))</f>
        <v/>
      </c>
      <c r="U9" s="37" t="str">
        <f>IF(AND(ISNUMBER(T9),ISNUMBER(L9),ISNUMBER(K9)),IF(F9="空",T9-L9,L9-T9)/K9,"")</f>
        <v/>
      </c>
      <c r="V9" s="38" t="str">
        <f>IF(ISNUMBER(U9),IF(U9&lt;'参数'!$C$15,"先降杠杆或减量","在止损外"),"")</f>
        <v/>
      </c>
      <c r="W9" s="30" t="n"/>
      <c r="X9" s="31" t="n"/>
      <c r="Y9" s="39" t="str">
        <f>IF(N(AB9)&gt;0,SUMPRODUCT(LARGE(('成交明细'!$A$5:$A$804=A9)*('成交明细'!$D$5:$D$804=IF(F9="空","卖","买"))*'成交明细'!$B$5:$B$804,COUNTIFS('成交明细'!$A$5:$A$804,A9,'成交明细'!$D$5:$D$804,IF(F9="空","卖","买")))),"")</f>
        <v/>
      </c>
      <c r="Z9" s="39" t="str">
        <f>IF(AND(N(AB9)&gt;0,N(AD9)&gt;=N(AB9)),SUMPRODUCT(MAX(('成交明细'!$A$5:$A$804=A9)*('成交明细'!$D$5:$D$804=IF(F9="空","买","卖"))*'成交明细'!$B$5:$B$804)),"")</f>
        <v/>
      </c>
      <c r="AA9" s="40" t="str">
        <f>IF(N(AB9)=0,"",IF(SUMPRODUCT(('成交明细'!$A$5:$A$804=A9)*('成交明细'!$D$5:$D$804=IF(F9="空","卖","买"))*ISNUMBER('成交明细'!$C$5:$C$804))=0,"没填时间",IFERROR(VLOOKUP(MOD(SUMPRODUCT(LARGE(('成交明细'!$A$5:$A$804=A9)*('成交明细'!$D$5:$D$804=IF(F9="空","卖","买"))*('成交明细'!$B$5:$B$804+'成交明细'!$C$5:$C$804),COUNTIFS('成交明细'!$A$5:$A$804,A9,'成交明细'!$D$5:$D$804,IF(F9="空","卖","买")))),1),'参数'!$B$39:$C$48,2,TRUE),"")))</f>
        <v/>
      </c>
      <c r="AB9" s="34" t="str">
        <f>IF(A9="","",SUMIFS('成交明细'!$F$5:$F$804,'成交明细'!$A$5:$A$804,A9,'成交明细'!$D$5:$D$804,IF(F9="空","卖","买")))</f>
        <v/>
      </c>
      <c r="AC9" s="41" t="str">
        <f>IF(N(AB9)&gt;0,SUMIFS('成交明细'!$H$5:$H$804,'成交明细'!$A$5:$A$804,A9,'成交明细'!$D$5:$D$804,IF(F9="空","卖","买"))/AB9,"")</f>
        <v/>
      </c>
      <c r="AD9" s="34" t="str">
        <f>IF(A9="","",SUMIFS('成交明细'!$F$5:$F$804,'成交明细'!$A$5:$A$804,A9,'成交明细'!$D$5:$D$804,IF(F9="空","买","卖")))</f>
        <v/>
      </c>
      <c r="AE9" s="41" t="str">
        <f>IF(N(AD9)&gt;0,SUMIFS('成交明细'!$H$5:$H$804,'成交明细'!$A$5:$A$804,A9,'成交明细'!$D$5:$D$804,IF(F9="空","买","卖"))/AD9,"")</f>
        <v/>
      </c>
      <c r="AF9" s="38" t="str">
        <f>IF(A9="","",IF(X9&lt;&gt;"已执行",IF(X9="","未填执行情况",X9),IF(N(AB9)=0,"待录成交",IF(N(AD9)&gt;N(AB9),"平仓多于开仓",IF(N(AD9)&lt;N(AB9),"持仓中","已平仓")))))</f>
        <v/>
      </c>
      <c r="AG9" s="42" t="str">
        <f>IF(N(AB9)=0,"",SUMIFS('成交明细'!$L$5:$L$804,'成交明细'!$A$5:$A$804,A9))</f>
        <v/>
      </c>
      <c r="AH9" s="43" t="str">
        <f>IF(A9="","",SUMIFS('资金费流水'!$F$5:$F$604,'资金费流水'!$B$5:$B$604,A9))</f>
        <v/>
      </c>
      <c r="AI9" s="43" t="str">
        <f>IF(AF9&lt;&gt;"已平仓","",(SUMIFS('成交明细'!$H$5:$H$804,'成交明细'!$A$5:$A$804,A9,'成交明细'!$D$5:$D$804,"卖")-SUMIFS('成交明细'!$H$5:$H$804,'成交明细'!$A$5:$A$804,A9,'成交明细'!$D$5:$D$804,"买"))*1-AG9+N(AH9))</f>
        <v/>
      </c>
      <c r="AJ9" s="44" t="str">
        <f>IF(AND(AF9="已平仓",ISNUMBER(Q9)),(SUMIFS('成交明细'!$H$5:$H$804,'成交明细'!$A$5:$A$804,A9,'成交明细'!$D$5:$D$804,"卖")-SUMIFS('成交明细'!$H$5:$H$804,'成交明细'!$A$5:$A$804,A9,'成交明细'!$D$5:$D$804,"买"))*1/Q9,"")</f>
        <v/>
      </c>
      <c r="AK9" s="44" t="str">
        <f>IF(AND(AF9="已平仓",ISNUMBER(Q9)),AI9/Q9,"")</f>
        <v/>
      </c>
      <c r="AL9" s="45" t="str">
        <f>IF(AND(ISNUMBER(AC9),ISNUMBER(K9)),IF(F9="空",K9-AC9,AC9-K9),"")</f>
        <v/>
      </c>
      <c r="AM9" s="45" t="str">
        <f>IF(OR(NOT(ISNUMBER(AI9)),NOT(ISNUMBER(AE9))),"",IF(AI9&lt;0,IF(F9="空",AE9-L9,L9-AE9),IF(NOT(ISNUMBER(M9)),"",IF(F9="空",AE9-M9,M9-AE9))))</f>
        <v/>
      </c>
      <c r="AN9" s="31" t="n"/>
      <c r="AO9" s="31" t="n"/>
      <c r="AP9" s="30" t="n"/>
      <c r="AQ9" s="44" t="str">
        <f>IF(A9="","",SUM(AK$5:AK9))</f>
        <v/>
      </c>
      <c r="AR9" s="46" t="str">
        <f>IF(A9="","",MAX(0,MAX(AQ$5:AQ9))-AQ9)</f>
        <v/>
      </c>
    </row>
    <row r="10">
      <c r="A10" s="24" t="n"/>
      <c r="B10" s="29" t="n"/>
      <c r="C10" s="30" t="n"/>
      <c r="D10" s="31" t="n"/>
      <c r="E10" s="31" t="n"/>
      <c r="F10" s="31" t="n"/>
      <c r="G10" s="21" t="n"/>
      <c r="H10" s="31" t="n"/>
      <c r="I10" s="23" t="n"/>
      <c r="J10" s="31" t="n"/>
      <c r="K10" s="32" t="n"/>
      <c r="L10" s="32" t="n"/>
      <c r="M10" s="32" t="n"/>
      <c r="N10" s="33" t="str">
        <f>IF(AND(ISNUMBER(K10),ISNUMBER(L10),ISNUMBER(M10)),IF(OR(AND(F10="多",K10&gt;L10),AND(F10="空",K10&lt;L10)),ABS(M10-K10)/ABS(K10-L10),"止损方向不对"),"")</f>
        <v/>
      </c>
      <c r="O10" s="34" t="str">
        <f>IF(AND(ISNUMBER(K10),ISNUMBER(L10)),IF(K10=L10,"",IF(INT(ROUND('参数'!$C$7/(ABS(K10-L10)*1+2*K10*'参数'!$C$12)/IF(N(J10)&gt;0,J10,1),6))*IF(N(J10)&gt;0,J10,1)&gt;0,INT(ROUND('参数'!$C$7/(ABS(K10-L10)*1+2*K10*'参数'!$C$12)/IF(N(J10)&gt;0,J10,1),6))*IF(N(J10)&gt;0,J10,1),"预算不足，这笔不做")),"")</f>
        <v/>
      </c>
      <c r="P10" s="35" t="n"/>
      <c r="Q10" s="20" t="str">
        <f>IF(AND(ISNUMBER(K10),ISNUMBER(L10),ISNUMBER(P10)),IF(AND(K10&lt;&gt;L10,P10&gt;0),ABS(K10-L10)*P10*1,""),"")</f>
        <v/>
      </c>
      <c r="R10" s="20" t="str">
        <f>IF(AND(ISNUMBER(K10),ISNUMBER(P10)),K10*P10,"")</f>
        <v/>
      </c>
      <c r="S10" s="20" t="str">
        <f>IF(AND(D10="合约",ISNUMBER(R10),N(G10)&gt;0),R10/G10,"")</f>
        <v/>
      </c>
      <c r="T10" s="36" t="str">
        <f>IF(NOT(D10="合约"),"",IF(H10&lt;&gt;"逐仓","看平台",IF(AND(ISNUMBER(K10),N(G10)&gt;0),IF(F10="空",K10*(1+1/G10-IF(ISNUMBER(I10),I10,'参数'!$C$13)),K10*(1-1/G10+IF(ISNUMBER(I10),I10,'参数'!$C$13))),"")))</f>
        <v/>
      </c>
      <c r="U10" s="37" t="str">
        <f>IF(AND(ISNUMBER(T10),ISNUMBER(L10),ISNUMBER(K10)),IF(F10="空",T10-L10,L10-T10)/K10,"")</f>
        <v/>
      </c>
      <c r="V10" s="38" t="str">
        <f>IF(ISNUMBER(U10),IF(U10&lt;'参数'!$C$15,"先降杠杆或减量","在止损外"),"")</f>
        <v/>
      </c>
      <c r="W10" s="30" t="n"/>
      <c r="X10" s="31" t="n"/>
      <c r="Y10" s="39" t="str">
        <f>IF(N(AB10)&gt;0,SUMPRODUCT(LARGE(('成交明细'!$A$5:$A$804=A10)*('成交明细'!$D$5:$D$804=IF(F10="空","卖","买"))*'成交明细'!$B$5:$B$804,COUNTIFS('成交明细'!$A$5:$A$804,A10,'成交明细'!$D$5:$D$804,IF(F10="空","卖","买")))),"")</f>
        <v/>
      </c>
      <c r="Z10" s="39" t="str">
        <f>IF(AND(N(AB10)&gt;0,N(AD10)&gt;=N(AB10)),SUMPRODUCT(MAX(('成交明细'!$A$5:$A$804=A10)*('成交明细'!$D$5:$D$804=IF(F10="空","买","卖"))*'成交明细'!$B$5:$B$804)),"")</f>
        <v/>
      </c>
      <c r="AA10" s="40" t="str">
        <f>IF(N(AB10)=0,"",IF(SUMPRODUCT(('成交明细'!$A$5:$A$804=A10)*('成交明细'!$D$5:$D$804=IF(F10="空","卖","买"))*ISNUMBER('成交明细'!$C$5:$C$804))=0,"没填时间",IFERROR(VLOOKUP(MOD(SUMPRODUCT(LARGE(('成交明细'!$A$5:$A$804=A10)*('成交明细'!$D$5:$D$804=IF(F10="空","卖","买"))*('成交明细'!$B$5:$B$804+'成交明细'!$C$5:$C$804),COUNTIFS('成交明细'!$A$5:$A$804,A10,'成交明细'!$D$5:$D$804,IF(F10="空","卖","买")))),1),'参数'!$B$39:$C$48,2,TRUE),"")))</f>
        <v/>
      </c>
      <c r="AB10" s="34" t="str">
        <f>IF(A10="","",SUMIFS('成交明细'!$F$5:$F$804,'成交明细'!$A$5:$A$804,A10,'成交明细'!$D$5:$D$804,IF(F10="空","卖","买")))</f>
        <v/>
      </c>
      <c r="AC10" s="41" t="str">
        <f>IF(N(AB10)&gt;0,SUMIFS('成交明细'!$H$5:$H$804,'成交明细'!$A$5:$A$804,A10,'成交明细'!$D$5:$D$804,IF(F10="空","卖","买"))/AB10,"")</f>
        <v/>
      </c>
      <c r="AD10" s="34" t="str">
        <f>IF(A10="","",SUMIFS('成交明细'!$F$5:$F$804,'成交明细'!$A$5:$A$804,A10,'成交明细'!$D$5:$D$804,IF(F10="空","买","卖")))</f>
        <v/>
      </c>
      <c r="AE10" s="41" t="str">
        <f>IF(N(AD10)&gt;0,SUMIFS('成交明细'!$H$5:$H$804,'成交明细'!$A$5:$A$804,A10,'成交明细'!$D$5:$D$804,IF(F10="空","买","卖"))/AD10,"")</f>
        <v/>
      </c>
      <c r="AF10" s="38" t="str">
        <f>IF(A10="","",IF(X10&lt;&gt;"已执行",IF(X10="","未填执行情况",X10),IF(N(AB10)=0,"待录成交",IF(N(AD10)&gt;N(AB10),"平仓多于开仓",IF(N(AD10)&lt;N(AB10),"持仓中","已平仓")))))</f>
        <v/>
      </c>
      <c r="AG10" s="42" t="str">
        <f>IF(N(AB10)=0,"",SUMIFS('成交明细'!$L$5:$L$804,'成交明细'!$A$5:$A$804,A10))</f>
        <v/>
      </c>
      <c r="AH10" s="43" t="str">
        <f>IF(A10="","",SUMIFS('资金费流水'!$F$5:$F$604,'资金费流水'!$B$5:$B$604,A10))</f>
        <v/>
      </c>
      <c r="AI10" s="43" t="str">
        <f>IF(AF10&lt;&gt;"已平仓","",(SUMIFS('成交明细'!$H$5:$H$804,'成交明细'!$A$5:$A$804,A10,'成交明细'!$D$5:$D$804,"卖")-SUMIFS('成交明细'!$H$5:$H$804,'成交明细'!$A$5:$A$804,A10,'成交明细'!$D$5:$D$804,"买"))*1-AG10+N(AH10))</f>
        <v/>
      </c>
      <c r="AJ10" s="44" t="str">
        <f>IF(AND(AF10="已平仓",ISNUMBER(Q10)),(SUMIFS('成交明细'!$H$5:$H$804,'成交明细'!$A$5:$A$804,A10,'成交明细'!$D$5:$D$804,"卖")-SUMIFS('成交明细'!$H$5:$H$804,'成交明细'!$A$5:$A$804,A10,'成交明细'!$D$5:$D$804,"买"))*1/Q10,"")</f>
        <v/>
      </c>
      <c r="AK10" s="44" t="str">
        <f>IF(AND(AF10="已平仓",ISNUMBER(Q10)),AI10/Q10,"")</f>
        <v/>
      </c>
      <c r="AL10" s="45" t="str">
        <f>IF(AND(ISNUMBER(AC10),ISNUMBER(K10)),IF(F10="空",K10-AC10,AC10-K10),"")</f>
        <v/>
      </c>
      <c r="AM10" s="45" t="str">
        <f>IF(OR(NOT(ISNUMBER(AI10)),NOT(ISNUMBER(AE10))),"",IF(AI10&lt;0,IF(F10="空",AE10-L10,L10-AE10),IF(NOT(ISNUMBER(M10)),"",IF(F10="空",AE10-M10,M10-AE10))))</f>
        <v/>
      </c>
      <c r="AN10" s="31" t="n"/>
      <c r="AO10" s="31" t="n"/>
      <c r="AP10" s="30" t="n"/>
      <c r="AQ10" s="44" t="str">
        <f>IF(A10="","",SUM(AK$5:AK10))</f>
        <v/>
      </c>
      <c r="AR10" s="46" t="str">
        <f>IF(A10="","",MAX(0,MAX(AQ$5:AQ10))-AQ10)</f>
        <v/>
      </c>
    </row>
    <row r="11">
      <c r="A11" s="24" t="n"/>
      <c r="B11" s="29" t="n"/>
      <c r="C11" s="30" t="n"/>
      <c r="D11" s="31" t="n"/>
      <c r="E11" s="31" t="n"/>
      <c r="F11" s="31" t="n"/>
      <c r="G11" s="21" t="n"/>
      <c r="H11" s="31" t="n"/>
      <c r="I11" s="23" t="n"/>
      <c r="J11" s="31" t="n"/>
      <c r="K11" s="32" t="n"/>
      <c r="L11" s="32" t="n"/>
      <c r="M11" s="32" t="n"/>
      <c r="N11" s="33" t="str">
        <f>IF(AND(ISNUMBER(K11),ISNUMBER(L11),ISNUMBER(M11)),IF(OR(AND(F11="多",K11&gt;L11),AND(F11="空",K11&lt;L11)),ABS(M11-K11)/ABS(K11-L11),"止损方向不对"),"")</f>
        <v/>
      </c>
      <c r="O11" s="34" t="str">
        <f>IF(AND(ISNUMBER(K11),ISNUMBER(L11)),IF(K11=L11,"",IF(INT(ROUND('参数'!$C$7/(ABS(K11-L11)*1+2*K11*'参数'!$C$12)/IF(N(J11)&gt;0,J11,1),6))*IF(N(J11)&gt;0,J11,1)&gt;0,INT(ROUND('参数'!$C$7/(ABS(K11-L11)*1+2*K11*'参数'!$C$12)/IF(N(J11)&gt;0,J11,1),6))*IF(N(J11)&gt;0,J11,1),"预算不足，这笔不做")),"")</f>
        <v/>
      </c>
      <c r="P11" s="35" t="n"/>
      <c r="Q11" s="20" t="str">
        <f>IF(AND(ISNUMBER(K11),ISNUMBER(L11),ISNUMBER(P11)),IF(AND(K11&lt;&gt;L11,P11&gt;0),ABS(K11-L11)*P11*1,""),"")</f>
        <v/>
      </c>
      <c r="R11" s="20" t="str">
        <f>IF(AND(ISNUMBER(K11),ISNUMBER(P11)),K11*P11,"")</f>
        <v/>
      </c>
      <c r="S11" s="20" t="str">
        <f>IF(AND(D11="合约",ISNUMBER(R11),N(G11)&gt;0),R11/G11,"")</f>
        <v/>
      </c>
      <c r="T11" s="36" t="str">
        <f>IF(NOT(D11="合约"),"",IF(H11&lt;&gt;"逐仓","看平台",IF(AND(ISNUMBER(K11),N(G11)&gt;0),IF(F11="空",K11*(1+1/G11-IF(ISNUMBER(I11),I11,'参数'!$C$13)),K11*(1-1/G11+IF(ISNUMBER(I11),I11,'参数'!$C$13))),"")))</f>
        <v/>
      </c>
      <c r="U11" s="37" t="str">
        <f>IF(AND(ISNUMBER(T11),ISNUMBER(L11),ISNUMBER(K11)),IF(F11="空",T11-L11,L11-T11)/K11,"")</f>
        <v/>
      </c>
      <c r="V11" s="38" t="str">
        <f>IF(ISNUMBER(U11),IF(U11&lt;'参数'!$C$15,"先降杠杆或减量","在止损外"),"")</f>
        <v/>
      </c>
      <c r="W11" s="30" t="n"/>
      <c r="X11" s="31" t="n"/>
      <c r="Y11" s="39" t="str">
        <f>IF(N(AB11)&gt;0,SUMPRODUCT(LARGE(('成交明细'!$A$5:$A$804=A11)*('成交明细'!$D$5:$D$804=IF(F11="空","卖","买"))*'成交明细'!$B$5:$B$804,COUNTIFS('成交明细'!$A$5:$A$804,A11,'成交明细'!$D$5:$D$804,IF(F11="空","卖","买")))),"")</f>
        <v/>
      </c>
      <c r="Z11" s="39" t="str">
        <f>IF(AND(N(AB11)&gt;0,N(AD11)&gt;=N(AB11)),SUMPRODUCT(MAX(('成交明细'!$A$5:$A$804=A11)*('成交明细'!$D$5:$D$804=IF(F11="空","买","卖"))*'成交明细'!$B$5:$B$804)),"")</f>
        <v/>
      </c>
      <c r="AA11" s="40" t="str">
        <f>IF(N(AB11)=0,"",IF(SUMPRODUCT(('成交明细'!$A$5:$A$804=A11)*('成交明细'!$D$5:$D$804=IF(F11="空","卖","买"))*ISNUMBER('成交明细'!$C$5:$C$804))=0,"没填时间",IFERROR(VLOOKUP(MOD(SUMPRODUCT(LARGE(('成交明细'!$A$5:$A$804=A11)*('成交明细'!$D$5:$D$804=IF(F11="空","卖","买"))*('成交明细'!$B$5:$B$804+'成交明细'!$C$5:$C$804),COUNTIFS('成交明细'!$A$5:$A$804,A11,'成交明细'!$D$5:$D$804,IF(F11="空","卖","买")))),1),'参数'!$B$39:$C$48,2,TRUE),"")))</f>
        <v/>
      </c>
      <c r="AB11" s="34" t="str">
        <f>IF(A11="","",SUMIFS('成交明细'!$F$5:$F$804,'成交明细'!$A$5:$A$804,A11,'成交明细'!$D$5:$D$804,IF(F11="空","卖","买")))</f>
        <v/>
      </c>
      <c r="AC11" s="41" t="str">
        <f>IF(N(AB11)&gt;0,SUMIFS('成交明细'!$H$5:$H$804,'成交明细'!$A$5:$A$804,A11,'成交明细'!$D$5:$D$804,IF(F11="空","卖","买"))/AB11,"")</f>
        <v/>
      </c>
      <c r="AD11" s="34" t="str">
        <f>IF(A11="","",SUMIFS('成交明细'!$F$5:$F$804,'成交明细'!$A$5:$A$804,A11,'成交明细'!$D$5:$D$804,IF(F11="空","买","卖")))</f>
        <v/>
      </c>
      <c r="AE11" s="41" t="str">
        <f>IF(N(AD11)&gt;0,SUMIFS('成交明细'!$H$5:$H$804,'成交明细'!$A$5:$A$804,A11,'成交明细'!$D$5:$D$804,IF(F11="空","买","卖"))/AD11,"")</f>
        <v/>
      </c>
      <c r="AF11" s="38" t="str">
        <f>IF(A11="","",IF(X11&lt;&gt;"已执行",IF(X11="","未填执行情况",X11),IF(N(AB11)=0,"待录成交",IF(N(AD11)&gt;N(AB11),"平仓多于开仓",IF(N(AD11)&lt;N(AB11),"持仓中","已平仓")))))</f>
        <v/>
      </c>
      <c r="AG11" s="42" t="str">
        <f>IF(N(AB11)=0,"",SUMIFS('成交明细'!$L$5:$L$804,'成交明细'!$A$5:$A$804,A11))</f>
        <v/>
      </c>
      <c r="AH11" s="43" t="str">
        <f>IF(A11="","",SUMIFS('资金费流水'!$F$5:$F$604,'资金费流水'!$B$5:$B$604,A11))</f>
        <v/>
      </c>
      <c r="AI11" s="43" t="str">
        <f>IF(AF11&lt;&gt;"已平仓","",(SUMIFS('成交明细'!$H$5:$H$804,'成交明细'!$A$5:$A$804,A11,'成交明细'!$D$5:$D$804,"卖")-SUMIFS('成交明细'!$H$5:$H$804,'成交明细'!$A$5:$A$804,A11,'成交明细'!$D$5:$D$804,"买"))*1-AG11+N(AH11))</f>
        <v/>
      </c>
      <c r="AJ11" s="44" t="str">
        <f>IF(AND(AF11="已平仓",ISNUMBER(Q11)),(SUMIFS('成交明细'!$H$5:$H$804,'成交明细'!$A$5:$A$804,A11,'成交明细'!$D$5:$D$804,"卖")-SUMIFS('成交明细'!$H$5:$H$804,'成交明细'!$A$5:$A$804,A11,'成交明细'!$D$5:$D$804,"买"))*1/Q11,"")</f>
        <v/>
      </c>
      <c r="AK11" s="44" t="str">
        <f>IF(AND(AF11="已平仓",ISNUMBER(Q11)),AI11/Q11,"")</f>
        <v/>
      </c>
      <c r="AL11" s="45" t="str">
        <f>IF(AND(ISNUMBER(AC11),ISNUMBER(K11)),IF(F11="空",K11-AC11,AC11-K11),"")</f>
        <v/>
      </c>
      <c r="AM11" s="45" t="str">
        <f>IF(OR(NOT(ISNUMBER(AI11)),NOT(ISNUMBER(AE11))),"",IF(AI11&lt;0,IF(F11="空",AE11-L11,L11-AE11),IF(NOT(ISNUMBER(M11)),"",IF(F11="空",AE11-M11,M11-AE11))))</f>
        <v/>
      </c>
      <c r="AN11" s="31" t="n"/>
      <c r="AO11" s="31" t="n"/>
      <c r="AP11" s="30" t="n"/>
      <c r="AQ11" s="44" t="str">
        <f>IF(A11="","",SUM(AK$5:AK11))</f>
        <v/>
      </c>
      <c r="AR11" s="46" t="str">
        <f>IF(A11="","",MAX(0,MAX(AQ$5:AQ11))-AQ11)</f>
        <v/>
      </c>
    </row>
    <row r="12">
      <c r="A12" s="24" t="n"/>
      <c r="B12" s="29" t="n"/>
      <c r="C12" s="30" t="n"/>
      <c r="D12" s="31" t="n"/>
      <c r="E12" s="31" t="n"/>
      <c r="F12" s="31" t="n"/>
      <c r="G12" s="21" t="n"/>
      <c r="H12" s="31" t="n"/>
      <c r="I12" s="23" t="n"/>
      <c r="J12" s="31" t="n"/>
      <c r="K12" s="32" t="n"/>
      <c r="L12" s="32" t="n"/>
      <c r="M12" s="32" t="n"/>
      <c r="N12" s="33" t="str">
        <f>IF(AND(ISNUMBER(K12),ISNUMBER(L12),ISNUMBER(M12)),IF(OR(AND(F12="多",K12&gt;L12),AND(F12="空",K12&lt;L12)),ABS(M12-K12)/ABS(K12-L12),"止损方向不对"),"")</f>
        <v/>
      </c>
      <c r="O12" s="34" t="str">
        <f>IF(AND(ISNUMBER(K12),ISNUMBER(L12)),IF(K12=L12,"",IF(INT(ROUND('参数'!$C$7/(ABS(K12-L12)*1+2*K12*'参数'!$C$12)/IF(N(J12)&gt;0,J12,1),6))*IF(N(J12)&gt;0,J12,1)&gt;0,INT(ROUND('参数'!$C$7/(ABS(K12-L12)*1+2*K12*'参数'!$C$12)/IF(N(J12)&gt;0,J12,1),6))*IF(N(J12)&gt;0,J12,1),"预算不足，这笔不做")),"")</f>
        <v/>
      </c>
      <c r="P12" s="35" t="n"/>
      <c r="Q12" s="20" t="str">
        <f>IF(AND(ISNUMBER(K12),ISNUMBER(L12),ISNUMBER(P12)),IF(AND(K12&lt;&gt;L12,P12&gt;0),ABS(K12-L12)*P12*1,""),"")</f>
        <v/>
      </c>
      <c r="R12" s="20" t="str">
        <f>IF(AND(ISNUMBER(K12),ISNUMBER(P12)),K12*P12,"")</f>
        <v/>
      </c>
      <c r="S12" s="20" t="str">
        <f>IF(AND(D12="合约",ISNUMBER(R12),N(G12)&gt;0),R12/G12,"")</f>
        <v/>
      </c>
      <c r="T12" s="36" t="str">
        <f>IF(NOT(D12="合约"),"",IF(H12&lt;&gt;"逐仓","看平台",IF(AND(ISNUMBER(K12),N(G12)&gt;0),IF(F12="空",K12*(1+1/G12-IF(ISNUMBER(I12),I12,'参数'!$C$13)),K12*(1-1/G12+IF(ISNUMBER(I12),I12,'参数'!$C$13))),"")))</f>
        <v/>
      </c>
      <c r="U12" s="37" t="str">
        <f>IF(AND(ISNUMBER(T12),ISNUMBER(L12),ISNUMBER(K12)),IF(F12="空",T12-L12,L12-T12)/K12,"")</f>
        <v/>
      </c>
      <c r="V12" s="38" t="str">
        <f>IF(ISNUMBER(U12),IF(U12&lt;'参数'!$C$15,"先降杠杆或减量","在止损外"),"")</f>
        <v/>
      </c>
      <c r="W12" s="30" t="n"/>
      <c r="X12" s="31" t="n"/>
      <c r="Y12" s="39" t="str">
        <f>IF(N(AB12)&gt;0,SUMPRODUCT(LARGE(('成交明细'!$A$5:$A$804=A12)*('成交明细'!$D$5:$D$804=IF(F12="空","卖","买"))*'成交明细'!$B$5:$B$804,COUNTIFS('成交明细'!$A$5:$A$804,A12,'成交明细'!$D$5:$D$804,IF(F12="空","卖","买")))),"")</f>
        <v/>
      </c>
      <c r="Z12" s="39" t="str">
        <f>IF(AND(N(AB12)&gt;0,N(AD12)&gt;=N(AB12)),SUMPRODUCT(MAX(('成交明细'!$A$5:$A$804=A12)*('成交明细'!$D$5:$D$804=IF(F12="空","买","卖"))*'成交明细'!$B$5:$B$804)),"")</f>
        <v/>
      </c>
      <c r="AA12" s="40" t="str">
        <f>IF(N(AB12)=0,"",IF(SUMPRODUCT(('成交明细'!$A$5:$A$804=A12)*('成交明细'!$D$5:$D$804=IF(F12="空","卖","买"))*ISNUMBER('成交明细'!$C$5:$C$804))=0,"没填时间",IFERROR(VLOOKUP(MOD(SUMPRODUCT(LARGE(('成交明细'!$A$5:$A$804=A12)*('成交明细'!$D$5:$D$804=IF(F12="空","卖","买"))*('成交明细'!$B$5:$B$804+'成交明细'!$C$5:$C$804),COUNTIFS('成交明细'!$A$5:$A$804,A12,'成交明细'!$D$5:$D$804,IF(F12="空","卖","买")))),1),'参数'!$B$39:$C$48,2,TRUE),"")))</f>
        <v/>
      </c>
      <c r="AB12" s="34" t="str">
        <f>IF(A12="","",SUMIFS('成交明细'!$F$5:$F$804,'成交明细'!$A$5:$A$804,A12,'成交明细'!$D$5:$D$804,IF(F12="空","卖","买")))</f>
        <v/>
      </c>
      <c r="AC12" s="41" t="str">
        <f>IF(N(AB12)&gt;0,SUMIFS('成交明细'!$H$5:$H$804,'成交明细'!$A$5:$A$804,A12,'成交明细'!$D$5:$D$804,IF(F12="空","卖","买"))/AB12,"")</f>
        <v/>
      </c>
      <c r="AD12" s="34" t="str">
        <f>IF(A12="","",SUMIFS('成交明细'!$F$5:$F$804,'成交明细'!$A$5:$A$804,A12,'成交明细'!$D$5:$D$804,IF(F12="空","买","卖")))</f>
        <v/>
      </c>
      <c r="AE12" s="41" t="str">
        <f>IF(N(AD12)&gt;0,SUMIFS('成交明细'!$H$5:$H$804,'成交明细'!$A$5:$A$804,A12,'成交明细'!$D$5:$D$804,IF(F12="空","买","卖"))/AD12,"")</f>
        <v/>
      </c>
      <c r="AF12" s="38" t="str">
        <f>IF(A12="","",IF(X12&lt;&gt;"已执行",IF(X12="","未填执行情况",X12),IF(N(AB12)=0,"待录成交",IF(N(AD12)&gt;N(AB12),"平仓多于开仓",IF(N(AD12)&lt;N(AB12),"持仓中","已平仓")))))</f>
        <v/>
      </c>
      <c r="AG12" s="42" t="str">
        <f>IF(N(AB12)=0,"",SUMIFS('成交明细'!$L$5:$L$804,'成交明细'!$A$5:$A$804,A12))</f>
        <v/>
      </c>
      <c r="AH12" s="43" t="str">
        <f>IF(A12="","",SUMIFS('资金费流水'!$F$5:$F$604,'资金费流水'!$B$5:$B$604,A12))</f>
        <v/>
      </c>
      <c r="AI12" s="43" t="str">
        <f>IF(AF12&lt;&gt;"已平仓","",(SUMIFS('成交明细'!$H$5:$H$804,'成交明细'!$A$5:$A$804,A12,'成交明细'!$D$5:$D$804,"卖")-SUMIFS('成交明细'!$H$5:$H$804,'成交明细'!$A$5:$A$804,A12,'成交明细'!$D$5:$D$804,"买"))*1-AG12+N(AH12))</f>
        <v/>
      </c>
      <c r="AJ12" s="44" t="str">
        <f>IF(AND(AF12="已平仓",ISNUMBER(Q12)),(SUMIFS('成交明细'!$H$5:$H$804,'成交明细'!$A$5:$A$804,A12,'成交明细'!$D$5:$D$804,"卖")-SUMIFS('成交明细'!$H$5:$H$804,'成交明细'!$A$5:$A$804,A12,'成交明细'!$D$5:$D$804,"买"))*1/Q12,"")</f>
        <v/>
      </c>
      <c r="AK12" s="44" t="str">
        <f>IF(AND(AF12="已平仓",ISNUMBER(Q12)),AI12/Q12,"")</f>
        <v/>
      </c>
      <c r="AL12" s="45" t="str">
        <f>IF(AND(ISNUMBER(AC12),ISNUMBER(K12)),IF(F12="空",K12-AC12,AC12-K12),"")</f>
        <v/>
      </c>
      <c r="AM12" s="45" t="str">
        <f>IF(OR(NOT(ISNUMBER(AI12)),NOT(ISNUMBER(AE12))),"",IF(AI12&lt;0,IF(F12="空",AE12-L12,L12-AE12),IF(NOT(ISNUMBER(M12)),"",IF(F12="空",AE12-M12,M12-AE12))))</f>
        <v/>
      </c>
      <c r="AN12" s="31" t="n"/>
      <c r="AO12" s="31" t="n"/>
      <c r="AP12" s="30" t="n"/>
      <c r="AQ12" s="44" t="str">
        <f>IF(A12="","",SUM(AK$5:AK12))</f>
        <v/>
      </c>
      <c r="AR12" s="46" t="str">
        <f>IF(A12="","",MAX(0,MAX(AQ$5:AQ12))-AQ12)</f>
        <v/>
      </c>
    </row>
    <row r="13">
      <c r="A13" s="24" t="n"/>
      <c r="B13" s="29" t="n"/>
      <c r="C13" s="30" t="n"/>
      <c r="D13" s="31" t="n"/>
      <c r="E13" s="31" t="n"/>
      <c r="F13" s="31" t="n"/>
      <c r="G13" s="21" t="n"/>
      <c r="H13" s="31" t="n"/>
      <c r="I13" s="23" t="n"/>
      <c r="J13" s="31" t="n"/>
      <c r="K13" s="32" t="n"/>
      <c r="L13" s="32" t="n"/>
      <c r="M13" s="32" t="n"/>
      <c r="N13" s="33" t="str">
        <f>IF(AND(ISNUMBER(K13),ISNUMBER(L13),ISNUMBER(M13)),IF(OR(AND(F13="多",K13&gt;L13),AND(F13="空",K13&lt;L13)),ABS(M13-K13)/ABS(K13-L13),"止损方向不对"),"")</f>
        <v/>
      </c>
      <c r="O13" s="34" t="str">
        <f>IF(AND(ISNUMBER(K13),ISNUMBER(L13)),IF(K13=L13,"",IF(INT(ROUND('参数'!$C$7/(ABS(K13-L13)*1+2*K13*'参数'!$C$12)/IF(N(J13)&gt;0,J13,1),6))*IF(N(J13)&gt;0,J13,1)&gt;0,INT(ROUND('参数'!$C$7/(ABS(K13-L13)*1+2*K13*'参数'!$C$12)/IF(N(J13)&gt;0,J13,1),6))*IF(N(J13)&gt;0,J13,1),"预算不足，这笔不做")),"")</f>
        <v/>
      </c>
      <c r="P13" s="35" t="n"/>
      <c r="Q13" s="20" t="str">
        <f>IF(AND(ISNUMBER(K13),ISNUMBER(L13),ISNUMBER(P13)),IF(AND(K13&lt;&gt;L13,P13&gt;0),ABS(K13-L13)*P13*1,""),"")</f>
        <v/>
      </c>
      <c r="R13" s="20" t="str">
        <f>IF(AND(ISNUMBER(K13),ISNUMBER(P13)),K13*P13,"")</f>
        <v/>
      </c>
      <c r="S13" s="20" t="str">
        <f>IF(AND(D13="合约",ISNUMBER(R13),N(G13)&gt;0),R13/G13,"")</f>
        <v/>
      </c>
      <c r="T13" s="36" t="str">
        <f>IF(NOT(D13="合约"),"",IF(H13&lt;&gt;"逐仓","看平台",IF(AND(ISNUMBER(K13),N(G13)&gt;0),IF(F13="空",K13*(1+1/G13-IF(ISNUMBER(I13),I13,'参数'!$C$13)),K13*(1-1/G13+IF(ISNUMBER(I13),I13,'参数'!$C$13))),"")))</f>
        <v/>
      </c>
      <c r="U13" s="37" t="str">
        <f>IF(AND(ISNUMBER(T13),ISNUMBER(L13),ISNUMBER(K13)),IF(F13="空",T13-L13,L13-T13)/K13,"")</f>
        <v/>
      </c>
      <c r="V13" s="38" t="str">
        <f>IF(ISNUMBER(U13),IF(U13&lt;'参数'!$C$15,"先降杠杆或减量","在止损外"),"")</f>
        <v/>
      </c>
      <c r="W13" s="30" t="n"/>
      <c r="X13" s="31" t="n"/>
      <c r="Y13" s="39" t="str">
        <f>IF(N(AB13)&gt;0,SUMPRODUCT(LARGE(('成交明细'!$A$5:$A$804=A13)*('成交明细'!$D$5:$D$804=IF(F13="空","卖","买"))*'成交明细'!$B$5:$B$804,COUNTIFS('成交明细'!$A$5:$A$804,A13,'成交明细'!$D$5:$D$804,IF(F13="空","卖","买")))),"")</f>
        <v/>
      </c>
      <c r="Z13" s="39" t="str">
        <f>IF(AND(N(AB13)&gt;0,N(AD13)&gt;=N(AB13)),SUMPRODUCT(MAX(('成交明细'!$A$5:$A$804=A13)*('成交明细'!$D$5:$D$804=IF(F13="空","买","卖"))*'成交明细'!$B$5:$B$804)),"")</f>
        <v/>
      </c>
      <c r="AA13" s="40" t="str">
        <f>IF(N(AB13)=0,"",IF(SUMPRODUCT(('成交明细'!$A$5:$A$804=A13)*('成交明细'!$D$5:$D$804=IF(F13="空","卖","买"))*ISNUMBER('成交明细'!$C$5:$C$804))=0,"没填时间",IFERROR(VLOOKUP(MOD(SUMPRODUCT(LARGE(('成交明细'!$A$5:$A$804=A13)*('成交明细'!$D$5:$D$804=IF(F13="空","卖","买"))*('成交明细'!$B$5:$B$804+'成交明细'!$C$5:$C$804),COUNTIFS('成交明细'!$A$5:$A$804,A13,'成交明细'!$D$5:$D$804,IF(F13="空","卖","买")))),1),'参数'!$B$39:$C$48,2,TRUE),"")))</f>
        <v/>
      </c>
      <c r="AB13" s="34" t="str">
        <f>IF(A13="","",SUMIFS('成交明细'!$F$5:$F$804,'成交明细'!$A$5:$A$804,A13,'成交明细'!$D$5:$D$804,IF(F13="空","卖","买")))</f>
        <v/>
      </c>
      <c r="AC13" s="41" t="str">
        <f>IF(N(AB13)&gt;0,SUMIFS('成交明细'!$H$5:$H$804,'成交明细'!$A$5:$A$804,A13,'成交明细'!$D$5:$D$804,IF(F13="空","卖","买"))/AB13,"")</f>
        <v/>
      </c>
      <c r="AD13" s="34" t="str">
        <f>IF(A13="","",SUMIFS('成交明细'!$F$5:$F$804,'成交明细'!$A$5:$A$804,A13,'成交明细'!$D$5:$D$804,IF(F13="空","买","卖")))</f>
        <v/>
      </c>
      <c r="AE13" s="41" t="str">
        <f>IF(N(AD13)&gt;0,SUMIFS('成交明细'!$H$5:$H$804,'成交明细'!$A$5:$A$804,A13,'成交明细'!$D$5:$D$804,IF(F13="空","买","卖"))/AD13,"")</f>
        <v/>
      </c>
      <c r="AF13" s="38" t="str">
        <f>IF(A13="","",IF(X13&lt;&gt;"已执行",IF(X13="","未填执行情况",X13),IF(N(AB13)=0,"待录成交",IF(N(AD13)&gt;N(AB13),"平仓多于开仓",IF(N(AD13)&lt;N(AB13),"持仓中","已平仓")))))</f>
        <v/>
      </c>
      <c r="AG13" s="42" t="str">
        <f>IF(N(AB13)=0,"",SUMIFS('成交明细'!$L$5:$L$804,'成交明细'!$A$5:$A$804,A13))</f>
        <v/>
      </c>
      <c r="AH13" s="43" t="str">
        <f>IF(A13="","",SUMIFS('资金费流水'!$F$5:$F$604,'资金费流水'!$B$5:$B$604,A13))</f>
        <v/>
      </c>
      <c r="AI13" s="43" t="str">
        <f>IF(AF13&lt;&gt;"已平仓","",(SUMIFS('成交明细'!$H$5:$H$804,'成交明细'!$A$5:$A$804,A13,'成交明细'!$D$5:$D$804,"卖")-SUMIFS('成交明细'!$H$5:$H$804,'成交明细'!$A$5:$A$804,A13,'成交明细'!$D$5:$D$804,"买"))*1-AG13+N(AH13))</f>
        <v/>
      </c>
      <c r="AJ13" s="44" t="str">
        <f>IF(AND(AF13="已平仓",ISNUMBER(Q13)),(SUMIFS('成交明细'!$H$5:$H$804,'成交明细'!$A$5:$A$804,A13,'成交明细'!$D$5:$D$804,"卖")-SUMIFS('成交明细'!$H$5:$H$804,'成交明细'!$A$5:$A$804,A13,'成交明细'!$D$5:$D$804,"买"))*1/Q13,"")</f>
        <v/>
      </c>
      <c r="AK13" s="44" t="str">
        <f>IF(AND(AF13="已平仓",ISNUMBER(Q13)),AI13/Q13,"")</f>
        <v/>
      </c>
      <c r="AL13" s="45" t="str">
        <f>IF(AND(ISNUMBER(AC13),ISNUMBER(K13)),IF(F13="空",K13-AC13,AC13-K13),"")</f>
        <v/>
      </c>
      <c r="AM13" s="45" t="str">
        <f>IF(OR(NOT(ISNUMBER(AI13)),NOT(ISNUMBER(AE13))),"",IF(AI13&lt;0,IF(F13="空",AE13-L13,L13-AE13),IF(NOT(ISNUMBER(M13)),"",IF(F13="空",AE13-M13,M13-AE13))))</f>
        <v/>
      </c>
      <c r="AN13" s="31" t="n"/>
      <c r="AO13" s="31" t="n"/>
      <c r="AP13" s="30" t="n"/>
      <c r="AQ13" s="44" t="str">
        <f>IF(A13="","",SUM(AK$5:AK13))</f>
        <v/>
      </c>
      <c r="AR13" s="46" t="str">
        <f>IF(A13="","",MAX(0,MAX(AQ$5:AQ13))-AQ13)</f>
        <v/>
      </c>
    </row>
    <row r="14">
      <c r="A14" s="24" t="n"/>
      <c r="B14" s="29" t="n"/>
      <c r="C14" s="30" t="n"/>
      <c r="D14" s="31" t="n"/>
      <c r="E14" s="31" t="n"/>
      <c r="F14" s="31" t="n"/>
      <c r="G14" s="21" t="n"/>
      <c r="H14" s="31" t="n"/>
      <c r="I14" s="23" t="n"/>
      <c r="J14" s="31" t="n"/>
      <c r="K14" s="32" t="n"/>
      <c r="L14" s="32" t="n"/>
      <c r="M14" s="32" t="n"/>
      <c r="N14" s="33" t="str">
        <f>IF(AND(ISNUMBER(K14),ISNUMBER(L14),ISNUMBER(M14)),IF(OR(AND(F14="多",K14&gt;L14),AND(F14="空",K14&lt;L14)),ABS(M14-K14)/ABS(K14-L14),"止损方向不对"),"")</f>
        <v/>
      </c>
      <c r="O14" s="34" t="str">
        <f>IF(AND(ISNUMBER(K14),ISNUMBER(L14)),IF(K14=L14,"",IF(INT(ROUND('参数'!$C$7/(ABS(K14-L14)*1+2*K14*'参数'!$C$12)/IF(N(J14)&gt;0,J14,1),6))*IF(N(J14)&gt;0,J14,1)&gt;0,INT(ROUND('参数'!$C$7/(ABS(K14-L14)*1+2*K14*'参数'!$C$12)/IF(N(J14)&gt;0,J14,1),6))*IF(N(J14)&gt;0,J14,1),"预算不足，这笔不做")),"")</f>
        <v/>
      </c>
      <c r="P14" s="35" t="n"/>
      <c r="Q14" s="20" t="str">
        <f>IF(AND(ISNUMBER(K14),ISNUMBER(L14),ISNUMBER(P14)),IF(AND(K14&lt;&gt;L14,P14&gt;0),ABS(K14-L14)*P14*1,""),"")</f>
        <v/>
      </c>
      <c r="R14" s="20" t="str">
        <f>IF(AND(ISNUMBER(K14),ISNUMBER(P14)),K14*P14,"")</f>
        <v/>
      </c>
      <c r="S14" s="20" t="str">
        <f>IF(AND(D14="合约",ISNUMBER(R14),N(G14)&gt;0),R14/G14,"")</f>
        <v/>
      </c>
      <c r="T14" s="36" t="str">
        <f>IF(NOT(D14="合约"),"",IF(H14&lt;&gt;"逐仓","看平台",IF(AND(ISNUMBER(K14),N(G14)&gt;0),IF(F14="空",K14*(1+1/G14-IF(ISNUMBER(I14),I14,'参数'!$C$13)),K14*(1-1/G14+IF(ISNUMBER(I14),I14,'参数'!$C$13))),"")))</f>
        <v/>
      </c>
      <c r="U14" s="37" t="str">
        <f>IF(AND(ISNUMBER(T14),ISNUMBER(L14),ISNUMBER(K14)),IF(F14="空",T14-L14,L14-T14)/K14,"")</f>
        <v/>
      </c>
      <c r="V14" s="38" t="str">
        <f>IF(ISNUMBER(U14),IF(U14&lt;'参数'!$C$15,"先降杠杆或减量","在止损外"),"")</f>
        <v/>
      </c>
      <c r="W14" s="30" t="n"/>
      <c r="X14" s="31" t="n"/>
      <c r="Y14" s="39" t="str">
        <f>IF(N(AB14)&gt;0,SUMPRODUCT(LARGE(('成交明细'!$A$5:$A$804=A14)*('成交明细'!$D$5:$D$804=IF(F14="空","卖","买"))*'成交明细'!$B$5:$B$804,COUNTIFS('成交明细'!$A$5:$A$804,A14,'成交明细'!$D$5:$D$804,IF(F14="空","卖","买")))),"")</f>
        <v/>
      </c>
      <c r="Z14" s="39" t="str">
        <f>IF(AND(N(AB14)&gt;0,N(AD14)&gt;=N(AB14)),SUMPRODUCT(MAX(('成交明细'!$A$5:$A$804=A14)*('成交明细'!$D$5:$D$804=IF(F14="空","买","卖"))*'成交明细'!$B$5:$B$804)),"")</f>
        <v/>
      </c>
      <c r="AA14" s="40" t="str">
        <f>IF(N(AB14)=0,"",IF(SUMPRODUCT(('成交明细'!$A$5:$A$804=A14)*('成交明细'!$D$5:$D$804=IF(F14="空","卖","买"))*ISNUMBER('成交明细'!$C$5:$C$804))=0,"没填时间",IFERROR(VLOOKUP(MOD(SUMPRODUCT(LARGE(('成交明细'!$A$5:$A$804=A14)*('成交明细'!$D$5:$D$804=IF(F14="空","卖","买"))*('成交明细'!$B$5:$B$804+'成交明细'!$C$5:$C$804),COUNTIFS('成交明细'!$A$5:$A$804,A14,'成交明细'!$D$5:$D$804,IF(F14="空","卖","买")))),1),'参数'!$B$39:$C$48,2,TRUE),"")))</f>
        <v/>
      </c>
      <c r="AB14" s="34" t="str">
        <f>IF(A14="","",SUMIFS('成交明细'!$F$5:$F$804,'成交明细'!$A$5:$A$804,A14,'成交明细'!$D$5:$D$804,IF(F14="空","卖","买")))</f>
        <v/>
      </c>
      <c r="AC14" s="41" t="str">
        <f>IF(N(AB14)&gt;0,SUMIFS('成交明细'!$H$5:$H$804,'成交明细'!$A$5:$A$804,A14,'成交明细'!$D$5:$D$804,IF(F14="空","卖","买"))/AB14,"")</f>
        <v/>
      </c>
      <c r="AD14" s="34" t="str">
        <f>IF(A14="","",SUMIFS('成交明细'!$F$5:$F$804,'成交明细'!$A$5:$A$804,A14,'成交明细'!$D$5:$D$804,IF(F14="空","买","卖")))</f>
        <v/>
      </c>
      <c r="AE14" s="41" t="str">
        <f>IF(N(AD14)&gt;0,SUMIFS('成交明细'!$H$5:$H$804,'成交明细'!$A$5:$A$804,A14,'成交明细'!$D$5:$D$804,IF(F14="空","买","卖"))/AD14,"")</f>
        <v/>
      </c>
      <c r="AF14" s="38" t="str">
        <f>IF(A14="","",IF(X14&lt;&gt;"已执行",IF(X14="","未填执行情况",X14),IF(N(AB14)=0,"待录成交",IF(N(AD14)&gt;N(AB14),"平仓多于开仓",IF(N(AD14)&lt;N(AB14),"持仓中","已平仓")))))</f>
        <v/>
      </c>
      <c r="AG14" s="42" t="str">
        <f>IF(N(AB14)=0,"",SUMIFS('成交明细'!$L$5:$L$804,'成交明细'!$A$5:$A$804,A14))</f>
        <v/>
      </c>
      <c r="AH14" s="43" t="str">
        <f>IF(A14="","",SUMIFS('资金费流水'!$F$5:$F$604,'资金费流水'!$B$5:$B$604,A14))</f>
        <v/>
      </c>
      <c r="AI14" s="43" t="str">
        <f>IF(AF14&lt;&gt;"已平仓","",(SUMIFS('成交明细'!$H$5:$H$804,'成交明细'!$A$5:$A$804,A14,'成交明细'!$D$5:$D$804,"卖")-SUMIFS('成交明细'!$H$5:$H$804,'成交明细'!$A$5:$A$804,A14,'成交明细'!$D$5:$D$804,"买"))*1-AG14+N(AH14))</f>
        <v/>
      </c>
      <c r="AJ14" s="44" t="str">
        <f>IF(AND(AF14="已平仓",ISNUMBER(Q14)),(SUMIFS('成交明细'!$H$5:$H$804,'成交明细'!$A$5:$A$804,A14,'成交明细'!$D$5:$D$804,"卖")-SUMIFS('成交明细'!$H$5:$H$804,'成交明细'!$A$5:$A$804,A14,'成交明细'!$D$5:$D$804,"买"))*1/Q14,"")</f>
        <v/>
      </c>
      <c r="AK14" s="44" t="str">
        <f>IF(AND(AF14="已平仓",ISNUMBER(Q14)),AI14/Q14,"")</f>
        <v/>
      </c>
      <c r="AL14" s="45" t="str">
        <f>IF(AND(ISNUMBER(AC14),ISNUMBER(K14)),IF(F14="空",K14-AC14,AC14-K14),"")</f>
        <v/>
      </c>
      <c r="AM14" s="45" t="str">
        <f>IF(OR(NOT(ISNUMBER(AI14)),NOT(ISNUMBER(AE14))),"",IF(AI14&lt;0,IF(F14="空",AE14-L14,L14-AE14),IF(NOT(ISNUMBER(M14)),"",IF(F14="空",AE14-M14,M14-AE14))))</f>
        <v/>
      </c>
      <c r="AN14" s="31" t="n"/>
      <c r="AO14" s="31" t="n"/>
      <c r="AP14" s="30" t="n"/>
      <c r="AQ14" s="44" t="str">
        <f>IF(A14="","",SUM(AK$5:AK14))</f>
        <v/>
      </c>
      <c r="AR14" s="46" t="str">
        <f>IF(A14="","",MAX(0,MAX(AQ$5:AQ14))-AQ14)</f>
        <v/>
      </c>
    </row>
    <row r="15">
      <c r="A15" s="24" t="n"/>
      <c r="B15" s="29" t="n"/>
      <c r="C15" s="30" t="n"/>
      <c r="D15" s="31" t="n"/>
      <c r="E15" s="31" t="n"/>
      <c r="F15" s="31" t="n"/>
      <c r="G15" s="21" t="n"/>
      <c r="H15" s="31" t="n"/>
      <c r="I15" s="23" t="n"/>
      <c r="J15" s="31" t="n"/>
      <c r="K15" s="32" t="n"/>
      <c r="L15" s="32" t="n"/>
      <c r="M15" s="32" t="n"/>
      <c r="N15" s="33" t="str">
        <f>IF(AND(ISNUMBER(K15),ISNUMBER(L15),ISNUMBER(M15)),IF(OR(AND(F15="多",K15&gt;L15),AND(F15="空",K15&lt;L15)),ABS(M15-K15)/ABS(K15-L15),"止损方向不对"),"")</f>
        <v/>
      </c>
      <c r="O15" s="34" t="str">
        <f>IF(AND(ISNUMBER(K15),ISNUMBER(L15)),IF(K15=L15,"",IF(INT(ROUND('参数'!$C$7/(ABS(K15-L15)*1+2*K15*'参数'!$C$12)/IF(N(J15)&gt;0,J15,1),6))*IF(N(J15)&gt;0,J15,1)&gt;0,INT(ROUND('参数'!$C$7/(ABS(K15-L15)*1+2*K15*'参数'!$C$12)/IF(N(J15)&gt;0,J15,1),6))*IF(N(J15)&gt;0,J15,1),"预算不足，这笔不做")),"")</f>
        <v/>
      </c>
      <c r="P15" s="35" t="n"/>
      <c r="Q15" s="20" t="str">
        <f>IF(AND(ISNUMBER(K15),ISNUMBER(L15),ISNUMBER(P15)),IF(AND(K15&lt;&gt;L15,P15&gt;0),ABS(K15-L15)*P15*1,""),"")</f>
        <v/>
      </c>
      <c r="R15" s="20" t="str">
        <f>IF(AND(ISNUMBER(K15),ISNUMBER(P15)),K15*P15,"")</f>
        <v/>
      </c>
      <c r="S15" s="20" t="str">
        <f>IF(AND(D15="合约",ISNUMBER(R15),N(G15)&gt;0),R15/G15,"")</f>
        <v/>
      </c>
      <c r="T15" s="36" t="str">
        <f>IF(NOT(D15="合约"),"",IF(H15&lt;&gt;"逐仓","看平台",IF(AND(ISNUMBER(K15),N(G15)&gt;0),IF(F15="空",K15*(1+1/G15-IF(ISNUMBER(I15),I15,'参数'!$C$13)),K15*(1-1/G15+IF(ISNUMBER(I15),I15,'参数'!$C$13))),"")))</f>
        <v/>
      </c>
      <c r="U15" s="37" t="str">
        <f>IF(AND(ISNUMBER(T15),ISNUMBER(L15),ISNUMBER(K15)),IF(F15="空",T15-L15,L15-T15)/K15,"")</f>
        <v/>
      </c>
      <c r="V15" s="38" t="str">
        <f>IF(ISNUMBER(U15),IF(U15&lt;'参数'!$C$15,"先降杠杆或减量","在止损外"),"")</f>
        <v/>
      </c>
      <c r="W15" s="30" t="n"/>
      <c r="X15" s="31" t="n"/>
      <c r="Y15" s="39" t="str">
        <f>IF(N(AB15)&gt;0,SUMPRODUCT(LARGE(('成交明细'!$A$5:$A$804=A15)*('成交明细'!$D$5:$D$804=IF(F15="空","卖","买"))*'成交明细'!$B$5:$B$804,COUNTIFS('成交明细'!$A$5:$A$804,A15,'成交明细'!$D$5:$D$804,IF(F15="空","卖","买")))),"")</f>
        <v/>
      </c>
      <c r="Z15" s="39" t="str">
        <f>IF(AND(N(AB15)&gt;0,N(AD15)&gt;=N(AB15)),SUMPRODUCT(MAX(('成交明细'!$A$5:$A$804=A15)*('成交明细'!$D$5:$D$804=IF(F15="空","买","卖"))*'成交明细'!$B$5:$B$804)),"")</f>
        <v/>
      </c>
      <c r="AA15" s="40" t="str">
        <f>IF(N(AB15)=0,"",IF(SUMPRODUCT(('成交明细'!$A$5:$A$804=A15)*('成交明细'!$D$5:$D$804=IF(F15="空","卖","买"))*ISNUMBER('成交明细'!$C$5:$C$804))=0,"没填时间",IFERROR(VLOOKUP(MOD(SUMPRODUCT(LARGE(('成交明细'!$A$5:$A$804=A15)*('成交明细'!$D$5:$D$804=IF(F15="空","卖","买"))*('成交明细'!$B$5:$B$804+'成交明细'!$C$5:$C$804),COUNTIFS('成交明细'!$A$5:$A$804,A15,'成交明细'!$D$5:$D$804,IF(F15="空","卖","买")))),1),'参数'!$B$39:$C$48,2,TRUE),"")))</f>
        <v/>
      </c>
      <c r="AB15" s="34" t="str">
        <f>IF(A15="","",SUMIFS('成交明细'!$F$5:$F$804,'成交明细'!$A$5:$A$804,A15,'成交明细'!$D$5:$D$804,IF(F15="空","卖","买")))</f>
        <v/>
      </c>
      <c r="AC15" s="41" t="str">
        <f>IF(N(AB15)&gt;0,SUMIFS('成交明细'!$H$5:$H$804,'成交明细'!$A$5:$A$804,A15,'成交明细'!$D$5:$D$804,IF(F15="空","卖","买"))/AB15,"")</f>
        <v/>
      </c>
      <c r="AD15" s="34" t="str">
        <f>IF(A15="","",SUMIFS('成交明细'!$F$5:$F$804,'成交明细'!$A$5:$A$804,A15,'成交明细'!$D$5:$D$804,IF(F15="空","买","卖")))</f>
        <v/>
      </c>
      <c r="AE15" s="41" t="str">
        <f>IF(N(AD15)&gt;0,SUMIFS('成交明细'!$H$5:$H$804,'成交明细'!$A$5:$A$804,A15,'成交明细'!$D$5:$D$804,IF(F15="空","买","卖"))/AD15,"")</f>
        <v/>
      </c>
      <c r="AF15" s="38" t="str">
        <f>IF(A15="","",IF(X15&lt;&gt;"已执行",IF(X15="","未填执行情况",X15),IF(N(AB15)=0,"待录成交",IF(N(AD15)&gt;N(AB15),"平仓多于开仓",IF(N(AD15)&lt;N(AB15),"持仓中","已平仓")))))</f>
        <v/>
      </c>
      <c r="AG15" s="42" t="str">
        <f>IF(N(AB15)=0,"",SUMIFS('成交明细'!$L$5:$L$804,'成交明细'!$A$5:$A$804,A15))</f>
        <v/>
      </c>
      <c r="AH15" s="43" t="str">
        <f>IF(A15="","",SUMIFS('资金费流水'!$F$5:$F$604,'资金费流水'!$B$5:$B$604,A15))</f>
        <v/>
      </c>
      <c r="AI15" s="43" t="str">
        <f>IF(AF15&lt;&gt;"已平仓","",(SUMIFS('成交明细'!$H$5:$H$804,'成交明细'!$A$5:$A$804,A15,'成交明细'!$D$5:$D$804,"卖")-SUMIFS('成交明细'!$H$5:$H$804,'成交明细'!$A$5:$A$804,A15,'成交明细'!$D$5:$D$804,"买"))*1-AG15+N(AH15))</f>
        <v/>
      </c>
      <c r="AJ15" s="44" t="str">
        <f>IF(AND(AF15="已平仓",ISNUMBER(Q15)),(SUMIFS('成交明细'!$H$5:$H$804,'成交明细'!$A$5:$A$804,A15,'成交明细'!$D$5:$D$804,"卖")-SUMIFS('成交明细'!$H$5:$H$804,'成交明细'!$A$5:$A$804,A15,'成交明细'!$D$5:$D$804,"买"))*1/Q15,"")</f>
        <v/>
      </c>
      <c r="AK15" s="44" t="str">
        <f>IF(AND(AF15="已平仓",ISNUMBER(Q15)),AI15/Q15,"")</f>
        <v/>
      </c>
      <c r="AL15" s="45" t="str">
        <f>IF(AND(ISNUMBER(AC15),ISNUMBER(K15)),IF(F15="空",K15-AC15,AC15-K15),"")</f>
        <v/>
      </c>
      <c r="AM15" s="45" t="str">
        <f>IF(OR(NOT(ISNUMBER(AI15)),NOT(ISNUMBER(AE15))),"",IF(AI15&lt;0,IF(F15="空",AE15-L15,L15-AE15),IF(NOT(ISNUMBER(M15)),"",IF(F15="空",AE15-M15,M15-AE15))))</f>
        <v/>
      </c>
      <c r="AN15" s="31" t="n"/>
      <c r="AO15" s="31" t="n"/>
      <c r="AP15" s="30" t="n"/>
      <c r="AQ15" s="44" t="str">
        <f>IF(A15="","",SUM(AK$5:AK15))</f>
        <v/>
      </c>
      <c r="AR15" s="46" t="str">
        <f>IF(A15="","",MAX(0,MAX(AQ$5:AQ15))-AQ15)</f>
        <v/>
      </c>
    </row>
    <row r="16">
      <c r="A16" s="24" t="n"/>
      <c r="B16" s="29" t="n"/>
      <c r="C16" s="30" t="n"/>
      <c r="D16" s="31" t="n"/>
      <c r="E16" s="31" t="n"/>
      <c r="F16" s="31" t="n"/>
      <c r="G16" s="21" t="n"/>
      <c r="H16" s="31" t="n"/>
      <c r="I16" s="23" t="n"/>
      <c r="J16" s="31" t="n"/>
      <c r="K16" s="32" t="n"/>
      <c r="L16" s="32" t="n"/>
      <c r="M16" s="32" t="n"/>
      <c r="N16" s="33" t="str">
        <f>IF(AND(ISNUMBER(K16),ISNUMBER(L16),ISNUMBER(M16)),IF(OR(AND(F16="多",K16&gt;L16),AND(F16="空",K16&lt;L16)),ABS(M16-K16)/ABS(K16-L16),"止损方向不对"),"")</f>
        <v/>
      </c>
      <c r="O16" s="34" t="str">
        <f>IF(AND(ISNUMBER(K16),ISNUMBER(L16)),IF(K16=L16,"",IF(INT(ROUND('参数'!$C$7/(ABS(K16-L16)*1+2*K16*'参数'!$C$12)/IF(N(J16)&gt;0,J16,1),6))*IF(N(J16)&gt;0,J16,1)&gt;0,INT(ROUND('参数'!$C$7/(ABS(K16-L16)*1+2*K16*'参数'!$C$12)/IF(N(J16)&gt;0,J16,1),6))*IF(N(J16)&gt;0,J16,1),"预算不足，这笔不做")),"")</f>
        <v/>
      </c>
      <c r="P16" s="35" t="n"/>
      <c r="Q16" s="20" t="str">
        <f>IF(AND(ISNUMBER(K16),ISNUMBER(L16),ISNUMBER(P16)),IF(AND(K16&lt;&gt;L16,P16&gt;0),ABS(K16-L16)*P16*1,""),"")</f>
        <v/>
      </c>
      <c r="R16" s="20" t="str">
        <f>IF(AND(ISNUMBER(K16),ISNUMBER(P16)),K16*P16,"")</f>
        <v/>
      </c>
      <c r="S16" s="20" t="str">
        <f>IF(AND(D16="合约",ISNUMBER(R16),N(G16)&gt;0),R16/G16,"")</f>
        <v/>
      </c>
      <c r="T16" s="36" t="str">
        <f>IF(NOT(D16="合约"),"",IF(H16&lt;&gt;"逐仓","看平台",IF(AND(ISNUMBER(K16),N(G16)&gt;0),IF(F16="空",K16*(1+1/G16-IF(ISNUMBER(I16),I16,'参数'!$C$13)),K16*(1-1/G16+IF(ISNUMBER(I16),I16,'参数'!$C$13))),"")))</f>
        <v/>
      </c>
      <c r="U16" s="37" t="str">
        <f>IF(AND(ISNUMBER(T16),ISNUMBER(L16),ISNUMBER(K16)),IF(F16="空",T16-L16,L16-T16)/K16,"")</f>
        <v/>
      </c>
      <c r="V16" s="38" t="str">
        <f>IF(ISNUMBER(U16),IF(U16&lt;'参数'!$C$15,"先降杠杆或减量","在止损外"),"")</f>
        <v/>
      </c>
      <c r="W16" s="30" t="n"/>
      <c r="X16" s="31" t="n"/>
      <c r="Y16" s="39" t="str">
        <f>IF(N(AB16)&gt;0,SUMPRODUCT(LARGE(('成交明细'!$A$5:$A$804=A16)*('成交明细'!$D$5:$D$804=IF(F16="空","卖","买"))*'成交明细'!$B$5:$B$804,COUNTIFS('成交明细'!$A$5:$A$804,A16,'成交明细'!$D$5:$D$804,IF(F16="空","卖","买")))),"")</f>
        <v/>
      </c>
      <c r="Z16" s="39" t="str">
        <f>IF(AND(N(AB16)&gt;0,N(AD16)&gt;=N(AB16)),SUMPRODUCT(MAX(('成交明细'!$A$5:$A$804=A16)*('成交明细'!$D$5:$D$804=IF(F16="空","买","卖"))*'成交明细'!$B$5:$B$804)),"")</f>
        <v/>
      </c>
      <c r="AA16" s="40" t="str">
        <f>IF(N(AB16)=0,"",IF(SUMPRODUCT(('成交明细'!$A$5:$A$804=A16)*('成交明细'!$D$5:$D$804=IF(F16="空","卖","买"))*ISNUMBER('成交明细'!$C$5:$C$804))=0,"没填时间",IFERROR(VLOOKUP(MOD(SUMPRODUCT(LARGE(('成交明细'!$A$5:$A$804=A16)*('成交明细'!$D$5:$D$804=IF(F16="空","卖","买"))*('成交明细'!$B$5:$B$804+'成交明细'!$C$5:$C$804),COUNTIFS('成交明细'!$A$5:$A$804,A16,'成交明细'!$D$5:$D$804,IF(F16="空","卖","买")))),1),'参数'!$B$39:$C$48,2,TRUE),"")))</f>
        <v/>
      </c>
      <c r="AB16" s="34" t="str">
        <f>IF(A16="","",SUMIFS('成交明细'!$F$5:$F$804,'成交明细'!$A$5:$A$804,A16,'成交明细'!$D$5:$D$804,IF(F16="空","卖","买")))</f>
        <v/>
      </c>
      <c r="AC16" s="41" t="str">
        <f>IF(N(AB16)&gt;0,SUMIFS('成交明细'!$H$5:$H$804,'成交明细'!$A$5:$A$804,A16,'成交明细'!$D$5:$D$804,IF(F16="空","卖","买"))/AB16,"")</f>
        <v/>
      </c>
      <c r="AD16" s="34" t="str">
        <f>IF(A16="","",SUMIFS('成交明细'!$F$5:$F$804,'成交明细'!$A$5:$A$804,A16,'成交明细'!$D$5:$D$804,IF(F16="空","买","卖")))</f>
        <v/>
      </c>
      <c r="AE16" s="41" t="str">
        <f>IF(N(AD16)&gt;0,SUMIFS('成交明细'!$H$5:$H$804,'成交明细'!$A$5:$A$804,A16,'成交明细'!$D$5:$D$804,IF(F16="空","买","卖"))/AD16,"")</f>
        <v/>
      </c>
      <c r="AF16" s="38" t="str">
        <f>IF(A16="","",IF(X16&lt;&gt;"已执行",IF(X16="","未填执行情况",X16),IF(N(AB16)=0,"待录成交",IF(N(AD16)&gt;N(AB16),"平仓多于开仓",IF(N(AD16)&lt;N(AB16),"持仓中","已平仓")))))</f>
        <v/>
      </c>
      <c r="AG16" s="42" t="str">
        <f>IF(N(AB16)=0,"",SUMIFS('成交明细'!$L$5:$L$804,'成交明细'!$A$5:$A$804,A16))</f>
        <v/>
      </c>
      <c r="AH16" s="43" t="str">
        <f>IF(A16="","",SUMIFS('资金费流水'!$F$5:$F$604,'资金费流水'!$B$5:$B$604,A16))</f>
        <v/>
      </c>
      <c r="AI16" s="43" t="str">
        <f>IF(AF16&lt;&gt;"已平仓","",(SUMIFS('成交明细'!$H$5:$H$804,'成交明细'!$A$5:$A$804,A16,'成交明细'!$D$5:$D$804,"卖")-SUMIFS('成交明细'!$H$5:$H$804,'成交明细'!$A$5:$A$804,A16,'成交明细'!$D$5:$D$804,"买"))*1-AG16+N(AH16))</f>
        <v/>
      </c>
      <c r="AJ16" s="44" t="str">
        <f>IF(AND(AF16="已平仓",ISNUMBER(Q16)),(SUMIFS('成交明细'!$H$5:$H$804,'成交明细'!$A$5:$A$804,A16,'成交明细'!$D$5:$D$804,"卖")-SUMIFS('成交明细'!$H$5:$H$804,'成交明细'!$A$5:$A$804,A16,'成交明细'!$D$5:$D$804,"买"))*1/Q16,"")</f>
        <v/>
      </c>
      <c r="AK16" s="44" t="str">
        <f>IF(AND(AF16="已平仓",ISNUMBER(Q16)),AI16/Q16,"")</f>
        <v/>
      </c>
      <c r="AL16" s="45" t="str">
        <f>IF(AND(ISNUMBER(AC16),ISNUMBER(K16)),IF(F16="空",K16-AC16,AC16-K16),"")</f>
        <v/>
      </c>
      <c r="AM16" s="45" t="str">
        <f>IF(OR(NOT(ISNUMBER(AI16)),NOT(ISNUMBER(AE16))),"",IF(AI16&lt;0,IF(F16="空",AE16-L16,L16-AE16),IF(NOT(ISNUMBER(M16)),"",IF(F16="空",AE16-M16,M16-AE16))))</f>
        <v/>
      </c>
      <c r="AN16" s="31" t="n"/>
      <c r="AO16" s="31" t="n"/>
      <c r="AP16" s="30" t="n"/>
      <c r="AQ16" s="44" t="str">
        <f>IF(A16="","",SUM(AK$5:AK16))</f>
        <v/>
      </c>
      <c r="AR16" s="46" t="str">
        <f>IF(A16="","",MAX(0,MAX(AQ$5:AQ16))-AQ16)</f>
        <v/>
      </c>
    </row>
    <row r="17">
      <c r="A17" s="24" t="n"/>
      <c r="B17" s="29" t="n"/>
      <c r="C17" s="30" t="n"/>
      <c r="D17" s="31" t="n"/>
      <c r="E17" s="31" t="n"/>
      <c r="F17" s="31" t="n"/>
      <c r="G17" s="21" t="n"/>
      <c r="H17" s="31" t="n"/>
      <c r="I17" s="23" t="n"/>
      <c r="J17" s="31" t="n"/>
      <c r="K17" s="32" t="n"/>
      <c r="L17" s="32" t="n"/>
      <c r="M17" s="32" t="n"/>
      <c r="N17" s="33" t="str">
        <f>IF(AND(ISNUMBER(K17),ISNUMBER(L17),ISNUMBER(M17)),IF(OR(AND(F17="多",K17&gt;L17),AND(F17="空",K17&lt;L17)),ABS(M17-K17)/ABS(K17-L17),"止损方向不对"),"")</f>
        <v/>
      </c>
      <c r="O17" s="34" t="str">
        <f>IF(AND(ISNUMBER(K17),ISNUMBER(L17)),IF(K17=L17,"",IF(INT(ROUND('参数'!$C$7/(ABS(K17-L17)*1+2*K17*'参数'!$C$12)/IF(N(J17)&gt;0,J17,1),6))*IF(N(J17)&gt;0,J17,1)&gt;0,INT(ROUND('参数'!$C$7/(ABS(K17-L17)*1+2*K17*'参数'!$C$12)/IF(N(J17)&gt;0,J17,1),6))*IF(N(J17)&gt;0,J17,1),"预算不足，这笔不做")),"")</f>
        <v/>
      </c>
      <c r="P17" s="35" t="n"/>
      <c r="Q17" s="20" t="str">
        <f>IF(AND(ISNUMBER(K17),ISNUMBER(L17),ISNUMBER(P17)),IF(AND(K17&lt;&gt;L17,P17&gt;0),ABS(K17-L17)*P17*1,""),"")</f>
        <v/>
      </c>
      <c r="R17" s="20" t="str">
        <f>IF(AND(ISNUMBER(K17),ISNUMBER(P17)),K17*P17,"")</f>
        <v/>
      </c>
      <c r="S17" s="20" t="str">
        <f>IF(AND(D17="合约",ISNUMBER(R17),N(G17)&gt;0),R17/G17,"")</f>
        <v/>
      </c>
      <c r="T17" s="36" t="str">
        <f>IF(NOT(D17="合约"),"",IF(H17&lt;&gt;"逐仓","看平台",IF(AND(ISNUMBER(K17),N(G17)&gt;0),IF(F17="空",K17*(1+1/G17-IF(ISNUMBER(I17),I17,'参数'!$C$13)),K17*(1-1/G17+IF(ISNUMBER(I17),I17,'参数'!$C$13))),"")))</f>
        <v/>
      </c>
      <c r="U17" s="37" t="str">
        <f>IF(AND(ISNUMBER(T17),ISNUMBER(L17),ISNUMBER(K17)),IF(F17="空",T17-L17,L17-T17)/K17,"")</f>
        <v/>
      </c>
      <c r="V17" s="38" t="str">
        <f>IF(ISNUMBER(U17),IF(U17&lt;'参数'!$C$15,"先降杠杆或减量","在止损外"),"")</f>
        <v/>
      </c>
      <c r="W17" s="30" t="n"/>
      <c r="X17" s="31" t="n"/>
      <c r="Y17" s="39" t="str">
        <f>IF(N(AB17)&gt;0,SUMPRODUCT(LARGE(('成交明细'!$A$5:$A$804=A17)*('成交明细'!$D$5:$D$804=IF(F17="空","卖","买"))*'成交明细'!$B$5:$B$804,COUNTIFS('成交明细'!$A$5:$A$804,A17,'成交明细'!$D$5:$D$804,IF(F17="空","卖","买")))),"")</f>
        <v/>
      </c>
      <c r="Z17" s="39" t="str">
        <f>IF(AND(N(AB17)&gt;0,N(AD17)&gt;=N(AB17)),SUMPRODUCT(MAX(('成交明细'!$A$5:$A$804=A17)*('成交明细'!$D$5:$D$804=IF(F17="空","买","卖"))*'成交明细'!$B$5:$B$804)),"")</f>
        <v/>
      </c>
      <c r="AA17" s="40" t="str">
        <f>IF(N(AB17)=0,"",IF(SUMPRODUCT(('成交明细'!$A$5:$A$804=A17)*('成交明细'!$D$5:$D$804=IF(F17="空","卖","买"))*ISNUMBER('成交明细'!$C$5:$C$804))=0,"没填时间",IFERROR(VLOOKUP(MOD(SUMPRODUCT(LARGE(('成交明细'!$A$5:$A$804=A17)*('成交明细'!$D$5:$D$804=IF(F17="空","卖","买"))*('成交明细'!$B$5:$B$804+'成交明细'!$C$5:$C$804),COUNTIFS('成交明细'!$A$5:$A$804,A17,'成交明细'!$D$5:$D$804,IF(F17="空","卖","买")))),1),'参数'!$B$39:$C$48,2,TRUE),"")))</f>
        <v/>
      </c>
      <c r="AB17" s="34" t="str">
        <f>IF(A17="","",SUMIFS('成交明细'!$F$5:$F$804,'成交明细'!$A$5:$A$804,A17,'成交明细'!$D$5:$D$804,IF(F17="空","卖","买")))</f>
        <v/>
      </c>
      <c r="AC17" s="41" t="str">
        <f>IF(N(AB17)&gt;0,SUMIFS('成交明细'!$H$5:$H$804,'成交明细'!$A$5:$A$804,A17,'成交明细'!$D$5:$D$804,IF(F17="空","卖","买"))/AB17,"")</f>
        <v/>
      </c>
      <c r="AD17" s="34" t="str">
        <f>IF(A17="","",SUMIFS('成交明细'!$F$5:$F$804,'成交明细'!$A$5:$A$804,A17,'成交明细'!$D$5:$D$804,IF(F17="空","买","卖")))</f>
        <v/>
      </c>
      <c r="AE17" s="41" t="str">
        <f>IF(N(AD17)&gt;0,SUMIFS('成交明细'!$H$5:$H$804,'成交明细'!$A$5:$A$804,A17,'成交明细'!$D$5:$D$804,IF(F17="空","买","卖"))/AD17,"")</f>
        <v/>
      </c>
      <c r="AF17" s="38" t="str">
        <f>IF(A17="","",IF(X17&lt;&gt;"已执行",IF(X17="","未填执行情况",X17),IF(N(AB17)=0,"待录成交",IF(N(AD17)&gt;N(AB17),"平仓多于开仓",IF(N(AD17)&lt;N(AB17),"持仓中","已平仓")))))</f>
        <v/>
      </c>
      <c r="AG17" s="42" t="str">
        <f>IF(N(AB17)=0,"",SUMIFS('成交明细'!$L$5:$L$804,'成交明细'!$A$5:$A$804,A17))</f>
        <v/>
      </c>
      <c r="AH17" s="43" t="str">
        <f>IF(A17="","",SUMIFS('资金费流水'!$F$5:$F$604,'资金费流水'!$B$5:$B$604,A17))</f>
        <v/>
      </c>
      <c r="AI17" s="43" t="str">
        <f>IF(AF17&lt;&gt;"已平仓","",(SUMIFS('成交明细'!$H$5:$H$804,'成交明细'!$A$5:$A$804,A17,'成交明细'!$D$5:$D$804,"卖")-SUMIFS('成交明细'!$H$5:$H$804,'成交明细'!$A$5:$A$804,A17,'成交明细'!$D$5:$D$804,"买"))*1-AG17+N(AH17))</f>
        <v/>
      </c>
      <c r="AJ17" s="44" t="str">
        <f>IF(AND(AF17="已平仓",ISNUMBER(Q17)),(SUMIFS('成交明细'!$H$5:$H$804,'成交明细'!$A$5:$A$804,A17,'成交明细'!$D$5:$D$804,"卖")-SUMIFS('成交明细'!$H$5:$H$804,'成交明细'!$A$5:$A$804,A17,'成交明细'!$D$5:$D$804,"买"))*1/Q17,"")</f>
        <v/>
      </c>
      <c r="AK17" s="44" t="str">
        <f>IF(AND(AF17="已平仓",ISNUMBER(Q17)),AI17/Q17,"")</f>
        <v/>
      </c>
      <c r="AL17" s="45" t="str">
        <f>IF(AND(ISNUMBER(AC17),ISNUMBER(K17)),IF(F17="空",K17-AC17,AC17-K17),"")</f>
        <v/>
      </c>
      <c r="AM17" s="45" t="str">
        <f>IF(OR(NOT(ISNUMBER(AI17)),NOT(ISNUMBER(AE17))),"",IF(AI17&lt;0,IF(F17="空",AE17-L17,L17-AE17),IF(NOT(ISNUMBER(M17)),"",IF(F17="空",AE17-M17,M17-AE17))))</f>
        <v/>
      </c>
      <c r="AN17" s="31" t="n"/>
      <c r="AO17" s="31" t="n"/>
      <c r="AP17" s="30" t="n"/>
      <c r="AQ17" s="44" t="str">
        <f>IF(A17="","",SUM(AK$5:AK17))</f>
        <v/>
      </c>
      <c r="AR17" s="46" t="str">
        <f>IF(A17="","",MAX(0,MAX(AQ$5:AQ17))-AQ17)</f>
        <v/>
      </c>
    </row>
    <row r="18">
      <c r="A18" s="24" t="n"/>
      <c r="B18" s="29" t="n"/>
      <c r="C18" s="30" t="n"/>
      <c r="D18" s="31" t="n"/>
      <c r="E18" s="31" t="n"/>
      <c r="F18" s="31" t="n"/>
      <c r="G18" s="21" t="n"/>
      <c r="H18" s="31" t="n"/>
      <c r="I18" s="23" t="n"/>
      <c r="J18" s="31" t="n"/>
      <c r="K18" s="32" t="n"/>
      <c r="L18" s="32" t="n"/>
      <c r="M18" s="32" t="n"/>
      <c r="N18" s="33" t="str">
        <f>IF(AND(ISNUMBER(K18),ISNUMBER(L18),ISNUMBER(M18)),IF(OR(AND(F18="多",K18&gt;L18),AND(F18="空",K18&lt;L18)),ABS(M18-K18)/ABS(K18-L18),"止损方向不对"),"")</f>
        <v/>
      </c>
      <c r="O18" s="34" t="str">
        <f>IF(AND(ISNUMBER(K18),ISNUMBER(L18)),IF(K18=L18,"",IF(INT(ROUND('参数'!$C$7/(ABS(K18-L18)*1+2*K18*'参数'!$C$12)/IF(N(J18)&gt;0,J18,1),6))*IF(N(J18)&gt;0,J18,1)&gt;0,INT(ROUND('参数'!$C$7/(ABS(K18-L18)*1+2*K18*'参数'!$C$12)/IF(N(J18)&gt;0,J18,1),6))*IF(N(J18)&gt;0,J18,1),"预算不足，这笔不做")),"")</f>
        <v/>
      </c>
      <c r="P18" s="35" t="n"/>
      <c r="Q18" s="20" t="str">
        <f>IF(AND(ISNUMBER(K18),ISNUMBER(L18),ISNUMBER(P18)),IF(AND(K18&lt;&gt;L18,P18&gt;0),ABS(K18-L18)*P18*1,""),"")</f>
        <v/>
      </c>
      <c r="R18" s="20" t="str">
        <f>IF(AND(ISNUMBER(K18),ISNUMBER(P18)),K18*P18,"")</f>
        <v/>
      </c>
      <c r="S18" s="20" t="str">
        <f>IF(AND(D18="合约",ISNUMBER(R18),N(G18)&gt;0),R18/G18,"")</f>
        <v/>
      </c>
      <c r="T18" s="36" t="str">
        <f>IF(NOT(D18="合约"),"",IF(H18&lt;&gt;"逐仓","看平台",IF(AND(ISNUMBER(K18),N(G18)&gt;0),IF(F18="空",K18*(1+1/G18-IF(ISNUMBER(I18),I18,'参数'!$C$13)),K18*(1-1/G18+IF(ISNUMBER(I18),I18,'参数'!$C$13))),"")))</f>
        <v/>
      </c>
      <c r="U18" s="37" t="str">
        <f>IF(AND(ISNUMBER(T18),ISNUMBER(L18),ISNUMBER(K18)),IF(F18="空",T18-L18,L18-T18)/K18,"")</f>
        <v/>
      </c>
      <c r="V18" s="38" t="str">
        <f>IF(ISNUMBER(U18),IF(U18&lt;'参数'!$C$15,"先降杠杆或减量","在止损外"),"")</f>
        <v/>
      </c>
      <c r="W18" s="30" t="n"/>
      <c r="X18" s="31" t="n"/>
      <c r="Y18" s="39" t="str">
        <f>IF(N(AB18)&gt;0,SUMPRODUCT(LARGE(('成交明细'!$A$5:$A$804=A18)*('成交明细'!$D$5:$D$804=IF(F18="空","卖","买"))*'成交明细'!$B$5:$B$804,COUNTIFS('成交明细'!$A$5:$A$804,A18,'成交明细'!$D$5:$D$804,IF(F18="空","卖","买")))),"")</f>
        <v/>
      </c>
      <c r="Z18" s="39" t="str">
        <f>IF(AND(N(AB18)&gt;0,N(AD18)&gt;=N(AB18)),SUMPRODUCT(MAX(('成交明细'!$A$5:$A$804=A18)*('成交明细'!$D$5:$D$804=IF(F18="空","买","卖"))*'成交明细'!$B$5:$B$804)),"")</f>
        <v/>
      </c>
      <c r="AA18" s="40" t="str">
        <f>IF(N(AB18)=0,"",IF(SUMPRODUCT(('成交明细'!$A$5:$A$804=A18)*('成交明细'!$D$5:$D$804=IF(F18="空","卖","买"))*ISNUMBER('成交明细'!$C$5:$C$804))=0,"没填时间",IFERROR(VLOOKUP(MOD(SUMPRODUCT(LARGE(('成交明细'!$A$5:$A$804=A18)*('成交明细'!$D$5:$D$804=IF(F18="空","卖","买"))*('成交明细'!$B$5:$B$804+'成交明细'!$C$5:$C$804),COUNTIFS('成交明细'!$A$5:$A$804,A18,'成交明细'!$D$5:$D$804,IF(F18="空","卖","买")))),1),'参数'!$B$39:$C$48,2,TRUE),"")))</f>
        <v/>
      </c>
      <c r="AB18" s="34" t="str">
        <f>IF(A18="","",SUMIFS('成交明细'!$F$5:$F$804,'成交明细'!$A$5:$A$804,A18,'成交明细'!$D$5:$D$804,IF(F18="空","卖","买")))</f>
        <v/>
      </c>
      <c r="AC18" s="41" t="str">
        <f>IF(N(AB18)&gt;0,SUMIFS('成交明细'!$H$5:$H$804,'成交明细'!$A$5:$A$804,A18,'成交明细'!$D$5:$D$804,IF(F18="空","卖","买"))/AB18,"")</f>
        <v/>
      </c>
      <c r="AD18" s="34" t="str">
        <f>IF(A18="","",SUMIFS('成交明细'!$F$5:$F$804,'成交明细'!$A$5:$A$804,A18,'成交明细'!$D$5:$D$804,IF(F18="空","买","卖")))</f>
        <v/>
      </c>
      <c r="AE18" s="41" t="str">
        <f>IF(N(AD18)&gt;0,SUMIFS('成交明细'!$H$5:$H$804,'成交明细'!$A$5:$A$804,A18,'成交明细'!$D$5:$D$804,IF(F18="空","买","卖"))/AD18,"")</f>
        <v/>
      </c>
      <c r="AF18" s="38" t="str">
        <f>IF(A18="","",IF(X18&lt;&gt;"已执行",IF(X18="","未填执行情况",X18),IF(N(AB18)=0,"待录成交",IF(N(AD18)&gt;N(AB18),"平仓多于开仓",IF(N(AD18)&lt;N(AB18),"持仓中","已平仓")))))</f>
        <v/>
      </c>
      <c r="AG18" s="42" t="str">
        <f>IF(N(AB18)=0,"",SUMIFS('成交明细'!$L$5:$L$804,'成交明细'!$A$5:$A$804,A18))</f>
        <v/>
      </c>
      <c r="AH18" s="43" t="str">
        <f>IF(A18="","",SUMIFS('资金费流水'!$F$5:$F$604,'资金费流水'!$B$5:$B$604,A18))</f>
        <v/>
      </c>
      <c r="AI18" s="43" t="str">
        <f>IF(AF18&lt;&gt;"已平仓","",(SUMIFS('成交明细'!$H$5:$H$804,'成交明细'!$A$5:$A$804,A18,'成交明细'!$D$5:$D$804,"卖")-SUMIFS('成交明细'!$H$5:$H$804,'成交明细'!$A$5:$A$804,A18,'成交明细'!$D$5:$D$804,"买"))*1-AG18+N(AH18))</f>
        <v/>
      </c>
      <c r="AJ18" s="44" t="str">
        <f>IF(AND(AF18="已平仓",ISNUMBER(Q18)),(SUMIFS('成交明细'!$H$5:$H$804,'成交明细'!$A$5:$A$804,A18,'成交明细'!$D$5:$D$804,"卖")-SUMIFS('成交明细'!$H$5:$H$804,'成交明细'!$A$5:$A$804,A18,'成交明细'!$D$5:$D$804,"买"))*1/Q18,"")</f>
        <v/>
      </c>
      <c r="AK18" s="44" t="str">
        <f>IF(AND(AF18="已平仓",ISNUMBER(Q18)),AI18/Q18,"")</f>
        <v/>
      </c>
      <c r="AL18" s="45" t="str">
        <f>IF(AND(ISNUMBER(AC18),ISNUMBER(K18)),IF(F18="空",K18-AC18,AC18-K18),"")</f>
        <v/>
      </c>
      <c r="AM18" s="45" t="str">
        <f>IF(OR(NOT(ISNUMBER(AI18)),NOT(ISNUMBER(AE18))),"",IF(AI18&lt;0,IF(F18="空",AE18-L18,L18-AE18),IF(NOT(ISNUMBER(M18)),"",IF(F18="空",AE18-M18,M18-AE18))))</f>
        <v/>
      </c>
      <c r="AN18" s="31" t="n"/>
      <c r="AO18" s="31" t="n"/>
      <c r="AP18" s="30" t="n"/>
      <c r="AQ18" s="44" t="str">
        <f>IF(A18="","",SUM(AK$5:AK18))</f>
        <v/>
      </c>
      <c r="AR18" s="46" t="str">
        <f>IF(A18="","",MAX(0,MAX(AQ$5:AQ18))-AQ18)</f>
        <v/>
      </c>
    </row>
    <row r="19">
      <c r="A19" s="24" t="n"/>
      <c r="B19" s="29" t="n"/>
      <c r="C19" s="30" t="n"/>
      <c r="D19" s="31" t="n"/>
      <c r="E19" s="31" t="n"/>
      <c r="F19" s="31" t="n"/>
      <c r="G19" s="21" t="n"/>
      <c r="H19" s="31" t="n"/>
      <c r="I19" s="23" t="n"/>
      <c r="J19" s="31" t="n"/>
      <c r="K19" s="32" t="n"/>
      <c r="L19" s="32" t="n"/>
      <c r="M19" s="32" t="n"/>
      <c r="N19" s="33" t="str">
        <f>IF(AND(ISNUMBER(K19),ISNUMBER(L19),ISNUMBER(M19)),IF(OR(AND(F19="多",K19&gt;L19),AND(F19="空",K19&lt;L19)),ABS(M19-K19)/ABS(K19-L19),"止损方向不对"),"")</f>
        <v/>
      </c>
      <c r="O19" s="34" t="str">
        <f>IF(AND(ISNUMBER(K19),ISNUMBER(L19)),IF(K19=L19,"",IF(INT(ROUND('参数'!$C$7/(ABS(K19-L19)*1+2*K19*'参数'!$C$12)/IF(N(J19)&gt;0,J19,1),6))*IF(N(J19)&gt;0,J19,1)&gt;0,INT(ROUND('参数'!$C$7/(ABS(K19-L19)*1+2*K19*'参数'!$C$12)/IF(N(J19)&gt;0,J19,1),6))*IF(N(J19)&gt;0,J19,1),"预算不足，这笔不做")),"")</f>
        <v/>
      </c>
      <c r="P19" s="35" t="n"/>
      <c r="Q19" s="20" t="str">
        <f>IF(AND(ISNUMBER(K19),ISNUMBER(L19),ISNUMBER(P19)),IF(AND(K19&lt;&gt;L19,P19&gt;0),ABS(K19-L19)*P19*1,""),"")</f>
        <v/>
      </c>
      <c r="R19" s="20" t="str">
        <f>IF(AND(ISNUMBER(K19),ISNUMBER(P19)),K19*P19,"")</f>
        <v/>
      </c>
      <c r="S19" s="20" t="str">
        <f>IF(AND(D19="合约",ISNUMBER(R19),N(G19)&gt;0),R19/G19,"")</f>
        <v/>
      </c>
      <c r="T19" s="36" t="str">
        <f>IF(NOT(D19="合约"),"",IF(H19&lt;&gt;"逐仓","看平台",IF(AND(ISNUMBER(K19),N(G19)&gt;0),IF(F19="空",K19*(1+1/G19-IF(ISNUMBER(I19),I19,'参数'!$C$13)),K19*(1-1/G19+IF(ISNUMBER(I19),I19,'参数'!$C$13))),"")))</f>
        <v/>
      </c>
      <c r="U19" s="37" t="str">
        <f>IF(AND(ISNUMBER(T19),ISNUMBER(L19),ISNUMBER(K19)),IF(F19="空",T19-L19,L19-T19)/K19,"")</f>
        <v/>
      </c>
      <c r="V19" s="38" t="str">
        <f>IF(ISNUMBER(U19),IF(U19&lt;'参数'!$C$15,"先降杠杆或减量","在止损外"),"")</f>
        <v/>
      </c>
      <c r="W19" s="30" t="n"/>
      <c r="X19" s="31" t="n"/>
      <c r="Y19" s="39" t="str">
        <f>IF(N(AB19)&gt;0,SUMPRODUCT(LARGE(('成交明细'!$A$5:$A$804=A19)*('成交明细'!$D$5:$D$804=IF(F19="空","卖","买"))*'成交明细'!$B$5:$B$804,COUNTIFS('成交明细'!$A$5:$A$804,A19,'成交明细'!$D$5:$D$804,IF(F19="空","卖","买")))),"")</f>
        <v/>
      </c>
      <c r="Z19" s="39" t="str">
        <f>IF(AND(N(AB19)&gt;0,N(AD19)&gt;=N(AB19)),SUMPRODUCT(MAX(('成交明细'!$A$5:$A$804=A19)*('成交明细'!$D$5:$D$804=IF(F19="空","买","卖"))*'成交明细'!$B$5:$B$804)),"")</f>
        <v/>
      </c>
      <c r="AA19" s="40" t="str">
        <f>IF(N(AB19)=0,"",IF(SUMPRODUCT(('成交明细'!$A$5:$A$804=A19)*('成交明细'!$D$5:$D$804=IF(F19="空","卖","买"))*ISNUMBER('成交明细'!$C$5:$C$804))=0,"没填时间",IFERROR(VLOOKUP(MOD(SUMPRODUCT(LARGE(('成交明细'!$A$5:$A$804=A19)*('成交明细'!$D$5:$D$804=IF(F19="空","卖","买"))*('成交明细'!$B$5:$B$804+'成交明细'!$C$5:$C$804),COUNTIFS('成交明细'!$A$5:$A$804,A19,'成交明细'!$D$5:$D$804,IF(F19="空","卖","买")))),1),'参数'!$B$39:$C$48,2,TRUE),"")))</f>
        <v/>
      </c>
      <c r="AB19" s="34" t="str">
        <f>IF(A19="","",SUMIFS('成交明细'!$F$5:$F$804,'成交明细'!$A$5:$A$804,A19,'成交明细'!$D$5:$D$804,IF(F19="空","卖","买")))</f>
        <v/>
      </c>
      <c r="AC19" s="41" t="str">
        <f>IF(N(AB19)&gt;0,SUMIFS('成交明细'!$H$5:$H$804,'成交明细'!$A$5:$A$804,A19,'成交明细'!$D$5:$D$804,IF(F19="空","卖","买"))/AB19,"")</f>
        <v/>
      </c>
      <c r="AD19" s="34" t="str">
        <f>IF(A19="","",SUMIFS('成交明细'!$F$5:$F$804,'成交明细'!$A$5:$A$804,A19,'成交明细'!$D$5:$D$804,IF(F19="空","买","卖")))</f>
        <v/>
      </c>
      <c r="AE19" s="41" t="str">
        <f>IF(N(AD19)&gt;0,SUMIFS('成交明细'!$H$5:$H$804,'成交明细'!$A$5:$A$804,A19,'成交明细'!$D$5:$D$804,IF(F19="空","买","卖"))/AD19,"")</f>
        <v/>
      </c>
      <c r="AF19" s="38" t="str">
        <f>IF(A19="","",IF(X19&lt;&gt;"已执行",IF(X19="","未填执行情况",X19),IF(N(AB19)=0,"待录成交",IF(N(AD19)&gt;N(AB19),"平仓多于开仓",IF(N(AD19)&lt;N(AB19),"持仓中","已平仓")))))</f>
        <v/>
      </c>
      <c r="AG19" s="42" t="str">
        <f>IF(N(AB19)=0,"",SUMIFS('成交明细'!$L$5:$L$804,'成交明细'!$A$5:$A$804,A19))</f>
        <v/>
      </c>
      <c r="AH19" s="43" t="str">
        <f>IF(A19="","",SUMIFS('资金费流水'!$F$5:$F$604,'资金费流水'!$B$5:$B$604,A19))</f>
        <v/>
      </c>
      <c r="AI19" s="43" t="str">
        <f>IF(AF19&lt;&gt;"已平仓","",(SUMIFS('成交明细'!$H$5:$H$804,'成交明细'!$A$5:$A$804,A19,'成交明细'!$D$5:$D$804,"卖")-SUMIFS('成交明细'!$H$5:$H$804,'成交明细'!$A$5:$A$804,A19,'成交明细'!$D$5:$D$804,"买"))*1-AG19+N(AH19))</f>
        <v/>
      </c>
      <c r="AJ19" s="44" t="str">
        <f>IF(AND(AF19="已平仓",ISNUMBER(Q19)),(SUMIFS('成交明细'!$H$5:$H$804,'成交明细'!$A$5:$A$804,A19,'成交明细'!$D$5:$D$804,"卖")-SUMIFS('成交明细'!$H$5:$H$804,'成交明细'!$A$5:$A$804,A19,'成交明细'!$D$5:$D$804,"买"))*1/Q19,"")</f>
        <v/>
      </c>
      <c r="AK19" s="44" t="str">
        <f>IF(AND(AF19="已平仓",ISNUMBER(Q19)),AI19/Q19,"")</f>
        <v/>
      </c>
      <c r="AL19" s="45" t="str">
        <f>IF(AND(ISNUMBER(AC19),ISNUMBER(K19)),IF(F19="空",K19-AC19,AC19-K19),"")</f>
        <v/>
      </c>
      <c r="AM19" s="45" t="str">
        <f>IF(OR(NOT(ISNUMBER(AI19)),NOT(ISNUMBER(AE19))),"",IF(AI19&lt;0,IF(F19="空",AE19-L19,L19-AE19),IF(NOT(ISNUMBER(M19)),"",IF(F19="空",AE19-M19,M19-AE19))))</f>
        <v/>
      </c>
      <c r="AN19" s="31" t="n"/>
      <c r="AO19" s="31" t="n"/>
      <c r="AP19" s="30" t="n"/>
      <c r="AQ19" s="44" t="str">
        <f>IF(A19="","",SUM(AK$5:AK19))</f>
        <v/>
      </c>
      <c r="AR19" s="46" t="str">
        <f>IF(A19="","",MAX(0,MAX(AQ$5:AQ19))-AQ19)</f>
        <v/>
      </c>
    </row>
    <row r="20">
      <c r="A20" s="24" t="n"/>
      <c r="B20" s="29" t="n"/>
      <c r="C20" s="30" t="n"/>
      <c r="D20" s="31" t="n"/>
      <c r="E20" s="31" t="n"/>
      <c r="F20" s="31" t="n"/>
      <c r="G20" s="21" t="n"/>
      <c r="H20" s="31" t="n"/>
      <c r="I20" s="23" t="n"/>
      <c r="J20" s="31" t="n"/>
      <c r="K20" s="32" t="n"/>
      <c r="L20" s="32" t="n"/>
      <c r="M20" s="32" t="n"/>
      <c r="N20" s="33" t="str">
        <f>IF(AND(ISNUMBER(K20),ISNUMBER(L20),ISNUMBER(M20)),IF(OR(AND(F20="多",K20&gt;L20),AND(F20="空",K20&lt;L20)),ABS(M20-K20)/ABS(K20-L20),"止损方向不对"),"")</f>
        <v/>
      </c>
      <c r="O20" s="34" t="str">
        <f>IF(AND(ISNUMBER(K20),ISNUMBER(L20)),IF(K20=L20,"",IF(INT(ROUND('参数'!$C$7/(ABS(K20-L20)*1+2*K20*'参数'!$C$12)/IF(N(J20)&gt;0,J20,1),6))*IF(N(J20)&gt;0,J20,1)&gt;0,INT(ROUND('参数'!$C$7/(ABS(K20-L20)*1+2*K20*'参数'!$C$12)/IF(N(J20)&gt;0,J20,1),6))*IF(N(J20)&gt;0,J20,1),"预算不足，这笔不做")),"")</f>
        <v/>
      </c>
      <c r="P20" s="35" t="n"/>
      <c r="Q20" s="20" t="str">
        <f>IF(AND(ISNUMBER(K20),ISNUMBER(L20),ISNUMBER(P20)),IF(AND(K20&lt;&gt;L20,P20&gt;0),ABS(K20-L20)*P20*1,""),"")</f>
        <v/>
      </c>
      <c r="R20" s="20" t="str">
        <f>IF(AND(ISNUMBER(K20),ISNUMBER(P20)),K20*P20,"")</f>
        <v/>
      </c>
      <c r="S20" s="20" t="str">
        <f>IF(AND(D20="合约",ISNUMBER(R20),N(G20)&gt;0),R20/G20,"")</f>
        <v/>
      </c>
      <c r="T20" s="36" t="str">
        <f>IF(NOT(D20="合约"),"",IF(H20&lt;&gt;"逐仓","看平台",IF(AND(ISNUMBER(K20),N(G20)&gt;0),IF(F20="空",K20*(1+1/G20-IF(ISNUMBER(I20),I20,'参数'!$C$13)),K20*(1-1/G20+IF(ISNUMBER(I20),I20,'参数'!$C$13))),"")))</f>
        <v/>
      </c>
      <c r="U20" s="37" t="str">
        <f>IF(AND(ISNUMBER(T20),ISNUMBER(L20),ISNUMBER(K20)),IF(F20="空",T20-L20,L20-T20)/K20,"")</f>
        <v/>
      </c>
      <c r="V20" s="38" t="str">
        <f>IF(ISNUMBER(U20),IF(U20&lt;'参数'!$C$15,"先降杠杆或减量","在止损外"),"")</f>
        <v/>
      </c>
      <c r="W20" s="30" t="n"/>
      <c r="X20" s="31" t="n"/>
      <c r="Y20" s="39" t="str">
        <f>IF(N(AB20)&gt;0,SUMPRODUCT(LARGE(('成交明细'!$A$5:$A$804=A20)*('成交明细'!$D$5:$D$804=IF(F20="空","卖","买"))*'成交明细'!$B$5:$B$804,COUNTIFS('成交明细'!$A$5:$A$804,A20,'成交明细'!$D$5:$D$804,IF(F20="空","卖","买")))),"")</f>
        <v/>
      </c>
      <c r="Z20" s="39" t="str">
        <f>IF(AND(N(AB20)&gt;0,N(AD20)&gt;=N(AB20)),SUMPRODUCT(MAX(('成交明细'!$A$5:$A$804=A20)*('成交明细'!$D$5:$D$804=IF(F20="空","买","卖"))*'成交明细'!$B$5:$B$804)),"")</f>
        <v/>
      </c>
      <c r="AA20" s="40" t="str">
        <f>IF(N(AB20)=0,"",IF(SUMPRODUCT(('成交明细'!$A$5:$A$804=A20)*('成交明细'!$D$5:$D$804=IF(F20="空","卖","买"))*ISNUMBER('成交明细'!$C$5:$C$804))=0,"没填时间",IFERROR(VLOOKUP(MOD(SUMPRODUCT(LARGE(('成交明细'!$A$5:$A$804=A20)*('成交明细'!$D$5:$D$804=IF(F20="空","卖","买"))*('成交明细'!$B$5:$B$804+'成交明细'!$C$5:$C$804),COUNTIFS('成交明细'!$A$5:$A$804,A20,'成交明细'!$D$5:$D$804,IF(F20="空","卖","买")))),1),'参数'!$B$39:$C$48,2,TRUE),"")))</f>
        <v/>
      </c>
      <c r="AB20" s="34" t="str">
        <f>IF(A20="","",SUMIFS('成交明细'!$F$5:$F$804,'成交明细'!$A$5:$A$804,A20,'成交明细'!$D$5:$D$804,IF(F20="空","卖","买")))</f>
        <v/>
      </c>
      <c r="AC20" s="41" t="str">
        <f>IF(N(AB20)&gt;0,SUMIFS('成交明细'!$H$5:$H$804,'成交明细'!$A$5:$A$804,A20,'成交明细'!$D$5:$D$804,IF(F20="空","卖","买"))/AB20,"")</f>
        <v/>
      </c>
      <c r="AD20" s="34" t="str">
        <f>IF(A20="","",SUMIFS('成交明细'!$F$5:$F$804,'成交明细'!$A$5:$A$804,A20,'成交明细'!$D$5:$D$804,IF(F20="空","买","卖")))</f>
        <v/>
      </c>
      <c r="AE20" s="41" t="str">
        <f>IF(N(AD20)&gt;0,SUMIFS('成交明细'!$H$5:$H$804,'成交明细'!$A$5:$A$804,A20,'成交明细'!$D$5:$D$804,IF(F20="空","买","卖"))/AD20,"")</f>
        <v/>
      </c>
      <c r="AF20" s="38" t="str">
        <f>IF(A20="","",IF(X20&lt;&gt;"已执行",IF(X20="","未填执行情况",X20),IF(N(AB20)=0,"待录成交",IF(N(AD20)&gt;N(AB20),"平仓多于开仓",IF(N(AD20)&lt;N(AB20),"持仓中","已平仓")))))</f>
        <v/>
      </c>
      <c r="AG20" s="42" t="str">
        <f>IF(N(AB20)=0,"",SUMIFS('成交明细'!$L$5:$L$804,'成交明细'!$A$5:$A$804,A20))</f>
        <v/>
      </c>
      <c r="AH20" s="43" t="str">
        <f>IF(A20="","",SUMIFS('资金费流水'!$F$5:$F$604,'资金费流水'!$B$5:$B$604,A20))</f>
        <v/>
      </c>
      <c r="AI20" s="43" t="str">
        <f>IF(AF20&lt;&gt;"已平仓","",(SUMIFS('成交明细'!$H$5:$H$804,'成交明细'!$A$5:$A$804,A20,'成交明细'!$D$5:$D$804,"卖")-SUMIFS('成交明细'!$H$5:$H$804,'成交明细'!$A$5:$A$804,A20,'成交明细'!$D$5:$D$804,"买"))*1-AG20+N(AH20))</f>
        <v/>
      </c>
      <c r="AJ20" s="44" t="str">
        <f>IF(AND(AF20="已平仓",ISNUMBER(Q20)),(SUMIFS('成交明细'!$H$5:$H$804,'成交明细'!$A$5:$A$804,A20,'成交明细'!$D$5:$D$804,"卖")-SUMIFS('成交明细'!$H$5:$H$804,'成交明细'!$A$5:$A$804,A20,'成交明细'!$D$5:$D$804,"买"))*1/Q20,"")</f>
        <v/>
      </c>
      <c r="AK20" s="44" t="str">
        <f>IF(AND(AF20="已平仓",ISNUMBER(Q20)),AI20/Q20,"")</f>
        <v/>
      </c>
      <c r="AL20" s="45" t="str">
        <f>IF(AND(ISNUMBER(AC20),ISNUMBER(K20)),IF(F20="空",K20-AC20,AC20-K20),"")</f>
        <v/>
      </c>
      <c r="AM20" s="45" t="str">
        <f>IF(OR(NOT(ISNUMBER(AI20)),NOT(ISNUMBER(AE20))),"",IF(AI20&lt;0,IF(F20="空",AE20-L20,L20-AE20),IF(NOT(ISNUMBER(M20)),"",IF(F20="空",AE20-M20,M20-AE20))))</f>
        <v/>
      </c>
      <c r="AN20" s="31" t="n"/>
      <c r="AO20" s="31" t="n"/>
      <c r="AP20" s="30" t="n"/>
      <c r="AQ20" s="44" t="str">
        <f>IF(A20="","",SUM(AK$5:AK20))</f>
        <v/>
      </c>
      <c r="AR20" s="46" t="str">
        <f>IF(A20="","",MAX(0,MAX(AQ$5:AQ20))-AQ20)</f>
        <v/>
      </c>
    </row>
    <row r="21">
      <c r="A21" s="24" t="n"/>
      <c r="B21" s="29" t="n"/>
      <c r="C21" s="30" t="n"/>
      <c r="D21" s="31" t="n"/>
      <c r="E21" s="31" t="n"/>
      <c r="F21" s="31" t="n"/>
      <c r="G21" s="21" t="n"/>
      <c r="H21" s="31" t="n"/>
      <c r="I21" s="23" t="n"/>
      <c r="J21" s="31" t="n"/>
      <c r="K21" s="32" t="n"/>
      <c r="L21" s="32" t="n"/>
      <c r="M21" s="32" t="n"/>
      <c r="N21" s="33" t="str">
        <f>IF(AND(ISNUMBER(K21),ISNUMBER(L21),ISNUMBER(M21)),IF(OR(AND(F21="多",K21&gt;L21),AND(F21="空",K21&lt;L21)),ABS(M21-K21)/ABS(K21-L21),"止损方向不对"),"")</f>
        <v/>
      </c>
      <c r="O21" s="34" t="str">
        <f>IF(AND(ISNUMBER(K21),ISNUMBER(L21)),IF(K21=L21,"",IF(INT(ROUND('参数'!$C$7/(ABS(K21-L21)*1+2*K21*'参数'!$C$12)/IF(N(J21)&gt;0,J21,1),6))*IF(N(J21)&gt;0,J21,1)&gt;0,INT(ROUND('参数'!$C$7/(ABS(K21-L21)*1+2*K21*'参数'!$C$12)/IF(N(J21)&gt;0,J21,1),6))*IF(N(J21)&gt;0,J21,1),"预算不足，这笔不做")),"")</f>
        <v/>
      </c>
      <c r="P21" s="35" t="n"/>
      <c r="Q21" s="20" t="str">
        <f>IF(AND(ISNUMBER(K21),ISNUMBER(L21),ISNUMBER(P21)),IF(AND(K21&lt;&gt;L21,P21&gt;0),ABS(K21-L21)*P21*1,""),"")</f>
        <v/>
      </c>
      <c r="R21" s="20" t="str">
        <f>IF(AND(ISNUMBER(K21),ISNUMBER(P21)),K21*P21,"")</f>
        <v/>
      </c>
      <c r="S21" s="20" t="str">
        <f>IF(AND(D21="合约",ISNUMBER(R21),N(G21)&gt;0),R21/G21,"")</f>
        <v/>
      </c>
      <c r="T21" s="36" t="str">
        <f>IF(NOT(D21="合约"),"",IF(H21&lt;&gt;"逐仓","看平台",IF(AND(ISNUMBER(K21),N(G21)&gt;0),IF(F21="空",K21*(1+1/G21-IF(ISNUMBER(I21),I21,'参数'!$C$13)),K21*(1-1/G21+IF(ISNUMBER(I21),I21,'参数'!$C$13))),"")))</f>
        <v/>
      </c>
      <c r="U21" s="37" t="str">
        <f>IF(AND(ISNUMBER(T21),ISNUMBER(L21),ISNUMBER(K21)),IF(F21="空",T21-L21,L21-T21)/K21,"")</f>
        <v/>
      </c>
      <c r="V21" s="38" t="str">
        <f>IF(ISNUMBER(U21),IF(U21&lt;'参数'!$C$15,"先降杠杆或减量","在止损外"),"")</f>
        <v/>
      </c>
      <c r="W21" s="30" t="n"/>
      <c r="X21" s="31" t="n"/>
      <c r="Y21" s="39" t="str">
        <f>IF(N(AB21)&gt;0,SUMPRODUCT(LARGE(('成交明细'!$A$5:$A$804=A21)*('成交明细'!$D$5:$D$804=IF(F21="空","卖","买"))*'成交明细'!$B$5:$B$804,COUNTIFS('成交明细'!$A$5:$A$804,A21,'成交明细'!$D$5:$D$804,IF(F21="空","卖","买")))),"")</f>
        <v/>
      </c>
      <c r="Z21" s="39" t="str">
        <f>IF(AND(N(AB21)&gt;0,N(AD21)&gt;=N(AB21)),SUMPRODUCT(MAX(('成交明细'!$A$5:$A$804=A21)*('成交明细'!$D$5:$D$804=IF(F21="空","买","卖"))*'成交明细'!$B$5:$B$804)),"")</f>
        <v/>
      </c>
      <c r="AA21" s="40" t="str">
        <f>IF(N(AB21)=0,"",IF(SUMPRODUCT(('成交明细'!$A$5:$A$804=A21)*('成交明细'!$D$5:$D$804=IF(F21="空","卖","买"))*ISNUMBER('成交明细'!$C$5:$C$804))=0,"没填时间",IFERROR(VLOOKUP(MOD(SUMPRODUCT(LARGE(('成交明细'!$A$5:$A$804=A21)*('成交明细'!$D$5:$D$804=IF(F21="空","卖","买"))*('成交明细'!$B$5:$B$804+'成交明细'!$C$5:$C$804),COUNTIFS('成交明细'!$A$5:$A$804,A21,'成交明细'!$D$5:$D$804,IF(F21="空","卖","买")))),1),'参数'!$B$39:$C$48,2,TRUE),"")))</f>
        <v/>
      </c>
      <c r="AB21" s="34" t="str">
        <f>IF(A21="","",SUMIFS('成交明细'!$F$5:$F$804,'成交明细'!$A$5:$A$804,A21,'成交明细'!$D$5:$D$804,IF(F21="空","卖","买")))</f>
        <v/>
      </c>
      <c r="AC21" s="41" t="str">
        <f>IF(N(AB21)&gt;0,SUMIFS('成交明细'!$H$5:$H$804,'成交明细'!$A$5:$A$804,A21,'成交明细'!$D$5:$D$804,IF(F21="空","卖","买"))/AB21,"")</f>
        <v/>
      </c>
      <c r="AD21" s="34" t="str">
        <f>IF(A21="","",SUMIFS('成交明细'!$F$5:$F$804,'成交明细'!$A$5:$A$804,A21,'成交明细'!$D$5:$D$804,IF(F21="空","买","卖")))</f>
        <v/>
      </c>
      <c r="AE21" s="41" t="str">
        <f>IF(N(AD21)&gt;0,SUMIFS('成交明细'!$H$5:$H$804,'成交明细'!$A$5:$A$804,A21,'成交明细'!$D$5:$D$804,IF(F21="空","买","卖"))/AD21,"")</f>
        <v/>
      </c>
      <c r="AF21" s="38" t="str">
        <f>IF(A21="","",IF(X21&lt;&gt;"已执行",IF(X21="","未填执行情况",X21),IF(N(AB21)=0,"待录成交",IF(N(AD21)&gt;N(AB21),"平仓多于开仓",IF(N(AD21)&lt;N(AB21),"持仓中","已平仓")))))</f>
        <v/>
      </c>
      <c r="AG21" s="42" t="str">
        <f>IF(N(AB21)=0,"",SUMIFS('成交明细'!$L$5:$L$804,'成交明细'!$A$5:$A$804,A21))</f>
        <v/>
      </c>
      <c r="AH21" s="43" t="str">
        <f>IF(A21="","",SUMIFS('资金费流水'!$F$5:$F$604,'资金费流水'!$B$5:$B$604,A21))</f>
        <v/>
      </c>
      <c r="AI21" s="43" t="str">
        <f>IF(AF21&lt;&gt;"已平仓","",(SUMIFS('成交明细'!$H$5:$H$804,'成交明细'!$A$5:$A$804,A21,'成交明细'!$D$5:$D$804,"卖")-SUMIFS('成交明细'!$H$5:$H$804,'成交明细'!$A$5:$A$804,A21,'成交明细'!$D$5:$D$804,"买"))*1-AG21+N(AH21))</f>
        <v/>
      </c>
      <c r="AJ21" s="44" t="str">
        <f>IF(AND(AF21="已平仓",ISNUMBER(Q21)),(SUMIFS('成交明细'!$H$5:$H$804,'成交明细'!$A$5:$A$804,A21,'成交明细'!$D$5:$D$804,"卖")-SUMIFS('成交明细'!$H$5:$H$804,'成交明细'!$A$5:$A$804,A21,'成交明细'!$D$5:$D$804,"买"))*1/Q21,"")</f>
        <v/>
      </c>
      <c r="AK21" s="44" t="str">
        <f>IF(AND(AF21="已平仓",ISNUMBER(Q21)),AI21/Q21,"")</f>
        <v/>
      </c>
      <c r="AL21" s="45" t="str">
        <f>IF(AND(ISNUMBER(AC21),ISNUMBER(K21)),IF(F21="空",K21-AC21,AC21-K21),"")</f>
        <v/>
      </c>
      <c r="AM21" s="45" t="str">
        <f>IF(OR(NOT(ISNUMBER(AI21)),NOT(ISNUMBER(AE21))),"",IF(AI21&lt;0,IF(F21="空",AE21-L21,L21-AE21),IF(NOT(ISNUMBER(M21)),"",IF(F21="空",AE21-M21,M21-AE21))))</f>
        <v/>
      </c>
      <c r="AN21" s="31" t="n"/>
      <c r="AO21" s="31" t="n"/>
      <c r="AP21" s="30" t="n"/>
      <c r="AQ21" s="44" t="str">
        <f>IF(A21="","",SUM(AK$5:AK21))</f>
        <v/>
      </c>
      <c r="AR21" s="46" t="str">
        <f>IF(A21="","",MAX(0,MAX(AQ$5:AQ21))-AQ21)</f>
        <v/>
      </c>
    </row>
    <row r="22">
      <c r="A22" s="24" t="n"/>
      <c r="B22" s="29" t="n"/>
      <c r="C22" s="30" t="n"/>
      <c r="D22" s="31" t="n"/>
      <c r="E22" s="31" t="n"/>
      <c r="F22" s="31" t="n"/>
      <c r="G22" s="21" t="n"/>
      <c r="H22" s="31" t="n"/>
      <c r="I22" s="23" t="n"/>
      <c r="J22" s="31" t="n"/>
      <c r="K22" s="32" t="n"/>
      <c r="L22" s="32" t="n"/>
      <c r="M22" s="32" t="n"/>
      <c r="N22" s="33" t="str">
        <f>IF(AND(ISNUMBER(K22),ISNUMBER(L22),ISNUMBER(M22)),IF(OR(AND(F22="多",K22&gt;L22),AND(F22="空",K22&lt;L22)),ABS(M22-K22)/ABS(K22-L22),"止损方向不对"),"")</f>
        <v/>
      </c>
      <c r="O22" s="34" t="str">
        <f>IF(AND(ISNUMBER(K22),ISNUMBER(L22)),IF(K22=L22,"",IF(INT(ROUND('参数'!$C$7/(ABS(K22-L22)*1+2*K22*'参数'!$C$12)/IF(N(J22)&gt;0,J22,1),6))*IF(N(J22)&gt;0,J22,1)&gt;0,INT(ROUND('参数'!$C$7/(ABS(K22-L22)*1+2*K22*'参数'!$C$12)/IF(N(J22)&gt;0,J22,1),6))*IF(N(J22)&gt;0,J22,1),"预算不足，这笔不做")),"")</f>
        <v/>
      </c>
      <c r="P22" s="35" t="n"/>
      <c r="Q22" s="20" t="str">
        <f>IF(AND(ISNUMBER(K22),ISNUMBER(L22),ISNUMBER(P22)),IF(AND(K22&lt;&gt;L22,P22&gt;0),ABS(K22-L22)*P22*1,""),"")</f>
        <v/>
      </c>
      <c r="R22" s="20" t="str">
        <f>IF(AND(ISNUMBER(K22),ISNUMBER(P22)),K22*P22,"")</f>
        <v/>
      </c>
      <c r="S22" s="20" t="str">
        <f>IF(AND(D22="合约",ISNUMBER(R22),N(G22)&gt;0),R22/G22,"")</f>
        <v/>
      </c>
      <c r="T22" s="36" t="str">
        <f>IF(NOT(D22="合约"),"",IF(H22&lt;&gt;"逐仓","看平台",IF(AND(ISNUMBER(K22),N(G22)&gt;0),IF(F22="空",K22*(1+1/G22-IF(ISNUMBER(I22),I22,'参数'!$C$13)),K22*(1-1/G22+IF(ISNUMBER(I22),I22,'参数'!$C$13))),"")))</f>
        <v/>
      </c>
      <c r="U22" s="37" t="str">
        <f>IF(AND(ISNUMBER(T22),ISNUMBER(L22),ISNUMBER(K22)),IF(F22="空",T22-L22,L22-T22)/K22,"")</f>
        <v/>
      </c>
      <c r="V22" s="38" t="str">
        <f>IF(ISNUMBER(U22),IF(U22&lt;'参数'!$C$15,"先降杠杆或减量","在止损外"),"")</f>
        <v/>
      </c>
      <c r="W22" s="30" t="n"/>
      <c r="X22" s="31" t="n"/>
      <c r="Y22" s="39" t="str">
        <f>IF(N(AB22)&gt;0,SUMPRODUCT(LARGE(('成交明细'!$A$5:$A$804=A22)*('成交明细'!$D$5:$D$804=IF(F22="空","卖","买"))*'成交明细'!$B$5:$B$804,COUNTIFS('成交明细'!$A$5:$A$804,A22,'成交明细'!$D$5:$D$804,IF(F22="空","卖","买")))),"")</f>
        <v/>
      </c>
      <c r="Z22" s="39" t="str">
        <f>IF(AND(N(AB22)&gt;0,N(AD22)&gt;=N(AB22)),SUMPRODUCT(MAX(('成交明细'!$A$5:$A$804=A22)*('成交明细'!$D$5:$D$804=IF(F22="空","买","卖"))*'成交明细'!$B$5:$B$804)),"")</f>
        <v/>
      </c>
      <c r="AA22" s="40" t="str">
        <f>IF(N(AB22)=0,"",IF(SUMPRODUCT(('成交明细'!$A$5:$A$804=A22)*('成交明细'!$D$5:$D$804=IF(F22="空","卖","买"))*ISNUMBER('成交明细'!$C$5:$C$804))=0,"没填时间",IFERROR(VLOOKUP(MOD(SUMPRODUCT(LARGE(('成交明细'!$A$5:$A$804=A22)*('成交明细'!$D$5:$D$804=IF(F22="空","卖","买"))*('成交明细'!$B$5:$B$804+'成交明细'!$C$5:$C$804),COUNTIFS('成交明细'!$A$5:$A$804,A22,'成交明细'!$D$5:$D$804,IF(F22="空","卖","买")))),1),'参数'!$B$39:$C$48,2,TRUE),"")))</f>
        <v/>
      </c>
      <c r="AB22" s="34" t="str">
        <f>IF(A22="","",SUMIFS('成交明细'!$F$5:$F$804,'成交明细'!$A$5:$A$804,A22,'成交明细'!$D$5:$D$804,IF(F22="空","卖","买")))</f>
        <v/>
      </c>
      <c r="AC22" s="41" t="str">
        <f>IF(N(AB22)&gt;0,SUMIFS('成交明细'!$H$5:$H$804,'成交明细'!$A$5:$A$804,A22,'成交明细'!$D$5:$D$804,IF(F22="空","卖","买"))/AB22,"")</f>
        <v/>
      </c>
      <c r="AD22" s="34" t="str">
        <f>IF(A22="","",SUMIFS('成交明细'!$F$5:$F$804,'成交明细'!$A$5:$A$804,A22,'成交明细'!$D$5:$D$804,IF(F22="空","买","卖")))</f>
        <v/>
      </c>
      <c r="AE22" s="41" t="str">
        <f>IF(N(AD22)&gt;0,SUMIFS('成交明细'!$H$5:$H$804,'成交明细'!$A$5:$A$804,A22,'成交明细'!$D$5:$D$804,IF(F22="空","买","卖"))/AD22,"")</f>
        <v/>
      </c>
      <c r="AF22" s="38" t="str">
        <f>IF(A22="","",IF(X22&lt;&gt;"已执行",IF(X22="","未填执行情况",X22),IF(N(AB22)=0,"待录成交",IF(N(AD22)&gt;N(AB22),"平仓多于开仓",IF(N(AD22)&lt;N(AB22),"持仓中","已平仓")))))</f>
        <v/>
      </c>
      <c r="AG22" s="42" t="str">
        <f>IF(N(AB22)=0,"",SUMIFS('成交明细'!$L$5:$L$804,'成交明细'!$A$5:$A$804,A22))</f>
        <v/>
      </c>
      <c r="AH22" s="43" t="str">
        <f>IF(A22="","",SUMIFS('资金费流水'!$F$5:$F$604,'资金费流水'!$B$5:$B$604,A22))</f>
        <v/>
      </c>
      <c r="AI22" s="43" t="str">
        <f>IF(AF22&lt;&gt;"已平仓","",(SUMIFS('成交明细'!$H$5:$H$804,'成交明细'!$A$5:$A$804,A22,'成交明细'!$D$5:$D$804,"卖")-SUMIFS('成交明细'!$H$5:$H$804,'成交明细'!$A$5:$A$804,A22,'成交明细'!$D$5:$D$804,"买"))*1-AG22+N(AH22))</f>
        <v/>
      </c>
      <c r="AJ22" s="44" t="str">
        <f>IF(AND(AF22="已平仓",ISNUMBER(Q22)),(SUMIFS('成交明细'!$H$5:$H$804,'成交明细'!$A$5:$A$804,A22,'成交明细'!$D$5:$D$804,"卖")-SUMIFS('成交明细'!$H$5:$H$804,'成交明细'!$A$5:$A$804,A22,'成交明细'!$D$5:$D$804,"买"))*1/Q22,"")</f>
        <v/>
      </c>
      <c r="AK22" s="44" t="str">
        <f>IF(AND(AF22="已平仓",ISNUMBER(Q22)),AI22/Q22,"")</f>
        <v/>
      </c>
      <c r="AL22" s="45" t="str">
        <f>IF(AND(ISNUMBER(AC22),ISNUMBER(K22)),IF(F22="空",K22-AC22,AC22-K22),"")</f>
        <v/>
      </c>
      <c r="AM22" s="45" t="str">
        <f>IF(OR(NOT(ISNUMBER(AI22)),NOT(ISNUMBER(AE22))),"",IF(AI22&lt;0,IF(F22="空",AE22-L22,L22-AE22),IF(NOT(ISNUMBER(M22)),"",IF(F22="空",AE22-M22,M22-AE22))))</f>
        <v/>
      </c>
      <c r="AN22" s="31" t="n"/>
      <c r="AO22" s="31" t="n"/>
      <c r="AP22" s="30" t="n"/>
      <c r="AQ22" s="44" t="str">
        <f>IF(A22="","",SUM(AK$5:AK22))</f>
        <v/>
      </c>
      <c r="AR22" s="46" t="str">
        <f>IF(A22="","",MAX(0,MAX(AQ$5:AQ22))-AQ22)</f>
        <v/>
      </c>
    </row>
    <row r="23">
      <c r="A23" s="24" t="n"/>
      <c r="B23" s="29" t="n"/>
      <c r="C23" s="30" t="n"/>
      <c r="D23" s="31" t="n"/>
      <c r="E23" s="31" t="n"/>
      <c r="F23" s="31" t="n"/>
      <c r="G23" s="21" t="n"/>
      <c r="H23" s="31" t="n"/>
      <c r="I23" s="23" t="n"/>
      <c r="J23" s="31" t="n"/>
      <c r="K23" s="32" t="n"/>
      <c r="L23" s="32" t="n"/>
      <c r="M23" s="32" t="n"/>
      <c r="N23" s="33" t="str">
        <f>IF(AND(ISNUMBER(K23),ISNUMBER(L23),ISNUMBER(M23)),IF(OR(AND(F23="多",K23&gt;L23),AND(F23="空",K23&lt;L23)),ABS(M23-K23)/ABS(K23-L23),"止损方向不对"),"")</f>
        <v/>
      </c>
      <c r="O23" s="34" t="str">
        <f>IF(AND(ISNUMBER(K23),ISNUMBER(L23)),IF(K23=L23,"",IF(INT(ROUND('参数'!$C$7/(ABS(K23-L23)*1+2*K23*'参数'!$C$12)/IF(N(J23)&gt;0,J23,1),6))*IF(N(J23)&gt;0,J23,1)&gt;0,INT(ROUND('参数'!$C$7/(ABS(K23-L23)*1+2*K23*'参数'!$C$12)/IF(N(J23)&gt;0,J23,1),6))*IF(N(J23)&gt;0,J23,1),"预算不足，这笔不做")),"")</f>
        <v/>
      </c>
      <c r="P23" s="35" t="n"/>
      <c r="Q23" s="20" t="str">
        <f>IF(AND(ISNUMBER(K23),ISNUMBER(L23),ISNUMBER(P23)),IF(AND(K23&lt;&gt;L23,P23&gt;0),ABS(K23-L23)*P23*1,""),"")</f>
        <v/>
      </c>
      <c r="R23" s="20" t="str">
        <f>IF(AND(ISNUMBER(K23),ISNUMBER(P23)),K23*P23,"")</f>
        <v/>
      </c>
      <c r="S23" s="20" t="str">
        <f>IF(AND(D23="合约",ISNUMBER(R23),N(G23)&gt;0),R23/G23,"")</f>
        <v/>
      </c>
      <c r="T23" s="36" t="str">
        <f>IF(NOT(D23="合约"),"",IF(H23&lt;&gt;"逐仓","看平台",IF(AND(ISNUMBER(K23),N(G23)&gt;0),IF(F23="空",K23*(1+1/G23-IF(ISNUMBER(I23),I23,'参数'!$C$13)),K23*(1-1/G23+IF(ISNUMBER(I23),I23,'参数'!$C$13))),"")))</f>
        <v/>
      </c>
      <c r="U23" s="37" t="str">
        <f>IF(AND(ISNUMBER(T23),ISNUMBER(L23),ISNUMBER(K23)),IF(F23="空",T23-L23,L23-T23)/K23,"")</f>
        <v/>
      </c>
      <c r="V23" s="38" t="str">
        <f>IF(ISNUMBER(U23),IF(U23&lt;'参数'!$C$15,"先降杠杆或减量","在止损外"),"")</f>
        <v/>
      </c>
      <c r="W23" s="30" t="n"/>
      <c r="X23" s="31" t="n"/>
      <c r="Y23" s="39" t="str">
        <f>IF(N(AB23)&gt;0,SUMPRODUCT(LARGE(('成交明细'!$A$5:$A$804=A23)*('成交明细'!$D$5:$D$804=IF(F23="空","卖","买"))*'成交明细'!$B$5:$B$804,COUNTIFS('成交明细'!$A$5:$A$804,A23,'成交明细'!$D$5:$D$804,IF(F23="空","卖","买")))),"")</f>
        <v/>
      </c>
      <c r="Z23" s="39" t="str">
        <f>IF(AND(N(AB23)&gt;0,N(AD23)&gt;=N(AB23)),SUMPRODUCT(MAX(('成交明细'!$A$5:$A$804=A23)*('成交明细'!$D$5:$D$804=IF(F23="空","买","卖"))*'成交明细'!$B$5:$B$804)),"")</f>
        <v/>
      </c>
      <c r="AA23" s="40" t="str">
        <f>IF(N(AB23)=0,"",IF(SUMPRODUCT(('成交明细'!$A$5:$A$804=A23)*('成交明细'!$D$5:$D$804=IF(F23="空","卖","买"))*ISNUMBER('成交明细'!$C$5:$C$804))=0,"没填时间",IFERROR(VLOOKUP(MOD(SUMPRODUCT(LARGE(('成交明细'!$A$5:$A$804=A23)*('成交明细'!$D$5:$D$804=IF(F23="空","卖","买"))*('成交明细'!$B$5:$B$804+'成交明细'!$C$5:$C$804),COUNTIFS('成交明细'!$A$5:$A$804,A23,'成交明细'!$D$5:$D$804,IF(F23="空","卖","买")))),1),'参数'!$B$39:$C$48,2,TRUE),"")))</f>
        <v/>
      </c>
      <c r="AB23" s="34" t="str">
        <f>IF(A23="","",SUMIFS('成交明细'!$F$5:$F$804,'成交明细'!$A$5:$A$804,A23,'成交明细'!$D$5:$D$804,IF(F23="空","卖","买")))</f>
        <v/>
      </c>
      <c r="AC23" s="41" t="str">
        <f>IF(N(AB23)&gt;0,SUMIFS('成交明细'!$H$5:$H$804,'成交明细'!$A$5:$A$804,A23,'成交明细'!$D$5:$D$804,IF(F23="空","卖","买"))/AB23,"")</f>
        <v/>
      </c>
      <c r="AD23" s="34" t="str">
        <f>IF(A23="","",SUMIFS('成交明细'!$F$5:$F$804,'成交明细'!$A$5:$A$804,A23,'成交明细'!$D$5:$D$804,IF(F23="空","买","卖")))</f>
        <v/>
      </c>
      <c r="AE23" s="41" t="str">
        <f>IF(N(AD23)&gt;0,SUMIFS('成交明细'!$H$5:$H$804,'成交明细'!$A$5:$A$804,A23,'成交明细'!$D$5:$D$804,IF(F23="空","买","卖"))/AD23,"")</f>
        <v/>
      </c>
      <c r="AF23" s="38" t="str">
        <f>IF(A23="","",IF(X23&lt;&gt;"已执行",IF(X23="","未填执行情况",X23),IF(N(AB23)=0,"待录成交",IF(N(AD23)&gt;N(AB23),"平仓多于开仓",IF(N(AD23)&lt;N(AB23),"持仓中","已平仓")))))</f>
        <v/>
      </c>
      <c r="AG23" s="42" t="str">
        <f>IF(N(AB23)=0,"",SUMIFS('成交明细'!$L$5:$L$804,'成交明细'!$A$5:$A$804,A23))</f>
        <v/>
      </c>
      <c r="AH23" s="43" t="str">
        <f>IF(A23="","",SUMIFS('资金费流水'!$F$5:$F$604,'资金费流水'!$B$5:$B$604,A23))</f>
        <v/>
      </c>
      <c r="AI23" s="43" t="str">
        <f>IF(AF23&lt;&gt;"已平仓","",(SUMIFS('成交明细'!$H$5:$H$804,'成交明细'!$A$5:$A$804,A23,'成交明细'!$D$5:$D$804,"卖")-SUMIFS('成交明细'!$H$5:$H$804,'成交明细'!$A$5:$A$804,A23,'成交明细'!$D$5:$D$804,"买"))*1-AG23+N(AH23))</f>
        <v/>
      </c>
      <c r="AJ23" s="44" t="str">
        <f>IF(AND(AF23="已平仓",ISNUMBER(Q23)),(SUMIFS('成交明细'!$H$5:$H$804,'成交明细'!$A$5:$A$804,A23,'成交明细'!$D$5:$D$804,"卖")-SUMIFS('成交明细'!$H$5:$H$804,'成交明细'!$A$5:$A$804,A23,'成交明细'!$D$5:$D$804,"买"))*1/Q23,"")</f>
        <v/>
      </c>
      <c r="AK23" s="44" t="str">
        <f>IF(AND(AF23="已平仓",ISNUMBER(Q23)),AI23/Q23,"")</f>
        <v/>
      </c>
      <c r="AL23" s="45" t="str">
        <f>IF(AND(ISNUMBER(AC23),ISNUMBER(K23)),IF(F23="空",K23-AC23,AC23-K23),"")</f>
        <v/>
      </c>
      <c r="AM23" s="45" t="str">
        <f>IF(OR(NOT(ISNUMBER(AI23)),NOT(ISNUMBER(AE23))),"",IF(AI23&lt;0,IF(F23="空",AE23-L23,L23-AE23),IF(NOT(ISNUMBER(M23)),"",IF(F23="空",AE23-M23,M23-AE23))))</f>
        <v/>
      </c>
      <c r="AN23" s="31" t="n"/>
      <c r="AO23" s="31" t="n"/>
      <c r="AP23" s="30" t="n"/>
      <c r="AQ23" s="44" t="str">
        <f>IF(A23="","",SUM(AK$5:AK23))</f>
        <v/>
      </c>
      <c r="AR23" s="46" t="str">
        <f>IF(A23="","",MAX(0,MAX(AQ$5:AQ23))-AQ23)</f>
        <v/>
      </c>
    </row>
    <row r="24">
      <c r="A24" s="24" t="n"/>
      <c r="B24" s="29" t="n"/>
      <c r="C24" s="30" t="n"/>
      <c r="D24" s="31" t="n"/>
      <c r="E24" s="31" t="n"/>
      <c r="F24" s="31" t="n"/>
      <c r="G24" s="21" t="n"/>
      <c r="H24" s="31" t="n"/>
      <c r="I24" s="23" t="n"/>
      <c r="J24" s="31" t="n"/>
      <c r="K24" s="32" t="n"/>
      <c r="L24" s="32" t="n"/>
      <c r="M24" s="32" t="n"/>
      <c r="N24" s="33" t="str">
        <f>IF(AND(ISNUMBER(K24),ISNUMBER(L24),ISNUMBER(M24)),IF(OR(AND(F24="多",K24&gt;L24),AND(F24="空",K24&lt;L24)),ABS(M24-K24)/ABS(K24-L24),"止损方向不对"),"")</f>
        <v/>
      </c>
      <c r="O24" s="34" t="str">
        <f>IF(AND(ISNUMBER(K24),ISNUMBER(L24)),IF(K24=L24,"",IF(INT(ROUND('参数'!$C$7/(ABS(K24-L24)*1+2*K24*'参数'!$C$12)/IF(N(J24)&gt;0,J24,1),6))*IF(N(J24)&gt;0,J24,1)&gt;0,INT(ROUND('参数'!$C$7/(ABS(K24-L24)*1+2*K24*'参数'!$C$12)/IF(N(J24)&gt;0,J24,1),6))*IF(N(J24)&gt;0,J24,1),"预算不足，这笔不做")),"")</f>
        <v/>
      </c>
      <c r="P24" s="35" t="n"/>
      <c r="Q24" s="20" t="str">
        <f>IF(AND(ISNUMBER(K24),ISNUMBER(L24),ISNUMBER(P24)),IF(AND(K24&lt;&gt;L24,P24&gt;0),ABS(K24-L24)*P24*1,""),"")</f>
        <v/>
      </c>
      <c r="R24" s="20" t="str">
        <f>IF(AND(ISNUMBER(K24),ISNUMBER(P24)),K24*P24,"")</f>
        <v/>
      </c>
      <c r="S24" s="20" t="str">
        <f>IF(AND(D24="合约",ISNUMBER(R24),N(G24)&gt;0),R24/G24,"")</f>
        <v/>
      </c>
      <c r="T24" s="36" t="str">
        <f>IF(NOT(D24="合约"),"",IF(H24&lt;&gt;"逐仓","看平台",IF(AND(ISNUMBER(K24),N(G24)&gt;0),IF(F24="空",K24*(1+1/G24-IF(ISNUMBER(I24),I24,'参数'!$C$13)),K24*(1-1/G24+IF(ISNUMBER(I24),I24,'参数'!$C$13))),"")))</f>
        <v/>
      </c>
      <c r="U24" s="37" t="str">
        <f>IF(AND(ISNUMBER(T24),ISNUMBER(L24),ISNUMBER(K24)),IF(F24="空",T24-L24,L24-T24)/K24,"")</f>
        <v/>
      </c>
      <c r="V24" s="38" t="str">
        <f>IF(ISNUMBER(U24),IF(U24&lt;'参数'!$C$15,"先降杠杆或减量","在止损外"),"")</f>
        <v/>
      </c>
      <c r="W24" s="30" t="n"/>
      <c r="X24" s="31" t="n"/>
      <c r="Y24" s="39" t="str">
        <f>IF(N(AB24)&gt;0,SUMPRODUCT(LARGE(('成交明细'!$A$5:$A$804=A24)*('成交明细'!$D$5:$D$804=IF(F24="空","卖","买"))*'成交明细'!$B$5:$B$804,COUNTIFS('成交明细'!$A$5:$A$804,A24,'成交明细'!$D$5:$D$804,IF(F24="空","卖","买")))),"")</f>
        <v/>
      </c>
      <c r="Z24" s="39" t="str">
        <f>IF(AND(N(AB24)&gt;0,N(AD24)&gt;=N(AB24)),SUMPRODUCT(MAX(('成交明细'!$A$5:$A$804=A24)*('成交明细'!$D$5:$D$804=IF(F24="空","买","卖"))*'成交明细'!$B$5:$B$804)),"")</f>
        <v/>
      </c>
      <c r="AA24" s="40" t="str">
        <f>IF(N(AB24)=0,"",IF(SUMPRODUCT(('成交明细'!$A$5:$A$804=A24)*('成交明细'!$D$5:$D$804=IF(F24="空","卖","买"))*ISNUMBER('成交明细'!$C$5:$C$804))=0,"没填时间",IFERROR(VLOOKUP(MOD(SUMPRODUCT(LARGE(('成交明细'!$A$5:$A$804=A24)*('成交明细'!$D$5:$D$804=IF(F24="空","卖","买"))*('成交明细'!$B$5:$B$804+'成交明细'!$C$5:$C$804),COUNTIFS('成交明细'!$A$5:$A$804,A24,'成交明细'!$D$5:$D$804,IF(F24="空","卖","买")))),1),'参数'!$B$39:$C$48,2,TRUE),"")))</f>
        <v/>
      </c>
      <c r="AB24" s="34" t="str">
        <f>IF(A24="","",SUMIFS('成交明细'!$F$5:$F$804,'成交明细'!$A$5:$A$804,A24,'成交明细'!$D$5:$D$804,IF(F24="空","卖","买")))</f>
        <v/>
      </c>
      <c r="AC24" s="41" t="str">
        <f>IF(N(AB24)&gt;0,SUMIFS('成交明细'!$H$5:$H$804,'成交明细'!$A$5:$A$804,A24,'成交明细'!$D$5:$D$804,IF(F24="空","卖","买"))/AB24,"")</f>
        <v/>
      </c>
      <c r="AD24" s="34" t="str">
        <f>IF(A24="","",SUMIFS('成交明细'!$F$5:$F$804,'成交明细'!$A$5:$A$804,A24,'成交明细'!$D$5:$D$804,IF(F24="空","买","卖")))</f>
        <v/>
      </c>
      <c r="AE24" s="41" t="str">
        <f>IF(N(AD24)&gt;0,SUMIFS('成交明细'!$H$5:$H$804,'成交明细'!$A$5:$A$804,A24,'成交明细'!$D$5:$D$804,IF(F24="空","买","卖"))/AD24,"")</f>
        <v/>
      </c>
      <c r="AF24" s="38" t="str">
        <f>IF(A24="","",IF(X24&lt;&gt;"已执行",IF(X24="","未填执行情况",X24),IF(N(AB24)=0,"待录成交",IF(N(AD24)&gt;N(AB24),"平仓多于开仓",IF(N(AD24)&lt;N(AB24),"持仓中","已平仓")))))</f>
        <v/>
      </c>
      <c r="AG24" s="42" t="str">
        <f>IF(N(AB24)=0,"",SUMIFS('成交明细'!$L$5:$L$804,'成交明细'!$A$5:$A$804,A24))</f>
        <v/>
      </c>
      <c r="AH24" s="43" t="str">
        <f>IF(A24="","",SUMIFS('资金费流水'!$F$5:$F$604,'资金费流水'!$B$5:$B$604,A24))</f>
        <v/>
      </c>
      <c r="AI24" s="43" t="str">
        <f>IF(AF24&lt;&gt;"已平仓","",(SUMIFS('成交明细'!$H$5:$H$804,'成交明细'!$A$5:$A$804,A24,'成交明细'!$D$5:$D$804,"卖")-SUMIFS('成交明细'!$H$5:$H$804,'成交明细'!$A$5:$A$804,A24,'成交明细'!$D$5:$D$804,"买"))*1-AG24+N(AH24))</f>
        <v/>
      </c>
      <c r="AJ24" s="44" t="str">
        <f>IF(AND(AF24="已平仓",ISNUMBER(Q24)),(SUMIFS('成交明细'!$H$5:$H$804,'成交明细'!$A$5:$A$804,A24,'成交明细'!$D$5:$D$804,"卖")-SUMIFS('成交明细'!$H$5:$H$804,'成交明细'!$A$5:$A$804,A24,'成交明细'!$D$5:$D$804,"买"))*1/Q24,"")</f>
        <v/>
      </c>
      <c r="AK24" s="44" t="str">
        <f>IF(AND(AF24="已平仓",ISNUMBER(Q24)),AI24/Q24,"")</f>
        <v/>
      </c>
      <c r="AL24" s="45" t="str">
        <f>IF(AND(ISNUMBER(AC24),ISNUMBER(K24)),IF(F24="空",K24-AC24,AC24-K24),"")</f>
        <v/>
      </c>
      <c r="AM24" s="45" t="str">
        <f>IF(OR(NOT(ISNUMBER(AI24)),NOT(ISNUMBER(AE24))),"",IF(AI24&lt;0,IF(F24="空",AE24-L24,L24-AE24),IF(NOT(ISNUMBER(M24)),"",IF(F24="空",AE24-M24,M24-AE24))))</f>
        <v/>
      </c>
      <c r="AN24" s="31" t="n"/>
      <c r="AO24" s="31" t="n"/>
      <c r="AP24" s="30" t="n"/>
      <c r="AQ24" s="44" t="str">
        <f>IF(A24="","",SUM(AK$5:AK24))</f>
        <v/>
      </c>
      <c r="AR24" s="46" t="str">
        <f>IF(A24="","",MAX(0,MAX(AQ$5:AQ24))-AQ24)</f>
        <v/>
      </c>
    </row>
    <row r="25">
      <c r="A25" s="24" t="n"/>
      <c r="B25" s="29" t="n"/>
      <c r="C25" s="30" t="n"/>
      <c r="D25" s="31" t="n"/>
      <c r="E25" s="31" t="n"/>
      <c r="F25" s="31" t="n"/>
      <c r="G25" s="21" t="n"/>
      <c r="H25" s="31" t="n"/>
      <c r="I25" s="23" t="n"/>
      <c r="J25" s="31" t="n"/>
      <c r="K25" s="32" t="n"/>
      <c r="L25" s="32" t="n"/>
      <c r="M25" s="32" t="n"/>
      <c r="N25" s="33" t="str">
        <f>IF(AND(ISNUMBER(K25),ISNUMBER(L25),ISNUMBER(M25)),IF(OR(AND(F25="多",K25&gt;L25),AND(F25="空",K25&lt;L25)),ABS(M25-K25)/ABS(K25-L25),"止损方向不对"),"")</f>
        <v/>
      </c>
      <c r="O25" s="34" t="str">
        <f>IF(AND(ISNUMBER(K25),ISNUMBER(L25)),IF(K25=L25,"",IF(INT(ROUND('参数'!$C$7/(ABS(K25-L25)*1+2*K25*'参数'!$C$12)/IF(N(J25)&gt;0,J25,1),6))*IF(N(J25)&gt;0,J25,1)&gt;0,INT(ROUND('参数'!$C$7/(ABS(K25-L25)*1+2*K25*'参数'!$C$12)/IF(N(J25)&gt;0,J25,1),6))*IF(N(J25)&gt;0,J25,1),"预算不足，这笔不做")),"")</f>
        <v/>
      </c>
      <c r="P25" s="35" t="n"/>
      <c r="Q25" s="20" t="str">
        <f>IF(AND(ISNUMBER(K25),ISNUMBER(L25),ISNUMBER(P25)),IF(AND(K25&lt;&gt;L25,P25&gt;0),ABS(K25-L25)*P25*1,""),"")</f>
        <v/>
      </c>
      <c r="R25" s="20" t="str">
        <f>IF(AND(ISNUMBER(K25),ISNUMBER(P25)),K25*P25,"")</f>
        <v/>
      </c>
      <c r="S25" s="20" t="str">
        <f>IF(AND(D25="合约",ISNUMBER(R25),N(G25)&gt;0),R25/G25,"")</f>
        <v/>
      </c>
      <c r="T25" s="36" t="str">
        <f>IF(NOT(D25="合约"),"",IF(H25&lt;&gt;"逐仓","看平台",IF(AND(ISNUMBER(K25),N(G25)&gt;0),IF(F25="空",K25*(1+1/G25-IF(ISNUMBER(I25),I25,'参数'!$C$13)),K25*(1-1/G25+IF(ISNUMBER(I25),I25,'参数'!$C$13))),"")))</f>
        <v/>
      </c>
      <c r="U25" s="37" t="str">
        <f>IF(AND(ISNUMBER(T25),ISNUMBER(L25),ISNUMBER(K25)),IF(F25="空",T25-L25,L25-T25)/K25,"")</f>
        <v/>
      </c>
      <c r="V25" s="38" t="str">
        <f>IF(ISNUMBER(U25),IF(U25&lt;'参数'!$C$15,"先降杠杆或减量","在止损外"),"")</f>
        <v/>
      </c>
      <c r="W25" s="30" t="n"/>
      <c r="X25" s="31" t="n"/>
      <c r="Y25" s="39" t="str">
        <f>IF(N(AB25)&gt;0,SUMPRODUCT(LARGE(('成交明细'!$A$5:$A$804=A25)*('成交明细'!$D$5:$D$804=IF(F25="空","卖","买"))*'成交明细'!$B$5:$B$804,COUNTIFS('成交明细'!$A$5:$A$804,A25,'成交明细'!$D$5:$D$804,IF(F25="空","卖","买")))),"")</f>
        <v/>
      </c>
      <c r="Z25" s="39" t="str">
        <f>IF(AND(N(AB25)&gt;0,N(AD25)&gt;=N(AB25)),SUMPRODUCT(MAX(('成交明细'!$A$5:$A$804=A25)*('成交明细'!$D$5:$D$804=IF(F25="空","买","卖"))*'成交明细'!$B$5:$B$804)),"")</f>
        <v/>
      </c>
      <c r="AA25" s="40" t="str">
        <f>IF(N(AB25)=0,"",IF(SUMPRODUCT(('成交明细'!$A$5:$A$804=A25)*('成交明细'!$D$5:$D$804=IF(F25="空","卖","买"))*ISNUMBER('成交明细'!$C$5:$C$804))=0,"没填时间",IFERROR(VLOOKUP(MOD(SUMPRODUCT(LARGE(('成交明细'!$A$5:$A$804=A25)*('成交明细'!$D$5:$D$804=IF(F25="空","卖","买"))*('成交明细'!$B$5:$B$804+'成交明细'!$C$5:$C$804),COUNTIFS('成交明细'!$A$5:$A$804,A25,'成交明细'!$D$5:$D$804,IF(F25="空","卖","买")))),1),'参数'!$B$39:$C$48,2,TRUE),"")))</f>
        <v/>
      </c>
      <c r="AB25" s="34" t="str">
        <f>IF(A25="","",SUMIFS('成交明细'!$F$5:$F$804,'成交明细'!$A$5:$A$804,A25,'成交明细'!$D$5:$D$804,IF(F25="空","卖","买")))</f>
        <v/>
      </c>
      <c r="AC25" s="41" t="str">
        <f>IF(N(AB25)&gt;0,SUMIFS('成交明细'!$H$5:$H$804,'成交明细'!$A$5:$A$804,A25,'成交明细'!$D$5:$D$804,IF(F25="空","卖","买"))/AB25,"")</f>
        <v/>
      </c>
      <c r="AD25" s="34" t="str">
        <f>IF(A25="","",SUMIFS('成交明细'!$F$5:$F$804,'成交明细'!$A$5:$A$804,A25,'成交明细'!$D$5:$D$804,IF(F25="空","买","卖")))</f>
        <v/>
      </c>
      <c r="AE25" s="41" t="str">
        <f>IF(N(AD25)&gt;0,SUMIFS('成交明细'!$H$5:$H$804,'成交明细'!$A$5:$A$804,A25,'成交明细'!$D$5:$D$804,IF(F25="空","买","卖"))/AD25,"")</f>
        <v/>
      </c>
      <c r="AF25" s="38" t="str">
        <f>IF(A25="","",IF(X25&lt;&gt;"已执行",IF(X25="","未填执行情况",X25),IF(N(AB25)=0,"待录成交",IF(N(AD25)&gt;N(AB25),"平仓多于开仓",IF(N(AD25)&lt;N(AB25),"持仓中","已平仓")))))</f>
        <v/>
      </c>
      <c r="AG25" s="42" t="str">
        <f>IF(N(AB25)=0,"",SUMIFS('成交明细'!$L$5:$L$804,'成交明细'!$A$5:$A$804,A25))</f>
        <v/>
      </c>
      <c r="AH25" s="43" t="str">
        <f>IF(A25="","",SUMIFS('资金费流水'!$F$5:$F$604,'资金费流水'!$B$5:$B$604,A25))</f>
        <v/>
      </c>
      <c r="AI25" s="43" t="str">
        <f>IF(AF25&lt;&gt;"已平仓","",(SUMIFS('成交明细'!$H$5:$H$804,'成交明细'!$A$5:$A$804,A25,'成交明细'!$D$5:$D$804,"卖")-SUMIFS('成交明细'!$H$5:$H$804,'成交明细'!$A$5:$A$804,A25,'成交明细'!$D$5:$D$804,"买"))*1-AG25+N(AH25))</f>
        <v/>
      </c>
      <c r="AJ25" s="44" t="str">
        <f>IF(AND(AF25="已平仓",ISNUMBER(Q25)),(SUMIFS('成交明细'!$H$5:$H$804,'成交明细'!$A$5:$A$804,A25,'成交明细'!$D$5:$D$804,"卖")-SUMIFS('成交明细'!$H$5:$H$804,'成交明细'!$A$5:$A$804,A25,'成交明细'!$D$5:$D$804,"买"))*1/Q25,"")</f>
        <v/>
      </c>
      <c r="AK25" s="44" t="str">
        <f>IF(AND(AF25="已平仓",ISNUMBER(Q25)),AI25/Q25,"")</f>
        <v/>
      </c>
      <c r="AL25" s="45" t="str">
        <f>IF(AND(ISNUMBER(AC25),ISNUMBER(K25)),IF(F25="空",K25-AC25,AC25-K25),"")</f>
        <v/>
      </c>
      <c r="AM25" s="45" t="str">
        <f>IF(OR(NOT(ISNUMBER(AI25)),NOT(ISNUMBER(AE25))),"",IF(AI25&lt;0,IF(F25="空",AE25-L25,L25-AE25),IF(NOT(ISNUMBER(M25)),"",IF(F25="空",AE25-M25,M25-AE25))))</f>
        <v/>
      </c>
      <c r="AN25" s="31" t="n"/>
      <c r="AO25" s="31" t="n"/>
      <c r="AP25" s="30" t="n"/>
      <c r="AQ25" s="44" t="str">
        <f>IF(A25="","",SUM(AK$5:AK25))</f>
        <v/>
      </c>
      <c r="AR25" s="46" t="str">
        <f>IF(A25="","",MAX(0,MAX(AQ$5:AQ25))-AQ25)</f>
        <v/>
      </c>
    </row>
    <row r="26">
      <c r="A26" s="24" t="n"/>
      <c r="B26" s="29" t="n"/>
      <c r="C26" s="30" t="n"/>
      <c r="D26" s="31" t="n"/>
      <c r="E26" s="31" t="n"/>
      <c r="F26" s="31" t="n"/>
      <c r="G26" s="21" t="n"/>
      <c r="H26" s="31" t="n"/>
      <c r="I26" s="23" t="n"/>
      <c r="J26" s="31" t="n"/>
      <c r="K26" s="32" t="n"/>
      <c r="L26" s="32" t="n"/>
      <c r="M26" s="32" t="n"/>
      <c r="N26" s="33" t="str">
        <f>IF(AND(ISNUMBER(K26),ISNUMBER(L26),ISNUMBER(M26)),IF(OR(AND(F26="多",K26&gt;L26),AND(F26="空",K26&lt;L26)),ABS(M26-K26)/ABS(K26-L26),"止损方向不对"),"")</f>
        <v/>
      </c>
      <c r="O26" s="34" t="str">
        <f>IF(AND(ISNUMBER(K26),ISNUMBER(L26)),IF(K26=L26,"",IF(INT(ROUND('参数'!$C$7/(ABS(K26-L26)*1+2*K26*'参数'!$C$12)/IF(N(J26)&gt;0,J26,1),6))*IF(N(J26)&gt;0,J26,1)&gt;0,INT(ROUND('参数'!$C$7/(ABS(K26-L26)*1+2*K26*'参数'!$C$12)/IF(N(J26)&gt;0,J26,1),6))*IF(N(J26)&gt;0,J26,1),"预算不足，这笔不做")),"")</f>
        <v/>
      </c>
      <c r="P26" s="35" t="n"/>
      <c r="Q26" s="20" t="str">
        <f>IF(AND(ISNUMBER(K26),ISNUMBER(L26),ISNUMBER(P26)),IF(AND(K26&lt;&gt;L26,P26&gt;0),ABS(K26-L26)*P26*1,""),"")</f>
        <v/>
      </c>
      <c r="R26" s="20" t="str">
        <f>IF(AND(ISNUMBER(K26),ISNUMBER(P26)),K26*P26,"")</f>
        <v/>
      </c>
      <c r="S26" s="20" t="str">
        <f>IF(AND(D26="合约",ISNUMBER(R26),N(G26)&gt;0),R26/G26,"")</f>
        <v/>
      </c>
      <c r="T26" s="36" t="str">
        <f>IF(NOT(D26="合约"),"",IF(H26&lt;&gt;"逐仓","看平台",IF(AND(ISNUMBER(K26),N(G26)&gt;0),IF(F26="空",K26*(1+1/G26-IF(ISNUMBER(I26),I26,'参数'!$C$13)),K26*(1-1/G26+IF(ISNUMBER(I26),I26,'参数'!$C$13))),"")))</f>
        <v/>
      </c>
      <c r="U26" s="37" t="str">
        <f>IF(AND(ISNUMBER(T26),ISNUMBER(L26),ISNUMBER(K26)),IF(F26="空",T26-L26,L26-T26)/K26,"")</f>
        <v/>
      </c>
      <c r="V26" s="38" t="str">
        <f>IF(ISNUMBER(U26),IF(U26&lt;'参数'!$C$15,"先降杠杆或减量","在止损外"),"")</f>
        <v/>
      </c>
      <c r="W26" s="30" t="n"/>
      <c r="X26" s="31" t="n"/>
      <c r="Y26" s="39" t="str">
        <f>IF(N(AB26)&gt;0,SUMPRODUCT(LARGE(('成交明细'!$A$5:$A$804=A26)*('成交明细'!$D$5:$D$804=IF(F26="空","卖","买"))*'成交明细'!$B$5:$B$804,COUNTIFS('成交明细'!$A$5:$A$804,A26,'成交明细'!$D$5:$D$804,IF(F26="空","卖","买")))),"")</f>
        <v/>
      </c>
      <c r="Z26" s="39" t="str">
        <f>IF(AND(N(AB26)&gt;0,N(AD26)&gt;=N(AB26)),SUMPRODUCT(MAX(('成交明细'!$A$5:$A$804=A26)*('成交明细'!$D$5:$D$804=IF(F26="空","买","卖"))*'成交明细'!$B$5:$B$804)),"")</f>
        <v/>
      </c>
      <c r="AA26" s="40" t="str">
        <f>IF(N(AB26)=0,"",IF(SUMPRODUCT(('成交明细'!$A$5:$A$804=A26)*('成交明细'!$D$5:$D$804=IF(F26="空","卖","买"))*ISNUMBER('成交明细'!$C$5:$C$804))=0,"没填时间",IFERROR(VLOOKUP(MOD(SUMPRODUCT(LARGE(('成交明细'!$A$5:$A$804=A26)*('成交明细'!$D$5:$D$804=IF(F26="空","卖","买"))*('成交明细'!$B$5:$B$804+'成交明细'!$C$5:$C$804),COUNTIFS('成交明细'!$A$5:$A$804,A26,'成交明细'!$D$5:$D$804,IF(F26="空","卖","买")))),1),'参数'!$B$39:$C$48,2,TRUE),"")))</f>
        <v/>
      </c>
      <c r="AB26" s="34" t="str">
        <f>IF(A26="","",SUMIFS('成交明细'!$F$5:$F$804,'成交明细'!$A$5:$A$804,A26,'成交明细'!$D$5:$D$804,IF(F26="空","卖","买")))</f>
        <v/>
      </c>
      <c r="AC26" s="41" t="str">
        <f>IF(N(AB26)&gt;0,SUMIFS('成交明细'!$H$5:$H$804,'成交明细'!$A$5:$A$804,A26,'成交明细'!$D$5:$D$804,IF(F26="空","卖","买"))/AB26,"")</f>
        <v/>
      </c>
      <c r="AD26" s="34" t="str">
        <f>IF(A26="","",SUMIFS('成交明细'!$F$5:$F$804,'成交明细'!$A$5:$A$804,A26,'成交明细'!$D$5:$D$804,IF(F26="空","买","卖")))</f>
        <v/>
      </c>
      <c r="AE26" s="41" t="str">
        <f>IF(N(AD26)&gt;0,SUMIFS('成交明细'!$H$5:$H$804,'成交明细'!$A$5:$A$804,A26,'成交明细'!$D$5:$D$804,IF(F26="空","买","卖"))/AD26,"")</f>
        <v/>
      </c>
      <c r="AF26" s="38" t="str">
        <f>IF(A26="","",IF(X26&lt;&gt;"已执行",IF(X26="","未填执行情况",X26),IF(N(AB26)=0,"待录成交",IF(N(AD26)&gt;N(AB26),"平仓多于开仓",IF(N(AD26)&lt;N(AB26),"持仓中","已平仓")))))</f>
        <v/>
      </c>
      <c r="AG26" s="42" t="str">
        <f>IF(N(AB26)=0,"",SUMIFS('成交明细'!$L$5:$L$804,'成交明细'!$A$5:$A$804,A26))</f>
        <v/>
      </c>
      <c r="AH26" s="43" t="str">
        <f>IF(A26="","",SUMIFS('资金费流水'!$F$5:$F$604,'资金费流水'!$B$5:$B$604,A26))</f>
        <v/>
      </c>
      <c r="AI26" s="43" t="str">
        <f>IF(AF26&lt;&gt;"已平仓","",(SUMIFS('成交明细'!$H$5:$H$804,'成交明细'!$A$5:$A$804,A26,'成交明细'!$D$5:$D$804,"卖")-SUMIFS('成交明细'!$H$5:$H$804,'成交明细'!$A$5:$A$804,A26,'成交明细'!$D$5:$D$804,"买"))*1-AG26+N(AH26))</f>
        <v/>
      </c>
      <c r="AJ26" s="44" t="str">
        <f>IF(AND(AF26="已平仓",ISNUMBER(Q26)),(SUMIFS('成交明细'!$H$5:$H$804,'成交明细'!$A$5:$A$804,A26,'成交明细'!$D$5:$D$804,"卖")-SUMIFS('成交明细'!$H$5:$H$804,'成交明细'!$A$5:$A$804,A26,'成交明细'!$D$5:$D$804,"买"))*1/Q26,"")</f>
        <v/>
      </c>
      <c r="AK26" s="44" t="str">
        <f>IF(AND(AF26="已平仓",ISNUMBER(Q26)),AI26/Q26,"")</f>
        <v/>
      </c>
      <c r="AL26" s="45" t="str">
        <f>IF(AND(ISNUMBER(AC26),ISNUMBER(K26)),IF(F26="空",K26-AC26,AC26-K26),"")</f>
        <v/>
      </c>
      <c r="AM26" s="45" t="str">
        <f>IF(OR(NOT(ISNUMBER(AI26)),NOT(ISNUMBER(AE26))),"",IF(AI26&lt;0,IF(F26="空",AE26-L26,L26-AE26),IF(NOT(ISNUMBER(M26)),"",IF(F26="空",AE26-M26,M26-AE26))))</f>
        <v/>
      </c>
      <c r="AN26" s="31" t="n"/>
      <c r="AO26" s="31" t="n"/>
      <c r="AP26" s="30" t="n"/>
      <c r="AQ26" s="44" t="str">
        <f>IF(A26="","",SUM(AK$5:AK26))</f>
        <v/>
      </c>
      <c r="AR26" s="46" t="str">
        <f>IF(A26="","",MAX(0,MAX(AQ$5:AQ26))-AQ26)</f>
        <v/>
      </c>
    </row>
    <row r="27">
      <c r="A27" s="24" t="n"/>
      <c r="B27" s="29" t="n"/>
      <c r="C27" s="30" t="n"/>
      <c r="D27" s="31" t="n"/>
      <c r="E27" s="31" t="n"/>
      <c r="F27" s="31" t="n"/>
      <c r="G27" s="21" t="n"/>
      <c r="H27" s="31" t="n"/>
      <c r="I27" s="23" t="n"/>
      <c r="J27" s="31" t="n"/>
      <c r="K27" s="32" t="n"/>
      <c r="L27" s="32" t="n"/>
      <c r="M27" s="32" t="n"/>
      <c r="N27" s="33" t="str">
        <f>IF(AND(ISNUMBER(K27),ISNUMBER(L27),ISNUMBER(M27)),IF(OR(AND(F27="多",K27&gt;L27),AND(F27="空",K27&lt;L27)),ABS(M27-K27)/ABS(K27-L27),"止损方向不对"),"")</f>
        <v/>
      </c>
      <c r="O27" s="34" t="str">
        <f>IF(AND(ISNUMBER(K27),ISNUMBER(L27)),IF(K27=L27,"",IF(INT(ROUND('参数'!$C$7/(ABS(K27-L27)*1+2*K27*'参数'!$C$12)/IF(N(J27)&gt;0,J27,1),6))*IF(N(J27)&gt;0,J27,1)&gt;0,INT(ROUND('参数'!$C$7/(ABS(K27-L27)*1+2*K27*'参数'!$C$12)/IF(N(J27)&gt;0,J27,1),6))*IF(N(J27)&gt;0,J27,1),"预算不足，这笔不做")),"")</f>
        <v/>
      </c>
      <c r="P27" s="35" t="n"/>
      <c r="Q27" s="20" t="str">
        <f>IF(AND(ISNUMBER(K27),ISNUMBER(L27),ISNUMBER(P27)),IF(AND(K27&lt;&gt;L27,P27&gt;0),ABS(K27-L27)*P27*1,""),"")</f>
        <v/>
      </c>
      <c r="R27" s="20" t="str">
        <f>IF(AND(ISNUMBER(K27),ISNUMBER(P27)),K27*P27,"")</f>
        <v/>
      </c>
      <c r="S27" s="20" t="str">
        <f>IF(AND(D27="合约",ISNUMBER(R27),N(G27)&gt;0),R27/G27,"")</f>
        <v/>
      </c>
      <c r="T27" s="36" t="str">
        <f>IF(NOT(D27="合约"),"",IF(H27&lt;&gt;"逐仓","看平台",IF(AND(ISNUMBER(K27),N(G27)&gt;0),IF(F27="空",K27*(1+1/G27-IF(ISNUMBER(I27),I27,'参数'!$C$13)),K27*(1-1/G27+IF(ISNUMBER(I27),I27,'参数'!$C$13))),"")))</f>
        <v/>
      </c>
      <c r="U27" s="37" t="str">
        <f>IF(AND(ISNUMBER(T27),ISNUMBER(L27),ISNUMBER(K27)),IF(F27="空",T27-L27,L27-T27)/K27,"")</f>
        <v/>
      </c>
      <c r="V27" s="38" t="str">
        <f>IF(ISNUMBER(U27),IF(U27&lt;'参数'!$C$15,"先降杠杆或减量","在止损外"),"")</f>
        <v/>
      </c>
      <c r="W27" s="30" t="n"/>
      <c r="X27" s="31" t="n"/>
      <c r="Y27" s="39" t="str">
        <f>IF(N(AB27)&gt;0,SUMPRODUCT(LARGE(('成交明细'!$A$5:$A$804=A27)*('成交明细'!$D$5:$D$804=IF(F27="空","卖","买"))*'成交明细'!$B$5:$B$804,COUNTIFS('成交明细'!$A$5:$A$804,A27,'成交明细'!$D$5:$D$804,IF(F27="空","卖","买")))),"")</f>
        <v/>
      </c>
      <c r="Z27" s="39" t="str">
        <f>IF(AND(N(AB27)&gt;0,N(AD27)&gt;=N(AB27)),SUMPRODUCT(MAX(('成交明细'!$A$5:$A$804=A27)*('成交明细'!$D$5:$D$804=IF(F27="空","买","卖"))*'成交明细'!$B$5:$B$804)),"")</f>
        <v/>
      </c>
      <c r="AA27" s="40" t="str">
        <f>IF(N(AB27)=0,"",IF(SUMPRODUCT(('成交明细'!$A$5:$A$804=A27)*('成交明细'!$D$5:$D$804=IF(F27="空","卖","买"))*ISNUMBER('成交明细'!$C$5:$C$804))=0,"没填时间",IFERROR(VLOOKUP(MOD(SUMPRODUCT(LARGE(('成交明细'!$A$5:$A$804=A27)*('成交明细'!$D$5:$D$804=IF(F27="空","卖","买"))*('成交明细'!$B$5:$B$804+'成交明细'!$C$5:$C$804),COUNTIFS('成交明细'!$A$5:$A$804,A27,'成交明细'!$D$5:$D$804,IF(F27="空","卖","买")))),1),'参数'!$B$39:$C$48,2,TRUE),"")))</f>
        <v/>
      </c>
      <c r="AB27" s="34" t="str">
        <f>IF(A27="","",SUMIFS('成交明细'!$F$5:$F$804,'成交明细'!$A$5:$A$804,A27,'成交明细'!$D$5:$D$804,IF(F27="空","卖","买")))</f>
        <v/>
      </c>
      <c r="AC27" s="41" t="str">
        <f>IF(N(AB27)&gt;0,SUMIFS('成交明细'!$H$5:$H$804,'成交明细'!$A$5:$A$804,A27,'成交明细'!$D$5:$D$804,IF(F27="空","卖","买"))/AB27,"")</f>
        <v/>
      </c>
      <c r="AD27" s="34" t="str">
        <f>IF(A27="","",SUMIFS('成交明细'!$F$5:$F$804,'成交明细'!$A$5:$A$804,A27,'成交明细'!$D$5:$D$804,IF(F27="空","买","卖")))</f>
        <v/>
      </c>
      <c r="AE27" s="41" t="str">
        <f>IF(N(AD27)&gt;0,SUMIFS('成交明细'!$H$5:$H$804,'成交明细'!$A$5:$A$804,A27,'成交明细'!$D$5:$D$804,IF(F27="空","买","卖"))/AD27,"")</f>
        <v/>
      </c>
      <c r="AF27" s="38" t="str">
        <f>IF(A27="","",IF(X27&lt;&gt;"已执行",IF(X27="","未填执行情况",X27),IF(N(AB27)=0,"待录成交",IF(N(AD27)&gt;N(AB27),"平仓多于开仓",IF(N(AD27)&lt;N(AB27),"持仓中","已平仓")))))</f>
        <v/>
      </c>
      <c r="AG27" s="42" t="str">
        <f>IF(N(AB27)=0,"",SUMIFS('成交明细'!$L$5:$L$804,'成交明细'!$A$5:$A$804,A27))</f>
        <v/>
      </c>
      <c r="AH27" s="43" t="str">
        <f>IF(A27="","",SUMIFS('资金费流水'!$F$5:$F$604,'资金费流水'!$B$5:$B$604,A27))</f>
        <v/>
      </c>
      <c r="AI27" s="43" t="str">
        <f>IF(AF27&lt;&gt;"已平仓","",(SUMIFS('成交明细'!$H$5:$H$804,'成交明细'!$A$5:$A$804,A27,'成交明细'!$D$5:$D$804,"卖")-SUMIFS('成交明细'!$H$5:$H$804,'成交明细'!$A$5:$A$804,A27,'成交明细'!$D$5:$D$804,"买"))*1-AG27+N(AH27))</f>
        <v/>
      </c>
      <c r="AJ27" s="44" t="str">
        <f>IF(AND(AF27="已平仓",ISNUMBER(Q27)),(SUMIFS('成交明细'!$H$5:$H$804,'成交明细'!$A$5:$A$804,A27,'成交明细'!$D$5:$D$804,"卖")-SUMIFS('成交明细'!$H$5:$H$804,'成交明细'!$A$5:$A$804,A27,'成交明细'!$D$5:$D$804,"买"))*1/Q27,"")</f>
        <v/>
      </c>
      <c r="AK27" s="44" t="str">
        <f>IF(AND(AF27="已平仓",ISNUMBER(Q27)),AI27/Q27,"")</f>
        <v/>
      </c>
      <c r="AL27" s="45" t="str">
        <f>IF(AND(ISNUMBER(AC27),ISNUMBER(K27)),IF(F27="空",K27-AC27,AC27-K27),"")</f>
        <v/>
      </c>
      <c r="AM27" s="45" t="str">
        <f>IF(OR(NOT(ISNUMBER(AI27)),NOT(ISNUMBER(AE27))),"",IF(AI27&lt;0,IF(F27="空",AE27-L27,L27-AE27),IF(NOT(ISNUMBER(M27)),"",IF(F27="空",AE27-M27,M27-AE27))))</f>
        <v/>
      </c>
      <c r="AN27" s="31" t="n"/>
      <c r="AO27" s="31" t="n"/>
      <c r="AP27" s="30" t="n"/>
      <c r="AQ27" s="44" t="str">
        <f>IF(A27="","",SUM(AK$5:AK27))</f>
        <v/>
      </c>
      <c r="AR27" s="46" t="str">
        <f>IF(A27="","",MAX(0,MAX(AQ$5:AQ27))-AQ27)</f>
        <v/>
      </c>
    </row>
    <row r="28">
      <c r="A28" s="24" t="n"/>
      <c r="B28" s="29" t="n"/>
      <c r="C28" s="30" t="n"/>
      <c r="D28" s="31" t="n"/>
      <c r="E28" s="31" t="n"/>
      <c r="F28" s="31" t="n"/>
      <c r="G28" s="21" t="n"/>
      <c r="H28" s="31" t="n"/>
      <c r="I28" s="23" t="n"/>
      <c r="J28" s="31" t="n"/>
      <c r="K28" s="32" t="n"/>
      <c r="L28" s="32" t="n"/>
      <c r="M28" s="32" t="n"/>
      <c r="N28" s="33" t="str">
        <f>IF(AND(ISNUMBER(K28),ISNUMBER(L28),ISNUMBER(M28)),IF(OR(AND(F28="多",K28&gt;L28),AND(F28="空",K28&lt;L28)),ABS(M28-K28)/ABS(K28-L28),"止损方向不对"),"")</f>
        <v/>
      </c>
      <c r="O28" s="34" t="str">
        <f>IF(AND(ISNUMBER(K28),ISNUMBER(L28)),IF(K28=L28,"",IF(INT(ROUND('参数'!$C$7/(ABS(K28-L28)*1+2*K28*'参数'!$C$12)/IF(N(J28)&gt;0,J28,1),6))*IF(N(J28)&gt;0,J28,1)&gt;0,INT(ROUND('参数'!$C$7/(ABS(K28-L28)*1+2*K28*'参数'!$C$12)/IF(N(J28)&gt;0,J28,1),6))*IF(N(J28)&gt;0,J28,1),"预算不足，这笔不做")),"")</f>
        <v/>
      </c>
      <c r="P28" s="35" t="n"/>
      <c r="Q28" s="20" t="str">
        <f>IF(AND(ISNUMBER(K28),ISNUMBER(L28),ISNUMBER(P28)),IF(AND(K28&lt;&gt;L28,P28&gt;0),ABS(K28-L28)*P28*1,""),"")</f>
        <v/>
      </c>
      <c r="R28" s="20" t="str">
        <f>IF(AND(ISNUMBER(K28),ISNUMBER(P28)),K28*P28,"")</f>
        <v/>
      </c>
      <c r="S28" s="20" t="str">
        <f>IF(AND(D28="合约",ISNUMBER(R28),N(G28)&gt;0),R28/G28,"")</f>
        <v/>
      </c>
      <c r="T28" s="36" t="str">
        <f>IF(NOT(D28="合约"),"",IF(H28&lt;&gt;"逐仓","看平台",IF(AND(ISNUMBER(K28),N(G28)&gt;0),IF(F28="空",K28*(1+1/G28-IF(ISNUMBER(I28),I28,'参数'!$C$13)),K28*(1-1/G28+IF(ISNUMBER(I28),I28,'参数'!$C$13))),"")))</f>
        <v/>
      </c>
      <c r="U28" s="37" t="str">
        <f>IF(AND(ISNUMBER(T28),ISNUMBER(L28),ISNUMBER(K28)),IF(F28="空",T28-L28,L28-T28)/K28,"")</f>
        <v/>
      </c>
      <c r="V28" s="38" t="str">
        <f>IF(ISNUMBER(U28),IF(U28&lt;'参数'!$C$15,"先降杠杆或减量","在止损外"),"")</f>
        <v/>
      </c>
      <c r="W28" s="30" t="n"/>
      <c r="X28" s="31" t="n"/>
      <c r="Y28" s="39" t="str">
        <f>IF(N(AB28)&gt;0,SUMPRODUCT(LARGE(('成交明细'!$A$5:$A$804=A28)*('成交明细'!$D$5:$D$804=IF(F28="空","卖","买"))*'成交明细'!$B$5:$B$804,COUNTIFS('成交明细'!$A$5:$A$804,A28,'成交明细'!$D$5:$D$804,IF(F28="空","卖","买")))),"")</f>
        <v/>
      </c>
      <c r="Z28" s="39" t="str">
        <f>IF(AND(N(AB28)&gt;0,N(AD28)&gt;=N(AB28)),SUMPRODUCT(MAX(('成交明细'!$A$5:$A$804=A28)*('成交明细'!$D$5:$D$804=IF(F28="空","买","卖"))*'成交明细'!$B$5:$B$804)),"")</f>
        <v/>
      </c>
      <c r="AA28" s="40" t="str">
        <f>IF(N(AB28)=0,"",IF(SUMPRODUCT(('成交明细'!$A$5:$A$804=A28)*('成交明细'!$D$5:$D$804=IF(F28="空","卖","买"))*ISNUMBER('成交明细'!$C$5:$C$804))=0,"没填时间",IFERROR(VLOOKUP(MOD(SUMPRODUCT(LARGE(('成交明细'!$A$5:$A$804=A28)*('成交明细'!$D$5:$D$804=IF(F28="空","卖","买"))*('成交明细'!$B$5:$B$804+'成交明细'!$C$5:$C$804),COUNTIFS('成交明细'!$A$5:$A$804,A28,'成交明细'!$D$5:$D$804,IF(F28="空","卖","买")))),1),'参数'!$B$39:$C$48,2,TRUE),"")))</f>
        <v/>
      </c>
      <c r="AB28" s="34" t="str">
        <f>IF(A28="","",SUMIFS('成交明细'!$F$5:$F$804,'成交明细'!$A$5:$A$804,A28,'成交明细'!$D$5:$D$804,IF(F28="空","卖","买")))</f>
        <v/>
      </c>
      <c r="AC28" s="41" t="str">
        <f>IF(N(AB28)&gt;0,SUMIFS('成交明细'!$H$5:$H$804,'成交明细'!$A$5:$A$804,A28,'成交明细'!$D$5:$D$804,IF(F28="空","卖","买"))/AB28,"")</f>
        <v/>
      </c>
      <c r="AD28" s="34" t="str">
        <f>IF(A28="","",SUMIFS('成交明细'!$F$5:$F$804,'成交明细'!$A$5:$A$804,A28,'成交明细'!$D$5:$D$804,IF(F28="空","买","卖")))</f>
        <v/>
      </c>
      <c r="AE28" s="41" t="str">
        <f>IF(N(AD28)&gt;0,SUMIFS('成交明细'!$H$5:$H$804,'成交明细'!$A$5:$A$804,A28,'成交明细'!$D$5:$D$804,IF(F28="空","买","卖"))/AD28,"")</f>
        <v/>
      </c>
      <c r="AF28" s="38" t="str">
        <f>IF(A28="","",IF(X28&lt;&gt;"已执行",IF(X28="","未填执行情况",X28),IF(N(AB28)=0,"待录成交",IF(N(AD28)&gt;N(AB28),"平仓多于开仓",IF(N(AD28)&lt;N(AB28),"持仓中","已平仓")))))</f>
        <v/>
      </c>
      <c r="AG28" s="42" t="str">
        <f>IF(N(AB28)=0,"",SUMIFS('成交明细'!$L$5:$L$804,'成交明细'!$A$5:$A$804,A28))</f>
        <v/>
      </c>
      <c r="AH28" s="43" t="str">
        <f>IF(A28="","",SUMIFS('资金费流水'!$F$5:$F$604,'资金费流水'!$B$5:$B$604,A28))</f>
        <v/>
      </c>
      <c r="AI28" s="43" t="str">
        <f>IF(AF28&lt;&gt;"已平仓","",(SUMIFS('成交明细'!$H$5:$H$804,'成交明细'!$A$5:$A$804,A28,'成交明细'!$D$5:$D$804,"卖")-SUMIFS('成交明细'!$H$5:$H$804,'成交明细'!$A$5:$A$804,A28,'成交明细'!$D$5:$D$804,"买"))*1-AG28+N(AH28))</f>
        <v/>
      </c>
      <c r="AJ28" s="44" t="str">
        <f>IF(AND(AF28="已平仓",ISNUMBER(Q28)),(SUMIFS('成交明细'!$H$5:$H$804,'成交明细'!$A$5:$A$804,A28,'成交明细'!$D$5:$D$804,"卖")-SUMIFS('成交明细'!$H$5:$H$804,'成交明细'!$A$5:$A$804,A28,'成交明细'!$D$5:$D$804,"买"))*1/Q28,"")</f>
        <v/>
      </c>
      <c r="AK28" s="44" t="str">
        <f>IF(AND(AF28="已平仓",ISNUMBER(Q28)),AI28/Q28,"")</f>
        <v/>
      </c>
      <c r="AL28" s="45" t="str">
        <f>IF(AND(ISNUMBER(AC28),ISNUMBER(K28)),IF(F28="空",K28-AC28,AC28-K28),"")</f>
        <v/>
      </c>
      <c r="AM28" s="45" t="str">
        <f>IF(OR(NOT(ISNUMBER(AI28)),NOT(ISNUMBER(AE28))),"",IF(AI28&lt;0,IF(F28="空",AE28-L28,L28-AE28),IF(NOT(ISNUMBER(M28)),"",IF(F28="空",AE28-M28,M28-AE28))))</f>
        <v/>
      </c>
      <c r="AN28" s="31" t="n"/>
      <c r="AO28" s="31" t="n"/>
      <c r="AP28" s="30" t="n"/>
      <c r="AQ28" s="44" t="str">
        <f>IF(A28="","",SUM(AK$5:AK28))</f>
        <v/>
      </c>
      <c r="AR28" s="46" t="str">
        <f>IF(A28="","",MAX(0,MAX(AQ$5:AQ28))-AQ28)</f>
        <v/>
      </c>
    </row>
    <row r="29">
      <c r="A29" s="24" t="n"/>
      <c r="B29" s="29" t="n"/>
      <c r="C29" s="30" t="n"/>
      <c r="D29" s="31" t="n"/>
      <c r="E29" s="31" t="n"/>
      <c r="F29" s="31" t="n"/>
      <c r="G29" s="21" t="n"/>
      <c r="H29" s="31" t="n"/>
      <c r="I29" s="23" t="n"/>
      <c r="J29" s="31" t="n"/>
      <c r="K29" s="32" t="n"/>
      <c r="L29" s="32" t="n"/>
      <c r="M29" s="32" t="n"/>
      <c r="N29" s="33" t="str">
        <f>IF(AND(ISNUMBER(K29),ISNUMBER(L29),ISNUMBER(M29)),IF(OR(AND(F29="多",K29&gt;L29),AND(F29="空",K29&lt;L29)),ABS(M29-K29)/ABS(K29-L29),"止损方向不对"),"")</f>
        <v/>
      </c>
      <c r="O29" s="34" t="str">
        <f>IF(AND(ISNUMBER(K29),ISNUMBER(L29)),IF(K29=L29,"",IF(INT(ROUND('参数'!$C$7/(ABS(K29-L29)*1+2*K29*'参数'!$C$12)/IF(N(J29)&gt;0,J29,1),6))*IF(N(J29)&gt;0,J29,1)&gt;0,INT(ROUND('参数'!$C$7/(ABS(K29-L29)*1+2*K29*'参数'!$C$12)/IF(N(J29)&gt;0,J29,1),6))*IF(N(J29)&gt;0,J29,1),"预算不足，这笔不做")),"")</f>
        <v/>
      </c>
      <c r="P29" s="35" t="n"/>
      <c r="Q29" s="20" t="str">
        <f>IF(AND(ISNUMBER(K29),ISNUMBER(L29),ISNUMBER(P29)),IF(AND(K29&lt;&gt;L29,P29&gt;0),ABS(K29-L29)*P29*1,""),"")</f>
        <v/>
      </c>
      <c r="R29" s="20" t="str">
        <f>IF(AND(ISNUMBER(K29),ISNUMBER(P29)),K29*P29,"")</f>
        <v/>
      </c>
      <c r="S29" s="20" t="str">
        <f>IF(AND(D29="合约",ISNUMBER(R29),N(G29)&gt;0),R29/G29,"")</f>
        <v/>
      </c>
      <c r="T29" s="36" t="str">
        <f>IF(NOT(D29="合约"),"",IF(H29&lt;&gt;"逐仓","看平台",IF(AND(ISNUMBER(K29),N(G29)&gt;0),IF(F29="空",K29*(1+1/G29-IF(ISNUMBER(I29),I29,'参数'!$C$13)),K29*(1-1/G29+IF(ISNUMBER(I29),I29,'参数'!$C$13))),"")))</f>
        <v/>
      </c>
      <c r="U29" s="37" t="str">
        <f>IF(AND(ISNUMBER(T29),ISNUMBER(L29),ISNUMBER(K29)),IF(F29="空",T29-L29,L29-T29)/K29,"")</f>
        <v/>
      </c>
      <c r="V29" s="38" t="str">
        <f>IF(ISNUMBER(U29),IF(U29&lt;'参数'!$C$15,"先降杠杆或减量","在止损外"),"")</f>
        <v/>
      </c>
      <c r="W29" s="30" t="n"/>
      <c r="X29" s="31" t="n"/>
      <c r="Y29" s="39" t="str">
        <f>IF(N(AB29)&gt;0,SUMPRODUCT(LARGE(('成交明细'!$A$5:$A$804=A29)*('成交明细'!$D$5:$D$804=IF(F29="空","卖","买"))*'成交明细'!$B$5:$B$804,COUNTIFS('成交明细'!$A$5:$A$804,A29,'成交明细'!$D$5:$D$804,IF(F29="空","卖","买")))),"")</f>
        <v/>
      </c>
      <c r="Z29" s="39" t="str">
        <f>IF(AND(N(AB29)&gt;0,N(AD29)&gt;=N(AB29)),SUMPRODUCT(MAX(('成交明细'!$A$5:$A$804=A29)*('成交明细'!$D$5:$D$804=IF(F29="空","买","卖"))*'成交明细'!$B$5:$B$804)),"")</f>
        <v/>
      </c>
      <c r="AA29" s="40" t="str">
        <f>IF(N(AB29)=0,"",IF(SUMPRODUCT(('成交明细'!$A$5:$A$804=A29)*('成交明细'!$D$5:$D$804=IF(F29="空","卖","买"))*ISNUMBER('成交明细'!$C$5:$C$804))=0,"没填时间",IFERROR(VLOOKUP(MOD(SUMPRODUCT(LARGE(('成交明细'!$A$5:$A$804=A29)*('成交明细'!$D$5:$D$804=IF(F29="空","卖","买"))*('成交明细'!$B$5:$B$804+'成交明细'!$C$5:$C$804),COUNTIFS('成交明细'!$A$5:$A$804,A29,'成交明细'!$D$5:$D$804,IF(F29="空","卖","买")))),1),'参数'!$B$39:$C$48,2,TRUE),"")))</f>
        <v/>
      </c>
      <c r="AB29" s="34" t="str">
        <f>IF(A29="","",SUMIFS('成交明细'!$F$5:$F$804,'成交明细'!$A$5:$A$804,A29,'成交明细'!$D$5:$D$804,IF(F29="空","卖","买")))</f>
        <v/>
      </c>
      <c r="AC29" s="41" t="str">
        <f>IF(N(AB29)&gt;0,SUMIFS('成交明细'!$H$5:$H$804,'成交明细'!$A$5:$A$804,A29,'成交明细'!$D$5:$D$804,IF(F29="空","卖","买"))/AB29,"")</f>
        <v/>
      </c>
      <c r="AD29" s="34" t="str">
        <f>IF(A29="","",SUMIFS('成交明细'!$F$5:$F$804,'成交明细'!$A$5:$A$804,A29,'成交明细'!$D$5:$D$804,IF(F29="空","买","卖")))</f>
        <v/>
      </c>
      <c r="AE29" s="41" t="str">
        <f>IF(N(AD29)&gt;0,SUMIFS('成交明细'!$H$5:$H$804,'成交明细'!$A$5:$A$804,A29,'成交明细'!$D$5:$D$804,IF(F29="空","买","卖"))/AD29,"")</f>
        <v/>
      </c>
      <c r="AF29" s="38" t="str">
        <f>IF(A29="","",IF(X29&lt;&gt;"已执行",IF(X29="","未填执行情况",X29),IF(N(AB29)=0,"待录成交",IF(N(AD29)&gt;N(AB29),"平仓多于开仓",IF(N(AD29)&lt;N(AB29),"持仓中","已平仓")))))</f>
        <v/>
      </c>
      <c r="AG29" s="42" t="str">
        <f>IF(N(AB29)=0,"",SUMIFS('成交明细'!$L$5:$L$804,'成交明细'!$A$5:$A$804,A29))</f>
        <v/>
      </c>
      <c r="AH29" s="43" t="str">
        <f>IF(A29="","",SUMIFS('资金费流水'!$F$5:$F$604,'资金费流水'!$B$5:$B$604,A29))</f>
        <v/>
      </c>
      <c r="AI29" s="43" t="str">
        <f>IF(AF29&lt;&gt;"已平仓","",(SUMIFS('成交明细'!$H$5:$H$804,'成交明细'!$A$5:$A$804,A29,'成交明细'!$D$5:$D$804,"卖")-SUMIFS('成交明细'!$H$5:$H$804,'成交明细'!$A$5:$A$804,A29,'成交明细'!$D$5:$D$804,"买"))*1-AG29+N(AH29))</f>
        <v/>
      </c>
      <c r="AJ29" s="44" t="str">
        <f>IF(AND(AF29="已平仓",ISNUMBER(Q29)),(SUMIFS('成交明细'!$H$5:$H$804,'成交明细'!$A$5:$A$804,A29,'成交明细'!$D$5:$D$804,"卖")-SUMIFS('成交明细'!$H$5:$H$804,'成交明细'!$A$5:$A$804,A29,'成交明细'!$D$5:$D$804,"买"))*1/Q29,"")</f>
        <v/>
      </c>
      <c r="AK29" s="44" t="str">
        <f>IF(AND(AF29="已平仓",ISNUMBER(Q29)),AI29/Q29,"")</f>
        <v/>
      </c>
      <c r="AL29" s="45" t="str">
        <f>IF(AND(ISNUMBER(AC29),ISNUMBER(K29)),IF(F29="空",K29-AC29,AC29-K29),"")</f>
        <v/>
      </c>
      <c r="AM29" s="45" t="str">
        <f>IF(OR(NOT(ISNUMBER(AI29)),NOT(ISNUMBER(AE29))),"",IF(AI29&lt;0,IF(F29="空",AE29-L29,L29-AE29),IF(NOT(ISNUMBER(M29)),"",IF(F29="空",AE29-M29,M29-AE29))))</f>
        <v/>
      </c>
      <c r="AN29" s="31" t="n"/>
      <c r="AO29" s="31" t="n"/>
      <c r="AP29" s="30" t="n"/>
      <c r="AQ29" s="44" t="str">
        <f>IF(A29="","",SUM(AK$5:AK29))</f>
        <v/>
      </c>
      <c r="AR29" s="46" t="str">
        <f>IF(A29="","",MAX(0,MAX(AQ$5:AQ29))-AQ29)</f>
        <v/>
      </c>
    </row>
    <row r="30">
      <c r="A30" s="24" t="n"/>
      <c r="B30" s="29" t="n"/>
      <c r="C30" s="30" t="n"/>
      <c r="D30" s="31" t="n"/>
      <c r="E30" s="31" t="n"/>
      <c r="F30" s="31" t="n"/>
      <c r="G30" s="21" t="n"/>
      <c r="H30" s="31" t="n"/>
      <c r="I30" s="23" t="n"/>
      <c r="J30" s="31" t="n"/>
      <c r="K30" s="32" t="n"/>
      <c r="L30" s="32" t="n"/>
      <c r="M30" s="32" t="n"/>
      <c r="N30" s="33" t="str">
        <f>IF(AND(ISNUMBER(K30),ISNUMBER(L30),ISNUMBER(M30)),IF(OR(AND(F30="多",K30&gt;L30),AND(F30="空",K30&lt;L30)),ABS(M30-K30)/ABS(K30-L30),"止损方向不对"),"")</f>
        <v/>
      </c>
      <c r="O30" s="34" t="str">
        <f>IF(AND(ISNUMBER(K30),ISNUMBER(L30)),IF(K30=L30,"",IF(INT(ROUND('参数'!$C$7/(ABS(K30-L30)*1+2*K30*'参数'!$C$12)/IF(N(J30)&gt;0,J30,1),6))*IF(N(J30)&gt;0,J30,1)&gt;0,INT(ROUND('参数'!$C$7/(ABS(K30-L30)*1+2*K30*'参数'!$C$12)/IF(N(J30)&gt;0,J30,1),6))*IF(N(J30)&gt;0,J30,1),"预算不足，这笔不做")),"")</f>
        <v/>
      </c>
      <c r="P30" s="35" t="n"/>
      <c r="Q30" s="20" t="str">
        <f>IF(AND(ISNUMBER(K30),ISNUMBER(L30),ISNUMBER(P30)),IF(AND(K30&lt;&gt;L30,P30&gt;0),ABS(K30-L30)*P30*1,""),"")</f>
        <v/>
      </c>
      <c r="R30" s="20" t="str">
        <f>IF(AND(ISNUMBER(K30),ISNUMBER(P30)),K30*P30,"")</f>
        <v/>
      </c>
      <c r="S30" s="20" t="str">
        <f>IF(AND(D30="合约",ISNUMBER(R30),N(G30)&gt;0),R30/G30,"")</f>
        <v/>
      </c>
      <c r="T30" s="36" t="str">
        <f>IF(NOT(D30="合约"),"",IF(H30&lt;&gt;"逐仓","看平台",IF(AND(ISNUMBER(K30),N(G30)&gt;0),IF(F30="空",K30*(1+1/G30-IF(ISNUMBER(I30),I30,'参数'!$C$13)),K30*(1-1/G30+IF(ISNUMBER(I30),I30,'参数'!$C$13))),"")))</f>
        <v/>
      </c>
      <c r="U30" s="37" t="str">
        <f>IF(AND(ISNUMBER(T30),ISNUMBER(L30),ISNUMBER(K30)),IF(F30="空",T30-L30,L30-T30)/K30,"")</f>
        <v/>
      </c>
      <c r="V30" s="38" t="str">
        <f>IF(ISNUMBER(U30),IF(U30&lt;'参数'!$C$15,"先降杠杆或减量","在止损外"),"")</f>
        <v/>
      </c>
      <c r="W30" s="30" t="n"/>
      <c r="X30" s="31" t="n"/>
      <c r="Y30" s="39" t="str">
        <f>IF(N(AB30)&gt;0,SUMPRODUCT(LARGE(('成交明细'!$A$5:$A$804=A30)*('成交明细'!$D$5:$D$804=IF(F30="空","卖","买"))*'成交明细'!$B$5:$B$804,COUNTIFS('成交明细'!$A$5:$A$804,A30,'成交明细'!$D$5:$D$804,IF(F30="空","卖","买")))),"")</f>
        <v/>
      </c>
      <c r="Z30" s="39" t="str">
        <f>IF(AND(N(AB30)&gt;0,N(AD30)&gt;=N(AB30)),SUMPRODUCT(MAX(('成交明细'!$A$5:$A$804=A30)*('成交明细'!$D$5:$D$804=IF(F30="空","买","卖"))*'成交明细'!$B$5:$B$804)),"")</f>
        <v/>
      </c>
      <c r="AA30" s="40" t="str">
        <f>IF(N(AB30)=0,"",IF(SUMPRODUCT(('成交明细'!$A$5:$A$804=A30)*('成交明细'!$D$5:$D$804=IF(F30="空","卖","买"))*ISNUMBER('成交明细'!$C$5:$C$804))=0,"没填时间",IFERROR(VLOOKUP(MOD(SUMPRODUCT(LARGE(('成交明细'!$A$5:$A$804=A30)*('成交明细'!$D$5:$D$804=IF(F30="空","卖","买"))*('成交明细'!$B$5:$B$804+'成交明细'!$C$5:$C$804),COUNTIFS('成交明细'!$A$5:$A$804,A30,'成交明细'!$D$5:$D$804,IF(F30="空","卖","买")))),1),'参数'!$B$39:$C$48,2,TRUE),"")))</f>
        <v/>
      </c>
      <c r="AB30" s="34" t="str">
        <f>IF(A30="","",SUMIFS('成交明细'!$F$5:$F$804,'成交明细'!$A$5:$A$804,A30,'成交明细'!$D$5:$D$804,IF(F30="空","卖","买")))</f>
        <v/>
      </c>
      <c r="AC30" s="41" t="str">
        <f>IF(N(AB30)&gt;0,SUMIFS('成交明细'!$H$5:$H$804,'成交明细'!$A$5:$A$804,A30,'成交明细'!$D$5:$D$804,IF(F30="空","卖","买"))/AB30,"")</f>
        <v/>
      </c>
      <c r="AD30" s="34" t="str">
        <f>IF(A30="","",SUMIFS('成交明细'!$F$5:$F$804,'成交明细'!$A$5:$A$804,A30,'成交明细'!$D$5:$D$804,IF(F30="空","买","卖")))</f>
        <v/>
      </c>
      <c r="AE30" s="41" t="str">
        <f>IF(N(AD30)&gt;0,SUMIFS('成交明细'!$H$5:$H$804,'成交明细'!$A$5:$A$804,A30,'成交明细'!$D$5:$D$804,IF(F30="空","买","卖"))/AD30,"")</f>
        <v/>
      </c>
      <c r="AF30" s="38" t="str">
        <f>IF(A30="","",IF(X30&lt;&gt;"已执行",IF(X30="","未填执行情况",X30),IF(N(AB30)=0,"待录成交",IF(N(AD30)&gt;N(AB30),"平仓多于开仓",IF(N(AD30)&lt;N(AB30),"持仓中","已平仓")))))</f>
        <v/>
      </c>
      <c r="AG30" s="42" t="str">
        <f>IF(N(AB30)=0,"",SUMIFS('成交明细'!$L$5:$L$804,'成交明细'!$A$5:$A$804,A30))</f>
        <v/>
      </c>
      <c r="AH30" s="43" t="str">
        <f>IF(A30="","",SUMIFS('资金费流水'!$F$5:$F$604,'资金费流水'!$B$5:$B$604,A30))</f>
        <v/>
      </c>
      <c r="AI30" s="43" t="str">
        <f>IF(AF30&lt;&gt;"已平仓","",(SUMIFS('成交明细'!$H$5:$H$804,'成交明细'!$A$5:$A$804,A30,'成交明细'!$D$5:$D$804,"卖")-SUMIFS('成交明细'!$H$5:$H$804,'成交明细'!$A$5:$A$804,A30,'成交明细'!$D$5:$D$804,"买"))*1-AG30+N(AH30))</f>
        <v/>
      </c>
      <c r="AJ30" s="44" t="str">
        <f>IF(AND(AF30="已平仓",ISNUMBER(Q30)),(SUMIFS('成交明细'!$H$5:$H$804,'成交明细'!$A$5:$A$804,A30,'成交明细'!$D$5:$D$804,"卖")-SUMIFS('成交明细'!$H$5:$H$804,'成交明细'!$A$5:$A$804,A30,'成交明细'!$D$5:$D$804,"买"))*1/Q30,"")</f>
        <v/>
      </c>
      <c r="AK30" s="44" t="str">
        <f>IF(AND(AF30="已平仓",ISNUMBER(Q30)),AI30/Q30,"")</f>
        <v/>
      </c>
      <c r="AL30" s="45" t="str">
        <f>IF(AND(ISNUMBER(AC30),ISNUMBER(K30)),IF(F30="空",K30-AC30,AC30-K30),"")</f>
        <v/>
      </c>
      <c r="AM30" s="45" t="str">
        <f>IF(OR(NOT(ISNUMBER(AI30)),NOT(ISNUMBER(AE30))),"",IF(AI30&lt;0,IF(F30="空",AE30-L30,L30-AE30),IF(NOT(ISNUMBER(M30)),"",IF(F30="空",AE30-M30,M30-AE30))))</f>
        <v/>
      </c>
      <c r="AN30" s="31" t="n"/>
      <c r="AO30" s="31" t="n"/>
      <c r="AP30" s="30" t="n"/>
      <c r="AQ30" s="44" t="str">
        <f>IF(A30="","",SUM(AK$5:AK30))</f>
        <v/>
      </c>
      <c r="AR30" s="46" t="str">
        <f>IF(A30="","",MAX(0,MAX(AQ$5:AQ30))-AQ30)</f>
        <v/>
      </c>
    </row>
    <row r="31">
      <c r="A31" s="24" t="n"/>
      <c r="B31" s="29" t="n"/>
      <c r="C31" s="30" t="n"/>
      <c r="D31" s="31" t="n"/>
      <c r="E31" s="31" t="n"/>
      <c r="F31" s="31" t="n"/>
      <c r="G31" s="21" t="n"/>
      <c r="H31" s="31" t="n"/>
      <c r="I31" s="23" t="n"/>
      <c r="J31" s="31" t="n"/>
      <c r="K31" s="32" t="n"/>
      <c r="L31" s="32" t="n"/>
      <c r="M31" s="32" t="n"/>
      <c r="N31" s="33" t="str">
        <f>IF(AND(ISNUMBER(K31),ISNUMBER(L31),ISNUMBER(M31)),IF(OR(AND(F31="多",K31&gt;L31),AND(F31="空",K31&lt;L31)),ABS(M31-K31)/ABS(K31-L31),"止损方向不对"),"")</f>
        <v/>
      </c>
      <c r="O31" s="34" t="str">
        <f>IF(AND(ISNUMBER(K31),ISNUMBER(L31)),IF(K31=L31,"",IF(INT(ROUND('参数'!$C$7/(ABS(K31-L31)*1+2*K31*'参数'!$C$12)/IF(N(J31)&gt;0,J31,1),6))*IF(N(J31)&gt;0,J31,1)&gt;0,INT(ROUND('参数'!$C$7/(ABS(K31-L31)*1+2*K31*'参数'!$C$12)/IF(N(J31)&gt;0,J31,1),6))*IF(N(J31)&gt;0,J31,1),"预算不足，这笔不做")),"")</f>
        <v/>
      </c>
      <c r="P31" s="35" t="n"/>
      <c r="Q31" s="20" t="str">
        <f>IF(AND(ISNUMBER(K31),ISNUMBER(L31),ISNUMBER(P31)),IF(AND(K31&lt;&gt;L31,P31&gt;0),ABS(K31-L31)*P31*1,""),"")</f>
        <v/>
      </c>
      <c r="R31" s="20" t="str">
        <f>IF(AND(ISNUMBER(K31),ISNUMBER(P31)),K31*P31,"")</f>
        <v/>
      </c>
      <c r="S31" s="20" t="str">
        <f>IF(AND(D31="合约",ISNUMBER(R31),N(G31)&gt;0),R31/G31,"")</f>
        <v/>
      </c>
      <c r="T31" s="36" t="str">
        <f>IF(NOT(D31="合约"),"",IF(H31&lt;&gt;"逐仓","看平台",IF(AND(ISNUMBER(K31),N(G31)&gt;0),IF(F31="空",K31*(1+1/G31-IF(ISNUMBER(I31),I31,'参数'!$C$13)),K31*(1-1/G31+IF(ISNUMBER(I31),I31,'参数'!$C$13))),"")))</f>
        <v/>
      </c>
      <c r="U31" s="37" t="str">
        <f>IF(AND(ISNUMBER(T31),ISNUMBER(L31),ISNUMBER(K31)),IF(F31="空",T31-L31,L31-T31)/K31,"")</f>
        <v/>
      </c>
      <c r="V31" s="38" t="str">
        <f>IF(ISNUMBER(U31),IF(U31&lt;'参数'!$C$15,"先降杠杆或减量","在止损外"),"")</f>
        <v/>
      </c>
      <c r="W31" s="30" t="n"/>
      <c r="X31" s="31" t="n"/>
      <c r="Y31" s="39" t="str">
        <f>IF(N(AB31)&gt;0,SUMPRODUCT(LARGE(('成交明细'!$A$5:$A$804=A31)*('成交明细'!$D$5:$D$804=IF(F31="空","卖","买"))*'成交明细'!$B$5:$B$804,COUNTIFS('成交明细'!$A$5:$A$804,A31,'成交明细'!$D$5:$D$804,IF(F31="空","卖","买")))),"")</f>
        <v/>
      </c>
      <c r="Z31" s="39" t="str">
        <f>IF(AND(N(AB31)&gt;0,N(AD31)&gt;=N(AB31)),SUMPRODUCT(MAX(('成交明细'!$A$5:$A$804=A31)*('成交明细'!$D$5:$D$804=IF(F31="空","买","卖"))*'成交明细'!$B$5:$B$804)),"")</f>
        <v/>
      </c>
      <c r="AA31" s="40" t="str">
        <f>IF(N(AB31)=0,"",IF(SUMPRODUCT(('成交明细'!$A$5:$A$804=A31)*('成交明细'!$D$5:$D$804=IF(F31="空","卖","买"))*ISNUMBER('成交明细'!$C$5:$C$804))=0,"没填时间",IFERROR(VLOOKUP(MOD(SUMPRODUCT(LARGE(('成交明细'!$A$5:$A$804=A31)*('成交明细'!$D$5:$D$804=IF(F31="空","卖","买"))*('成交明细'!$B$5:$B$804+'成交明细'!$C$5:$C$804),COUNTIFS('成交明细'!$A$5:$A$804,A31,'成交明细'!$D$5:$D$804,IF(F31="空","卖","买")))),1),'参数'!$B$39:$C$48,2,TRUE),"")))</f>
        <v/>
      </c>
      <c r="AB31" s="34" t="str">
        <f>IF(A31="","",SUMIFS('成交明细'!$F$5:$F$804,'成交明细'!$A$5:$A$804,A31,'成交明细'!$D$5:$D$804,IF(F31="空","卖","买")))</f>
        <v/>
      </c>
      <c r="AC31" s="41" t="str">
        <f>IF(N(AB31)&gt;0,SUMIFS('成交明细'!$H$5:$H$804,'成交明细'!$A$5:$A$804,A31,'成交明细'!$D$5:$D$804,IF(F31="空","卖","买"))/AB31,"")</f>
        <v/>
      </c>
      <c r="AD31" s="34" t="str">
        <f>IF(A31="","",SUMIFS('成交明细'!$F$5:$F$804,'成交明细'!$A$5:$A$804,A31,'成交明细'!$D$5:$D$804,IF(F31="空","买","卖")))</f>
        <v/>
      </c>
      <c r="AE31" s="41" t="str">
        <f>IF(N(AD31)&gt;0,SUMIFS('成交明细'!$H$5:$H$804,'成交明细'!$A$5:$A$804,A31,'成交明细'!$D$5:$D$804,IF(F31="空","买","卖"))/AD31,"")</f>
        <v/>
      </c>
      <c r="AF31" s="38" t="str">
        <f>IF(A31="","",IF(X31&lt;&gt;"已执行",IF(X31="","未填执行情况",X31),IF(N(AB31)=0,"待录成交",IF(N(AD31)&gt;N(AB31),"平仓多于开仓",IF(N(AD31)&lt;N(AB31),"持仓中","已平仓")))))</f>
        <v/>
      </c>
      <c r="AG31" s="42" t="str">
        <f>IF(N(AB31)=0,"",SUMIFS('成交明细'!$L$5:$L$804,'成交明细'!$A$5:$A$804,A31))</f>
        <v/>
      </c>
      <c r="AH31" s="43" t="str">
        <f>IF(A31="","",SUMIFS('资金费流水'!$F$5:$F$604,'资金费流水'!$B$5:$B$604,A31))</f>
        <v/>
      </c>
      <c r="AI31" s="43" t="str">
        <f>IF(AF31&lt;&gt;"已平仓","",(SUMIFS('成交明细'!$H$5:$H$804,'成交明细'!$A$5:$A$804,A31,'成交明细'!$D$5:$D$804,"卖")-SUMIFS('成交明细'!$H$5:$H$804,'成交明细'!$A$5:$A$804,A31,'成交明细'!$D$5:$D$804,"买"))*1-AG31+N(AH31))</f>
        <v/>
      </c>
      <c r="AJ31" s="44" t="str">
        <f>IF(AND(AF31="已平仓",ISNUMBER(Q31)),(SUMIFS('成交明细'!$H$5:$H$804,'成交明细'!$A$5:$A$804,A31,'成交明细'!$D$5:$D$804,"卖")-SUMIFS('成交明细'!$H$5:$H$804,'成交明细'!$A$5:$A$804,A31,'成交明细'!$D$5:$D$804,"买"))*1/Q31,"")</f>
        <v/>
      </c>
      <c r="AK31" s="44" t="str">
        <f>IF(AND(AF31="已平仓",ISNUMBER(Q31)),AI31/Q31,"")</f>
        <v/>
      </c>
      <c r="AL31" s="45" t="str">
        <f>IF(AND(ISNUMBER(AC31),ISNUMBER(K31)),IF(F31="空",K31-AC31,AC31-K31),"")</f>
        <v/>
      </c>
      <c r="AM31" s="45" t="str">
        <f>IF(OR(NOT(ISNUMBER(AI31)),NOT(ISNUMBER(AE31))),"",IF(AI31&lt;0,IF(F31="空",AE31-L31,L31-AE31),IF(NOT(ISNUMBER(M31)),"",IF(F31="空",AE31-M31,M31-AE31))))</f>
        <v/>
      </c>
      <c r="AN31" s="31" t="n"/>
      <c r="AO31" s="31" t="n"/>
      <c r="AP31" s="30" t="n"/>
      <c r="AQ31" s="44" t="str">
        <f>IF(A31="","",SUM(AK$5:AK31))</f>
        <v/>
      </c>
      <c r="AR31" s="46" t="str">
        <f>IF(A31="","",MAX(0,MAX(AQ$5:AQ31))-AQ31)</f>
        <v/>
      </c>
    </row>
    <row r="32">
      <c r="A32" s="24" t="n"/>
      <c r="B32" s="29" t="n"/>
      <c r="C32" s="30" t="n"/>
      <c r="D32" s="31" t="n"/>
      <c r="E32" s="31" t="n"/>
      <c r="F32" s="31" t="n"/>
      <c r="G32" s="21" t="n"/>
      <c r="H32" s="31" t="n"/>
      <c r="I32" s="23" t="n"/>
      <c r="J32" s="31" t="n"/>
      <c r="K32" s="32" t="n"/>
      <c r="L32" s="32" t="n"/>
      <c r="M32" s="32" t="n"/>
      <c r="N32" s="33" t="str">
        <f>IF(AND(ISNUMBER(K32),ISNUMBER(L32),ISNUMBER(M32)),IF(OR(AND(F32="多",K32&gt;L32),AND(F32="空",K32&lt;L32)),ABS(M32-K32)/ABS(K32-L32),"止损方向不对"),"")</f>
        <v/>
      </c>
      <c r="O32" s="34" t="str">
        <f>IF(AND(ISNUMBER(K32),ISNUMBER(L32)),IF(K32=L32,"",IF(INT(ROUND('参数'!$C$7/(ABS(K32-L32)*1+2*K32*'参数'!$C$12)/IF(N(J32)&gt;0,J32,1),6))*IF(N(J32)&gt;0,J32,1)&gt;0,INT(ROUND('参数'!$C$7/(ABS(K32-L32)*1+2*K32*'参数'!$C$12)/IF(N(J32)&gt;0,J32,1),6))*IF(N(J32)&gt;0,J32,1),"预算不足，这笔不做")),"")</f>
        <v/>
      </c>
      <c r="P32" s="35" t="n"/>
      <c r="Q32" s="20" t="str">
        <f>IF(AND(ISNUMBER(K32),ISNUMBER(L32),ISNUMBER(P32)),IF(AND(K32&lt;&gt;L32,P32&gt;0),ABS(K32-L32)*P32*1,""),"")</f>
        <v/>
      </c>
      <c r="R32" s="20" t="str">
        <f>IF(AND(ISNUMBER(K32),ISNUMBER(P32)),K32*P32,"")</f>
        <v/>
      </c>
      <c r="S32" s="20" t="str">
        <f>IF(AND(D32="合约",ISNUMBER(R32),N(G32)&gt;0),R32/G32,"")</f>
        <v/>
      </c>
      <c r="T32" s="36" t="str">
        <f>IF(NOT(D32="合约"),"",IF(H32&lt;&gt;"逐仓","看平台",IF(AND(ISNUMBER(K32),N(G32)&gt;0),IF(F32="空",K32*(1+1/G32-IF(ISNUMBER(I32),I32,'参数'!$C$13)),K32*(1-1/G32+IF(ISNUMBER(I32),I32,'参数'!$C$13))),"")))</f>
        <v/>
      </c>
      <c r="U32" s="37" t="str">
        <f>IF(AND(ISNUMBER(T32),ISNUMBER(L32),ISNUMBER(K32)),IF(F32="空",T32-L32,L32-T32)/K32,"")</f>
        <v/>
      </c>
      <c r="V32" s="38" t="str">
        <f>IF(ISNUMBER(U32),IF(U32&lt;'参数'!$C$15,"先降杠杆或减量","在止损外"),"")</f>
        <v/>
      </c>
      <c r="W32" s="30" t="n"/>
      <c r="X32" s="31" t="n"/>
      <c r="Y32" s="39" t="str">
        <f>IF(N(AB32)&gt;0,SUMPRODUCT(LARGE(('成交明细'!$A$5:$A$804=A32)*('成交明细'!$D$5:$D$804=IF(F32="空","卖","买"))*'成交明细'!$B$5:$B$804,COUNTIFS('成交明细'!$A$5:$A$804,A32,'成交明细'!$D$5:$D$804,IF(F32="空","卖","买")))),"")</f>
        <v/>
      </c>
      <c r="Z32" s="39" t="str">
        <f>IF(AND(N(AB32)&gt;0,N(AD32)&gt;=N(AB32)),SUMPRODUCT(MAX(('成交明细'!$A$5:$A$804=A32)*('成交明细'!$D$5:$D$804=IF(F32="空","买","卖"))*'成交明细'!$B$5:$B$804)),"")</f>
        <v/>
      </c>
      <c r="AA32" s="40" t="str">
        <f>IF(N(AB32)=0,"",IF(SUMPRODUCT(('成交明细'!$A$5:$A$804=A32)*('成交明细'!$D$5:$D$804=IF(F32="空","卖","买"))*ISNUMBER('成交明细'!$C$5:$C$804))=0,"没填时间",IFERROR(VLOOKUP(MOD(SUMPRODUCT(LARGE(('成交明细'!$A$5:$A$804=A32)*('成交明细'!$D$5:$D$804=IF(F32="空","卖","买"))*('成交明细'!$B$5:$B$804+'成交明细'!$C$5:$C$804),COUNTIFS('成交明细'!$A$5:$A$804,A32,'成交明细'!$D$5:$D$804,IF(F32="空","卖","买")))),1),'参数'!$B$39:$C$48,2,TRUE),"")))</f>
        <v/>
      </c>
      <c r="AB32" s="34" t="str">
        <f>IF(A32="","",SUMIFS('成交明细'!$F$5:$F$804,'成交明细'!$A$5:$A$804,A32,'成交明细'!$D$5:$D$804,IF(F32="空","卖","买")))</f>
        <v/>
      </c>
      <c r="AC32" s="41" t="str">
        <f>IF(N(AB32)&gt;0,SUMIFS('成交明细'!$H$5:$H$804,'成交明细'!$A$5:$A$804,A32,'成交明细'!$D$5:$D$804,IF(F32="空","卖","买"))/AB32,"")</f>
        <v/>
      </c>
      <c r="AD32" s="34" t="str">
        <f>IF(A32="","",SUMIFS('成交明细'!$F$5:$F$804,'成交明细'!$A$5:$A$804,A32,'成交明细'!$D$5:$D$804,IF(F32="空","买","卖")))</f>
        <v/>
      </c>
      <c r="AE32" s="41" t="str">
        <f>IF(N(AD32)&gt;0,SUMIFS('成交明细'!$H$5:$H$804,'成交明细'!$A$5:$A$804,A32,'成交明细'!$D$5:$D$804,IF(F32="空","买","卖"))/AD32,"")</f>
        <v/>
      </c>
      <c r="AF32" s="38" t="str">
        <f>IF(A32="","",IF(X32&lt;&gt;"已执行",IF(X32="","未填执行情况",X32),IF(N(AB32)=0,"待录成交",IF(N(AD32)&gt;N(AB32),"平仓多于开仓",IF(N(AD32)&lt;N(AB32),"持仓中","已平仓")))))</f>
        <v/>
      </c>
      <c r="AG32" s="42" t="str">
        <f>IF(N(AB32)=0,"",SUMIFS('成交明细'!$L$5:$L$804,'成交明细'!$A$5:$A$804,A32))</f>
        <v/>
      </c>
      <c r="AH32" s="43" t="str">
        <f>IF(A32="","",SUMIFS('资金费流水'!$F$5:$F$604,'资金费流水'!$B$5:$B$604,A32))</f>
        <v/>
      </c>
      <c r="AI32" s="43" t="str">
        <f>IF(AF32&lt;&gt;"已平仓","",(SUMIFS('成交明细'!$H$5:$H$804,'成交明细'!$A$5:$A$804,A32,'成交明细'!$D$5:$D$804,"卖")-SUMIFS('成交明细'!$H$5:$H$804,'成交明细'!$A$5:$A$804,A32,'成交明细'!$D$5:$D$804,"买"))*1-AG32+N(AH32))</f>
        <v/>
      </c>
      <c r="AJ32" s="44" t="str">
        <f>IF(AND(AF32="已平仓",ISNUMBER(Q32)),(SUMIFS('成交明细'!$H$5:$H$804,'成交明细'!$A$5:$A$804,A32,'成交明细'!$D$5:$D$804,"卖")-SUMIFS('成交明细'!$H$5:$H$804,'成交明细'!$A$5:$A$804,A32,'成交明细'!$D$5:$D$804,"买"))*1/Q32,"")</f>
        <v/>
      </c>
      <c r="AK32" s="44" t="str">
        <f>IF(AND(AF32="已平仓",ISNUMBER(Q32)),AI32/Q32,"")</f>
        <v/>
      </c>
      <c r="AL32" s="45" t="str">
        <f>IF(AND(ISNUMBER(AC32),ISNUMBER(K32)),IF(F32="空",K32-AC32,AC32-K32),"")</f>
        <v/>
      </c>
      <c r="AM32" s="45" t="str">
        <f>IF(OR(NOT(ISNUMBER(AI32)),NOT(ISNUMBER(AE32))),"",IF(AI32&lt;0,IF(F32="空",AE32-L32,L32-AE32),IF(NOT(ISNUMBER(M32)),"",IF(F32="空",AE32-M32,M32-AE32))))</f>
        <v/>
      </c>
      <c r="AN32" s="31" t="n"/>
      <c r="AO32" s="31" t="n"/>
      <c r="AP32" s="30" t="n"/>
      <c r="AQ32" s="44" t="str">
        <f>IF(A32="","",SUM(AK$5:AK32))</f>
        <v/>
      </c>
      <c r="AR32" s="46" t="str">
        <f>IF(A32="","",MAX(0,MAX(AQ$5:AQ32))-AQ32)</f>
        <v/>
      </c>
    </row>
    <row r="33">
      <c r="A33" s="24" t="n"/>
      <c r="B33" s="29" t="n"/>
      <c r="C33" s="30" t="n"/>
      <c r="D33" s="31" t="n"/>
      <c r="E33" s="31" t="n"/>
      <c r="F33" s="31" t="n"/>
      <c r="G33" s="21" t="n"/>
      <c r="H33" s="31" t="n"/>
      <c r="I33" s="23" t="n"/>
      <c r="J33" s="31" t="n"/>
      <c r="K33" s="32" t="n"/>
      <c r="L33" s="32" t="n"/>
      <c r="M33" s="32" t="n"/>
      <c r="N33" s="33" t="str">
        <f>IF(AND(ISNUMBER(K33),ISNUMBER(L33),ISNUMBER(M33)),IF(OR(AND(F33="多",K33&gt;L33),AND(F33="空",K33&lt;L33)),ABS(M33-K33)/ABS(K33-L33),"止损方向不对"),"")</f>
        <v/>
      </c>
      <c r="O33" s="34" t="str">
        <f>IF(AND(ISNUMBER(K33),ISNUMBER(L33)),IF(K33=L33,"",IF(INT(ROUND('参数'!$C$7/(ABS(K33-L33)*1+2*K33*'参数'!$C$12)/IF(N(J33)&gt;0,J33,1),6))*IF(N(J33)&gt;0,J33,1)&gt;0,INT(ROUND('参数'!$C$7/(ABS(K33-L33)*1+2*K33*'参数'!$C$12)/IF(N(J33)&gt;0,J33,1),6))*IF(N(J33)&gt;0,J33,1),"预算不足，这笔不做")),"")</f>
        <v/>
      </c>
      <c r="P33" s="35" t="n"/>
      <c r="Q33" s="20" t="str">
        <f>IF(AND(ISNUMBER(K33),ISNUMBER(L33),ISNUMBER(P33)),IF(AND(K33&lt;&gt;L33,P33&gt;0),ABS(K33-L33)*P33*1,""),"")</f>
        <v/>
      </c>
      <c r="R33" s="20" t="str">
        <f>IF(AND(ISNUMBER(K33),ISNUMBER(P33)),K33*P33,"")</f>
        <v/>
      </c>
      <c r="S33" s="20" t="str">
        <f>IF(AND(D33="合约",ISNUMBER(R33),N(G33)&gt;0),R33/G33,"")</f>
        <v/>
      </c>
      <c r="T33" s="36" t="str">
        <f>IF(NOT(D33="合约"),"",IF(H33&lt;&gt;"逐仓","看平台",IF(AND(ISNUMBER(K33),N(G33)&gt;0),IF(F33="空",K33*(1+1/G33-IF(ISNUMBER(I33),I33,'参数'!$C$13)),K33*(1-1/G33+IF(ISNUMBER(I33),I33,'参数'!$C$13))),"")))</f>
        <v/>
      </c>
      <c r="U33" s="37" t="str">
        <f>IF(AND(ISNUMBER(T33),ISNUMBER(L33),ISNUMBER(K33)),IF(F33="空",T33-L33,L33-T33)/K33,"")</f>
        <v/>
      </c>
      <c r="V33" s="38" t="str">
        <f>IF(ISNUMBER(U33),IF(U33&lt;'参数'!$C$15,"先降杠杆或减量","在止损外"),"")</f>
        <v/>
      </c>
      <c r="W33" s="30" t="n"/>
      <c r="X33" s="31" t="n"/>
      <c r="Y33" s="39" t="str">
        <f>IF(N(AB33)&gt;0,SUMPRODUCT(LARGE(('成交明细'!$A$5:$A$804=A33)*('成交明细'!$D$5:$D$804=IF(F33="空","卖","买"))*'成交明细'!$B$5:$B$804,COUNTIFS('成交明细'!$A$5:$A$804,A33,'成交明细'!$D$5:$D$804,IF(F33="空","卖","买")))),"")</f>
        <v/>
      </c>
      <c r="Z33" s="39" t="str">
        <f>IF(AND(N(AB33)&gt;0,N(AD33)&gt;=N(AB33)),SUMPRODUCT(MAX(('成交明细'!$A$5:$A$804=A33)*('成交明细'!$D$5:$D$804=IF(F33="空","买","卖"))*'成交明细'!$B$5:$B$804)),"")</f>
        <v/>
      </c>
      <c r="AA33" s="40" t="str">
        <f>IF(N(AB33)=0,"",IF(SUMPRODUCT(('成交明细'!$A$5:$A$804=A33)*('成交明细'!$D$5:$D$804=IF(F33="空","卖","买"))*ISNUMBER('成交明细'!$C$5:$C$804))=0,"没填时间",IFERROR(VLOOKUP(MOD(SUMPRODUCT(LARGE(('成交明细'!$A$5:$A$804=A33)*('成交明细'!$D$5:$D$804=IF(F33="空","卖","买"))*('成交明细'!$B$5:$B$804+'成交明细'!$C$5:$C$804),COUNTIFS('成交明细'!$A$5:$A$804,A33,'成交明细'!$D$5:$D$804,IF(F33="空","卖","买")))),1),'参数'!$B$39:$C$48,2,TRUE),"")))</f>
        <v/>
      </c>
      <c r="AB33" s="34" t="str">
        <f>IF(A33="","",SUMIFS('成交明细'!$F$5:$F$804,'成交明细'!$A$5:$A$804,A33,'成交明细'!$D$5:$D$804,IF(F33="空","卖","买")))</f>
        <v/>
      </c>
      <c r="AC33" s="41" t="str">
        <f>IF(N(AB33)&gt;0,SUMIFS('成交明细'!$H$5:$H$804,'成交明细'!$A$5:$A$804,A33,'成交明细'!$D$5:$D$804,IF(F33="空","卖","买"))/AB33,"")</f>
        <v/>
      </c>
      <c r="AD33" s="34" t="str">
        <f>IF(A33="","",SUMIFS('成交明细'!$F$5:$F$804,'成交明细'!$A$5:$A$804,A33,'成交明细'!$D$5:$D$804,IF(F33="空","买","卖")))</f>
        <v/>
      </c>
      <c r="AE33" s="41" t="str">
        <f>IF(N(AD33)&gt;0,SUMIFS('成交明细'!$H$5:$H$804,'成交明细'!$A$5:$A$804,A33,'成交明细'!$D$5:$D$804,IF(F33="空","买","卖"))/AD33,"")</f>
        <v/>
      </c>
      <c r="AF33" s="38" t="str">
        <f>IF(A33="","",IF(X33&lt;&gt;"已执行",IF(X33="","未填执行情况",X33),IF(N(AB33)=0,"待录成交",IF(N(AD33)&gt;N(AB33),"平仓多于开仓",IF(N(AD33)&lt;N(AB33),"持仓中","已平仓")))))</f>
        <v/>
      </c>
      <c r="AG33" s="42" t="str">
        <f>IF(N(AB33)=0,"",SUMIFS('成交明细'!$L$5:$L$804,'成交明细'!$A$5:$A$804,A33))</f>
        <v/>
      </c>
      <c r="AH33" s="43" t="str">
        <f>IF(A33="","",SUMIFS('资金费流水'!$F$5:$F$604,'资金费流水'!$B$5:$B$604,A33))</f>
        <v/>
      </c>
      <c r="AI33" s="43" t="str">
        <f>IF(AF33&lt;&gt;"已平仓","",(SUMIFS('成交明细'!$H$5:$H$804,'成交明细'!$A$5:$A$804,A33,'成交明细'!$D$5:$D$804,"卖")-SUMIFS('成交明细'!$H$5:$H$804,'成交明细'!$A$5:$A$804,A33,'成交明细'!$D$5:$D$804,"买"))*1-AG33+N(AH33))</f>
        <v/>
      </c>
      <c r="AJ33" s="44" t="str">
        <f>IF(AND(AF33="已平仓",ISNUMBER(Q33)),(SUMIFS('成交明细'!$H$5:$H$804,'成交明细'!$A$5:$A$804,A33,'成交明细'!$D$5:$D$804,"卖")-SUMIFS('成交明细'!$H$5:$H$804,'成交明细'!$A$5:$A$804,A33,'成交明细'!$D$5:$D$804,"买"))*1/Q33,"")</f>
        <v/>
      </c>
      <c r="AK33" s="44" t="str">
        <f>IF(AND(AF33="已平仓",ISNUMBER(Q33)),AI33/Q33,"")</f>
        <v/>
      </c>
      <c r="AL33" s="45" t="str">
        <f>IF(AND(ISNUMBER(AC33),ISNUMBER(K33)),IF(F33="空",K33-AC33,AC33-K33),"")</f>
        <v/>
      </c>
      <c r="AM33" s="45" t="str">
        <f>IF(OR(NOT(ISNUMBER(AI33)),NOT(ISNUMBER(AE33))),"",IF(AI33&lt;0,IF(F33="空",AE33-L33,L33-AE33),IF(NOT(ISNUMBER(M33)),"",IF(F33="空",AE33-M33,M33-AE33))))</f>
        <v/>
      </c>
      <c r="AN33" s="31" t="n"/>
      <c r="AO33" s="31" t="n"/>
      <c r="AP33" s="30" t="n"/>
      <c r="AQ33" s="44" t="str">
        <f>IF(A33="","",SUM(AK$5:AK33))</f>
        <v/>
      </c>
      <c r="AR33" s="46" t="str">
        <f>IF(A33="","",MAX(0,MAX(AQ$5:AQ33))-AQ33)</f>
        <v/>
      </c>
    </row>
    <row r="34">
      <c r="A34" s="24" t="n"/>
      <c r="B34" s="29" t="n"/>
      <c r="C34" s="30" t="n"/>
      <c r="D34" s="31" t="n"/>
      <c r="E34" s="31" t="n"/>
      <c r="F34" s="31" t="n"/>
      <c r="G34" s="21" t="n"/>
      <c r="H34" s="31" t="n"/>
      <c r="I34" s="23" t="n"/>
      <c r="J34" s="31" t="n"/>
      <c r="K34" s="32" t="n"/>
      <c r="L34" s="32" t="n"/>
      <c r="M34" s="32" t="n"/>
      <c r="N34" s="33" t="str">
        <f>IF(AND(ISNUMBER(K34),ISNUMBER(L34),ISNUMBER(M34)),IF(OR(AND(F34="多",K34&gt;L34),AND(F34="空",K34&lt;L34)),ABS(M34-K34)/ABS(K34-L34),"止损方向不对"),"")</f>
        <v/>
      </c>
      <c r="O34" s="34" t="str">
        <f>IF(AND(ISNUMBER(K34),ISNUMBER(L34)),IF(K34=L34,"",IF(INT(ROUND('参数'!$C$7/(ABS(K34-L34)*1+2*K34*'参数'!$C$12)/IF(N(J34)&gt;0,J34,1),6))*IF(N(J34)&gt;0,J34,1)&gt;0,INT(ROUND('参数'!$C$7/(ABS(K34-L34)*1+2*K34*'参数'!$C$12)/IF(N(J34)&gt;0,J34,1),6))*IF(N(J34)&gt;0,J34,1),"预算不足，这笔不做")),"")</f>
        <v/>
      </c>
      <c r="P34" s="35" t="n"/>
      <c r="Q34" s="20" t="str">
        <f>IF(AND(ISNUMBER(K34),ISNUMBER(L34),ISNUMBER(P34)),IF(AND(K34&lt;&gt;L34,P34&gt;0),ABS(K34-L34)*P34*1,""),"")</f>
        <v/>
      </c>
      <c r="R34" s="20" t="str">
        <f>IF(AND(ISNUMBER(K34),ISNUMBER(P34)),K34*P34,"")</f>
        <v/>
      </c>
      <c r="S34" s="20" t="str">
        <f>IF(AND(D34="合约",ISNUMBER(R34),N(G34)&gt;0),R34/G34,"")</f>
        <v/>
      </c>
      <c r="T34" s="36" t="str">
        <f>IF(NOT(D34="合约"),"",IF(H34&lt;&gt;"逐仓","看平台",IF(AND(ISNUMBER(K34),N(G34)&gt;0),IF(F34="空",K34*(1+1/G34-IF(ISNUMBER(I34),I34,'参数'!$C$13)),K34*(1-1/G34+IF(ISNUMBER(I34),I34,'参数'!$C$13))),"")))</f>
        <v/>
      </c>
      <c r="U34" s="37" t="str">
        <f>IF(AND(ISNUMBER(T34),ISNUMBER(L34),ISNUMBER(K34)),IF(F34="空",T34-L34,L34-T34)/K34,"")</f>
        <v/>
      </c>
      <c r="V34" s="38" t="str">
        <f>IF(ISNUMBER(U34),IF(U34&lt;'参数'!$C$15,"先降杠杆或减量","在止损外"),"")</f>
        <v/>
      </c>
      <c r="W34" s="30" t="n"/>
      <c r="X34" s="31" t="n"/>
      <c r="Y34" s="39" t="str">
        <f>IF(N(AB34)&gt;0,SUMPRODUCT(LARGE(('成交明细'!$A$5:$A$804=A34)*('成交明细'!$D$5:$D$804=IF(F34="空","卖","买"))*'成交明细'!$B$5:$B$804,COUNTIFS('成交明细'!$A$5:$A$804,A34,'成交明细'!$D$5:$D$804,IF(F34="空","卖","买")))),"")</f>
        <v/>
      </c>
      <c r="Z34" s="39" t="str">
        <f>IF(AND(N(AB34)&gt;0,N(AD34)&gt;=N(AB34)),SUMPRODUCT(MAX(('成交明细'!$A$5:$A$804=A34)*('成交明细'!$D$5:$D$804=IF(F34="空","买","卖"))*'成交明细'!$B$5:$B$804)),"")</f>
        <v/>
      </c>
      <c r="AA34" s="40" t="str">
        <f>IF(N(AB34)=0,"",IF(SUMPRODUCT(('成交明细'!$A$5:$A$804=A34)*('成交明细'!$D$5:$D$804=IF(F34="空","卖","买"))*ISNUMBER('成交明细'!$C$5:$C$804))=0,"没填时间",IFERROR(VLOOKUP(MOD(SUMPRODUCT(LARGE(('成交明细'!$A$5:$A$804=A34)*('成交明细'!$D$5:$D$804=IF(F34="空","卖","买"))*('成交明细'!$B$5:$B$804+'成交明细'!$C$5:$C$804),COUNTIFS('成交明细'!$A$5:$A$804,A34,'成交明细'!$D$5:$D$804,IF(F34="空","卖","买")))),1),'参数'!$B$39:$C$48,2,TRUE),"")))</f>
        <v/>
      </c>
      <c r="AB34" s="34" t="str">
        <f>IF(A34="","",SUMIFS('成交明细'!$F$5:$F$804,'成交明细'!$A$5:$A$804,A34,'成交明细'!$D$5:$D$804,IF(F34="空","卖","买")))</f>
        <v/>
      </c>
      <c r="AC34" s="41" t="str">
        <f>IF(N(AB34)&gt;0,SUMIFS('成交明细'!$H$5:$H$804,'成交明细'!$A$5:$A$804,A34,'成交明细'!$D$5:$D$804,IF(F34="空","卖","买"))/AB34,"")</f>
        <v/>
      </c>
      <c r="AD34" s="34" t="str">
        <f>IF(A34="","",SUMIFS('成交明细'!$F$5:$F$804,'成交明细'!$A$5:$A$804,A34,'成交明细'!$D$5:$D$804,IF(F34="空","买","卖")))</f>
        <v/>
      </c>
      <c r="AE34" s="41" t="str">
        <f>IF(N(AD34)&gt;0,SUMIFS('成交明细'!$H$5:$H$804,'成交明细'!$A$5:$A$804,A34,'成交明细'!$D$5:$D$804,IF(F34="空","买","卖"))/AD34,"")</f>
        <v/>
      </c>
      <c r="AF34" s="38" t="str">
        <f>IF(A34="","",IF(X34&lt;&gt;"已执行",IF(X34="","未填执行情况",X34),IF(N(AB34)=0,"待录成交",IF(N(AD34)&gt;N(AB34),"平仓多于开仓",IF(N(AD34)&lt;N(AB34),"持仓中","已平仓")))))</f>
        <v/>
      </c>
      <c r="AG34" s="42" t="str">
        <f>IF(N(AB34)=0,"",SUMIFS('成交明细'!$L$5:$L$804,'成交明细'!$A$5:$A$804,A34))</f>
        <v/>
      </c>
      <c r="AH34" s="43" t="str">
        <f>IF(A34="","",SUMIFS('资金费流水'!$F$5:$F$604,'资金费流水'!$B$5:$B$604,A34))</f>
        <v/>
      </c>
      <c r="AI34" s="43" t="str">
        <f>IF(AF34&lt;&gt;"已平仓","",(SUMIFS('成交明细'!$H$5:$H$804,'成交明细'!$A$5:$A$804,A34,'成交明细'!$D$5:$D$804,"卖")-SUMIFS('成交明细'!$H$5:$H$804,'成交明细'!$A$5:$A$804,A34,'成交明细'!$D$5:$D$804,"买"))*1-AG34+N(AH34))</f>
        <v/>
      </c>
      <c r="AJ34" s="44" t="str">
        <f>IF(AND(AF34="已平仓",ISNUMBER(Q34)),(SUMIFS('成交明细'!$H$5:$H$804,'成交明细'!$A$5:$A$804,A34,'成交明细'!$D$5:$D$804,"卖")-SUMIFS('成交明细'!$H$5:$H$804,'成交明细'!$A$5:$A$804,A34,'成交明细'!$D$5:$D$804,"买"))*1/Q34,"")</f>
        <v/>
      </c>
      <c r="AK34" s="44" t="str">
        <f>IF(AND(AF34="已平仓",ISNUMBER(Q34)),AI34/Q34,"")</f>
        <v/>
      </c>
      <c r="AL34" s="45" t="str">
        <f>IF(AND(ISNUMBER(AC34),ISNUMBER(K34)),IF(F34="空",K34-AC34,AC34-K34),"")</f>
        <v/>
      </c>
      <c r="AM34" s="45" t="str">
        <f>IF(OR(NOT(ISNUMBER(AI34)),NOT(ISNUMBER(AE34))),"",IF(AI34&lt;0,IF(F34="空",AE34-L34,L34-AE34),IF(NOT(ISNUMBER(M34)),"",IF(F34="空",AE34-M34,M34-AE34))))</f>
        <v/>
      </c>
      <c r="AN34" s="31" t="n"/>
      <c r="AO34" s="31" t="n"/>
      <c r="AP34" s="30" t="n"/>
      <c r="AQ34" s="44" t="str">
        <f>IF(A34="","",SUM(AK$5:AK34))</f>
        <v/>
      </c>
      <c r="AR34" s="46" t="str">
        <f>IF(A34="","",MAX(0,MAX(AQ$5:AQ34))-AQ34)</f>
        <v/>
      </c>
    </row>
    <row r="35">
      <c r="A35" s="24" t="n"/>
      <c r="B35" s="29" t="n"/>
      <c r="C35" s="30" t="n"/>
      <c r="D35" s="31" t="n"/>
      <c r="E35" s="31" t="n"/>
      <c r="F35" s="31" t="n"/>
      <c r="G35" s="21" t="n"/>
      <c r="H35" s="31" t="n"/>
      <c r="I35" s="23" t="n"/>
      <c r="J35" s="31" t="n"/>
      <c r="K35" s="32" t="n"/>
      <c r="L35" s="32" t="n"/>
      <c r="M35" s="32" t="n"/>
      <c r="N35" s="33" t="str">
        <f>IF(AND(ISNUMBER(K35),ISNUMBER(L35),ISNUMBER(M35)),IF(OR(AND(F35="多",K35&gt;L35),AND(F35="空",K35&lt;L35)),ABS(M35-K35)/ABS(K35-L35),"止损方向不对"),"")</f>
        <v/>
      </c>
      <c r="O35" s="34" t="str">
        <f>IF(AND(ISNUMBER(K35),ISNUMBER(L35)),IF(K35=L35,"",IF(INT(ROUND('参数'!$C$7/(ABS(K35-L35)*1+2*K35*'参数'!$C$12)/IF(N(J35)&gt;0,J35,1),6))*IF(N(J35)&gt;0,J35,1)&gt;0,INT(ROUND('参数'!$C$7/(ABS(K35-L35)*1+2*K35*'参数'!$C$12)/IF(N(J35)&gt;0,J35,1),6))*IF(N(J35)&gt;0,J35,1),"预算不足，这笔不做")),"")</f>
        <v/>
      </c>
      <c r="P35" s="35" t="n"/>
      <c r="Q35" s="20" t="str">
        <f>IF(AND(ISNUMBER(K35),ISNUMBER(L35),ISNUMBER(P35)),IF(AND(K35&lt;&gt;L35,P35&gt;0),ABS(K35-L35)*P35*1,""),"")</f>
        <v/>
      </c>
      <c r="R35" s="20" t="str">
        <f>IF(AND(ISNUMBER(K35),ISNUMBER(P35)),K35*P35,"")</f>
        <v/>
      </c>
      <c r="S35" s="20" t="str">
        <f>IF(AND(D35="合约",ISNUMBER(R35),N(G35)&gt;0),R35/G35,"")</f>
        <v/>
      </c>
      <c r="T35" s="36" t="str">
        <f>IF(NOT(D35="合约"),"",IF(H35&lt;&gt;"逐仓","看平台",IF(AND(ISNUMBER(K35),N(G35)&gt;0),IF(F35="空",K35*(1+1/G35-IF(ISNUMBER(I35),I35,'参数'!$C$13)),K35*(1-1/G35+IF(ISNUMBER(I35),I35,'参数'!$C$13))),"")))</f>
        <v/>
      </c>
      <c r="U35" s="37" t="str">
        <f>IF(AND(ISNUMBER(T35),ISNUMBER(L35),ISNUMBER(K35)),IF(F35="空",T35-L35,L35-T35)/K35,"")</f>
        <v/>
      </c>
      <c r="V35" s="38" t="str">
        <f>IF(ISNUMBER(U35),IF(U35&lt;'参数'!$C$15,"先降杠杆或减量","在止损外"),"")</f>
        <v/>
      </c>
      <c r="W35" s="30" t="n"/>
      <c r="X35" s="31" t="n"/>
      <c r="Y35" s="39" t="str">
        <f>IF(N(AB35)&gt;0,SUMPRODUCT(LARGE(('成交明细'!$A$5:$A$804=A35)*('成交明细'!$D$5:$D$804=IF(F35="空","卖","买"))*'成交明细'!$B$5:$B$804,COUNTIFS('成交明细'!$A$5:$A$804,A35,'成交明细'!$D$5:$D$804,IF(F35="空","卖","买")))),"")</f>
        <v/>
      </c>
      <c r="Z35" s="39" t="str">
        <f>IF(AND(N(AB35)&gt;0,N(AD35)&gt;=N(AB35)),SUMPRODUCT(MAX(('成交明细'!$A$5:$A$804=A35)*('成交明细'!$D$5:$D$804=IF(F35="空","买","卖"))*'成交明细'!$B$5:$B$804)),"")</f>
        <v/>
      </c>
      <c r="AA35" s="40" t="str">
        <f>IF(N(AB35)=0,"",IF(SUMPRODUCT(('成交明细'!$A$5:$A$804=A35)*('成交明细'!$D$5:$D$804=IF(F35="空","卖","买"))*ISNUMBER('成交明细'!$C$5:$C$804))=0,"没填时间",IFERROR(VLOOKUP(MOD(SUMPRODUCT(LARGE(('成交明细'!$A$5:$A$804=A35)*('成交明细'!$D$5:$D$804=IF(F35="空","卖","买"))*('成交明细'!$B$5:$B$804+'成交明细'!$C$5:$C$804),COUNTIFS('成交明细'!$A$5:$A$804,A35,'成交明细'!$D$5:$D$804,IF(F35="空","卖","买")))),1),'参数'!$B$39:$C$48,2,TRUE),"")))</f>
        <v/>
      </c>
      <c r="AB35" s="34" t="str">
        <f>IF(A35="","",SUMIFS('成交明细'!$F$5:$F$804,'成交明细'!$A$5:$A$804,A35,'成交明细'!$D$5:$D$804,IF(F35="空","卖","买")))</f>
        <v/>
      </c>
      <c r="AC35" s="41" t="str">
        <f>IF(N(AB35)&gt;0,SUMIFS('成交明细'!$H$5:$H$804,'成交明细'!$A$5:$A$804,A35,'成交明细'!$D$5:$D$804,IF(F35="空","卖","买"))/AB35,"")</f>
        <v/>
      </c>
      <c r="AD35" s="34" t="str">
        <f>IF(A35="","",SUMIFS('成交明细'!$F$5:$F$804,'成交明细'!$A$5:$A$804,A35,'成交明细'!$D$5:$D$804,IF(F35="空","买","卖")))</f>
        <v/>
      </c>
      <c r="AE35" s="41" t="str">
        <f>IF(N(AD35)&gt;0,SUMIFS('成交明细'!$H$5:$H$804,'成交明细'!$A$5:$A$804,A35,'成交明细'!$D$5:$D$804,IF(F35="空","买","卖"))/AD35,"")</f>
        <v/>
      </c>
      <c r="AF35" s="38" t="str">
        <f>IF(A35="","",IF(X35&lt;&gt;"已执行",IF(X35="","未填执行情况",X35),IF(N(AB35)=0,"待录成交",IF(N(AD35)&gt;N(AB35),"平仓多于开仓",IF(N(AD35)&lt;N(AB35),"持仓中","已平仓")))))</f>
        <v/>
      </c>
      <c r="AG35" s="42" t="str">
        <f>IF(N(AB35)=0,"",SUMIFS('成交明细'!$L$5:$L$804,'成交明细'!$A$5:$A$804,A35))</f>
        <v/>
      </c>
      <c r="AH35" s="43" t="str">
        <f>IF(A35="","",SUMIFS('资金费流水'!$F$5:$F$604,'资金费流水'!$B$5:$B$604,A35))</f>
        <v/>
      </c>
      <c r="AI35" s="43" t="str">
        <f>IF(AF35&lt;&gt;"已平仓","",(SUMIFS('成交明细'!$H$5:$H$804,'成交明细'!$A$5:$A$804,A35,'成交明细'!$D$5:$D$804,"卖")-SUMIFS('成交明细'!$H$5:$H$804,'成交明细'!$A$5:$A$804,A35,'成交明细'!$D$5:$D$804,"买"))*1-AG35+N(AH35))</f>
        <v/>
      </c>
      <c r="AJ35" s="44" t="str">
        <f>IF(AND(AF35="已平仓",ISNUMBER(Q35)),(SUMIFS('成交明细'!$H$5:$H$804,'成交明细'!$A$5:$A$804,A35,'成交明细'!$D$5:$D$804,"卖")-SUMIFS('成交明细'!$H$5:$H$804,'成交明细'!$A$5:$A$804,A35,'成交明细'!$D$5:$D$804,"买"))*1/Q35,"")</f>
        <v/>
      </c>
      <c r="AK35" s="44" t="str">
        <f>IF(AND(AF35="已平仓",ISNUMBER(Q35)),AI35/Q35,"")</f>
        <v/>
      </c>
      <c r="AL35" s="45" t="str">
        <f>IF(AND(ISNUMBER(AC35),ISNUMBER(K35)),IF(F35="空",K35-AC35,AC35-K35),"")</f>
        <v/>
      </c>
      <c r="AM35" s="45" t="str">
        <f>IF(OR(NOT(ISNUMBER(AI35)),NOT(ISNUMBER(AE35))),"",IF(AI35&lt;0,IF(F35="空",AE35-L35,L35-AE35),IF(NOT(ISNUMBER(M35)),"",IF(F35="空",AE35-M35,M35-AE35))))</f>
        <v/>
      </c>
      <c r="AN35" s="31" t="n"/>
      <c r="AO35" s="31" t="n"/>
      <c r="AP35" s="30" t="n"/>
      <c r="AQ35" s="44" t="str">
        <f>IF(A35="","",SUM(AK$5:AK35))</f>
        <v/>
      </c>
      <c r="AR35" s="46" t="str">
        <f>IF(A35="","",MAX(0,MAX(AQ$5:AQ35))-AQ35)</f>
        <v/>
      </c>
    </row>
    <row r="36">
      <c r="A36" s="24" t="n"/>
      <c r="B36" s="29" t="n"/>
      <c r="C36" s="30" t="n"/>
      <c r="D36" s="31" t="n"/>
      <c r="E36" s="31" t="n"/>
      <c r="F36" s="31" t="n"/>
      <c r="G36" s="21" t="n"/>
      <c r="H36" s="31" t="n"/>
      <c r="I36" s="23" t="n"/>
      <c r="J36" s="31" t="n"/>
      <c r="K36" s="32" t="n"/>
      <c r="L36" s="32" t="n"/>
      <c r="M36" s="32" t="n"/>
      <c r="N36" s="33" t="str">
        <f>IF(AND(ISNUMBER(K36),ISNUMBER(L36),ISNUMBER(M36)),IF(OR(AND(F36="多",K36&gt;L36),AND(F36="空",K36&lt;L36)),ABS(M36-K36)/ABS(K36-L36),"止损方向不对"),"")</f>
        <v/>
      </c>
      <c r="O36" s="34" t="str">
        <f>IF(AND(ISNUMBER(K36),ISNUMBER(L36)),IF(K36=L36,"",IF(INT(ROUND('参数'!$C$7/(ABS(K36-L36)*1+2*K36*'参数'!$C$12)/IF(N(J36)&gt;0,J36,1),6))*IF(N(J36)&gt;0,J36,1)&gt;0,INT(ROUND('参数'!$C$7/(ABS(K36-L36)*1+2*K36*'参数'!$C$12)/IF(N(J36)&gt;0,J36,1),6))*IF(N(J36)&gt;0,J36,1),"预算不足，这笔不做")),"")</f>
        <v/>
      </c>
      <c r="P36" s="35" t="n"/>
      <c r="Q36" s="20" t="str">
        <f>IF(AND(ISNUMBER(K36),ISNUMBER(L36),ISNUMBER(P36)),IF(AND(K36&lt;&gt;L36,P36&gt;0),ABS(K36-L36)*P36*1,""),"")</f>
        <v/>
      </c>
      <c r="R36" s="20" t="str">
        <f>IF(AND(ISNUMBER(K36),ISNUMBER(P36)),K36*P36,"")</f>
        <v/>
      </c>
      <c r="S36" s="20" t="str">
        <f>IF(AND(D36="合约",ISNUMBER(R36),N(G36)&gt;0),R36/G36,"")</f>
        <v/>
      </c>
      <c r="T36" s="36" t="str">
        <f>IF(NOT(D36="合约"),"",IF(H36&lt;&gt;"逐仓","看平台",IF(AND(ISNUMBER(K36),N(G36)&gt;0),IF(F36="空",K36*(1+1/G36-IF(ISNUMBER(I36),I36,'参数'!$C$13)),K36*(1-1/G36+IF(ISNUMBER(I36),I36,'参数'!$C$13))),"")))</f>
        <v/>
      </c>
      <c r="U36" s="37" t="str">
        <f>IF(AND(ISNUMBER(T36),ISNUMBER(L36),ISNUMBER(K36)),IF(F36="空",T36-L36,L36-T36)/K36,"")</f>
        <v/>
      </c>
      <c r="V36" s="38" t="str">
        <f>IF(ISNUMBER(U36),IF(U36&lt;'参数'!$C$15,"先降杠杆或减量","在止损外"),"")</f>
        <v/>
      </c>
      <c r="W36" s="30" t="n"/>
      <c r="X36" s="31" t="n"/>
      <c r="Y36" s="39" t="str">
        <f>IF(N(AB36)&gt;0,SUMPRODUCT(LARGE(('成交明细'!$A$5:$A$804=A36)*('成交明细'!$D$5:$D$804=IF(F36="空","卖","买"))*'成交明细'!$B$5:$B$804,COUNTIFS('成交明细'!$A$5:$A$804,A36,'成交明细'!$D$5:$D$804,IF(F36="空","卖","买")))),"")</f>
        <v/>
      </c>
      <c r="Z36" s="39" t="str">
        <f>IF(AND(N(AB36)&gt;0,N(AD36)&gt;=N(AB36)),SUMPRODUCT(MAX(('成交明细'!$A$5:$A$804=A36)*('成交明细'!$D$5:$D$804=IF(F36="空","买","卖"))*'成交明细'!$B$5:$B$804)),"")</f>
        <v/>
      </c>
      <c r="AA36" s="40" t="str">
        <f>IF(N(AB36)=0,"",IF(SUMPRODUCT(('成交明细'!$A$5:$A$804=A36)*('成交明细'!$D$5:$D$804=IF(F36="空","卖","买"))*ISNUMBER('成交明细'!$C$5:$C$804))=0,"没填时间",IFERROR(VLOOKUP(MOD(SUMPRODUCT(LARGE(('成交明细'!$A$5:$A$804=A36)*('成交明细'!$D$5:$D$804=IF(F36="空","卖","买"))*('成交明细'!$B$5:$B$804+'成交明细'!$C$5:$C$804),COUNTIFS('成交明细'!$A$5:$A$804,A36,'成交明细'!$D$5:$D$804,IF(F36="空","卖","买")))),1),'参数'!$B$39:$C$48,2,TRUE),"")))</f>
        <v/>
      </c>
      <c r="AB36" s="34" t="str">
        <f>IF(A36="","",SUMIFS('成交明细'!$F$5:$F$804,'成交明细'!$A$5:$A$804,A36,'成交明细'!$D$5:$D$804,IF(F36="空","卖","买")))</f>
        <v/>
      </c>
      <c r="AC36" s="41" t="str">
        <f>IF(N(AB36)&gt;0,SUMIFS('成交明细'!$H$5:$H$804,'成交明细'!$A$5:$A$804,A36,'成交明细'!$D$5:$D$804,IF(F36="空","卖","买"))/AB36,"")</f>
        <v/>
      </c>
      <c r="AD36" s="34" t="str">
        <f>IF(A36="","",SUMIFS('成交明细'!$F$5:$F$804,'成交明细'!$A$5:$A$804,A36,'成交明细'!$D$5:$D$804,IF(F36="空","买","卖")))</f>
        <v/>
      </c>
      <c r="AE36" s="41" t="str">
        <f>IF(N(AD36)&gt;0,SUMIFS('成交明细'!$H$5:$H$804,'成交明细'!$A$5:$A$804,A36,'成交明细'!$D$5:$D$804,IF(F36="空","买","卖"))/AD36,"")</f>
        <v/>
      </c>
      <c r="AF36" s="38" t="str">
        <f>IF(A36="","",IF(X36&lt;&gt;"已执行",IF(X36="","未填执行情况",X36),IF(N(AB36)=0,"待录成交",IF(N(AD36)&gt;N(AB36),"平仓多于开仓",IF(N(AD36)&lt;N(AB36),"持仓中","已平仓")))))</f>
        <v/>
      </c>
      <c r="AG36" s="42" t="str">
        <f>IF(N(AB36)=0,"",SUMIFS('成交明细'!$L$5:$L$804,'成交明细'!$A$5:$A$804,A36))</f>
        <v/>
      </c>
      <c r="AH36" s="43" t="str">
        <f>IF(A36="","",SUMIFS('资金费流水'!$F$5:$F$604,'资金费流水'!$B$5:$B$604,A36))</f>
        <v/>
      </c>
      <c r="AI36" s="43" t="str">
        <f>IF(AF36&lt;&gt;"已平仓","",(SUMIFS('成交明细'!$H$5:$H$804,'成交明细'!$A$5:$A$804,A36,'成交明细'!$D$5:$D$804,"卖")-SUMIFS('成交明细'!$H$5:$H$804,'成交明细'!$A$5:$A$804,A36,'成交明细'!$D$5:$D$804,"买"))*1-AG36+N(AH36))</f>
        <v/>
      </c>
      <c r="AJ36" s="44" t="str">
        <f>IF(AND(AF36="已平仓",ISNUMBER(Q36)),(SUMIFS('成交明细'!$H$5:$H$804,'成交明细'!$A$5:$A$804,A36,'成交明细'!$D$5:$D$804,"卖")-SUMIFS('成交明细'!$H$5:$H$804,'成交明细'!$A$5:$A$804,A36,'成交明细'!$D$5:$D$804,"买"))*1/Q36,"")</f>
        <v/>
      </c>
      <c r="AK36" s="44" t="str">
        <f>IF(AND(AF36="已平仓",ISNUMBER(Q36)),AI36/Q36,"")</f>
        <v/>
      </c>
      <c r="AL36" s="45" t="str">
        <f>IF(AND(ISNUMBER(AC36),ISNUMBER(K36)),IF(F36="空",K36-AC36,AC36-K36),"")</f>
        <v/>
      </c>
      <c r="AM36" s="45" t="str">
        <f>IF(OR(NOT(ISNUMBER(AI36)),NOT(ISNUMBER(AE36))),"",IF(AI36&lt;0,IF(F36="空",AE36-L36,L36-AE36),IF(NOT(ISNUMBER(M36)),"",IF(F36="空",AE36-M36,M36-AE36))))</f>
        <v/>
      </c>
      <c r="AN36" s="31" t="n"/>
      <c r="AO36" s="31" t="n"/>
      <c r="AP36" s="30" t="n"/>
      <c r="AQ36" s="44" t="str">
        <f>IF(A36="","",SUM(AK$5:AK36))</f>
        <v/>
      </c>
      <c r="AR36" s="46" t="str">
        <f>IF(A36="","",MAX(0,MAX(AQ$5:AQ36))-AQ36)</f>
        <v/>
      </c>
    </row>
    <row r="37">
      <c r="A37" s="24" t="n"/>
      <c r="B37" s="29" t="n"/>
      <c r="C37" s="30" t="n"/>
      <c r="D37" s="31" t="n"/>
      <c r="E37" s="31" t="n"/>
      <c r="F37" s="31" t="n"/>
      <c r="G37" s="21" t="n"/>
      <c r="H37" s="31" t="n"/>
      <c r="I37" s="23" t="n"/>
      <c r="J37" s="31" t="n"/>
      <c r="K37" s="32" t="n"/>
      <c r="L37" s="32" t="n"/>
      <c r="M37" s="32" t="n"/>
      <c r="N37" s="33" t="str">
        <f>IF(AND(ISNUMBER(K37),ISNUMBER(L37),ISNUMBER(M37)),IF(OR(AND(F37="多",K37&gt;L37),AND(F37="空",K37&lt;L37)),ABS(M37-K37)/ABS(K37-L37),"止损方向不对"),"")</f>
        <v/>
      </c>
      <c r="O37" s="34" t="str">
        <f>IF(AND(ISNUMBER(K37),ISNUMBER(L37)),IF(K37=L37,"",IF(INT(ROUND('参数'!$C$7/(ABS(K37-L37)*1+2*K37*'参数'!$C$12)/IF(N(J37)&gt;0,J37,1),6))*IF(N(J37)&gt;0,J37,1)&gt;0,INT(ROUND('参数'!$C$7/(ABS(K37-L37)*1+2*K37*'参数'!$C$12)/IF(N(J37)&gt;0,J37,1),6))*IF(N(J37)&gt;0,J37,1),"预算不足，这笔不做")),"")</f>
        <v/>
      </c>
      <c r="P37" s="35" t="n"/>
      <c r="Q37" s="20" t="str">
        <f>IF(AND(ISNUMBER(K37),ISNUMBER(L37),ISNUMBER(P37)),IF(AND(K37&lt;&gt;L37,P37&gt;0),ABS(K37-L37)*P37*1,""),"")</f>
        <v/>
      </c>
      <c r="R37" s="20" t="str">
        <f>IF(AND(ISNUMBER(K37),ISNUMBER(P37)),K37*P37,"")</f>
        <v/>
      </c>
      <c r="S37" s="20" t="str">
        <f>IF(AND(D37="合约",ISNUMBER(R37),N(G37)&gt;0),R37/G37,"")</f>
        <v/>
      </c>
      <c r="T37" s="36" t="str">
        <f>IF(NOT(D37="合约"),"",IF(H37&lt;&gt;"逐仓","看平台",IF(AND(ISNUMBER(K37),N(G37)&gt;0),IF(F37="空",K37*(1+1/G37-IF(ISNUMBER(I37),I37,'参数'!$C$13)),K37*(1-1/G37+IF(ISNUMBER(I37),I37,'参数'!$C$13))),"")))</f>
        <v/>
      </c>
      <c r="U37" s="37" t="str">
        <f>IF(AND(ISNUMBER(T37),ISNUMBER(L37),ISNUMBER(K37)),IF(F37="空",T37-L37,L37-T37)/K37,"")</f>
        <v/>
      </c>
      <c r="V37" s="38" t="str">
        <f>IF(ISNUMBER(U37),IF(U37&lt;'参数'!$C$15,"先降杠杆或减量","在止损外"),"")</f>
        <v/>
      </c>
      <c r="W37" s="30" t="n"/>
      <c r="X37" s="31" t="n"/>
      <c r="Y37" s="39" t="str">
        <f>IF(N(AB37)&gt;0,SUMPRODUCT(LARGE(('成交明细'!$A$5:$A$804=A37)*('成交明细'!$D$5:$D$804=IF(F37="空","卖","买"))*'成交明细'!$B$5:$B$804,COUNTIFS('成交明细'!$A$5:$A$804,A37,'成交明细'!$D$5:$D$804,IF(F37="空","卖","买")))),"")</f>
        <v/>
      </c>
      <c r="Z37" s="39" t="str">
        <f>IF(AND(N(AB37)&gt;0,N(AD37)&gt;=N(AB37)),SUMPRODUCT(MAX(('成交明细'!$A$5:$A$804=A37)*('成交明细'!$D$5:$D$804=IF(F37="空","买","卖"))*'成交明细'!$B$5:$B$804)),"")</f>
        <v/>
      </c>
      <c r="AA37" s="40" t="str">
        <f>IF(N(AB37)=0,"",IF(SUMPRODUCT(('成交明细'!$A$5:$A$804=A37)*('成交明细'!$D$5:$D$804=IF(F37="空","卖","买"))*ISNUMBER('成交明细'!$C$5:$C$804))=0,"没填时间",IFERROR(VLOOKUP(MOD(SUMPRODUCT(LARGE(('成交明细'!$A$5:$A$804=A37)*('成交明细'!$D$5:$D$804=IF(F37="空","卖","买"))*('成交明细'!$B$5:$B$804+'成交明细'!$C$5:$C$804),COUNTIFS('成交明细'!$A$5:$A$804,A37,'成交明细'!$D$5:$D$804,IF(F37="空","卖","买")))),1),'参数'!$B$39:$C$48,2,TRUE),"")))</f>
        <v/>
      </c>
      <c r="AB37" s="34" t="str">
        <f>IF(A37="","",SUMIFS('成交明细'!$F$5:$F$804,'成交明细'!$A$5:$A$804,A37,'成交明细'!$D$5:$D$804,IF(F37="空","卖","买")))</f>
        <v/>
      </c>
      <c r="AC37" s="41" t="str">
        <f>IF(N(AB37)&gt;0,SUMIFS('成交明细'!$H$5:$H$804,'成交明细'!$A$5:$A$804,A37,'成交明细'!$D$5:$D$804,IF(F37="空","卖","买"))/AB37,"")</f>
        <v/>
      </c>
      <c r="AD37" s="34" t="str">
        <f>IF(A37="","",SUMIFS('成交明细'!$F$5:$F$804,'成交明细'!$A$5:$A$804,A37,'成交明细'!$D$5:$D$804,IF(F37="空","买","卖")))</f>
        <v/>
      </c>
      <c r="AE37" s="41" t="str">
        <f>IF(N(AD37)&gt;0,SUMIFS('成交明细'!$H$5:$H$804,'成交明细'!$A$5:$A$804,A37,'成交明细'!$D$5:$D$804,IF(F37="空","买","卖"))/AD37,"")</f>
        <v/>
      </c>
      <c r="AF37" s="38" t="str">
        <f>IF(A37="","",IF(X37&lt;&gt;"已执行",IF(X37="","未填执行情况",X37),IF(N(AB37)=0,"待录成交",IF(N(AD37)&gt;N(AB37),"平仓多于开仓",IF(N(AD37)&lt;N(AB37),"持仓中","已平仓")))))</f>
        <v/>
      </c>
      <c r="AG37" s="42" t="str">
        <f>IF(N(AB37)=0,"",SUMIFS('成交明细'!$L$5:$L$804,'成交明细'!$A$5:$A$804,A37))</f>
        <v/>
      </c>
      <c r="AH37" s="43" t="str">
        <f>IF(A37="","",SUMIFS('资金费流水'!$F$5:$F$604,'资金费流水'!$B$5:$B$604,A37))</f>
        <v/>
      </c>
      <c r="AI37" s="43" t="str">
        <f>IF(AF37&lt;&gt;"已平仓","",(SUMIFS('成交明细'!$H$5:$H$804,'成交明细'!$A$5:$A$804,A37,'成交明细'!$D$5:$D$804,"卖")-SUMIFS('成交明细'!$H$5:$H$804,'成交明细'!$A$5:$A$804,A37,'成交明细'!$D$5:$D$804,"买"))*1-AG37+N(AH37))</f>
        <v/>
      </c>
      <c r="AJ37" s="44" t="str">
        <f>IF(AND(AF37="已平仓",ISNUMBER(Q37)),(SUMIFS('成交明细'!$H$5:$H$804,'成交明细'!$A$5:$A$804,A37,'成交明细'!$D$5:$D$804,"卖")-SUMIFS('成交明细'!$H$5:$H$804,'成交明细'!$A$5:$A$804,A37,'成交明细'!$D$5:$D$804,"买"))*1/Q37,"")</f>
        <v/>
      </c>
      <c r="AK37" s="44" t="str">
        <f>IF(AND(AF37="已平仓",ISNUMBER(Q37)),AI37/Q37,"")</f>
        <v/>
      </c>
      <c r="AL37" s="45" t="str">
        <f>IF(AND(ISNUMBER(AC37),ISNUMBER(K37)),IF(F37="空",K37-AC37,AC37-K37),"")</f>
        <v/>
      </c>
      <c r="AM37" s="45" t="str">
        <f>IF(OR(NOT(ISNUMBER(AI37)),NOT(ISNUMBER(AE37))),"",IF(AI37&lt;0,IF(F37="空",AE37-L37,L37-AE37),IF(NOT(ISNUMBER(M37)),"",IF(F37="空",AE37-M37,M37-AE37))))</f>
        <v/>
      </c>
      <c r="AN37" s="31" t="n"/>
      <c r="AO37" s="31" t="n"/>
      <c r="AP37" s="30" t="n"/>
      <c r="AQ37" s="44" t="str">
        <f>IF(A37="","",SUM(AK$5:AK37))</f>
        <v/>
      </c>
      <c r="AR37" s="46" t="str">
        <f>IF(A37="","",MAX(0,MAX(AQ$5:AQ37))-AQ37)</f>
        <v/>
      </c>
    </row>
    <row r="38">
      <c r="A38" s="24" t="n"/>
      <c r="B38" s="29" t="n"/>
      <c r="C38" s="30" t="n"/>
      <c r="D38" s="31" t="n"/>
      <c r="E38" s="31" t="n"/>
      <c r="F38" s="31" t="n"/>
      <c r="G38" s="21" t="n"/>
      <c r="H38" s="31" t="n"/>
      <c r="I38" s="23" t="n"/>
      <c r="J38" s="31" t="n"/>
      <c r="K38" s="32" t="n"/>
      <c r="L38" s="32" t="n"/>
      <c r="M38" s="32" t="n"/>
      <c r="N38" s="33" t="str">
        <f>IF(AND(ISNUMBER(K38),ISNUMBER(L38),ISNUMBER(M38)),IF(OR(AND(F38="多",K38&gt;L38),AND(F38="空",K38&lt;L38)),ABS(M38-K38)/ABS(K38-L38),"止损方向不对"),"")</f>
        <v/>
      </c>
      <c r="O38" s="34" t="str">
        <f>IF(AND(ISNUMBER(K38),ISNUMBER(L38)),IF(K38=L38,"",IF(INT(ROUND('参数'!$C$7/(ABS(K38-L38)*1+2*K38*'参数'!$C$12)/IF(N(J38)&gt;0,J38,1),6))*IF(N(J38)&gt;0,J38,1)&gt;0,INT(ROUND('参数'!$C$7/(ABS(K38-L38)*1+2*K38*'参数'!$C$12)/IF(N(J38)&gt;0,J38,1),6))*IF(N(J38)&gt;0,J38,1),"预算不足，这笔不做")),"")</f>
        <v/>
      </c>
      <c r="P38" s="35" t="n"/>
      <c r="Q38" s="20" t="str">
        <f>IF(AND(ISNUMBER(K38),ISNUMBER(L38),ISNUMBER(P38)),IF(AND(K38&lt;&gt;L38,P38&gt;0),ABS(K38-L38)*P38*1,""),"")</f>
        <v/>
      </c>
      <c r="R38" s="20" t="str">
        <f>IF(AND(ISNUMBER(K38),ISNUMBER(P38)),K38*P38,"")</f>
        <v/>
      </c>
      <c r="S38" s="20" t="str">
        <f>IF(AND(D38="合约",ISNUMBER(R38),N(G38)&gt;0),R38/G38,"")</f>
        <v/>
      </c>
      <c r="T38" s="36" t="str">
        <f>IF(NOT(D38="合约"),"",IF(H38&lt;&gt;"逐仓","看平台",IF(AND(ISNUMBER(K38),N(G38)&gt;0),IF(F38="空",K38*(1+1/G38-IF(ISNUMBER(I38),I38,'参数'!$C$13)),K38*(1-1/G38+IF(ISNUMBER(I38),I38,'参数'!$C$13))),"")))</f>
        <v/>
      </c>
      <c r="U38" s="37" t="str">
        <f>IF(AND(ISNUMBER(T38),ISNUMBER(L38),ISNUMBER(K38)),IF(F38="空",T38-L38,L38-T38)/K38,"")</f>
        <v/>
      </c>
      <c r="V38" s="38" t="str">
        <f>IF(ISNUMBER(U38),IF(U38&lt;'参数'!$C$15,"先降杠杆或减量","在止损外"),"")</f>
        <v/>
      </c>
      <c r="W38" s="30" t="n"/>
      <c r="X38" s="31" t="n"/>
      <c r="Y38" s="39" t="str">
        <f>IF(N(AB38)&gt;0,SUMPRODUCT(LARGE(('成交明细'!$A$5:$A$804=A38)*('成交明细'!$D$5:$D$804=IF(F38="空","卖","买"))*'成交明细'!$B$5:$B$804,COUNTIFS('成交明细'!$A$5:$A$804,A38,'成交明细'!$D$5:$D$804,IF(F38="空","卖","买")))),"")</f>
        <v/>
      </c>
      <c r="Z38" s="39" t="str">
        <f>IF(AND(N(AB38)&gt;0,N(AD38)&gt;=N(AB38)),SUMPRODUCT(MAX(('成交明细'!$A$5:$A$804=A38)*('成交明细'!$D$5:$D$804=IF(F38="空","买","卖"))*'成交明细'!$B$5:$B$804)),"")</f>
        <v/>
      </c>
      <c r="AA38" s="40" t="str">
        <f>IF(N(AB38)=0,"",IF(SUMPRODUCT(('成交明细'!$A$5:$A$804=A38)*('成交明细'!$D$5:$D$804=IF(F38="空","卖","买"))*ISNUMBER('成交明细'!$C$5:$C$804))=0,"没填时间",IFERROR(VLOOKUP(MOD(SUMPRODUCT(LARGE(('成交明细'!$A$5:$A$804=A38)*('成交明细'!$D$5:$D$804=IF(F38="空","卖","买"))*('成交明细'!$B$5:$B$804+'成交明细'!$C$5:$C$804),COUNTIFS('成交明细'!$A$5:$A$804,A38,'成交明细'!$D$5:$D$804,IF(F38="空","卖","买")))),1),'参数'!$B$39:$C$48,2,TRUE),"")))</f>
        <v/>
      </c>
      <c r="AB38" s="34" t="str">
        <f>IF(A38="","",SUMIFS('成交明细'!$F$5:$F$804,'成交明细'!$A$5:$A$804,A38,'成交明细'!$D$5:$D$804,IF(F38="空","卖","买")))</f>
        <v/>
      </c>
      <c r="AC38" s="41" t="str">
        <f>IF(N(AB38)&gt;0,SUMIFS('成交明细'!$H$5:$H$804,'成交明细'!$A$5:$A$804,A38,'成交明细'!$D$5:$D$804,IF(F38="空","卖","买"))/AB38,"")</f>
        <v/>
      </c>
      <c r="AD38" s="34" t="str">
        <f>IF(A38="","",SUMIFS('成交明细'!$F$5:$F$804,'成交明细'!$A$5:$A$804,A38,'成交明细'!$D$5:$D$804,IF(F38="空","买","卖")))</f>
        <v/>
      </c>
      <c r="AE38" s="41" t="str">
        <f>IF(N(AD38)&gt;0,SUMIFS('成交明细'!$H$5:$H$804,'成交明细'!$A$5:$A$804,A38,'成交明细'!$D$5:$D$804,IF(F38="空","买","卖"))/AD38,"")</f>
        <v/>
      </c>
      <c r="AF38" s="38" t="str">
        <f>IF(A38="","",IF(X38&lt;&gt;"已执行",IF(X38="","未填执行情况",X38),IF(N(AB38)=0,"待录成交",IF(N(AD38)&gt;N(AB38),"平仓多于开仓",IF(N(AD38)&lt;N(AB38),"持仓中","已平仓")))))</f>
        <v/>
      </c>
      <c r="AG38" s="42" t="str">
        <f>IF(N(AB38)=0,"",SUMIFS('成交明细'!$L$5:$L$804,'成交明细'!$A$5:$A$804,A38))</f>
        <v/>
      </c>
      <c r="AH38" s="43" t="str">
        <f>IF(A38="","",SUMIFS('资金费流水'!$F$5:$F$604,'资金费流水'!$B$5:$B$604,A38))</f>
        <v/>
      </c>
      <c r="AI38" s="43" t="str">
        <f>IF(AF38&lt;&gt;"已平仓","",(SUMIFS('成交明细'!$H$5:$H$804,'成交明细'!$A$5:$A$804,A38,'成交明细'!$D$5:$D$804,"卖")-SUMIFS('成交明细'!$H$5:$H$804,'成交明细'!$A$5:$A$804,A38,'成交明细'!$D$5:$D$804,"买"))*1-AG38+N(AH38))</f>
        <v/>
      </c>
      <c r="AJ38" s="44" t="str">
        <f>IF(AND(AF38="已平仓",ISNUMBER(Q38)),(SUMIFS('成交明细'!$H$5:$H$804,'成交明细'!$A$5:$A$804,A38,'成交明细'!$D$5:$D$804,"卖")-SUMIFS('成交明细'!$H$5:$H$804,'成交明细'!$A$5:$A$804,A38,'成交明细'!$D$5:$D$804,"买"))*1/Q38,"")</f>
        <v/>
      </c>
      <c r="AK38" s="44" t="str">
        <f>IF(AND(AF38="已平仓",ISNUMBER(Q38)),AI38/Q38,"")</f>
        <v/>
      </c>
      <c r="AL38" s="45" t="str">
        <f>IF(AND(ISNUMBER(AC38),ISNUMBER(K38)),IF(F38="空",K38-AC38,AC38-K38),"")</f>
        <v/>
      </c>
      <c r="AM38" s="45" t="str">
        <f>IF(OR(NOT(ISNUMBER(AI38)),NOT(ISNUMBER(AE38))),"",IF(AI38&lt;0,IF(F38="空",AE38-L38,L38-AE38),IF(NOT(ISNUMBER(M38)),"",IF(F38="空",AE38-M38,M38-AE38))))</f>
        <v/>
      </c>
      <c r="AN38" s="31" t="n"/>
      <c r="AO38" s="31" t="n"/>
      <c r="AP38" s="30" t="n"/>
      <c r="AQ38" s="44" t="str">
        <f>IF(A38="","",SUM(AK$5:AK38))</f>
        <v/>
      </c>
      <c r="AR38" s="46" t="str">
        <f>IF(A38="","",MAX(0,MAX(AQ$5:AQ38))-AQ38)</f>
        <v/>
      </c>
    </row>
    <row r="39">
      <c r="A39" s="24" t="n"/>
      <c r="B39" s="29" t="n"/>
      <c r="C39" s="30" t="n"/>
      <c r="D39" s="31" t="n"/>
      <c r="E39" s="31" t="n"/>
      <c r="F39" s="31" t="n"/>
      <c r="G39" s="21" t="n"/>
      <c r="H39" s="31" t="n"/>
      <c r="I39" s="23" t="n"/>
      <c r="J39" s="31" t="n"/>
      <c r="K39" s="32" t="n"/>
      <c r="L39" s="32" t="n"/>
      <c r="M39" s="32" t="n"/>
      <c r="N39" s="33" t="str">
        <f>IF(AND(ISNUMBER(K39),ISNUMBER(L39),ISNUMBER(M39)),IF(OR(AND(F39="多",K39&gt;L39),AND(F39="空",K39&lt;L39)),ABS(M39-K39)/ABS(K39-L39),"止损方向不对"),"")</f>
        <v/>
      </c>
      <c r="O39" s="34" t="str">
        <f>IF(AND(ISNUMBER(K39),ISNUMBER(L39)),IF(K39=L39,"",IF(INT(ROUND('参数'!$C$7/(ABS(K39-L39)*1+2*K39*'参数'!$C$12)/IF(N(J39)&gt;0,J39,1),6))*IF(N(J39)&gt;0,J39,1)&gt;0,INT(ROUND('参数'!$C$7/(ABS(K39-L39)*1+2*K39*'参数'!$C$12)/IF(N(J39)&gt;0,J39,1),6))*IF(N(J39)&gt;0,J39,1),"预算不足，这笔不做")),"")</f>
        <v/>
      </c>
      <c r="P39" s="35" t="n"/>
      <c r="Q39" s="20" t="str">
        <f>IF(AND(ISNUMBER(K39),ISNUMBER(L39),ISNUMBER(P39)),IF(AND(K39&lt;&gt;L39,P39&gt;0),ABS(K39-L39)*P39*1,""),"")</f>
        <v/>
      </c>
      <c r="R39" s="20" t="str">
        <f>IF(AND(ISNUMBER(K39),ISNUMBER(P39)),K39*P39,"")</f>
        <v/>
      </c>
      <c r="S39" s="20" t="str">
        <f>IF(AND(D39="合约",ISNUMBER(R39),N(G39)&gt;0),R39/G39,"")</f>
        <v/>
      </c>
      <c r="T39" s="36" t="str">
        <f>IF(NOT(D39="合约"),"",IF(H39&lt;&gt;"逐仓","看平台",IF(AND(ISNUMBER(K39),N(G39)&gt;0),IF(F39="空",K39*(1+1/G39-IF(ISNUMBER(I39),I39,'参数'!$C$13)),K39*(1-1/G39+IF(ISNUMBER(I39),I39,'参数'!$C$13))),"")))</f>
        <v/>
      </c>
      <c r="U39" s="37" t="str">
        <f>IF(AND(ISNUMBER(T39),ISNUMBER(L39),ISNUMBER(K39)),IF(F39="空",T39-L39,L39-T39)/K39,"")</f>
        <v/>
      </c>
      <c r="V39" s="38" t="str">
        <f>IF(ISNUMBER(U39),IF(U39&lt;'参数'!$C$15,"先降杠杆或减量","在止损外"),"")</f>
        <v/>
      </c>
      <c r="W39" s="30" t="n"/>
      <c r="X39" s="31" t="n"/>
      <c r="Y39" s="39" t="str">
        <f>IF(N(AB39)&gt;0,SUMPRODUCT(LARGE(('成交明细'!$A$5:$A$804=A39)*('成交明细'!$D$5:$D$804=IF(F39="空","卖","买"))*'成交明细'!$B$5:$B$804,COUNTIFS('成交明细'!$A$5:$A$804,A39,'成交明细'!$D$5:$D$804,IF(F39="空","卖","买")))),"")</f>
        <v/>
      </c>
      <c r="Z39" s="39" t="str">
        <f>IF(AND(N(AB39)&gt;0,N(AD39)&gt;=N(AB39)),SUMPRODUCT(MAX(('成交明细'!$A$5:$A$804=A39)*('成交明细'!$D$5:$D$804=IF(F39="空","买","卖"))*'成交明细'!$B$5:$B$804)),"")</f>
        <v/>
      </c>
      <c r="AA39" s="40" t="str">
        <f>IF(N(AB39)=0,"",IF(SUMPRODUCT(('成交明细'!$A$5:$A$804=A39)*('成交明细'!$D$5:$D$804=IF(F39="空","卖","买"))*ISNUMBER('成交明细'!$C$5:$C$804))=0,"没填时间",IFERROR(VLOOKUP(MOD(SUMPRODUCT(LARGE(('成交明细'!$A$5:$A$804=A39)*('成交明细'!$D$5:$D$804=IF(F39="空","卖","买"))*('成交明细'!$B$5:$B$804+'成交明细'!$C$5:$C$804),COUNTIFS('成交明细'!$A$5:$A$804,A39,'成交明细'!$D$5:$D$804,IF(F39="空","卖","买")))),1),'参数'!$B$39:$C$48,2,TRUE),"")))</f>
        <v/>
      </c>
      <c r="AB39" s="34" t="str">
        <f>IF(A39="","",SUMIFS('成交明细'!$F$5:$F$804,'成交明细'!$A$5:$A$804,A39,'成交明细'!$D$5:$D$804,IF(F39="空","卖","买")))</f>
        <v/>
      </c>
      <c r="AC39" s="41" t="str">
        <f>IF(N(AB39)&gt;0,SUMIFS('成交明细'!$H$5:$H$804,'成交明细'!$A$5:$A$804,A39,'成交明细'!$D$5:$D$804,IF(F39="空","卖","买"))/AB39,"")</f>
        <v/>
      </c>
      <c r="AD39" s="34" t="str">
        <f>IF(A39="","",SUMIFS('成交明细'!$F$5:$F$804,'成交明细'!$A$5:$A$804,A39,'成交明细'!$D$5:$D$804,IF(F39="空","买","卖")))</f>
        <v/>
      </c>
      <c r="AE39" s="41" t="str">
        <f>IF(N(AD39)&gt;0,SUMIFS('成交明细'!$H$5:$H$804,'成交明细'!$A$5:$A$804,A39,'成交明细'!$D$5:$D$804,IF(F39="空","买","卖"))/AD39,"")</f>
        <v/>
      </c>
      <c r="AF39" s="38" t="str">
        <f>IF(A39="","",IF(X39&lt;&gt;"已执行",IF(X39="","未填执行情况",X39),IF(N(AB39)=0,"待录成交",IF(N(AD39)&gt;N(AB39),"平仓多于开仓",IF(N(AD39)&lt;N(AB39),"持仓中","已平仓")))))</f>
        <v/>
      </c>
      <c r="AG39" s="42" t="str">
        <f>IF(N(AB39)=0,"",SUMIFS('成交明细'!$L$5:$L$804,'成交明细'!$A$5:$A$804,A39))</f>
        <v/>
      </c>
      <c r="AH39" s="43" t="str">
        <f>IF(A39="","",SUMIFS('资金费流水'!$F$5:$F$604,'资金费流水'!$B$5:$B$604,A39))</f>
        <v/>
      </c>
      <c r="AI39" s="43" t="str">
        <f>IF(AF39&lt;&gt;"已平仓","",(SUMIFS('成交明细'!$H$5:$H$804,'成交明细'!$A$5:$A$804,A39,'成交明细'!$D$5:$D$804,"卖")-SUMIFS('成交明细'!$H$5:$H$804,'成交明细'!$A$5:$A$804,A39,'成交明细'!$D$5:$D$804,"买"))*1-AG39+N(AH39))</f>
        <v/>
      </c>
      <c r="AJ39" s="44" t="str">
        <f>IF(AND(AF39="已平仓",ISNUMBER(Q39)),(SUMIFS('成交明细'!$H$5:$H$804,'成交明细'!$A$5:$A$804,A39,'成交明细'!$D$5:$D$804,"卖")-SUMIFS('成交明细'!$H$5:$H$804,'成交明细'!$A$5:$A$804,A39,'成交明细'!$D$5:$D$804,"买"))*1/Q39,"")</f>
        <v/>
      </c>
      <c r="AK39" s="44" t="str">
        <f>IF(AND(AF39="已平仓",ISNUMBER(Q39)),AI39/Q39,"")</f>
        <v/>
      </c>
      <c r="AL39" s="45" t="str">
        <f>IF(AND(ISNUMBER(AC39),ISNUMBER(K39)),IF(F39="空",K39-AC39,AC39-K39),"")</f>
        <v/>
      </c>
      <c r="AM39" s="45" t="str">
        <f>IF(OR(NOT(ISNUMBER(AI39)),NOT(ISNUMBER(AE39))),"",IF(AI39&lt;0,IF(F39="空",AE39-L39,L39-AE39),IF(NOT(ISNUMBER(M39)),"",IF(F39="空",AE39-M39,M39-AE39))))</f>
        <v/>
      </c>
      <c r="AN39" s="31" t="n"/>
      <c r="AO39" s="31" t="n"/>
      <c r="AP39" s="30" t="n"/>
      <c r="AQ39" s="44" t="str">
        <f>IF(A39="","",SUM(AK$5:AK39))</f>
        <v/>
      </c>
      <c r="AR39" s="46" t="str">
        <f>IF(A39="","",MAX(0,MAX(AQ$5:AQ39))-AQ39)</f>
        <v/>
      </c>
    </row>
    <row r="40">
      <c r="A40" s="24" t="n"/>
      <c r="B40" s="29" t="n"/>
      <c r="C40" s="30" t="n"/>
      <c r="D40" s="31" t="n"/>
      <c r="E40" s="31" t="n"/>
      <c r="F40" s="31" t="n"/>
      <c r="G40" s="21" t="n"/>
      <c r="H40" s="31" t="n"/>
      <c r="I40" s="23" t="n"/>
      <c r="J40" s="31" t="n"/>
      <c r="K40" s="32" t="n"/>
      <c r="L40" s="32" t="n"/>
      <c r="M40" s="32" t="n"/>
      <c r="N40" s="33" t="str">
        <f>IF(AND(ISNUMBER(K40),ISNUMBER(L40),ISNUMBER(M40)),IF(OR(AND(F40="多",K40&gt;L40),AND(F40="空",K40&lt;L40)),ABS(M40-K40)/ABS(K40-L40),"止损方向不对"),"")</f>
        <v/>
      </c>
      <c r="O40" s="34" t="str">
        <f>IF(AND(ISNUMBER(K40),ISNUMBER(L40)),IF(K40=L40,"",IF(INT(ROUND('参数'!$C$7/(ABS(K40-L40)*1+2*K40*'参数'!$C$12)/IF(N(J40)&gt;0,J40,1),6))*IF(N(J40)&gt;0,J40,1)&gt;0,INT(ROUND('参数'!$C$7/(ABS(K40-L40)*1+2*K40*'参数'!$C$12)/IF(N(J40)&gt;0,J40,1),6))*IF(N(J40)&gt;0,J40,1),"预算不足，这笔不做")),"")</f>
        <v/>
      </c>
      <c r="P40" s="35" t="n"/>
      <c r="Q40" s="20" t="str">
        <f>IF(AND(ISNUMBER(K40),ISNUMBER(L40),ISNUMBER(P40)),IF(AND(K40&lt;&gt;L40,P40&gt;0),ABS(K40-L40)*P40*1,""),"")</f>
        <v/>
      </c>
      <c r="R40" s="20" t="str">
        <f>IF(AND(ISNUMBER(K40),ISNUMBER(P40)),K40*P40,"")</f>
        <v/>
      </c>
      <c r="S40" s="20" t="str">
        <f>IF(AND(D40="合约",ISNUMBER(R40),N(G40)&gt;0),R40/G40,"")</f>
        <v/>
      </c>
      <c r="T40" s="36" t="str">
        <f>IF(NOT(D40="合约"),"",IF(H40&lt;&gt;"逐仓","看平台",IF(AND(ISNUMBER(K40),N(G40)&gt;0),IF(F40="空",K40*(1+1/G40-IF(ISNUMBER(I40),I40,'参数'!$C$13)),K40*(1-1/G40+IF(ISNUMBER(I40),I40,'参数'!$C$13))),"")))</f>
        <v/>
      </c>
      <c r="U40" s="37" t="str">
        <f>IF(AND(ISNUMBER(T40),ISNUMBER(L40),ISNUMBER(K40)),IF(F40="空",T40-L40,L40-T40)/K40,"")</f>
        <v/>
      </c>
      <c r="V40" s="38" t="str">
        <f>IF(ISNUMBER(U40),IF(U40&lt;'参数'!$C$15,"先降杠杆或减量","在止损外"),"")</f>
        <v/>
      </c>
      <c r="W40" s="30" t="n"/>
      <c r="X40" s="31" t="n"/>
      <c r="Y40" s="39" t="str">
        <f>IF(N(AB40)&gt;0,SUMPRODUCT(LARGE(('成交明细'!$A$5:$A$804=A40)*('成交明细'!$D$5:$D$804=IF(F40="空","卖","买"))*'成交明细'!$B$5:$B$804,COUNTIFS('成交明细'!$A$5:$A$804,A40,'成交明细'!$D$5:$D$804,IF(F40="空","卖","买")))),"")</f>
        <v/>
      </c>
      <c r="Z40" s="39" t="str">
        <f>IF(AND(N(AB40)&gt;0,N(AD40)&gt;=N(AB40)),SUMPRODUCT(MAX(('成交明细'!$A$5:$A$804=A40)*('成交明细'!$D$5:$D$804=IF(F40="空","买","卖"))*'成交明细'!$B$5:$B$804)),"")</f>
        <v/>
      </c>
      <c r="AA40" s="40" t="str">
        <f>IF(N(AB40)=0,"",IF(SUMPRODUCT(('成交明细'!$A$5:$A$804=A40)*('成交明细'!$D$5:$D$804=IF(F40="空","卖","买"))*ISNUMBER('成交明细'!$C$5:$C$804))=0,"没填时间",IFERROR(VLOOKUP(MOD(SUMPRODUCT(LARGE(('成交明细'!$A$5:$A$804=A40)*('成交明细'!$D$5:$D$804=IF(F40="空","卖","买"))*('成交明细'!$B$5:$B$804+'成交明细'!$C$5:$C$804),COUNTIFS('成交明细'!$A$5:$A$804,A40,'成交明细'!$D$5:$D$804,IF(F40="空","卖","买")))),1),'参数'!$B$39:$C$48,2,TRUE),"")))</f>
        <v/>
      </c>
      <c r="AB40" s="34" t="str">
        <f>IF(A40="","",SUMIFS('成交明细'!$F$5:$F$804,'成交明细'!$A$5:$A$804,A40,'成交明细'!$D$5:$D$804,IF(F40="空","卖","买")))</f>
        <v/>
      </c>
      <c r="AC40" s="41" t="str">
        <f>IF(N(AB40)&gt;0,SUMIFS('成交明细'!$H$5:$H$804,'成交明细'!$A$5:$A$804,A40,'成交明细'!$D$5:$D$804,IF(F40="空","卖","买"))/AB40,"")</f>
        <v/>
      </c>
      <c r="AD40" s="34" t="str">
        <f>IF(A40="","",SUMIFS('成交明细'!$F$5:$F$804,'成交明细'!$A$5:$A$804,A40,'成交明细'!$D$5:$D$804,IF(F40="空","买","卖")))</f>
        <v/>
      </c>
      <c r="AE40" s="41" t="str">
        <f>IF(N(AD40)&gt;0,SUMIFS('成交明细'!$H$5:$H$804,'成交明细'!$A$5:$A$804,A40,'成交明细'!$D$5:$D$804,IF(F40="空","买","卖"))/AD40,"")</f>
        <v/>
      </c>
      <c r="AF40" s="38" t="str">
        <f>IF(A40="","",IF(X40&lt;&gt;"已执行",IF(X40="","未填执行情况",X40),IF(N(AB40)=0,"待录成交",IF(N(AD40)&gt;N(AB40),"平仓多于开仓",IF(N(AD40)&lt;N(AB40),"持仓中","已平仓")))))</f>
        <v/>
      </c>
      <c r="AG40" s="42" t="str">
        <f>IF(N(AB40)=0,"",SUMIFS('成交明细'!$L$5:$L$804,'成交明细'!$A$5:$A$804,A40))</f>
        <v/>
      </c>
      <c r="AH40" s="43" t="str">
        <f>IF(A40="","",SUMIFS('资金费流水'!$F$5:$F$604,'资金费流水'!$B$5:$B$604,A40))</f>
        <v/>
      </c>
      <c r="AI40" s="43" t="str">
        <f>IF(AF40&lt;&gt;"已平仓","",(SUMIFS('成交明细'!$H$5:$H$804,'成交明细'!$A$5:$A$804,A40,'成交明细'!$D$5:$D$804,"卖")-SUMIFS('成交明细'!$H$5:$H$804,'成交明细'!$A$5:$A$804,A40,'成交明细'!$D$5:$D$804,"买"))*1-AG40+N(AH40))</f>
        <v/>
      </c>
      <c r="AJ40" s="44" t="str">
        <f>IF(AND(AF40="已平仓",ISNUMBER(Q40)),(SUMIFS('成交明细'!$H$5:$H$804,'成交明细'!$A$5:$A$804,A40,'成交明细'!$D$5:$D$804,"卖")-SUMIFS('成交明细'!$H$5:$H$804,'成交明细'!$A$5:$A$804,A40,'成交明细'!$D$5:$D$804,"买"))*1/Q40,"")</f>
        <v/>
      </c>
      <c r="AK40" s="44" t="str">
        <f>IF(AND(AF40="已平仓",ISNUMBER(Q40)),AI40/Q40,"")</f>
        <v/>
      </c>
      <c r="AL40" s="45" t="str">
        <f>IF(AND(ISNUMBER(AC40),ISNUMBER(K40)),IF(F40="空",K40-AC40,AC40-K40),"")</f>
        <v/>
      </c>
      <c r="AM40" s="45" t="str">
        <f>IF(OR(NOT(ISNUMBER(AI40)),NOT(ISNUMBER(AE40))),"",IF(AI40&lt;0,IF(F40="空",AE40-L40,L40-AE40),IF(NOT(ISNUMBER(M40)),"",IF(F40="空",AE40-M40,M40-AE40))))</f>
        <v/>
      </c>
      <c r="AN40" s="31" t="n"/>
      <c r="AO40" s="31" t="n"/>
      <c r="AP40" s="30" t="n"/>
      <c r="AQ40" s="44" t="str">
        <f>IF(A40="","",SUM(AK$5:AK40))</f>
        <v/>
      </c>
      <c r="AR40" s="46" t="str">
        <f>IF(A40="","",MAX(0,MAX(AQ$5:AQ40))-AQ40)</f>
        <v/>
      </c>
    </row>
    <row r="41">
      <c r="A41" s="24" t="n"/>
      <c r="B41" s="29" t="n"/>
      <c r="C41" s="30" t="n"/>
      <c r="D41" s="31" t="n"/>
      <c r="E41" s="31" t="n"/>
      <c r="F41" s="31" t="n"/>
      <c r="G41" s="21" t="n"/>
      <c r="H41" s="31" t="n"/>
      <c r="I41" s="23" t="n"/>
      <c r="J41" s="31" t="n"/>
      <c r="K41" s="32" t="n"/>
      <c r="L41" s="32" t="n"/>
      <c r="M41" s="32" t="n"/>
      <c r="N41" s="33" t="str">
        <f>IF(AND(ISNUMBER(K41),ISNUMBER(L41),ISNUMBER(M41)),IF(OR(AND(F41="多",K41&gt;L41),AND(F41="空",K41&lt;L41)),ABS(M41-K41)/ABS(K41-L41),"止损方向不对"),"")</f>
        <v/>
      </c>
      <c r="O41" s="34" t="str">
        <f>IF(AND(ISNUMBER(K41),ISNUMBER(L41)),IF(K41=L41,"",IF(INT(ROUND('参数'!$C$7/(ABS(K41-L41)*1+2*K41*'参数'!$C$12)/IF(N(J41)&gt;0,J41,1),6))*IF(N(J41)&gt;0,J41,1)&gt;0,INT(ROUND('参数'!$C$7/(ABS(K41-L41)*1+2*K41*'参数'!$C$12)/IF(N(J41)&gt;0,J41,1),6))*IF(N(J41)&gt;0,J41,1),"预算不足，这笔不做")),"")</f>
        <v/>
      </c>
      <c r="P41" s="35" t="n"/>
      <c r="Q41" s="20" t="str">
        <f>IF(AND(ISNUMBER(K41),ISNUMBER(L41),ISNUMBER(P41)),IF(AND(K41&lt;&gt;L41,P41&gt;0),ABS(K41-L41)*P41*1,""),"")</f>
        <v/>
      </c>
      <c r="R41" s="20" t="str">
        <f>IF(AND(ISNUMBER(K41),ISNUMBER(P41)),K41*P41,"")</f>
        <v/>
      </c>
      <c r="S41" s="20" t="str">
        <f>IF(AND(D41="合约",ISNUMBER(R41),N(G41)&gt;0),R41/G41,"")</f>
        <v/>
      </c>
      <c r="T41" s="36" t="str">
        <f>IF(NOT(D41="合约"),"",IF(H41&lt;&gt;"逐仓","看平台",IF(AND(ISNUMBER(K41),N(G41)&gt;0),IF(F41="空",K41*(1+1/G41-IF(ISNUMBER(I41),I41,'参数'!$C$13)),K41*(1-1/G41+IF(ISNUMBER(I41),I41,'参数'!$C$13))),"")))</f>
        <v/>
      </c>
      <c r="U41" s="37" t="str">
        <f>IF(AND(ISNUMBER(T41),ISNUMBER(L41),ISNUMBER(K41)),IF(F41="空",T41-L41,L41-T41)/K41,"")</f>
        <v/>
      </c>
      <c r="V41" s="38" t="str">
        <f>IF(ISNUMBER(U41),IF(U41&lt;'参数'!$C$15,"先降杠杆或减量","在止损外"),"")</f>
        <v/>
      </c>
      <c r="W41" s="30" t="n"/>
      <c r="X41" s="31" t="n"/>
      <c r="Y41" s="39" t="str">
        <f>IF(N(AB41)&gt;0,SUMPRODUCT(LARGE(('成交明细'!$A$5:$A$804=A41)*('成交明细'!$D$5:$D$804=IF(F41="空","卖","买"))*'成交明细'!$B$5:$B$804,COUNTIFS('成交明细'!$A$5:$A$804,A41,'成交明细'!$D$5:$D$804,IF(F41="空","卖","买")))),"")</f>
        <v/>
      </c>
      <c r="Z41" s="39" t="str">
        <f>IF(AND(N(AB41)&gt;0,N(AD41)&gt;=N(AB41)),SUMPRODUCT(MAX(('成交明细'!$A$5:$A$804=A41)*('成交明细'!$D$5:$D$804=IF(F41="空","买","卖"))*'成交明细'!$B$5:$B$804)),"")</f>
        <v/>
      </c>
      <c r="AA41" s="40" t="str">
        <f>IF(N(AB41)=0,"",IF(SUMPRODUCT(('成交明细'!$A$5:$A$804=A41)*('成交明细'!$D$5:$D$804=IF(F41="空","卖","买"))*ISNUMBER('成交明细'!$C$5:$C$804))=0,"没填时间",IFERROR(VLOOKUP(MOD(SUMPRODUCT(LARGE(('成交明细'!$A$5:$A$804=A41)*('成交明细'!$D$5:$D$804=IF(F41="空","卖","买"))*('成交明细'!$B$5:$B$804+'成交明细'!$C$5:$C$804),COUNTIFS('成交明细'!$A$5:$A$804,A41,'成交明细'!$D$5:$D$804,IF(F41="空","卖","买")))),1),'参数'!$B$39:$C$48,2,TRUE),"")))</f>
        <v/>
      </c>
      <c r="AB41" s="34" t="str">
        <f>IF(A41="","",SUMIFS('成交明细'!$F$5:$F$804,'成交明细'!$A$5:$A$804,A41,'成交明细'!$D$5:$D$804,IF(F41="空","卖","买")))</f>
        <v/>
      </c>
      <c r="AC41" s="41" t="str">
        <f>IF(N(AB41)&gt;0,SUMIFS('成交明细'!$H$5:$H$804,'成交明细'!$A$5:$A$804,A41,'成交明细'!$D$5:$D$804,IF(F41="空","卖","买"))/AB41,"")</f>
        <v/>
      </c>
      <c r="AD41" s="34" t="str">
        <f>IF(A41="","",SUMIFS('成交明细'!$F$5:$F$804,'成交明细'!$A$5:$A$804,A41,'成交明细'!$D$5:$D$804,IF(F41="空","买","卖")))</f>
        <v/>
      </c>
      <c r="AE41" s="41" t="str">
        <f>IF(N(AD41)&gt;0,SUMIFS('成交明细'!$H$5:$H$804,'成交明细'!$A$5:$A$804,A41,'成交明细'!$D$5:$D$804,IF(F41="空","买","卖"))/AD41,"")</f>
        <v/>
      </c>
      <c r="AF41" s="38" t="str">
        <f>IF(A41="","",IF(X41&lt;&gt;"已执行",IF(X41="","未填执行情况",X41),IF(N(AB41)=0,"待录成交",IF(N(AD41)&gt;N(AB41),"平仓多于开仓",IF(N(AD41)&lt;N(AB41),"持仓中","已平仓")))))</f>
        <v/>
      </c>
      <c r="AG41" s="42" t="str">
        <f>IF(N(AB41)=0,"",SUMIFS('成交明细'!$L$5:$L$804,'成交明细'!$A$5:$A$804,A41))</f>
        <v/>
      </c>
      <c r="AH41" s="43" t="str">
        <f>IF(A41="","",SUMIFS('资金费流水'!$F$5:$F$604,'资金费流水'!$B$5:$B$604,A41))</f>
        <v/>
      </c>
      <c r="AI41" s="43" t="str">
        <f>IF(AF41&lt;&gt;"已平仓","",(SUMIFS('成交明细'!$H$5:$H$804,'成交明细'!$A$5:$A$804,A41,'成交明细'!$D$5:$D$804,"卖")-SUMIFS('成交明细'!$H$5:$H$804,'成交明细'!$A$5:$A$804,A41,'成交明细'!$D$5:$D$804,"买"))*1-AG41+N(AH41))</f>
        <v/>
      </c>
      <c r="AJ41" s="44" t="str">
        <f>IF(AND(AF41="已平仓",ISNUMBER(Q41)),(SUMIFS('成交明细'!$H$5:$H$804,'成交明细'!$A$5:$A$804,A41,'成交明细'!$D$5:$D$804,"卖")-SUMIFS('成交明细'!$H$5:$H$804,'成交明细'!$A$5:$A$804,A41,'成交明细'!$D$5:$D$804,"买"))*1/Q41,"")</f>
        <v/>
      </c>
      <c r="AK41" s="44" t="str">
        <f>IF(AND(AF41="已平仓",ISNUMBER(Q41)),AI41/Q41,"")</f>
        <v/>
      </c>
      <c r="AL41" s="45" t="str">
        <f>IF(AND(ISNUMBER(AC41),ISNUMBER(K41)),IF(F41="空",K41-AC41,AC41-K41),"")</f>
        <v/>
      </c>
      <c r="AM41" s="45" t="str">
        <f>IF(OR(NOT(ISNUMBER(AI41)),NOT(ISNUMBER(AE41))),"",IF(AI41&lt;0,IF(F41="空",AE41-L41,L41-AE41),IF(NOT(ISNUMBER(M41)),"",IF(F41="空",AE41-M41,M41-AE41))))</f>
        <v/>
      </c>
      <c r="AN41" s="31" t="n"/>
      <c r="AO41" s="31" t="n"/>
      <c r="AP41" s="30" t="n"/>
      <c r="AQ41" s="44" t="str">
        <f>IF(A41="","",SUM(AK$5:AK41))</f>
        <v/>
      </c>
      <c r="AR41" s="46" t="str">
        <f>IF(A41="","",MAX(0,MAX(AQ$5:AQ41))-AQ41)</f>
        <v/>
      </c>
    </row>
    <row r="42">
      <c r="A42" s="24" t="n"/>
      <c r="B42" s="29" t="n"/>
      <c r="C42" s="30" t="n"/>
      <c r="D42" s="31" t="n"/>
      <c r="E42" s="31" t="n"/>
      <c r="F42" s="31" t="n"/>
      <c r="G42" s="21" t="n"/>
      <c r="H42" s="31" t="n"/>
      <c r="I42" s="23" t="n"/>
      <c r="J42" s="31" t="n"/>
      <c r="K42" s="32" t="n"/>
      <c r="L42" s="32" t="n"/>
      <c r="M42" s="32" t="n"/>
      <c r="N42" s="33" t="str">
        <f>IF(AND(ISNUMBER(K42),ISNUMBER(L42),ISNUMBER(M42)),IF(OR(AND(F42="多",K42&gt;L42),AND(F42="空",K42&lt;L42)),ABS(M42-K42)/ABS(K42-L42),"止损方向不对"),"")</f>
        <v/>
      </c>
      <c r="O42" s="34" t="str">
        <f>IF(AND(ISNUMBER(K42),ISNUMBER(L42)),IF(K42=L42,"",IF(INT(ROUND('参数'!$C$7/(ABS(K42-L42)*1+2*K42*'参数'!$C$12)/IF(N(J42)&gt;0,J42,1),6))*IF(N(J42)&gt;0,J42,1)&gt;0,INT(ROUND('参数'!$C$7/(ABS(K42-L42)*1+2*K42*'参数'!$C$12)/IF(N(J42)&gt;0,J42,1),6))*IF(N(J42)&gt;0,J42,1),"预算不足，这笔不做")),"")</f>
        <v/>
      </c>
      <c r="P42" s="35" t="n"/>
      <c r="Q42" s="20" t="str">
        <f>IF(AND(ISNUMBER(K42),ISNUMBER(L42),ISNUMBER(P42)),IF(AND(K42&lt;&gt;L42,P42&gt;0),ABS(K42-L42)*P42*1,""),"")</f>
        <v/>
      </c>
      <c r="R42" s="20" t="str">
        <f>IF(AND(ISNUMBER(K42),ISNUMBER(P42)),K42*P42,"")</f>
        <v/>
      </c>
      <c r="S42" s="20" t="str">
        <f>IF(AND(D42="合约",ISNUMBER(R42),N(G42)&gt;0),R42/G42,"")</f>
        <v/>
      </c>
      <c r="T42" s="36" t="str">
        <f>IF(NOT(D42="合约"),"",IF(H42&lt;&gt;"逐仓","看平台",IF(AND(ISNUMBER(K42),N(G42)&gt;0),IF(F42="空",K42*(1+1/G42-IF(ISNUMBER(I42),I42,'参数'!$C$13)),K42*(1-1/G42+IF(ISNUMBER(I42),I42,'参数'!$C$13))),"")))</f>
        <v/>
      </c>
      <c r="U42" s="37" t="str">
        <f>IF(AND(ISNUMBER(T42),ISNUMBER(L42),ISNUMBER(K42)),IF(F42="空",T42-L42,L42-T42)/K42,"")</f>
        <v/>
      </c>
      <c r="V42" s="38" t="str">
        <f>IF(ISNUMBER(U42),IF(U42&lt;'参数'!$C$15,"先降杠杆或减量","在止损外"),"")</f>
        <v/>
      </c>
      <c r="W42" s="30" t="n"/>
      <c r="X42" s="31" t="n"/>
      <c r="Y42" s="39" t="str">
        <f>IF(N(AB42)&gt;0,SUMPRODUCT(LARGE(('成交明细'!$A$5:$A$804=A42)*('成交明细'!$D$5:$D$804=IF(F42="空","卖","买"))*'成交明细'!$B$5:$B$804,COUNTIFS('成交明细'!$A$5:$A$804,A42,'成交明细'!$D$5:$D$804,IF(F42="空","卖","买")))),"")</f>
        <v/>
      </c>
      <c r="Z42" s="39" t="str">
        <f>IF(AND(N(AB42)&gt;0,N(AD42)&gt;=N(AB42)),SUMPRODUCT(MAX(('成交明细'!$A$5:$A$804=A42)*('成交明细'!$D$5:$D$804=IF(F42="空","买","卖"))*'成交明细'!$B$5:$B$804)),"")</f>
        <v/>
      </c>
      <c r="AA42" s="40" t="str">
        <f>IF(N(AB42)=0,"",IF(SUMPRODUCT(('成交明细'!$A$5:$A$804=A42)*('成交明细'!$D$5:$D$804=IF(F42="空","卖","买"))*ISNUMBER('成交明细'!$C$5:$C$804))=0,"没填时间",IFERROR(VLOOKUP(MOD(SUMPRODUCT(LARGE(('成交明细'!$A$5:$A$804=A42)*('成交明细'!$D$5:$D$804=IF(F42="空","卖","买"))*('成交明细'!$B$5:$B$804+'成交明细'!$C$5:$C$804),COUNTIFS('成交明细'!$A$5:$A$804,A42,'成交明细'!$D$5:$D$804,IF(F42="空","卖","买")))),1),'参数'!$B$39:$C$48,2,TRUE),"")))</f>
        <v/>
      </c>
      <c r="AB42" s="34" t="str">
        <f>IF(A42="","",SUMIFS('成交明细'!$F$5:$F$804,'成交明细'!$A$5:$A$804,A42,'成交明细'!$D$5:$D$804,IF(F42="空","卖","买")))</f>
        <v/>
      </c>
      <c r="AC42" s="41" t="str">
        <f>IF(N(AB42)&gt;0,SUMIFS('成交明细'!$H$5:$H$804,'成交明细'!$A$5:$A$804,A42,'成交明细'!$D$5:$D$804,IF(F42="空","卖","买"))/AB42,"")</f>
        <v/>
      </c>
      <c r="AD42" s="34" t="str">
        <f>IF(A42="","",SUMIFS('成交明细'!$F$5:$F$804,'成交明细'!$A$5:$A$804,A42,'成交明细'!$D$5:$D$804,IF(F42="空","买","卖")))</f>
        <v/>
      </c>
      <c r="AE42" s="41" t="str">
        <f>IF(N(AD42)&gt;0,SUMIFS('成交明细'!$H$5:$H$804,'成交明细'!$A$5:$A$804,A42,'成交明细'!$D$5:$D$804,IF(F42="空","买","卖"))/AD42,"")</f>
        <v/>
      </c>
      <c r="AF42" s="38" t="str">
        <f>IF(A42="","",IF(X42&lt;&gt;"已执行",IF(X42="","未填执行情况",X42),IF(N(AB42)=0,"待录成交",IF(N(AD42)&gt;N(AB42),"平仓多于开仓",IF(N(AD42)&lt;N(AB42),"持仓中","已平仓")))))</f>
        <v/>
      </c>
      <c r="AG42" s="42" t="str">
        <f>IF(N(AB42)=0,"",SUMIFS('成交明细'!$L$5:$L$804,'成交明细'!$A$5:$A$804,A42))</f>
        <v/>
      </c>
      <c r="AH42" s="43" t="str">
        <f>IF(A42="","",SUMIFS('资金费流水'!$F$5:$F$604,'资金费流水'!$B$5:$B$604,A42))</f>
        <v/>
      </c>
      <c r="AI42" s="43" t="str">
        <f>IF(AF42&lt;&gt;"已平仓","",(SUMIFS('成交明细'!$H$5:$H$804,'成交明细'!$A$5:$A$804,A42,'成交明细'!$D$5:$D$804,"卖")-SUMIFS('成交明细'!$H$5:$H$804,'成交明细'!$A$5:$A$804,A42,'成交明细'!$D$5:$D$804,"买"))*1-AG42+N(AH42))</f>
        <v/>
      </c>
      <c r="AJ42" s="44" t="str">
        <f>IF(AND(AF42="已平仓",ISNUMBER(Q42)),(SUMIFS('成交明细'!$H$5:$H$804,'成交明细'!$A$5:$A$804,A42,'成交明细'!$D$5:$D$804,"卖")-SUMIFS('成交明细'!$H$5:$H$804,'成交明细'!$A$5:$A$804,A42,'成交明细'!$D$5:$D$804,"买"))*1/Q42,"")</f>
        <v/>
      </c>
      <c r="AK42" s="44" t="str">
        <f>IF(AND(AF42="已平仓",ISNUMBER(Q42)),AI42/Q42,"")</f>
        <v/>
      </c>
      <c r="AL42" s="45" t="str">
        <f>IF(AND(ISNUMBER(AC42),ISNUMBER(K42)),IF(F42="空",K42-AC42,AC42-K42),"")</f>
        <v/>
      </c>
      <c r="AM42" s="45" t="str">
        <f>IF(OR(NOT(ISNUMBER(AI42)),NOT(ISNUMBER(AE42))),"",IF(AI42&lt;0,IF(F42="空",AE42-L42,L42-AE42),IF(NOT(ISNUMBER(M42)),"",IF(F42="空",AE42-M42,M42-AE42))))</f>
        <v/>
      </c>
      <c r="AN42" s="31" t="n"/>
      <c r="AO42" s="31" t="n"/>
      <c r="AP42" s="30" t="n"/>
      <c r="AQ42" s="44" t="str">
        <f>IF(A42="","",SUM(AK$5:AK42))</f>
        <v/>
      </c>
      <c r="AR42" s="46" t="str">
        <f>IF(A42="","",MAX(0,MAX(AQ$5:AQ42))-AQ42)</f>
        <v/>
      </c>
    </row>
    <row r="43">
      <c r="A43" s="24" t="n"/>
      <c r="B43" s="29" t="n"/>
      <c r="C43" s="30" t="n"/>
      <c r="D43" s="31" t="n"/>
      <c r="E43" s="31" t="n"/>
      <c r="F43" s="31" t="n"/>
      <c r="G43" s="21" t="n"/>
      <c r="H43" s="31" t="n"/>
      <c r="I43" s="23" t="n"/>
      <c r="J43" s="31" t="n"/>
      <c r="K43" s="32" t="n"/>
      <c r="L43" s="32" t="n"/>
      <c r="M43" s="32" t="n"/>
      <c r="N43" s="33" t="str">
        <f>IF(AND(ISNUMBER(K43),ISNUMBER(L43),ISNUMBER(M43)),IF(OR(AND(F43="多",K43&gt;L43),AND(F43="空",K43&lt;L43)),ABS(M43-K43)/ABS(K43-L43),"止损方向不对"),"")</f>
        <v/>
      </c>
      <c r="O43" s="34" t="str">
        <f>IF(AND(ISNUMBER(K43),ISNUMBER(L43)),IF(K43=L43,"",IF(INT(ROUND('参数'!$C$7/(ABS(K43-L43)*1+2*K43*'参数'!$C$12)/IF(N(J43)&gt;0,J43,1),6))*IF(N(J43)&gt;0,J43,1)&gt;0,INT(ROUND('参数'!$C$7/(ABS(K43-L43)*1+2*K43*'参数'!$C$12)/IF(N(J43)&gt;0,J43,1),6))*IF(N(J43)&gt;0,J43,1),"预算不足，这笔不做")),"")</f>
        <v/>
      </c>
      <c r="P43" s="35" t="n"/>
      <c r="Q43" s="20" t="str">
        <f>IF(AND(ISNUMBER(K43),ISNUMBER(L43),ISNUMBER(P43)),IF(AND(K43&lt;&gt;L43,P43&gt;0),ABS(K43-L43)*P43*1,""),"")</f>
        <v/>
      </c>
      <c r="R43" s="20" t="str">
        <f>IF(AND(ISNUMBER(K43),ISNUMBER(P43)),K43*P43,"")</f>
        <v/>
      </c>
      <c r="S43" s="20" t="str">
        <f>IF(AND(D43="合约",ISNUMBER(R43),N(G43)&gt;0),R43/G43,"")</f>
        <v/>
      </c>
      <c r="T43" s="36" t="str">
        <f>IF(NOT(D43="合约"),"",IF(H43&lt;&gt;"逐仓","看平台",IF(AND(ISNUMBER(K43),N(G43)&gt;0),IF(F43="空",K43*(1+1/G43-IF(ISNUMBER(I43),I43,'参数'!$C$13)),K43*(1-1/G43+IF(ISNUMBER(I43),I43,'参数'!$C$13))),"")))</f>
        <v/>
      </c>
      <c r="U43" s="37" t="str">
        <f>IF(AND(ISNUMBER(T43),ISNUMBER(L43),ISNUMBER(K43)),IF(F43="空",T43-L43,L43-T43)/K43,"")</f>
        <v/>
      </c>
      <c r="V43" s="38" t="str">
        <f>IF(ISNUMBER(U43),IF(U43&lt;'参数'!$C$15,"先降杠杆或减量","在止损外"),"")</f>
        <v/>
      </c>
      <c r="W43" s="30" t="n"/>
      <c r="X43" s="31" t="n"/>
      <c r="Y43" s="39" t="str">
        <f>IF(N(AB43)&gt;0,SUMPRODUCT(LARGE(('成交明细'!$A$5:$A$804=A43)*('成交明细'!$D$5:$D$804=IF(F43="空","卖","买"))*'成交明细'!$B$5:$B$804,COUNTIFS('成交明细'!$A$5:$A$804,A43,'成交明细'!$D$5:$D$804,IF(F43="空","卖","买")))),"")</f>
        <v/>
      </c>
      <c r="Z43" s="39" t="str">
        <f>IF(AND(N(AB43)&gt;0,N(AD43)&gt;=N(AB43)),SUMPRODUCT(MAX(('成交明细'!$A$5:$A$804=A43)*('成交明细'!$D$5:$D$804=IF(F43="空","买","卖"))*'成交明细'!$B$5:$B$804)),"")</f>
        <v/>
      </c>
      <c r="AA43" s="40" t="str">
        <f>IF(N(AB43)=0,"",IF(SUMPRODUCT(('成交明细'!$A$5:$A$804=A43)*('成交明细'!$D$5:$D$804=IF(F43="空","卖","买"))*ISNUMBER('成交明细'!$C$5:$C$804))=0,"没填时间",IFERROR(VLOOKUP(MOD(SUMPRODUCT(LARGE(('成交明细'!$A$5:$A$804=A43)*('成交明细'!$D$5:$D$804=IF(F43="空","卖","买"))*('成交明细'!$B$5:$B$804+'成交明细'!$C$5:$C$804),COUNTIFS('成交明细'!$A$5:$A$804,A43,'成交明细'!$D$5:$D$804,IF(F43="空","卖","买")))),1),'参数'!$B$39:$C$48,2,TRUE),"")))</f>
        <v/>
      </c>
      <c r="AB43" s="34" t="str">
        <f>IF(A43="","",SUMIFS('成交明细'!$F$5:$F$804,'成交明细'!$A$5:$A$804,A43,'成交明细'!$D$5:$D$804,IF(F43="空","卖","买")))</f>
        <v/>
      </c>
      <c r="AC43" s="41" t="str">
        <f>IF(N(AB43)&gt;0,SUMIFS('成交明细'!$H$5:$H$804,'成交明细'!$A$5:$A$804,A43,'成交明细'!$D$5:$D$804,IF(F43="空","卖","买"))/AB43,"")</f>
        <v/>
      </c>
      <c r="AD43" s="34" t="str">
        <f>IF(A43="","",SUMIFS('成交明细'!$F$5:$F$804,'成交明细'!$A$5:$A$804,A43,'成交明细'!$D$5:$D$804,IF(F43="空","买","卖")))</f>
        <v/>
      </c>
      <c r="AE43" s="41" t="str">
        <f>IF(N(AD43)&gt;0,SUMIFS('成交明细'!$H$5:$H$804,'成交明细'!$A$5:$A$804,A43,'成交明细'!$D$5:$D$804,IF(F43="空","买","卖"))/AD43,"")</f>
        <v/>
      </c>
      <c r="AF43" s="38" t="str">
        <f>IF(A43="","",IF(X43&lt;&gt;"已执行",IF(X43="","未填执行情况",X43),IF(N(AB43)=0,"待录成交",IF(N(AD43)&gt;N(AB43),"平仓多于开仓",IF(N(AD43)&lt;N(AB43),"持仓中","已平仓")))))</f>
        <v/>
      </c>
      <c r="AG43" s="42" t="str">
        <f>IF(N(AB43)=0,"",SUMIFS('成交明细'!$L$5:$L$804,'成交明细'!$A$5:$A$804,A43))</f>
        <v/>
      </c>
      <c r="AH43" s="43" t="str">
        <f>IF(A43="","",SUMIFS('资金费流水'!$F$5:$F$604,'资金费流水'!$B$5:$B$604,A43))</f>
        <v/>
      </c>
      <c r="AI43" s="43" t="str">
        <f>IF(AF43&lt;&gt;"已平仓","",(SUMIFS('成交明细'!$H$5:$H$804,'成交明细'!$A$5:$A$804,A43,'成交明细'!$D$5:$D$804,"卖")-SUMIFS('成交明细'!$H$5:$H$804,'成交明细'!$A$5:$A$804,A43,'成交明细'!$D$5:$D$804,"买"))*1-AG43+N(AH43))</f>
        <v/>
      </c>
      <c r="AJ43" s="44" t="str">
        <f>IF(AND(AF43="已平仓",ISNUMBER(Q43)),(SUMIFS('成交明细'!$H$5:$H$804,'成交明细'!$A$5:$A$804,A43,'成交明细'!$D$5:$D$804,"卖")-SUMIFS('成交明细'!$H$5:$H$804,'成交明细'!$A$5:$A$804,A43,'成交明细'!$D$5:$D$804,"买"))*1/Q43,"")</f>
        <v/>
      </c>
      <c r="AK43" s="44" t="str">
        <f>IF(AND(AF43="已平仓",ISNUMBER(Q43)),AI43/Q43,"")</f>
        <v/>
      </c>
      <c r="AL43" s="45" t="str">
        <f>IF(AND(ISNUMBER(AC43),ISNUMBER(K43)),IF(F43="空",K43-AC43,AC43-K43),"")</f>
        <v/>
      </c>
      <c r="AM43" s="45" t="str">
        <f>IF(OR(NOT(ISNUMBER(AI43)),NOT(ISNUMBER(AE43))),"",IF(AI43&lt;0,IF(F43="空",AE43-L43,L43-AE43),IF(NOT(ISNUMBER(M43)),"",IF(F43="空",AE43-M43,M43-AE43))))</f>
        <v/>
      </c>
      <c r="AN43" s="31" t="n"/>
      <c r="AO43" s="31" t="n"/>
      <c r="AP43" s="30" t="n"/>
      <c r="AQ43" s="44" t="str">
        <f>IF(A43="","",SUM(AK$5:AK43))</f>
        <v/>
      </c>
      <c r="AR43" s="46" t="str">
        <f>IF(A43="","",MAX(0,MAX(AQ$5:AQ43))-AQ43)</f>
        <v/>
      </c>
    </row>
    <row r="44">
      <c r="A44" s="24" t="n"/>
      <c r="B44" s="29" t="n"/>
      <c r="C44" s="30" t="n"/>
      <c r="D44" s="31" t="n"/>
      <c r="E44" s="31" t="n"/>
      <c r="F44" s="31" t="n"/>
      <c r="G44" s="21" t="n"/>
      <c r="H44" s="31" t="n"/>
      <c r="I44" s="23" t="n"/>
      <c r="J44" s="31" t="n"/>
      <c r="K44" s="32" t="n"/>
      <c r="L44" s="32" t="n"/>
      <c r="M44" s="32" t="n"/>
      <c r="N44" s="33" t="str">
        <f>IF(AND(ISNUMBER(K44),ISNUMBER(L44),ISNUMBER(M44)),IF(OR(AND(F44="多",K44&gt;L44),AND(F44="空",K44&lt;L44)),ABS(M44-K44)/ABS(K44-L44),"止损方向不对"),"")</f>
        <v/>
      </c>
      <c r="O44" s="34" t="str">
        <f>IF(AND(ISNUMBER(K44),ISNUMBER(L44)),IF(K44=L44,"",IF(INT(ROUND('参数'!$C$7/(ABS(K44-L44)*1+2*K44*'参数'!$C$12)/IF(N(J44)&gt;0,J44,1),6))*IF(N(J44)&gt;0,J44,1)&gt;0,INT(ROUND('参数'!$C$7/(ABS(K44-L44)*1+2*K44*'参数'!$C$12)/IF(N(J44)&gt;0,J44,1),6))*IF(N(J44)&gt;0,J44,1),"预算不足，这笔不做")),"")</f>
        <v/>
      </c>
      <c r="P44" s="35" t="n"/>
      <c r="Q44" s="20" t="str">
        <f>IF(AND(ISNUMBER(K44),ISNUMBER(L44),ISNUMBER(P44)),IF(AND(K44&lt;&gt;L44,P44&gt;0),ABS(K44-L44)*P44*1,""),"")</f>
        <v/>
      </c>
      <c r="R44" s="20" t="str">
        <f>IF(AND(ISNUMBER(K44),ISNUMBER(P44)),K44*P44,"")</f>
        <v/>
      </c>
      <c r="S44" s="20" t="str">
        <f>IF(AND(D44="合约",ISNUMBER(R44),N(G44)&gt;0),R44/G44,"")</f>
        <v/>
      </c>
      <c r="T44" s="36" t="str">
        <f>IF(NOT(D44="合约"),"",IF(H44&lt;&gt;"逐仓","看平台",IF(AND(ISNUMBER(K44),N(G44)&gt;0),IF(F44="空",K44*(1+1/G44-IF(ISNUMBER(I44),I44,'参数'!$C$13)),K44*(1-1/G44+IF(ISNUMBER(I44),I44,'参数'!$C$13))),"")))</f>
        <v/>
      </c>
      <c r="U44" s="37" t="str">
        <f>IF(AND(ISNUMBER(T44),ISNUMBER(L44),ISNUMBER(K44)),IF(F44="空",T44-L44,L44-T44)/K44,"")</f>
        <v/>
      </c>
      <c r="V44" s="38" t="str">
        <f>IF(ISNUMBER(U44),IF(U44&lt;'参数'!$C$15,"先降杠杆或减量","在止损外"),"")</f>
        <v/>
      </c>
      <c r="W44" s="30" t="n"/>
      <c r="X44" s="31" t="n"/>
      <c r="Y44" s="39" t="str">
        <f>IF(N(AB44)&gt;0,SUMPRODUCT(LARGE(('成交明细'!$A$5:$A$804=A44)*('成交明细'!$D$5:$D$804=IF(F44="空","卖","买"))*'成交明细'!$B$5:$B$804,COUNTIFS('成交明细'!$A$5:$A$804,A44,'成交明细'!$D$5:$D$804,IF(F44="空","卖","买")))),"")</f>
        <v/>
      </c>
      <c r="Z44" s="39" t="str">
        <f>IF(AND(N(AB44)&gt;0,N(AD44)&gt;=N(AB44)),SUMPRODUCT(MAX(('成交明细'!$A$5:$A$804=A44)*('成交明细'!$D$5:$D$804=IF(F44="空","买","卖"))*'成交明细'!$B$5:$B$804)),"")</f>
        <v/>
      </c>
      <c r="AA44" s="40" t="str">
        <f>IF(N(AB44)=0,"",IF(SUMPRODUCT(('成交明细'!$A$5:$A$804=A44)*('成交明细'!$D$5:$D$804=IF(F44="空","卖","买"))*ISNUMBER('成交明细'!$C$5:$C$804))=0,"没填时间",IFERROR(VLOOKUP(MOD(SUMPRODUCT(LARGE(('成交明细'!$A$5:$A$804=A44)*('成交明细'!$D$5:$D$804=IF(F44="空","卖","买"))*('成交明细'!$B$5:$B$804+'成交明细'!$C$5:$C$804),COUNTIFS('成交明细'!$A$5:$A$804,A44,'成交明细'!$D$5:$D$804,IF(F44="空","卖","买")))),1),'参数'!$B$39:$C$48,2,TRUE),"")))</f>
        <v/>
      </c>
      <c r="AB44" s="34" t="str">
        <f>IF(A44="","",SUMIFS('成交明细'!$F$5:$F$804,'成交明细'!$A$5:$A$804,A44,'成交明细'!$D$5:$D$804,IF(F44="空","卖","买")))</f>
        <v/>
      </c>
      <c r="AC44" s="41" t="str">
        <f>IF(N(AB44)&gt;0,SUMIFS('成交明细'!$H$5:$H$804,'成交明细'!$A$5:$A$804,A44,'成交明细'!$D$5:$D$804,IF(F44="空","卖","买"))/AB44,"")</f>
        <v/>
      </c>
      <c r="AD44" s="34" t="str">
        <f>IF(A44="","",SUMIFS('成交明细'!$F$5:$F$804,'成交明细'!$A$5:$A$804,A44,'成交明细'!$D$5:$D$804,IF(F44="空","买","卖")))</f>
        <v/>
      </c>
      <c r="AE44" s="41" t="str">
        <f>IF(N(AD44)&gt;0,SUMIFS('成交明细'!$H$5:$H$804,'成交明细'!$A$5:$A$804,A44,'成交明细'!$D$5:$D$804,IF(F44="空","买","卖"))/AD44,"")</f>
        <v/>
      </c>
      <c r="AF44" s="38" t="str">
        <f>IF(A44="","",IF(X44&lt;&gt;"已执行",IF(X44="","未填执行情况",X44),IF(N(AB44)=0,"待录成交",IF(N(AD44)&gt;N(AB44),"平仓多于开仓",IF(N(AD44)&lt;N(AB44),"持仓中","已平仓")))))</f>
        <v/>
      </c>
      <c r="AG44" s="42" t="str">
        <f>IF(N(AB44)=0,"",SUMIFS('成交明细'!$L$5:$L$804,'成交明细'!$A$5:$A$804,A44))</f>
        <v/>
      </c>
      <c r="AH44" s="43" t="str">
        <f>IF(A44="","",SUMIFS('资金费流水'!$F$5:$F$604,'资金费流水'!$B$5:$B$604,A44))</f>
        <v/>
      </c>
      <c r="AI44" s="43" t="str">
        <f>IF(AF44&lt;&gt;"已平仓","",(SUMIFS('成交明细'!$H$5:$H$804,'成交明细'!$A$5:$A$804,A44,'成交明细'!$D$5:$D$804,"卖")-SUMIFS('成交明细'!$H$5:$H$804,'成交明细'!$A$5:$A$804,A44,'成交明细'!$D$5:$D$804,"买"))*1-AG44+N(AH44))</f>
        <v/>
      </c>
      <c r="AJ44" s="44" t="str">
        <f>IF(AND(AF44="已平仓",ISNUMBER(Q44)),(SUMIFS('成交明细'!$H$5:$H$804,'成交明细'!$A$5:$A$804,A44,'成交明细'!$D$5:$D$804,"卖")-SUMIFS('成交明细'!$H$5:$H$804,'成交明细'!$A$5:$A$804,A44,'成交明细'!$D$5:$D$804,"买"))*1/Q44,"")</f>
        <v/>
      </c>
      <c r="AK44" s="44" t="str">
        <f>IF(AND(AF44="已平仓",ISNUMBER(Q44)),AI44/Q44,"")</f>
        <v/>
      </c>
      <c r="AL44" s="45" t="str">
        <f>IF(AND(ISNUMBER(AC44),ISNUMBER(K44)),IF(F44="空",K44-AC44,AC44-K44),"")</f>
        <v/>
      </c>
      <c r="AM44" s="45" t="str">
        <f>IF(OR(NOT(ISNUMBER(AI44)),NOT(ISNUMBER(AE44))),"",IF(AI44&lt;0,IF(F44="空",AE44-L44,L44-AE44),IF(NOT(ISNUMBER(M44)),"",IF(F44="空",AE44-M44,M44-AE44))))</f>
        <v/>
      </c>
      <c r="AN44" s="31" t="n"/>
      <c r="AO44" s="31" t="n"/>
      <c r="AP44" s="30" t="n"/>
      <c r="AQ44" s="44" t="str">
        <f>IF(A44="","",SUM(AK$5:AK44))</f>
        <v/>
      </c>
      <c r="AR44" s="46" t="str">
        <f>IF(A44="","",MAX(0,MAX(AQ$5:AQ44))-AQ44)</f>
        <v/>
      </c>
    </row>
    <row r="45">
      <c r="A45" s="24" t="n"/>
      <c r="B45" s="29" t="n"/>
      <c r="C45" s="30" t="n"/>
      <c r="D45" s="31" t="n"/>
      <c r="E45" s="31" t="n"/>
      <c r="F45" s="31" t="n"/>
      <c r="G45" s="21" t="n"/>
      <c r="H45" s="31" t="n"/>
      <c r="I45" s="23" t="n"/>
      <c r="J45" s="31" t="n"/>
      <c r="K45" s="32" t="n"/>
      <c r="L45" s="32" t="n"/>
      <c r="M45" s="32" t="n"/>
      <c r="N45" s="33" t="str">
        <f>IF(AND(ISNUMBER(K45),ISNUMBER(L45),ISNUMBER(M45)),IF(OR(AND(F45="多",K45&gt;L45),AND(F45="空",K45&lt;L45)),ABS(M45-K45)/ABS(K45-L45),"止损方向不对"),"")</f>
        <v/>
      </c>
      <c r="O45" s="34" t="str">
        <f>IF(AND(ISNUMBER(K45),ISNUMBER(L45)),IF(K45=L45,"",IF(INT(ROUND('参数'!$C$7/(ABS(K45-L45)*1+2*K45*'参数'!$C$12)/IF(N(J45)&gt;0,J45,1),6))*IF(N(J45)&gt;0,J45,1)&gt;0,INT(ROUND('参数'!$C$7/(ABS(K45-L45)*1+2*K45*'参数'!$C$12)/IF(N(J45)&gt;0,J45,1),6))*IF(N(J45)&gt;0,J45,1),"预算不足，这笔不做")),"")</f>
        <v/>
      </c>
      <c r="P45" s="35" t="n"/>
      <c r="Q45" s="20" t="str">
        <f>IF(AND(ISNUMBER(K45),ISNUMBER(L45),ISNUMBER(P45)),IF(AND(K45&lt;&gt;L45,P45&gt;0),ABS(K45-L45)*P45*1,""),"")</f>
        <v/>
      </c>
      <c r="R45" s="20" t="str">
        <f>IF(AND(ISNUMBER(K45),ISNUMBER(P45)),K45*P45,"")</f>
        <v/>
      </c>
      <c r="S45" s="20" t="str">
        <f>IF(AND(D45="合约",ISNUMBER(R45),N(G45)&gt;0),R45/G45,"")</f>
        <v/>
      </c>
      <c r="T45" s="36" t="str">
        <f>IF(NOT(D45="合约"),"",IF(H45&lt;&gt;"逐仓","看平台",IF(AND(ISNUMBER(K45),N(G45)&gt;0),IF(F45="空",K45*(1+1/G45-IF(ISNUMBER(I45),I45,'参数'!$C$13)),K45*(1-1/G45+IF(ISNUMBER(I45),I45,'参数'!$C$13))),"")))</f>
        <v/>
      </c>
      <c r="U45" s="37" t="str">
        <f>IF(AND(ISNUMBER(T45),ISNUMBER(L45),ISNUMBER(K45)),IF(F45="空",T45-L45,L45-T45)/K45,"")</f>
        <v/>
      </c>
      <c r="V45" s="38" t="str">
        <f>IF(ISNUMBER(U45),IF(U45&lt;'参数'!$C$15,"先降杠杆或减量","在止损外"),"")</f>
        <v/>
      </c>
      <c r="W45" s="30" t="n"/>
      <c r="X45" s="31" t="n"/>
      <c r="Y45" s="39" t="str">
        <f>IF(N(AB45)&gt;0,SUMPRODUCT(LARGE(('成交明细'!$A$5:$A$804=A45)*('成交明细'!$D$5:$D$804=IF(F45="空","卖","买"))*'成交明细'!$B$5:$B$804,COUNTIFS('成交明细'!$A$5:$A$804,A45,'成交明细'!$D$5:$D$804,IF(F45="空","卖","买")))),"")</f>
        <v/>
      </c>
      <c r="Z45" s="39" t="str">
        <f>IF(AND(N(AB45)&gt;0,N(AD45)&gt;=N(AB45)),SUMPRODUCT(MAX(('成交明细'!$A$5:$A$804=A45)*('成交明细'!$D$5:$D$804=IF(F45="空","买","卖"))*'成交明细'!$B$5:$B$804)),"")</f>
        <v/>
      </c>
      <c r="AA45" s="40" t="str">
        <f>IF(N(AB45)=0,"",IF(SUMPRODUCT(('成交明细'!$A$5:$A$804=A45)*('成交明细'!$D$5:$D$804=IF(F45="空","卖","买"))*ISNUMBER('成交明细'!$C$5:$C$804))=0,"没填时间",IFERROR(VLOOKUP(MOD(SUMPRODUCT(LARGE(('成交明细'!$A$5:$A$804=A45)*('成交明细'!$D$5:$D$804=IF(F45="空","卖","买"))*('成交明细'!$B$5:$B$804+'成交明细'!$C$5:$C$804),COUNTIFS('成交明细'!$A$5:$A$804,A45,'成交明细'!$D$5:$D$804,IF(F45="空","卖","买")))),1),'参数'!$B$39:$C$48,2,TRUE),"")))</f>
        <v/>
      </c>
      <c r="AB45" s="34" t="str">
        <f>IF(A45="","",SUMIFS('成交明细'!$F$5:$F$804,'成交明细'!$A$5:$A$804,A45,'成交明细'!$D$5:$D$804,IF(F45="空","卖","买")))</f>
        <v/>
      </c>
      <c r="AC45" s="41" t="str">
        <f>IF(N(AB45)&gt;0,SUMIFS('成交明细'!$H$5:$H$804,'成交明细'!$A$5:$A$804,A45,'成交明细'!$D$5:$D$804,IF(F45="空","卖","买"))/AB45,"")</f>
        <v/>
      </c>
      <c r="AD45" s="34" t="str">
        <f>IF(A45="","",SUMIFS('成交明细'!$F$5:$F$804,'成交明细'!$A$5:$A$804,A45,'成交明细'!$D$5:$D$804,IF(F45="空","买","卖")))</f>
        <v/>
      </c>
      <c r="AE45" s="41" t="str">
        <f>IF(N(AD45)&gt;0,SUMIFS('成交明细'!$H$5:$H$804,'成交明细'!$A$5:$A$804,A45,'成交明细'!$D$5:$D$804,IF(F45="空","买","卖"))/AD45,"")</f>
        <v/>
      </c>
      <c r="AF45" s="38" t="str">
        <f>IF(A45="","",IF(X45&lt;&gt;"已执行",IF(X45="","未填执行情况",X45),IF(N(AB45)=0,"待录成交",IF(N(AD45)&gt;N(AB45),"平仓多于开仓",IF(N(AD45)&lt;N(AB45),"持仓中","已平仓")))))</f>
        <v/>
      </c>
      <c r="AG45" s="42" t="str">
        <f>IF(N(AB45)=0,"",SUMIFS('成交明细'!$L$5:$L$804,'成交明细'!$A$5:$A$804,A45))</f>
        <v/>
      </c>
      <c r="AH45" s="43" t="str">
        <f>IF(A45="","",SUMIFS('资金费流水'!$F$5:$F$604,'资金费流水'!$B$5:$B$604,A45))</f>
        <v/>
      </c>
      <c r="AI45" s="43" t="str">
        <f>IF(AF45&lt;&gt;"已平仓","",(SUMIFS('成交明细'!$H$5:$H$804,'成交明细'!$A$5:$A$804,A45,'成交明细'!$D$5:$D$804,"卖")-SUMIFS('成交明细'!$H$5:$H$804,'成交明细'!$A$5:$A$804,A45,'成交明细'!$D$5:$D$804,"买"))*1-AG45+N(AH45))</f>
        <v/>
      </c>
      <c r="AJ45" s="44" t="str">
        <f>IF(AND(AF45="已平仓",ISNUMBER(Q45)),(SUMIFS('成交明细'!$H$5:$H$804,'成交明细'!$A$5:$A$804,A45,'成交明细'!$D$5:$D$804,"卖")-SUMIFS('成交明细'!$H$5:$H$804,'成交明细'!$A$5:$A$804,A45,'成交明细'!$D$5:$D$804,"买"))*1/Q45,"")</f>
        <v/>
      </c>
      <c r="AK45" s="44" t="str">
        <f>IF(AND(AF45="已平仓",ISNUMBER(Q45)),AI45/Q45,"")</f>
        <v/>
      </c>
      <c r="AL45" s="45" t="str">
        <f>IF(AND(ISNUMBER(AC45),ISNUMBER(K45)),IF(F45="空",K45-AC45,AC45-K45),"")</f>
        <v/>
      </c>
      <c r="AM45" s="45" t="str">
        <f>IF(OR(NOT(ISNUMBER(AI45)),NOT(ISNUMBER(AE45))),"",IF(AI45&lt;0,IF(F45="空",AE45-L45,L45-AE45),IF(NOT(ISNUMBER(M45)),"",IF(F45="空",AE45-M45,M45-AE45))))</f>
        <v/>
      </c>
      <c r="AN45" s="31" t="n"/>
      <c r="AO45" s="31" t="n"/>
      <c r="AP45" s="30" t="n"/>
      <c r="AQ45" s="44" t="str">
        <f>IF(A45="","",SUM(AK$5:AK45))</f>
        <v/>
      </c>
      <c r="AR45" s="46" t="str">
        <f>IF(A45="","",MAX(0,MAX(AQ$5:AQ45))-AQ45)</f>
        <v/>
      </c>
    </row>
    <row r="46">
      <c r="A46" s="24" t="n"/>
      <c r="B46" s="29" t="n"/>
      <c r="C46" s="30" t="n"/>
      <c r="D46" s="31" t="n"/>
      <c r="E46" s="31" t="n"/>
      <c r="F46" s="31" t="n"/>
      <c r="G46" s="21" t="n"/>
      <c r="H46" s="31" t="n"/>
      <c r="I46" s="23" t="n"/>
      <c r="J46" s="31" t="n"/>
      <c r="K46" s="32" t="n"/>
      <c r="L46" s="32" t="n"/>
      <c r="M46" s="32" t="n"/>
      <c r="N46" s="33" t="str">
        <f>IF(AND(ISNUMBER(K46),ISNUMBER(L46),ISNUMBER(M46)),IF(OR(AND(F46="多",K46&gt;L46),AND(F46="空",K46&lt;L46)),ABS(M46-K46)/ABS(K46-L46),"止损方向不对"),"")</f>
        <v/>
      </c>
      <c r="O46" s="34" t="str">
        <f>IF(AND(ISNUMBER(K46),ISNUMBER(L46)),IF(K46=L46,"",IF(INT(ROUND('参数'!$C$7/(ABS(K46-L46)*1+2*K46*'参数'!$C$12)/IF(N(J46)&gt;0,J46,1),6))*IF(N(J46)&gt;0,J46,1)&gt;0,INT(ROUND('参数'!$C$7/(ABS(K46-L46)*1+2*K46*'参数'!$C$12)/IF(N(J46)&gt;0,J46,1),6))*IF(N(J46)&gt;0,J46,1),"预算不足，这笔不做")),"")</f>
        <v/>
      </c>
      <c r="P46" s="35" t="n"/>
      <c r="Q46" s="20" t="str">
        <f>IF(AND(ISNUMBER(K46),ISNUMBER(L46),ISNUMBER(P46)),IF(AND(K46&lt;&gt;L46,P46&gt;0),ABS(K46-L46)*P46*1,""),"")</f>
        <v/>
      </c>
      <c r="R46" s="20" t="str">
        <f>IF(AND(ISNUMBER(K46),ISNUMBER(P46)),K46*P46,"")</f>
        <v/>
      </c>
      <c r="S46" s="20" t="str">
        <f>IF(AND(D46="合约",ISNUMBER(R46),N(G46)&gt;0),R46/G46,"")</f>
        <v/>
      </c>
      <c r="T46" s="36" t="str">
        <f>IF(NOT(D46="合约"),"",IF(H46&lt;&gt;"逐仓","看平台",IF(AND(ISNUMBER(K46),N(G46)&gt;0),IF(F46="空",K46*(1+1/G46-IF(ISNUMBER(I46),I46,'参数'!$C$13)),K46*(1-1/G46+IF(ISNUMBER(I46),I46,'参数'!$C$13))),"")))</f>
        <v/>
      </c>
      <c r="U46" s="37" t="str">
        <f>IF(AND(ISNUMBER(T46),ISNUMBER(L46),ISNUMBER(K46)),IF(F46="空",T46-L46,L46-T46)/K46,"")</f>
        <v/>
      </c>
      <c r="V46" s="38" t="str">
        <f>IF(ISNUMBER(U46),IF(U46&lt;'参数'!$C$15,"先降杠杆或减量","在止损外"),"")</f>
        <v/>
      </c>
      <c r="W46" s="30" t="n"/>
      <c r="X46" s="31" t="n"/>
      <c r="Y46" s="39" t="str">
        <f>IF(N(AB46)&gt;0,SUMPRODUCT(LARGE(('成交明细'!$A$5:$A$804=A46)*('成交明细'!$D$5:$D$804=IF(F46="空","卖","买"))*'成交明细'!$B$5:$B$804,COUNTIFS('成交明细'!$A$5:$A$804,A46,'成交明细'!$D$5:$D$804,IF(F46="空","卖","买")))),"")</f>
        <v/>
      </c>
      <c r="Z46" s="39" t="str">
        <f>IF(AND(N(AB46)&gt;0,N(AD46)&gt;=N(AB46)),SUMPRODUCT(MAX(('成交明细'!$A$5:$A$804=A46)*('成交明细'!$D$5:$D$804=IF(F46="空","买","卖"))*'成交明细'!$B$5:$B$804)),"")</f>
        <v/>
      </c>
      <c r="AA46" s="40" t="str">
        <f>IF(N(AB46)=0,"",IF(SUMPRODUCT(('成交明细'!$A$5:$A$804=A46)*('成交明细'!$D$5:$D$804=IF(F46="空","卖","买"))*ISNUMBER('成交明细'!$C$5:$C$804))=0,"没填时间",IFERROR(VLOOKUP(MOD(SUMPRODUCT(LARGE(('成交明细'!$A$5:$A$804=A46)*('成交明细'!$D$5:$D$804=IF(F46="空","卖","买"))*('成交明细'!$B$5:$B$804+'成交明细'!$C$5:$C$804),COUNTIFS('成交明细'!$A$5:$A$804,A46,'成交明细'!$D$5:$D$804,IF(F46="空","卖","买")))),1),'参数'!$B$39:$C$48,2,TRUE),"")))</f>
        <v/>
      </c>
      <c r="AB46" s="34" t="str">
        <f>IF(A46="","",SUMIFS('成交明细'!$F$5:$F$804,'成交明细'!$A$5:$A$804,A46,'成交明细'!$D$5:$D$804,IF(F46="空","卖","买")))</f>
        <v/>
      </c>
      <c r="AC46" s="41" t="str">
        <f>IF(N(AB46)&gt;0,SUMIFS('成交明细'!$H$5:$H$804,'成交明细'!$A$5:$A$804,A46,'成交明细'!$D$5:$D$804,IF(F46="空","卖","买"))/AB46,"")</f>
        <v/>
      </c>
      <c r="AD46" s="34" t="str">
        <f>IF(A46="","",SUMIFS('成交明细'!$F$5:$F$804,'成交明细'!$A$5:$A$804,A46,'成交明细'!$D$5:$D$804,IF(F46="空","买","卖")))</f>
        <v/>
      </c>
      <c r="AE46" s="41" t="str">
        <f>IF(N(AD46)&gt;0,SUMIFS('成交明细'!$H$5:$H$804,'成交明细'!$A$5:$A$804,A46,'成交明细'!$D$5:$D$804,IF(F46="空","买","卖"))/AD46,"")</f>
        <v/>
      </c>
      <c r="AF46" s="38" t="str">
        <f>IF(A46="","",IF(X46&lt;&gt;"已执行",IF(X46="","未填执行情况",X46),IF(N(AB46)=0,"待录成交",IF(N(AD46)&gt;N(AB46),"平仓多于开仓",IF(N(AD46)&lt;N(AB46),"持仓中","已平仓")))))</f>
        <v/>
      </c>
      <c r="AG46" s="42" t="str">
        <f>IF(N(AB46)=0,"",SUMIFS('成交明细'!$L$5:$L$804,'成交明细'!$A$5:$A$804,A46))</f>
        <v/>
      </c>
      <c r="AH46" s="43" t="str">
        <f>IF(A46="","",SUMIFS('资金费流水'!$F$5:$F$604,'资金费流水'!$B$5:$B$604,A46))</f>
        <v/>
      </c>
      <c r="AI46" s="43" t="str">
        <f>IF(AF46&lt;&gt;"已平仓","",(SUMIFS('成交明细'!$H$5:$H$804,'成交明细'!$A$5:$A$804,A46,'成交明细'!$D$5:$D$804,"卖")-SUMIFS('成交明细'!$H$5:$H$804,'成交明细'!$A$5:$A$804,A46,'成交明细'!$D$5:$D$804,"买"))*1-AG46+N(AH46))</f>
        <v/>
      </c>
      <c r="AJ46" s="44" t="str">
        <f>IF(AND(AF46="已平仓",ISNUMBER(Q46)),(SUMIFS('成交明细'!$H$5:$H$804,'成交明细'!$A$5:$A$804,A46,'成交明细'!$D$5:$D$804,"卖")-SUMIFS('成交明细'!$H$5:$H$804,'成交明细'!$A$5:$A$804,A46,'成交明细'!$D$5:$D$804,"买"))*1/Q46,"")</f>
        <v/>
      </c>
      <c r="AK46" s="44" t="str">
        <f>IF(AND(AF46="已平仓",ISNUMBER(Q46)),AI46/Q46,"")</f>
        <v/>
      </c>
      <c r="AL46" s="45" t="str">
        <f>IF(AND(ISNUMBER(AC46),ISNUMBER(K46)),IF(F46="空",K46-AC46,AC46-K46),"")</f>
        <v/>
      </c>
      <c r="AM46" s="45" t="str">
        <f>IF(OR(NOT(ISNUMBER(AI46)),NOT(ISNUMBER(AE46))),"",IF(AI46&lt;0,IF(F46="空",AE46-L46,L46-AE46),IF(NOT(ISNUMBER(M46)),"",IF(F46="空",AE46-M46,M46-AE46))))</f>
        <v/>
      </c>
      <c r="AN46" s="31" t="n"/>
      <c r="AO46" s="31" t="n"/>
      <c r="AP46" s="30" t="n"/>
      <c r="AQ46" s="44" t="str">
        <f>IF(A46="","",SUM(AK$5:AK46))</f>
        <v/>
      </c>
      <c r="AR46" s="46" t="str">
        <f>IF(A46="","",MAX(0,MAX(AQ$5:AQ46))-AQ46)</f>
        <v/>
      </c>
    </row>
    <row r="47">
      <c r="A47" s="24" t="n"/>
      <c r="B47" s="29" t="n"/>
      <c r="C47" s="30" t="n"/>
      <c r="D47" s="31" t="n"/>
      <c r="E47" s="31" t="n"/>
      <c r="F47" s="31" t="n"/>
      <c r="G47" s="21" t="n"/>
      <c r="H47" s="31" t="n"/>
      <c r="I47" s="23" t="n"/>
      <c r="J47" s="31" t="n"/>
      <c r="K47" s="32" t="n"/>
      <c r="L47" s="32" t="n"/>
      <c r="M47" s="32" t="n"/>
      <c r="N47" s="33" t="str">
        <f>IF(AND(ISNUMBER(K47),ISNUMBER(L47),ISNUMBER(M47)),IF(OR(AND(F47="多",K47&gt;L47),AND(F47="空",K47&lt;L47)),ABS(M47-K47)/ABS(K47-L47),"止损方向不对"),"")</f>
        <v/>
      </c>
      <c r="O47" s="34" t="str">
        <f>IF(AND(ISNUMBER(K47),ISNUMBER(L47)),IF(K47=L47,"",IF(INT(ROUND('参数'!$C$7/(ABS(K47-L47)*1+2*K47*'参数'!$C$12)/IF(N(J47)&gt;0,J47,1),6))*IF(N(J47)&gt;0,J47,1)&gt;0,INT(ROUND('参数'!$C$7/(ABS(K47-L47)*1+2*K47*'参数'!$C$12)/IF(N(J47)&gt;0,J47,1),6))*IF(N(J47)&gt;0,J47,1),"预算不足，这笔不做")),"")</f>
        <v/>
      </c>
      <c r="P47" s="35" t="n"/>
      <c r="Q47" s="20" t="str">
        <f>IF(AND(ISNUMBER(K47),ISNUMBER(L47),ISNUMBER(P47)),IF(AND(K47&lt;&gt;L47,P47&gt;0),ABS(K47-L47)*P47*1,""),"")</f>
        <v/>
      </c>
      <c r="R47" s="20" t="str">
        <f>IF(AND(ISNUMBER(K47),ISNUMBER(P47)),K47*P47,"")</f>
        <v/>
      </c>
      <c r="S47" s="20" t="str">
        <f>IF(AND(D47="合约",ISNUMBER(R47),N(G47)&gt;0),R47/G47,"")</f>
        <v/>
      </c>
      <c r="T47" s="36" t="str">
        <f>IF(NOT(D47="合约"),"",IF(H47&lt;&gt;"逐仓","看平台",IF(AND(ISNUMBER(K47),N(G47)&gt;0),IF(F47="空",K47*(1+1/G47-IF(ISNUMBER(I47),I47,'参数'!$C$13)),K47*(1-1/G47+IF(ISNUMBER(I47),I47,'参数'!$C$13))),"")))</f>
        <v/>
      </c>
      <c r="U47" s="37" t="str">
        <f>IF(AND(ISNUMBER(T47),ISNUMBER(L47),ISNUMBER(K47)),IF(F47="空",T47-L47,L47-T47)/K47,"")</f>
        <v/>
      </c>
      <c r="V47" s="38" t="str">
        <f>IF(ISNUMBER(U47),IF(U47&lt;'参数'!$C$15,"先降杠杆或减量","在止损外"),"")</f>
        <v/>
      </c>
      <c r="W47" s="30" t="n"/>
      <c r="X47" s="31" t="n"/>
      <c r="Y47" s="39" t="str">
        <f>IF(N(AB47)&gt;0,SUMPRODUCT(LARGE(('成交明细'!$A$5:$A$804=A47)*('成交明细'!$D$5:$D$804=IF(F47="空","卖","买"))*'成交明细'!$B$5:$B$804,COUNTIFS('成交明细'!$A$5:$A$804,A47,'成交明细'!$D$5:$D$804,IF(F47="空","卖","买")))),"")</f>
        <v/>
      </c>
      <c r="Z47" s="39" t="str">
        <f>IF(AND(N(AB47)&gt;0,N(AD47)&gt;=N(AB47)),SUMPRODUCT(MAX(('成交明细'!$A$5:$A$804=A47)*('成交明细'!$D$5:$D$804=IF(F47="空","买","卖"))*'成交明细'!$B$5:$B$804)),"")</f>
        <v/>
      </c>
      <c r="AA47" s="40" t="str">
        <f>IF(N(AB47)=0,"",IF(SUMPRODUCT(('成交明细'!$A$5:$A$804=A47)*('成交明细'!$D$5:$D$804=IF(F47="空","卖","买"))*ISNUMBER('成交明细'!$C$5:$C$804))=0,"没填时间",IFERROR(VLOOKUP(MOD(SUMPRODUCT(LARGE(('成交明细'!$A$5:$A$804=A47)*('成交明细'!$D$5:$D$804=IF(F47="空","卖","买"))*('成交明细'!$B$5:$B$804+'成交明细'!$C$5:$C$804),COUNTIFS('成交明细'!$A$5:$A$804,A47,'成交明细'!$D$5:$D$804,IF(F47="空","卖","买")))),1),'参数'!$B$39:$C$48,2,TRUE),"")))</f>
        <v/>
      </c>
      <c r="AB47" s="34" t="str">
        <f>IF(A47="","",SUMIFS('成交明细'!$F$5:$F$804,'成交明细'!$A$5:$A$804,A47,'成交明细'!$D$5:$D$804,IF(F47="空","卖","买")))</f>
        <v/>
      </c>
      <c r="AC47" s="41" t="str">
        <f>IF(N(AB47)&gt;0,SUMIFS('成交明细'!$H$5:$H$804,'成交明细'!$A$5:$A$804,A47,'成交明细'!$D$5:$D$804,IF(F47="空","卖","买"))/AB47,"")</f>
        <v/>
      </c>
      <c r="AD47" s="34" t="str">
        <f>IF(A47="","",SUMIFS('成交明细'!$F$5:$F$804,'成交明细'!$A$5:$A$804,A47,'成交明细'!$D$5:$D$804,IF(F47="空","买","卖")))</f>
        <v/>
      </c>
      <c r="AE47" s="41" t="str">
        <f>IF(N(AD47)&gt;0,SUMIFS('成交明细'!$H$5:$H$804,'成交明细'!$A$5:$A$804,A47,'成交明细'!$D$5:$D$804,IF(F47="空","买","卖"))/AD47,"")</f>
        <v/>
      </c>
      <c r="AF47" s="38" t="str">
        <f>IF(A47="","",IF(X47&lt;&gt;"已执行",IF(X47="","未填执行情况",X47),IF(N(AB47)=0,"待录成交",IF(N(AD47)&gt;N(AB47),"平仓多于开仓",IF(N(AD47)&lt;N(AB47),"持仓中","已平仓")))))</f>
        <v/>
      </c>
      <c r="AG47" s="42" t="str">
        <f>IF(N(AB47)=0,"",SUMIFS('成交明细'!$L$5:$L$804,'成交明细'!$A$5:$A$804,A47))</f>
        <v/>
      </c>
      <c r="AH47" s="43" t="str">
        <f>IF(A47="","",SUMIFS('资金费流水'!$F$5:$F$604,'资金费流水'!$B$5:$B$604,A47))</f>
        <v/>
      </c>
      <c r="AI47" s="43" t="str">
        <f>IF(AF47&lt;&gt;"已平仓","",(SUMIFS('成交明细'!$H$5:$H$804,'成交明细'!$A$5:$A$804,A47,'成交明细'!$D$5:$D$804,"卖")-SUMIFS('成交明细'!$H$5:$H$804,'成交明细'!$A$5:$A$804,A47,'成交明细'!$D$5:$D$804,"买"))*1-AG47+N(AH47))</f>
        <v/>
      </c>
      <c r="AJ47" s="44" t="str">
        <f>IF(AND(AF47="已平仓",ISNUMBER(Q47)),(SUMIFS('成交明细'!$H$5:$H$804,'成交明细'!$A$5:$A$804,A47,'成交明细'!$D$5:$D$804,"卖")-SUMIFS('成交明细'!$H$5:$H$804,'成交明细'!$A$5:$A$804,A47,'成交明细'!$D$5:$D$804,"买"))*1/Q47,"")</f>
        <v/>
      </c>
      <c r="AK47" s="44" t="str">
        <f>IF(AND(AF47="已平仓",ISNUMBER(Q47)),AI47/Q47,"")</f>
        <v/>
      </c>
      <c r="AL47" s="45" t="str">
        <f>IF(AND(ISNUMBER(AC47),ISNUMBER(K47)),IF(F47="空",K47-AC47,AC47-K47),"")</f>
        <v/>
      </c>
      <c r="AM47" s="45" t="str">
        <f>IF(OR(NOT(ISNUMBER(AI47)),NOT(ISNUMBER(AE47))),"",IF(AI47&lt;0,IF(F47="空",AE47-L47,L47-AE47),IF(NOT(ISNUMBER(M47)),"",IF(F47="空",AE47-M47,M47-AE47))))</f>
        <v/>
      </c>
      <c r="AN47" s="31" t="n"/>
      <c r="AO47" s="31" t="n"/>
      <c r="AP47" s="30" t="n"/>
      <c r="AQ47" s="44" t="str">
        <f>IF(A47="","",SUM(AK$5:AK47))</f>
        <v/>
      </c>
      <c r="AR47" s="46" t="str">
        <f>IF(A47="","",MAX(0,MAX(AQ$5:AQ47))-AQ47)</f>
        <v/>
      </c>
    </row>
    <row r="48">
      <c r="A48" s="24" t="n"/>
      <c r="B48" s="29" t="n"/>
      <c r="C48" s="30" t="n"/>
      <c r="D48" s="31" t="n"/>
      <c r="E48" s="31" t="n"/>
      <c r="F48" s="31" t="n"/>
      <c r="G48" s="21" t="n"/>
      <c r="H48" s="31" t="n"/>
      <c r="I48" s="23" t="n"/>
      <c r="J48" s="31" t="n"/>
      <c r="K48" s="32" t="n"/>
      <c r="L48" s="32" t="n"/>
      <c r="M48" s="32" t="n"/>
      <c r="N48" s="33" t="str">
        <f>IF(AND(ISNUMBER(K48),ISNUMBER(L48),ISNUMBER(M48)),IF(OR(AND(F48="多",K48&gt;L48),AND(F48="空",K48&lt;L48)),ABS(M48-K48)/ABS(K48-L48),"止损方向不对"),"")</f>
        <v/>
      </c>
      <c r="O48" s="34" t="str">
        <f>IF(AND(ISNUMBER(K48),ISNUMBER(L48)),IF(K48=L48,"",IF(INT(ROUND('参数'!$C$7/(ABS(K48-L48)*1+2*K48*'参数'!$C$12)/IF(N(J48)&gt;0,J48,1),6))*IF(N(J48)&gt;0,J48,1)&gt;0,INT(ROUND('参数'!$C$7/(ABS(K48-L48)*1+2*K48*'参数'!$C$12)/IF(N(J48)&gt;0,J48,1),6))*IF(N(J48)&gt;0,J48,1),"预算不足，这笔不做")),"")</f>
        <v/>
      </c>
      <c r="P48" s="35" t="n"/>
      <c r="Q48" s="20" t="str">
        <f>IF(AND(ISNUMBER(K48),ISNUMBER(L48),ISNUMBER(P48)),IF(AND(K48&lt;&gt;L48,P48&gt;0),ABS(K48-L48)*P48*1,""),"")</f>
        <v/>
      </c>
      <c r="R48" s="20" t="str">
        <f>IF(AND(ISNUMBER(K48),ISNUMBER(P48)),K48*P48,"")</f>
        <v/>
      </c>
      <c r="S48" s="20" t="str">
        <f>IF(AND(D48="合约",ISNUMBER(R48),N(G48)&gt;0),R48/G48,"")</f>
        <v/>
      </c>
      <c r="T48" s="36" t="str">
        <f>IF(NOT(D48="合约"),"",IF(H48&lt;&gt;"逐仓","看平台",IF(AND(ISNUMBER(K48),N(G48)&gt;0),IF(F48="空",K48*(1+1/G48-IF(ISNUMBER(I48),I48,'参数'!$C$13)),K48*(1-1/G48+IF(ISNUMBER(I48),I48,'参数'!$C$13))),"")))</f>
        <v/>
      </c>
      <c r="U48" s="37" t="str">
        <f>IF(AND(ISNUMBER(T48),ISNUMBER(L48),ISNUMBER(K48)),IF(F48="空",T48-L48,L48-T48)/K48,"")</f>
        <v/>
      </c>
      <c r="V48" s="38" t="str">
        <f>IF(ISNUMBER(U48),IF(U48&lt;'参数'!$C$15,"先降杠杆或减量","在止损外"),"")</f>
        <v/>
      </c>
      <c r="W48" s="30" t="n"/>
      <c r="X48" s="31" t="n"/>
      <c r="Y48" s="39" t="str">
        <f>IF(N(AB48)&gt;0,SUMPRODUCT(LARGE(('成交明细'!$A$5:$A$804=A48)*('成交明细'!$D$5:$D$804=IF(F48="空","卖","买"))*'成交明细'!$B$5:$B$804,COUNTIFS('成交明细'!$A$5:$A$804,A48,'成交明细'!$D$5:$D$804,IF(F48="空","卖","买")))),"")</f>
        <v/>
      </c>
      <c r="Z48" s="39" t="str">
        <f>IF(AND(N(AB48)&gt;0,N(AD48)&gt;=N(AB48)),SUMPRODUCT(MAX(('成交明细'!$A$5:$A$804=A48)*('成交明细'!$D$5:$D$804=IF(F48="空","买","卖"))*'成交明细'!$B$5:$B$804)),"")</f>
        <v/>
      </c>
      <c r="AA48" s="40" t="str">
        <f>IF(N(AB48)=0,"",IF(SUMPRODUCT(('成交明细'!$A$5:$A$804=A48)*('成交明细'!$D$5:$D$804=IF(F48="空","卖","买"))*ISNUMBER('成交明细'!$C$5:$C$804))=0,"没填时间",IFERROR(VLOOKUP(MOD(SUMPRODUCT(LARGE(('成交明细'!$A$5:$A$804=A48)*('成交明细'!$D$5:$D$804=IF(F48="空","卖","买"))*('成交明细'!$B$5:$B$804+'成交明细'!$C$5:$C$804),COUNTIFS('成交明细'!$A$5:$A$804,A48,'成交明细'!$D$5:$D$804,IF(F48="空","卖","买")))),1),'参数'!$B$39:$C$48,2,TRUE),"")))</f>
        <v/>
      </c>
      <c r="AB48" s="34" t="str">
        <f>IF(A48="","",SUMIFS('成交明细'!$F$5:$F$804,'成交明细'!$A$5:$A$804,A48,'成交明细'!$D$5:$D$804,IF(F48="空","卖","买")))</f>
        <v/>
      </c>
      <c r="AC48" s="41" t="str">
        <f>IF(N(AB48)&gt;0,SUMIFS('成交明细'!$H$5:$H$804,'成交明细'!$A$5:$A$804,A48,'成交明细'!$D$5:$D$804,IF(F48="空","卖","买"))/AB48,"")</f>
        <v/>
      </c>
      <c r="AD48" s="34" t="str">
        <f>IF(A48="","",SUMIFS('成交明细'!$F$5:$F$804,'成交明细'!$A$5:$A$804,A48,'成交明细'!$D$5:$D$804,IF(F48="空","买","卖")))</f>
        <v/>
      </c>
      <c r="AE48" s="41" t="str">
        <f>IF(N(AD48)&gt;0,SUMIFS('成交明细'!$H$5:$H$804,'成交明细'!$A$5:$A$804,A48,'成交明细'!$D$5:$D$804,IF(F48="空","买","卖"))/AD48,"")</f>
        <v/>
      </c>
      <c r="AF48" s="38" t="str">
        <f>IF(A48="","",IF(X48&lt;&gt;"已执行",IF(X48="","未填执行情况",X48),IF(N(AB48)=0,"待录成交",IF(N(AD48)&gt;N(AB48),"平仓多于开仓",IF(N(AD48)&lt;N(AB48),"持仓中","已平仓")))))</f>
        <v/>
      </c>
      <c r="AG48" s="42" t="str">
        <f>IF(N(AB48)=0,"",SUMIFS('成交明细'!$L$5:$L$804,'成交明细'!$A$5:$A$804,A48))</f>
        <v/>
      </c>
      <c r="AH48" s="43" t="str">
        <f>IF(A48="","",SUMIFS('资金费流水'!$F$5:$F$604,'资金费流水'!$B$5:$B$604,A48))</f>
        <v/>
      </c>
      <c r="AI48" s="43" t="str">
        <f>IF(AF48&lt;&gt;"已平仓","",(SUMIFS('成交明细'!$H$5:$H$804,'成交明细'!$A$5:$A$804,A48,'成交明细'!$D$5:$D$804,"卖")-SUMIFS('成交明细'!$H$5:$H$804,'成交明细'!$A$5:$A$804,A48,'成交明细'!$D$5:$D$804,"买"))*1-AG48+N(AH48))</f>
        <v/>
      </c>
      <c r="AJ48" s="44" t="str">
        <f>IF(AND(AF48="已平仓",ISNUMBER(Q48)),(SUMIFS('成交明细'!$H$5:$H$804,'成交明细'!$A$5:$A$804,A48,'成交明细'!$D$5:$D$804,"卖")-SUMIFS('成交明细'!$H$5:$H$804,'成交明细'!$A$5:$A$804,A48,'成交明细'!$D$5:$D$804,"买"))*1/Q48,"")</f>
        <v/>
      </c>
      <c r="AK48" s="44" t="str">
        <f>IF(AND(AF48="已平仓",ISNUMBER(Q48)),AI48/Q48,"")</f>
        <v/>
      </c>
      <c r="AL48" s="45" t="str">
        <f>IF(AND(ISNUMBER(AC48),ISNUMBER(K48)),IF(F48="空",K48-AC48,AC48-K48),"")</f>
        <v/>
      </c>
      <c r="AM48" s="45" t="str">
        <f>IF(OR(NOT(ISNUMBER(AI48)),NOT(ISNUMBER(AE48))),"",IF(AI48&lt;0,IF(F48="空",AE48-L48,L48-AE48),IF(NOT(ISNUMBER(M48)),"",IF(F48="空",AE48-M48,M48-AE48))))</f>
        <v/>
      </c>
      <c r="AN48" s="31" t="n"/>
      <c r="AO48" s="31" t="n"/>
      <c r="AP48" s="30" t="n"/>
      <c r="AQ48" s="44" t="str">
        <f>IF(A48="","",SUM(AK$5:AK48))</f>
        <v/>
      </c>
      <c r="AR48" s="46" t="str">
        <f>IF(A48="","",MAX(0,MAX(AQ$5:AQ48))-AQ48)</f>
        <v/>
      </c>
    </row>
    <row r="49">
      <c r="A49" s="24" t="n"/>
      <c r="B49" s="29" t="n"/>
      <c r="C49" s="30" t="n"/>
      <c r="D49" s="31" t="n"/>
      <c r="E49" s="31" t="n"/>
      <c r="F49" s="31" t="n"/>
      <c r="G49" s="21" t="n"/>
      <c r="H49" s="31" t="n"/>
      <c r="I49" s="23" t="n"/>
      <c r="J49" s="31" t="n"/>
      <c r="K49" s="32" t="n"/>
      <c r="L49" s="32" t="n"/>
      <c r="M49" s="32" t="n"/>
      <c r="N49" s="33" t="str">
        <f>IF(AND(ISNUMBER(K49),ISNUMBER(L49),ISNUMBER(M49)),IF(OR(AND(F49="多",K49&gt;L49),AND(F49="空",K49&lt;L49)),ABS(M49-K49)/ABS(K49-L49),"止损方向不对"),"")</f>
        <v/>
      </c>
      <c r="O49" s="34" t="str">
        <f>IF(AND(ISNUMBER(K49),ISNUMBER(L49)),IF(K49=L49,"",IF(INT(ROUND('参数'!$C$7/(ABS(K49-L49)*1+2*K49*'参数'!$C$12)/IF(N(J49)&gt;0,J49,1),6))*IF(N(J49)&gt;0,J49,1)&gt;0,INT(ROUND('参数'!$C$7/(ABS(K49-L49)*1+2*K49*'参数'!$C$12)/IF(N(J49)&gt;0,J49,1),6))*IF(N(J49)&gt;0,J49,1),"预算不足，这笔不做")),"")</f>
        <v/>
      </c>
      <c r="P49" s="35" t="n"/>
      <c r="Q49" s="20" t="str">
        <f>IF(AND(ISNUMBER(K49),ISNUMBER(L49),ISNUMBER(P49)),IF(AND(K49&lt;&gt;L49,P49&gt;0),ABS(K49-L49)*P49*1,""),"")</f>
        <v/>
      </c>
      <c r="R49" s="20" t="str">
        <f>IF(AND(ISNUMBER(K49),ISNUMBER(P49)),K49*P49,"")</f>
        <v/>
      </c>
      <c r="S49" s="20" t="str">
        <f>IF(AND(D49="合约",ISNUMBER(R49),N(G49)&gt;0),R49/G49,"")</f>
        <v/>
      </c>
      <c r="T49" s="36" t="str">
        <f>IF(NOT(D49="合约"),"",IF(H49&lt;&gt;"逐仓","看平台",IF(AND(ISNUMBER(K49),N(G49)&gt;0),IF(F49="空",K49*(1+1/G49-IF(ISNUMBER(I49),I49,'参数'!$C$13)),K49*(1-1/G49+IF(ISNUMBER(I49),I49,'参数'!$C$13))),"")))</f>
        <v/>
      </c>
      <c r="U49" s="37" t="str">
        <f>IF(AND(ISNUMBER(T49),ISNUMBER(L49),ISNUMBER(K49)),IF(F49="空",T49-L49,L49-T49)/K49,"")</f>
        <v/>
      </c>
      <c r="V49" s="38" t="str">
        <f>IF(ISNUMBER(U49),IF(U49&lt;'参数'!$C$15,"先降杠杆或减量","在止损外"),"")</f>
        <v/>
      </c>
      <c r="W49" s="30" t="n"/>
      <c r="X49" s="31" t="n"/>
      <c r="Y49" s="39" t="str">
        <f>IF(N(AB49)&gt;0,SUMPRODUCT(LARGE(('成交明细'!$A$5:$A$804=A49)*('成交明细'!$D$5:$D$804=IF(F49="空","卖","买"))*'成交明细'!$B$5:$B$804,COUNTIFS('成交明细'!$A$5:$A$804,A49,'成交明细'!$D$5:$D$804,IF(F49="空","卖","买")))),"")</f>
        <v/>
      </c>
      <c r="Z49" s="39" t="str">
        <f>IF(AND(N(AB49)&gt;0,N(AD49)&gt;=N(AB49)),SUMPRODUCT(MAX(('成交明细'!$A$5:$A$804=A49)*('成交明细'!$D$5:$D$804=IF(F49="空","买","卖"))*'成交明细'!$B$5:$B$804)),"")</f>
        <v/>
      </c>
      <c r="AA49" s="40" t="str">
        <f>IF(N(AB49)=0,"",IF(SUMPRODUCT(('成交明细'!$A$5:$A$804=A49)*('成交明细'!$D$5:$D$804=IF(F49="空","卖","买"))*ISNUMBER('成交明细'!$C$5:$C$804))=0,"没填时间",IFERROR(VLOOKUP(MOD(SUMPRODUCT(LARGE(('成交明细'!$A$5:$A$804=A49)*('成交明细'!$D$5:$D$804=IF(F49="空","卖","买"))*('成交明细'!$B$5:$B$804+'成交明细'!$C$5:$C$804),COUNTIFS('成交明细'!$A$5:$A$804,A49,'成交明细'!$D$5:$D$804,IF(F49="空","卖","买")))),1),'参数'!$B$39:$C$48,2,TRUE),"")))</f>
        <v/>
      </c>
      <c r="AB49" s="34" t="str">
        <f>IF(A49="","",SUMIFS('成交明细'!$F$5:$F$804,'成交明细'!$A$5:$A$804,A49,'成交明细'!$D$5:$D$804,IF(F49="空","卖","买")))</f>
        <v/>
      </c>
      <c r="AC49" s="41" t="str">
        <f>IF(N(AB49)&gt;0,SUMIFS('成交明细'!$H$5:$H$804,'成交明细'!$A$5:$A$804,A49,'成交明细'!$D$5:$D$804,IF(F49="空","卖","买"))/AB49,"")</f>
        <v/>
      </c>
      <c r="AD49" s="34" t="str">
        <f>IF(A49="","",SUMIFS('成交明细'!$F$5:$F$804,'成交明细'!$A$5:$A$804,A49,'成交明细'!$D$5:$D$804,IF(F49="空","买","卖")))</f>
        <v/>
      </c>
      <c r="AE49" s="41" t="str">
        <f>IF(N(AD49)&gt;0,SUMIFS('成交明细'!$H$5:$H$804,'成交明细'!$A$5:$A$804,A49,'成交明细'!$D$5:$D$804,IF(F49="空","买","卖"))/AD49,"")</f>
        <v/>
      </c>
      <c r="AF49" s="38" t="str">
        <f>IF(A49="","",IF(X49&lt;&gt;"已执行",IF(X49="","未填执行情况",X49),IF(N(AB49)=0,"待录成交",IF(N(AD49)&gt;N(AB49),"平仓多于开仓",IF(N(AD49)&lt;N(AB49),"持仓中","已平仓")))))</f>
        <v/>
      </c>
      <c r="AG49" s="42" t="str">
        <f>IF(N(AB49)=0,"",SUMIFS('成交明细'!$L$5:$L$804,'成交明细'!$A$5:$A$804,A49))</f>
        <v/>
      </c>
      <c r="AH49" s="43" t="str">
        <f>IF(A49="","",SUMIFS('资金费流水'!$F$5:$F$604,'资金费流水'!$B$5:$B$604,A49))</f>
        <v/>
      </c>
      <c r="AI49" s="43" t="str">
        <f>IF(AF49&lt;&gt;"已平仓","",(SUMIFS('成交明细'!$H$5:$H$804,'成交明细'!$A$5:$A$804,A49,'成交明细'!$D$5:$D$804,"卖")-SUMIFS('成交明细'!$H$5:$H$804,'成交明细'!$A$5:$A$804,A49,'成交明细'!$D$5:$D$804,"买"))*1-AG49+N(AH49))</f>
        <v/>
      </c>
      <c r="AJ49" s="44" t="str">
        <f>IF(AND(AF49="已平仓",ISNUMBER(Q49)),(SUMIFS('成交明细'!$H$5:$H$804,'成交明细'!$A$5:$A$804,A49,'成交明细'!$D$5:$D$804,"卖")-SUMIFS('成交明细'!$H$5:$H$804,'成交明细'!$A$5:$A$804,A49,'成交明细'!$D$5:$D$804,"买"))*1/Q49,"")</f>
        <v/>
      </c>
      <c r="AK49" s="44" t="str">
        <f>IF(AND(AF49="已平仓",ISNUMBER(Q49)),AI49/Q49,"")</f>
        <v/>
      </c>
      <c r="AL49" s="45" t="str">
        <f>IF(AND(ISNUMBER(AC49),ISNUMBER(K49)),IF(F49="空",K49-AC49,AC49-K49),"")</f>
        <v/>
      </c>
      <c r="AM49" s="45" t="str">
        <f>IF(OR(NOT(ISNUMBER(AI49)),NOT(ISNUMBER(AE49))),"",IF(AI49&lt;0,IF(F49="空",AE49-L49,L49-AE49),IF(NOT(ISNUMBER(M49)),"",IF(F49="空",AE49-M49,M49-AE49))))</f>
        <v/>
      </c>
      <c r="AN49" s="31" t="n"/>
      <c r="AO49" s="31" t="n"/>
      <c r="AP49" s="30" t="n"/>
      <c r="AQ49" s="44" t="str">
        <f>IF(A49="","",SUM(AK$5:AK49))</f>
        <v/>
      </c>
      <c r="AR49" s="46" t="str">
        <f>IF(A49="","",MAX(0,MAX(AQ$5:AQ49))-AQ49)</f>
        <v/>
      </c>
    </row>
    <row r="50">
      <c r="A50" s="24" t="n"/>
      <c r="B50" s="29" t="n"/>
      <c r="C50" s="30" t="n"/>
      <c r="D50" s="31" t="n"/>
      <c r="E50" s="31" t="n"/>
      <c r="F50" s="31" t="n"/>
      <c r="G50" s="21" t="n"/>
      <c r="H50" s="31" t="n"/>
      <c r="I50" s="23" t="n"/>
      <c r="J50" s="31" t="n"/>
      <c r="K50" s="32" t="n"/>
      <c r="L50" s="32" t="n"/>
      <c r="M50" s="32" t="n"/>
      <c r="N50" s="33" t="str">
        <f>IF(AND(ISNUMBER(K50),ISNUMBER(L50),ISNUMBER(M50)),IF(OR(AND(F50="多",K50&gt;L50),AND(F50="空",K50&lt;L50)),ABS(M50-K50)/ABS(K50-L50),"止损方向不对"),"")</f>
        <v/>
      </c>
      <c r="O50" s="34" t="str">
        <f>IF(AND(ISNUMBER(K50),ISNUMBER(L50)),IF(K50=L50,"",IF(INT(ROUND('参数'!$C$7/(ABS(K50-L50)*1+2*K50*'参数'!$C$12)/IF(N(J50)&gt;0,J50,1),6))*IF(N(J50)&gt;0,J50,1)&gt;0,INT(ROUND('参数'!$C$7/(ABS(K50-L50)*1+2*K50*'参数'!$C$12)/IF(N(J50)&gt;0,J50,1),6))*IF(N(J50)&gt;0,J50,1),"预算不足，这笔不做")),"")</f>
        <v/>
      </c>
      <c r="P50" s="35" t="n"/>
      <c r="Q50" s="20" t="str">
        <f>IF(AND(ISNUMBER(K50),ISNUMBER(L50),ISNUMBER(P50)),IF(AND(K50&lt;&gt;L50,P50&gt;0),ABS(K50-L50)*P50*1,""),"")</f>
        <v/>
      </c>
      <c r="R50" s="20" t="str">
        <f>IF(AND(ISNUMBER(K50),ISNUMBER(P50)),K50*P50,"")</f>
        <v/>
      </c>
      <c r="S50" s="20" t="str">
        <f>IF(AND(D50="合约",ISNUMBER(R50),N(G50)&gt;0),R50/G50,"")</f>
        <v/>
      </c>
      <c r="T50" s="36" t="str">
        <f>IF(NOT(D50="合约"),"",IF(H50&lt;&gt;"逐仓","看平台",IF(AND(ISNUMBER(K50),N(G50)&gt;0),IF(F50="空",K50*(1+1/G50-IF(ISNUMBER(I50),I50,'参数'!$C$13)),K50*(1-1/G50+IF(ISNUMBER(I50),I50,'参数'!$C$13))),"")))</f>
        <v/>
      </c>
      <c r="U50" s="37" t="str">
        <f>IF(AND(ISNUMBER(T50),ISNUMBER(L50),ISNUMBER(K50)),IF(F50="空",T50-L50,L50-T50)/K50,"")</f>
        <v/>
      </c>
      <c r="V50" s="38" t="str">
        <f>IF(ISNUMBER(U50),IF(U50&lt;'参数'!$C$15,"先降杠杆或减量","在止损外"),"")</f>
        <v/>
      </c>
      <c r="W50" s="30" t="n"/>
      <c r="X50" s="31" t="n"/>
      <c r="Y50" s="39" t="str">
        <f>IF(N(AB50)&gt;0,SUMPRODUCT(LARGE(('成交明细'!$A$5:$A$804=A50)*('成交明细'!$D$5:$D$804=IF(F50="空","卖","买"))*'成交明细'!$B$5:$B$804,COUNTIFS('成交明细'!$A$5:$A$804,A50,'成交明细'!$D$5:$D$804,IF(F50="空","卖","买")))),"")</f>
        <v/>
      </c>
      <c r="Z50" s="39" t="str">
        <f>IF(AND(N(AB50)&gt;0,N(AD50)&gt;=N(AB50)),SUMPRODUCT(MAX(('成交明细'!$A$5:$A$804=A50)*('成交明细'!$D$5:$D$804=IF(F50="空","买","卖"))*'成交明细'!$B$5:$B$804)),"")</f>
        <v/>
      </c>
      <c r="AA50" s="40" t="str">
        <f>IF(N(AB50)=0,"",IF(SUMPRODUCT(('成交明细'!$A$5:$A$804=A50)*('成交明细'!$D$5:$D$804=IF(F50="空","卖","买"))*ISNUMBER('成交明细'!$C$5:$C$804))=0,"没填时间",IFERROR(VLOOKUP(MOD(SUMPRODUCT(LARGE(('成交明细'!$A$5:$A$804=A50)*('成交明细'!$D$5:$D$804=IF(F50="空","卖","买"))*('成交明细'!$B$5:$B$804+'成交明细'!$C$5:$C$804),COUNTIFS('成交明细'!$A$5:$A$804,A50,'成交明细'!$D$5:$D$804,IF(F50="空","卖","买")))),1),'参数'!$B$39:$C$48,2,TRUE),"")))</f>
        <v/>
      </c>
      <c r="AB50" s="34" t="str">
        <f>IF(A50="","",SUMIFS('成交明细'!$F$5:$F$804,'成交明细'!$A$5:$A$804,A50,'成交明细'!$D$5:$D$804,IF(F50="空","卖","买")))</f>
        <v/>
      </c>
      <c r="AC50" s="41" t="str">
        <f>IF(N(AB50)&gt;0,SUMIFS('成交明细'!$H$5:$H$804,'成交明细'!$A$5:$A$804,A50,'成交明细'!$D$5:$D$804,IF(F50="空","卖","买"))/AB50,"")</f>
        <v/>
      </c>
      <c r="AD50" s="34" t="str">
        <f>IF(A50="","",SUMIFS('成交明细'!$F$5:$F$804,'成交明细'!$A$5:$A$804,A50,'成交明细'!$D$5:$D$804,IF(F50="空","买","卖")))</f>
        <v/>
      </c>
      <c r="AE50" s="41" t="str">
        <f>IF(N(AD50)&gt;0,SUMIFS('成交明细'!$H$5:$H$804,'成交明细'!$A$5:$A$804,A50,'成交明细'!$D$5:$D$804,IF(F50="空","买","卖"))/AD50,"")</f>
        <v/>
      </c>
      <c r="AF50" s="38" t="str">
        <f>IF(A50="","",IF(X50&lt;&gt;"已执行",IF(X50="","未填执行情况",X50),IF(N(AB50)=0,"待录成交",IF(N(AD50)&gt;N(AB50),"平仓多于开仓",IF(N(AD50)&lt;N(AB50),"持仓中","已平仓")))))</f>
        <v/>
      </c>
      <c r="AG50" s="42" t="str">
        <f>IF(N(AB50)=0,"",SUMIFS('成交明细'!$L$5:$L$804,'成交明细'!$A$5:$A$804,A50))</f>
        <v/>
      </c>
      <c r="AH50" s="43" t="str">
        <f>IF(A50="","",SUMIFS('资金费流水'!$F$5:$F$604,'资金费流水'!$B$5:$B$604,A50))</f>
        <v/>
      </c>
      <c r="AI50" s="43" t="str">
        <f>IF(AF50&lt;&gt;"已平仓","",(SUMIFS('成交明细'!$H$5:$H$804,'成交明细'!$A$5:$A$804,A50,'成交明细'!$D$5:$D$804,"卖")-SUMIFS('成交明细'!$H$5:$H$804,'成交明细'!$A$5:$A$804,A50,'成交明细'!$D$5:$D$804,"买"))*1-AG50+N(AH50))</f>
        <v/>
      </c>
      <c r="AJ50" s="44" t="str">
        <f>IF(AND(AF50="已平仓",ISNUMBER(Q50)),(SUMIFS('成交明细'!$H$5:$H$804,'成交明细'!$A$5:$A$804,A50,'成交明细'!$D$5:$D$804,"卖")-SUMIFS('成交明细'!$H$5:$H$804,'成交明细'!$A$5:$A$804,A50,'成交明细'!$D$5:$D$804,"买"))*1/Q50,"")</f>
        <v/>
      </c>
      <c r="AK50" s="44" t="str">
        <f>IF(AND(AF50="已平仓",ISNUMBER(Q50)),AI50/Q50,"")</f>
        <v/>
      </c>
      <c r="AL50" s="45" t="str">
        <f>IF(AND(ISNUMBER(AC50),ISNUMBER(K50)),IF(F50="空",K50-AC50,AC50-K50),"")</f>
        <v/>
      </c>
      <c r="AM50" s="45" t="str">
        <f>IF(OR(NOT(ISNUMBER(AI50)),NOT(ISNUMBER(AE50))),"",IF(AI50&lt;0,IF(F50="空",AE50-L50,L50-AE50),IF(NOT(ISNUMBER(M50)),"",IF(F50="空",AE50-M50,M50-AE50))))</f>
        <v/>
      </c>
      <c r="AN50" s="31" t="n"/>
      <c r="AO50" s="31" t="n"/>
      <c r="AP50" s="30" t="n"/>
      <c r="AQ50" s="44" t="str">
        <f>IF(A50="","",SUM(AK$5:AK50))</f>
        <v/>
      </c>
      <c r="AR50" s="46" t="str">
        <f>IF(A50="","",MAX(0,MAX(AQ$5:AQ50))-AQ50)</f>
        <v/>
      </c>
    </row>
    <row r="51">
      <c r="A51" s="24" t="n"/>
      <c r="B51" s="29" t="n"/>
      <c r="C51" s="30" t="n"/>
      <c r="D51" s="31" t="n"/>
      <c r="E51" s="31" t="n"/>
      <c r="F51" s="31" t="n"/>
      <c r="G51" s="21" t="n"/>
      <c r="H51" s="31" t="n"/>
      <c r="I51" s="23" t="n"/>
      <c r="J51" s="31" t="n"/>
      <c r="K51" s="32" t="n"/>
      <c r="L51" s="32" t="n"/>
      <c r="M51" s="32" t="n"/>
      <c r="N51" s="33" t="str">
        <f>IF(AND(ISNUMBER(K51),ISNUMBER(L51),ISNUMBER(M51)),IF(OR(AND(F51="多",K51&gt;L51),AND(F51="空",K51&lt;L51)),ABS(M51-K51)/ABS(K51-L51),"止损方向不对"),"")</f>
        <v/>
      </c>
      <c r="O51" s="34" t="str">
        <f>IF(AND(ISNUMBER(K51),ISNUMBER(L51)),IF(K51=L51,"",IF(INT(ROUND('参数'!$C$7/(ABS(K51-L51)*1+2*K51*'参数'!$C$12)/IF(N(J51)&gt;0,J51,1),6))*IF(N(J51)&gt;0,J51,1)&gt;0,INT(ROUND('参数'!$C$7/(ABS(K51-L51)*1+2*K51*'参数'!$C$12)/IF(N(J51)&gt;0,J51,1),6))*IF(N(J51)&gt;0,J51,1),"预算不足，这笔不做")),"")</f>
        <v/>
      </c>
      <c r="P51" s="35" t="n"/>
      <c r="Q51" s="20" t="str">
        <f>IF(AND(ISNUMBER(K51),ISNUMBER(L51),ISNUMBER(P51)),IF(AND(K51&lt;&gt;L51,P51&gt;0),ABS(K51-L51)*P51*1,""),"")</f>
        <v/>
      </c>
      <c r="R51" s="20" t="str">
        <f>IF(AND(ISNUMBER(K51),ISNUMBER(P51)),K51*P51,"")</f>
        <v/>
      </c>
      <c r="S51" s="20" t="str">
        <f>IF(AND(D51="合约",ISNUMBER(R51),N(G51)&gt;0),R51/G51,"")</f>
        <v/>
      </c>
      <c r="T51" s="36" t="str">
        <f>IF(NOT(D51="合约"),"",IF(H51&lt;&gt;"逐仓","看平台",IF(AND(ISNUMBER(K51),N(G51)&gt;0),IF(F51="空",K51*(1+1/G51-IF(ISNUMBER(I51),I51,'参数'!$C$13)),K51*(1-1/G51+IF(ISNUMBER(I51),I51,'参数'!$C$13))),"")))</f>
        <v/>
      </c>
      <c r="U51" s="37" t="str">
        <f>IF(AND(ISNUMBER(T51),ISNUMBER(L51),ISNUMBER(K51)),IF(F51="空",T51-L51,L51-T51)/K51,"")</f>
        <v/>
      </c>
      <c r="V51" s="38" t="str">
        <f>IF(ISNUMBER(U51),IF(U51&lt;'参数'!$C$15,"先降杠杆或减量","在止损外"),"")</f>
        <v/>
      </c>
      <c r="W51" s="30" t="n"/>
      <c r="X51" s="31" t="n"/>
      <c r="Y51" s="39" t="str">
        <f>IF(N(AB51)&gt;0,SUMPRODUCT(LARGE(('成交明细'!$A$5:$A$804=A51)*('成交明细'!$D$5:$D$804=IF(F51="空","卖","买"))*'成交明细'!$B$5:$B$804,COUNTIFS('成交明细'!$A$5:$A$804,A51,'成交明细'!$D$5:$D$804,IF(F51="空","卖","买")))),"")</f>
        <v/>
      </c>
      <c r="Z51" s="39" t="str">
        <f>IF(AND(N(AB51)&gt;0,N(AD51)&gt;=N(AB51)),SUMPRODUCT(MAX(('成交明细'!$A$5:$A$804=A51)*('成交明细'!$D$5:$D$804=IF(F51="空","买","卖"))*'成交明细'!$B$5:$B$804)),"")</f>
        <v/>
      </c>
      <c r="AA51" s="40" t="str">
        <f>IF(N(AB51)=0,"",IF(SUMPRODUCT(('成交明细'!$A$5:$A$804=A51)*('成交明细'!$D$5:$D$804=IF(F51="空","卖","买"))*ISNUMBER('成交明细'!$C$5:$C$804))=0,"没填时间",IFERROR(VLOOKUP(MOD(SUMPRODUCT(LARGE(('成交明细'!$A$5:$A$804=A51)*('成交明细'!$D$5:$D$804=IF(F51="空","卖","买"))*('成交明细'!$B$5:$B$804+'成交明细'!$C$5:$C$804),COUNTIFS('成交明细'!$A$5:$A$804,A51,'成交明细'!$D$5:$D$804,IF(F51="空","卖","买")))),1),'参数'!$B$39:$C$48,2,TRUE),"")))</f>
        <v/>
      </c>
      <c r="AB51" s="34" t="str">
        <f>IF(A51="","",SUMIFS('成交明细'!$F$5:$F$804,'成交明细'!$A$5:$A$804,A51,'成交明细'!$D$5:$D$804,IF(F51="空","卖","买")))</f>
        <v/>
      </c>
      <c r="AC51" s="41" t="str">
        <f>IF(N(AB51)&gt;0,SUMIFS('成交明细'!$H$5:$H$804,'成交明细'!$A$5:$A$804,A51,'成交明细'!$D$5:$D$804,IF(F51="空","卖","买"))/AB51,"")</f>
        <v/>
      </c>
      <c r="AD51" s="34" t="str">
        <f>IF(A51="","",SUMIFS('成交明细'!$F$5:$F$804,'成交明细'!$A$5:$A$804,A51,'成交明细'!$D$5:$D$804,IF(F51="空","买","卖")))</f>
        <v/>
      </c>
      <c r="AE51" s="41" t="str">
        <f>IF(N(AD51)&gt;0,SUMIFS('成交明细'!$H$5:$H$804,'成交明细'!$A$5:$A$804,A51,'成交明细'!$D$5:$D$804,IF(F51="空","买","卖"))/AD51,"")</f>
        <v/>
      </c>
      <c r="AF51" s="38" t="str">
        <f>IF(A51="","",IF(X51&lt;&gt;"已执行",IF(X51="","未填执行情况",X51),IF(N(AB51)=0,"待录成交",IF(N(AD51)&gt;N(AB51),"平仓多于开仓",IF(N(AD51)&lt;N(AB51),"持仓中","已平仓")))))</f>
        <v/>
      </c>
      <c r="AG51" s="42" t="str">
        <f>IF(N(AB51)=0,"",SUMIFS('成交明细'!$L$5:$L$804,'成交明细'!$A$5:$A$804,A51))</f>
        <v/>
      </c>
      <c r="AH51" s="43" t="str">
        <f>IF(A51="","",SUMIFS('资金费流水'!$F$5:$F$604,'资金费流水'!$B$5:$B$604,A51))</f>
        <v/>
      </c>
      <c r="AI51" s="43" t="str">
        <f>IF(AF51&lt;&gt;"已平仓","",(SUMIFS('成交明细'!$H$5:$H$804,'成交明细'!$A$5:$A$804,A51,'成交明细'!$D$5:$D$804,"卖")-SUMIFS('成交明细'!$H$5:$H$804,'成交明细'!$A$5:$A$804,A51,'成交明细'!$D$5:$D$804,"买"))*1-AG51+N(AH51))</f>
        <v/>
      </c>
      <c r="AJ51" s="44" t="str">
        <f>IF(AND(AF51="已平仓",ISNUMBER(Q51)),(SUMIFS('成交明细'!$H$5:$H$804,'成交明细'!$A$5:$A$804,A51,'成交明细'!$D$5:$D$804,"卖")-SUMIFS('成交明细'!$H$5:$H$804,'成交明细'!$A$5:$A$804,A51,'成交明细'!$D$5:$D$804,"买"))*1/Q51,"")</f>
        <v/>
      </c>
      <c r="AK51" s="44" t="str">
        <f>IF(AND(AF51="已平仓",ISNUMBER(Q51)),AI51/Q51,"")</f>
        <v/>
      </c>
      <c r="AL51" s="45" t="str">
        <f>IF(AND(ISNUMBER(AC51),ISNUMBER(K51)),IF(F51="空",K51-AC51,AC51-K51),"")</f>
        <v/>
      </c>
      <c r="AM51" s="45" t="str">
        <f>IF(OR(NOT(ISNUMBER(AI51)),NOT(ISNUMBER(AE51))),"",IF(AI51&lt;0,IF(F51="空",AE51-L51,L51-AE51),IF(NOT(ISNUMBER(M51)),"",IF(F51="空",AE51-M51,M51-AE51))))</f>
        <v/>
      </c>
      <c r="AN51" s="31" t="n"/>
      <c r="AO51" s="31" t="n"/>
      <c r="AP51" s="30" t="n"/>
      <c r="AQ51" s="44" t="str">
        <f>IF(A51="","",SUM(AK$5:AK51))</f>
        <v/>
      </c>
      <c r="AR51" s="46" t="str">
        <f>IF(A51="","",MAX(0,MAX(AQ$5:AQ51))-AQ51)</f>
        <v/>
      </c>
    </row>
    <row r="52">
      <c r="A52" s="24" t="n"/>
      <c r="B52" s="29" t="n"/>
      <c r="C52" s="30" t="n"/>
      <c r="D52" s="31" t="n"/>
      <c r="E52" s="31" t="n"/>
      <c r="F52" s="31" t="n"/>
      <c r="G52" s="21" t="n"/>
      <c r="H52" s="31" t="n"/>
      <c r="I52" s="23" t="n"/>
      <c r="J52" s="31" t="n"/>
      <c r="K52" s="32" t="n"/>
      <c r="L52" s="32" t="n"/>
      <c r="M52" s="32" t="n"/>
      <c r="N52" s="33" t="str">
        <f>IF(AND(ISNUMBER(K52),ISNUMBER(L52),ISNUMBER(M52)),IF(OR(AND(F52="多",K52&gt;L52),AND(F52="空",K52&lt;L52)),ABS(M52-K52)/ABS(K52-L52),"止损方向不对"),"")</f>
        <v/>
      </c>
      <c r="O52" s="34" t="str">
        <f>IF(AND(ISNUMBER(K52),ISNUMBER(L52)),IF(K52=L52,"",IF(INT(ROUND('参数'!$C$7/(ABS(K52-L52)*1+2*K52*'参数'!$C$12)/IF(N(J52)&gt;0,J52,1),6))*IF(N(J52)&gt;0,J52,1)&gt;0,INT(ROUND('参数'!$C$7/(ABS(K52-L52)*1+2*K52*'参数'!$C$12)/IF(N(J52)&gt;0,J52,1),6))*IF(N(J52)&gt;0,J52,1),"预算不足，这笔不做")),"")</f>
        <v/>
      </c>
      <c r="P52" s="35" t="n"/>
      <c r="Q52" s="20" t="str">
        <f>IF(AND(ISNUMBER(K52),ISNUMBER(L52),ISNUMBER(P52)),IF(AND(K52&lt;&gt;L52,P52&gt;0),ABS(K52-L52)*P52*1,""),"")</f>
        <v/>
      </c>
      <c r="R52" s="20" t="str">
        <f>IF(AND(ISNUMBER(K52),ISNUMBER(P52)),K52*P52,"")</f>
        <v/>
      </c>
      <c r="S52" s="20" t="str">
        <f>IF(AND(D52="合约",ISNUMBER(R52),N(G52)&gt;0),R52/G52,"")</f>
        <v/>
      </c>
      <c r="T52" s="36" t="str">
        <f>IF(NOT(D52="合约"),"",IF(H52&lt;&gt;"逐仓","看平台",IF(AND(ISNUMBER(K52),N(G52)&gt;0),IF(F52="空",K52*(1+1/G52-IF(ISNUMBER(I52),I52,'参数'!$C$13)),K52*(1-1/G52+IF(ISNUMBER(I52),I52,'参数'!$C$13))),"")))</f>
        <v/>
      </c>
      <c r="U52" s="37" t="str">
        <f>IF(AND(ISNUMBER(T52),ISNUMBER(L52),ISNUMBER(K52)),IF(F52="空",T52-L52,L52-T52)/K52,"")</f>
        <v/>
      </c>
      <c r="V52" s="38" t="str">
        <f>IF(ISNUMBER(U52),IF(U52&lt;'参数'!$C$15,"先降杠杆或减量","在止损外"),"")</f>
        <v/>
      </c>
      <c r="W52" s="30" t="n"/>
      <c r="X52" s="31" t="n"/>
      <c r="Y52" s="39" t="str">
        <f>IF(N(AB52)&gt;0,SUMPRODUCT(LARGE(('成交明细'!$A$5:$A$804=A52)*('成交明细'!$D$5:$D$804=IF(F52="空","卖","买"))*'成交明细'!$B$5:$B$804,COUNTIFS('成交明细'!$A$5:$A$804,A52,'成交明细'!$D$5:$D$804,IF(F52="空","卖","买")))),"")</f>
        <v/>
      </c>
      <c r="Z52" s="39" t="str">
        <f>IF(AND(N(AB52)&gt;0,N(AD52)&gt;=N(AB52)),SUMPRODUCT(MAX(('成交明细'!$A$5:$A$804=A52)*('成交明细'!$D$5:$D$804=IF(F52="空","买","卖"))*'成交明细'!$B$5:$B$804)),"")</f>
        <v/>
      </c>
      <c r="AA52" s="40" t="str">
        <f>IF(N(AB52)=0,"",IF(SUMPRODUCT(('成交明细'!$A$5:$A$804=A52)*('成交明细'!$D$5:$D$804=IF(F52="空","卖","买"))*ISNUMBER('成交明细'!$C$5:$C$804))=0,"没填时间",IFERROR(VLOOKUP(MOD(SUMPRODUCT(LARGE(('成交明细'!$A$5:$A$804=A52)*('成交明细'!$D$5:$D$804=IF(F52="空","卖","买"))*('成交明细'!$B$5:$B$804+'成交明细'!$C$5:$C$804),COUNTIFS('成交明细'!$A$5:$A$804,A52,'成交明细'!$D$5:$D$804,IF(F52="空","卖","买")))),1),'参数'!$B$39:$C$48,2,TRUE),"")))</f>
        <v/>
      </c>
      <c r="AB52" s="34" t="str">
        <f>IF(A52="","",SUMIFS('成交明细'!$F$5:$F$804,'成交明细'!$A$5:$A$804,A52,'成交明细'!$D$5:$D$804,IF(F52="空","卖","买")))</f>
        <v/>
      </c>
      <c r="AC52" s="41" t="str">
        <f>IF(N(AB52)&gt;0,SUMIFS('成交明细'!$H$5:$H$804,'成交明细'!$A$5:$A$804,A52,'成交明细'!$D$5:$D$804,IF(F52="空","卖","买"))/AB52,"")</f>
        <v/>
      </c>
      <c r="AD52" s="34" t="str">
        <f>IF(A52="","",SUMIFS('成交明细'!$F$5:$F$804,'成交明细'!$A$5:$A$804,A52,'成交明细'!$D$5:$D$804,IF(F52="空","买","卖")))</f>
        <v/>
      </c>
      <c r="AE52" s="41" t="str">
        <f>IF(N(AD52)&gt;0,SUMIFS('成交明细'!$H$5:$H$804,'成交明细'!$A$5:$A$804,A52,'成交明细'!$D$5:$D$804,IF(F52="空","买","卖"))/AD52,"")</f>
        <v/>
      </c>
      <c r="AF52" s="38" t="str">
        <f>IF(A52="","",IF(X52&lt;&gt;"已执行",IF(X52="","未填执行情况",X52),IF(N(AB52)=0,"待录成交",IF(N(AD52)&gt;N(AB52),"平仓多于开仓",IF(N(AD52)&lt;N(AB52),"持仓中","已平仓")))))</f>
        <v/>
      </c>
      <c r="AG52" s="42" t="str">
        <f>IF(N(AB52)=0,"",SUMIFS('成交明细'!$L$5:$L$804,'成交明细'!$A$5:$A$804,A52))</f>
        <v/>
      </c>
      <c r="AH52" s="43" t="str">
        <f>IF(A52="","",SUMIFS('资金费流水'!$F$5:$F$604,'资金费流水'!$B$5:$B$604,A52))</f>
        <v/>
      </c>
      <c r="AI52" s="43" t="str">
        <f>IF(AF52&lt;&gt;"已平仓","",(SUMIFS('成交明细'!$H$5:$H$804,'成交明细'!$A$5:$A$804,A52,'成交明细'!$D$5:$D$804,"卖")-SUMIFS('成交明细'!$H$5:$H$804,'成交明细'!$A$5:$A$804,A52,'成交明细'!$D$5:$D$804,"买"))*1-AG52+N(AH52))</f>
        <v/>
      </c>
      <c r="AJ52" s="44" t="str">
        <f>IF(AND(AF52="已平仓",ISNUMBER(Q52)),(SUMIFS('成交明细'!$H$5:$H$804,'成交明细'!$A$5:$A$804,A52,'成交明细'!$D$5:$D$804,"卖")-SUMIFS('成交明细'!$H$5:$H$804,'成交明细'!$A$5:$A$804,A52,'成交明细'!$D$5:$D$804,"买"))*1/Q52,"")</f>
        <v/>
      </c>
      <c r="AK52" s="44" t="str">
        <f>IF(AND(AF52="已平仓",ISNUMBER(Q52)),AI52/Q52,"")</f>
        <v/>
      </c>
      <c r="AL52" s="45" t="str">
        <f>IF(AND(ISNUMBER(AC52),ISNUMBER(K52)),IF(F52="空",K52-AC52,AC52-K52),"")</f>
        <v/>
      </c>
      <c r="AM52" s="45" t="str">
        <f>IF(OR(NOT(ISNUMBER(AI52)),NOT(ISNUMBER(AE52))),"",IF(AI52&lt;0,IF(F52="空",AE52-L52,L52-AE52),IF(NOT(ISNUMBER(M52)),"",IF(F52="空",AE52-M52,M52-AE52))))</f>
        <v/>
      </c>
      <c r="AN52" s="31" t="n"/>
      <c r="AO52" s="31" t="n"/>
      <c r="AP52" s="30" t="n"/>
      <c r="AQ52" s="44" t="str">
        <f>IF(A52="","",SUM(AK$5:AK52))</f>
        <v/>
      </c>
      <c r="AR52" s="46" t="str">
        <f>IF(A52="","",MAX(0,MAX(AQ$5:AQ52))-AQ52)</f>
        <v/>
      </c>
    </row>
    <row r="53">
      <c r="A53" s="24" t="n"/>
      <c r="B53" s="29" t="n"/>
      <c r="C53" s="30" t="n"/>
      <c r="D53" s="31" t="n"/>
      <c r="E53" s="31" t="n"/>
      <c r="F53" s="31" t="n"/>
      <c r="G53" s="21" t="n"/>
      <c r="H53" s="31" t="n"/>
      <c r="I53" s="23" t="n"/>
      <c r="J53" s="31" t="n"/>
      <c r="K53" s="32" t="n"/>
      <c r="L53" s="32" t="n"/>
      <c r="M53" s="32" t="n"/>
      <c r="N53" s="33" t="str">
        <f>IF(AND(ISNUMBER(K53),ISNUMBER(L53),ISNUMBER(M53)),IF(OR(AND(F53="多",K53&gt;L53),AND(F53="空",K53&lt;L53)),ABS(M53-K53)/ABS(K53-L53),"止损方向不对"),"")</f>
        <v/>
      </c>
      <c r="O53" s="34" t="str">
        <f>IF(AND(ISNUMBER(K53),ISNUMBER(L53)),IF(K53=L53,"",IF(INT(ROUND('参数'!$C$7/(ABS(K53-L53)*1+2*K53*'参数'!$C$12)/IF(N(J53)&gt;0,J53,1),6))*IF(N(J53)&gt;0,J53,1)&gt;0,INT(ROUND('参数'!$C$7/(ABS(K53-L53)*1+2*K53*'参数'!$C$12)/IF(N(J53)&gt;0,J53,1),6))*IF(N(J53)&gt;0,J53,1),"预算不足，这笔不做")),"")</f>
        <v/>
      </c>
      <c r="P53" s="35" t="n"/>
      <c r="Q53" s="20" t="str">
        <f>IF(AND(ISNUMBER(K53),ISNUMBER(L53),ISNUMBER(P53)),IF(AND(K53&lt;&gt;L53,P53&gt;0),ABS(K53-L53)*P53*1,""),"")</f>
        <v/>
      </c>
      <c r="R53" s="20" t="str">
        <f>IF(AND(ISNUMBER(K53),ISNUMBER(P53)),K53*P53,"")</f>
        <v/>
      </c>
      <c r="S53" s="20" t="str">
        <f>IF(AND(D53="合约",ISNUMBER(R53),N(G53)&gt;0),R53/G53,"")</f>
        <v/>
      </c>
      <c r="T53" s="36" t="str">
        <f>IF(NOT(D53="合约"),"",IF(H53&lt;&gt;"逐仓","看平台",IF(AND(ISNUMBER(K53),N(G53)&gt;0),IF(F53="空",K53*(1+1/G53-IF(ISNUMBER(I53),I53,'参数'!$C$13)),K53*(1-1/G53+IF(ISNUMBER(I53),I53,'参数'!$C$13))),"")))</f>
        <v/>
      </c>
      <c r="U53" s="37" t="str">
        <f>IF(AND(ISNUMBER(T53),ISNUMBER(L53),ISNUMBER(K53)),IF(F53="空",T53-L53,L53-T53)/K53,"")</f>
        <v/>
      </c>
      <c r="V53" s="38" t="str">
        <f>IF(ISNUMBER(U53),IF(U53&lt;'参数'!$C$15,"先降杠杆或减量","在止损外"),"")</f>
        <v/>
      </c>
      <c r="W53" s="30" t="n"/>
      <c r="X53" s="31" t="n"/>
      <c r="Y53" s="39" t="str">
        <f>IF(N(AB53)&gt;0,SUMPRODUCT(LARGE(('成交明细'!$A$5:$A$804=A53)*('成交明细'!$D$5:$D$804=IF(F53="空","卖","买"))*'成交明细'!$B$5:$B$804,COUNTIFS('成交明细'!$A$5:$A$804,A53,'成交明细'!$D$5:$D$804,IF(F53="空","卖","买")))),"")</f>
        <v/>
      </c>
      <c r="Z53" s="39" t="str">
        <f>IF(AND(N(AB53)&gt;0,N(AD53)&gt;=N(AB53)),SUMPRODUCT(MAX(('成交明细'!$A$5:$A$804=A53)*('成交明细'!$D$5:$D$804=IF(F53="空","买","卖"))*'成交明细'!$B$5:$B$804)),"")</f>
        <v/>
      </c>
      <c r="AA53" s="40" t="str">
        <f>IF(N(AB53)=0,"",IF(SUMPRODUCT(('成交明细'!$A$5:$A$804=A53)*('成交明细'!$D$5:$D$804=IF(F53="空","卖","买"))*ISNUMBER('成交明细'!$C$5:$C$804))=0,"没填时间",IFERROR(VLOOKUP(MOD(SUMPRODUCT(LARGE(('成交明细'!$A$5:$A$804=A53)*('成交明细'!$D$5:$D$804=IF(F53="空","卖","买"))*('成交明细'!$B$5:$B$804+'成交明细'!$C$5:$C$804),COUNTIFS('成交明细'!$A$5:$A$804,A53,'成交明细'!$D$5:$D$804,IF(F53="空","卖","买")))),1),'参数'!$B$39:$C$48,2,TRUE),"")))</f>
        <v/>
      </c>
      <c r="AB53" s="34" t="str">
        <f>IF(A53="","",SUMIFS('成交明细'!$F$5:$F$804,'成交明细'!$A$5:$A$804,A53,'成交明细'!$D$5:$D$804,IF(F53="空","卖","买")))</f>
        <v/>
      </c>
      <c r="AC53" s="41" t="str">
        <f>IF(N(AB53)&gt;0,SUMIFS('成交明细'!$H$5:$H$804,'成交明细'!$A$5:$A$804,A53,'成交明细'!$D$5:$D$804,IF(F53="空","卖","买"))/AB53,"")</f>
        <v/>
      </c>
      <c r="AD53" s="34" t="str">
        <f>IF(A53="","",SUMIFS('成交明细'!$F$5:$F$804,'成交明细'!$A$5:$A$804,A53,'成交明细'!$D$5:$D$804,IF(F53="空","买","卖")))</f>
        <v/>
      </c>
      <c r="AE53" s="41" t="str">
        <f>IF(N(AD53)&gt;0,SUMIFS('成交明细'!$H$5:$H$804,'成交明细'!$A$5:$A$804,A53,'成交明细'!$D$5:$D$804,IF(F53="空","买","卖"))/AD53,"")</f>
        <v/>
      </c>
      <c r="AF53" s="38" t="str">
        <f>IF(A53="","",IF(X53&lt;&gt;"已执行",IF(X53="","未填执行情况",X53),IF(N(AB53)=0,"待录成交",IF(N(AD53)&gt;N(AB53),"平仓多于开仓",IF(N(AD53)&lt;N(AB53),"持仓中","已平仓")))))</f>
        <v/>
      </c>
      <c r="AG53" s="42" t="str">
        <f>IF(N(AB53)=0,"",SUMIFS('成交明细'!$L$5:$L$804,'成交明细'!$A$5:$A$804,A53))</f>
        <v/>
      </c>
      <c r="AH53" s="43" t="str">
        <f>IF(A53="","",SUMIFS('资金费流水'!$F$5:$F$604,'资金费流水'!$B$5:$B$604,A53))</f>
        <v/>
      </c>
      <c r="AI53" s="43" t="str">
        <f>IF(AF53&lt;&gt;"已平仓","",(SUMIFS('成交明细'!$H$5:$H$804,'成交明细'!$A$5:$A$804,A53,'成交明细'!$D$5:$D$804,"卖")-SUMIFS('成交明细'!$H$5:$H$804,'成交明细'!$A$5:$A$804,A53,'成交明细'!$D$5:$D$804,"买"))*1-AG53+N(AH53))</f>
        <v/>
      </c>
      <c r="AJ53" s="44" t="str">
        <f>IF(AND(AF53="已平仓",ISNUMBER(Q53)),(SUMIFS('成交明细'!$H$5:$H$804,'成交明细'!$A$5:$A$804,A53,'成交明细'!$D$5:$D$804,"卖")-SUMIFS('成交明细'!$H$5:$H$804,'成交明细'!$A$5:$A$804,A53,'成交明细'!$D$5:$D$804,"买"))*1/Q53,"")</f>
        <v/>
      </c>
      <c r="AK53" s="44" t="str">
        <f>IF(AND(AF53="已平仓",ISNUMBER(Q53)),AI53/Q53,"")</f>
        <v/>
      </c>
      <c r="AL53" s="45" t="str">
        <f>IF(AND(ISNUMBER(AC53),ISNUMBER(K53)),IF(F53="空",K53-AC53,AC53-K53),"")</f>
        <v/>
      </c>
      <c r="AM53" s="45" t="str">
        <f>IF(OR(NOT(ISNUMBER(AI53)),NOT(ISNUMBER(AE53))),"",IF(AI53&lt;0,IF(F53="空",AE53-L53,L53-AE53),IF(NOT(ISNUMBER(M53)),"",IF(F53="空",AE53-M53,M53-AE53))))</f>
        <v/>
      </c>
      <c r="AN53" s="31" t="n"/>
      <c r="AO53" s="31" t="n"/>
      <c r="AP53" s="30" t="n"/>
      <c r="AQ53" s="44" t="str">
        <f>IF(A53="","",SUM(AK$5:AK53))</f>
        <v/>
      </c>
      <c r="AR53" s="46" t="str">
        <f>IF(A53="","",MAX(0,MAX(AQ$5:AQ53))-AQ53)</f>
        <v/>
      </c>
    </row>
    <row r="54">
      <c r="A54" s="24" t="n"/>
      <c r="B54" s="29" t="n"/>
      <c r="C54" s="30" t="n"/>
      <c r="D54" s="31" t="n"/>
      <c r="E54" s="31" t="n"/>
      <c r="F54" s="31" t="n"/>
      <c r="G54" s="21" t="n"/>
      <c r="H54" s="31" t="n"/>
      <c r="I54" s="23" t="n"/>
      <c r="J54" s="31" t="n"/>
      <c r="K54" s="32" t="n"/>
      <c r="L54" s="32" t="n"/>
      <c r="M54" s="32" t="n"/>
      <c r="N54" s="33" t="str">
        <f>IF(AND(ISNUMBER(K54),ISNUMBER(L54),ISNUMBER(M54)),IF(OR(AND(F54="多",K54&gt;L54),AND(F54="空",K54&lt;L54)),ABS(M54-K54)/ABS(K54-L54),"止损方向不对"),"")</f>
        <v/>
      </c>
      <c r="O54" s="34" t="str">
        <f>IF(AND(ISNUMBER(K54),ISNUMBER(L54)),IF(K54=L54,"",IF(INT(ROUND('参数'!$C$7/(ABS(K54-L54)*1+2*K54*'参数'!$C$12)/IF(N(J54)&gt;0,J54,1),6))*IF(N(J54)&gt;0,J54,1)&gt;0,INT(ROUND('参数'!$C$7/(ABS(K54-L54)*1+2*K54*'参数'!$C$12)/IF(N(J54)&gt;0,J54,1),6))*IF(N(J54)&gt;0,J54,1),"预算不足，这笔不做")),"")</f>
        <v/>
      </c>
      <c r="P54" s="35" t="n"/>
      <c r="Q54" s="20" t="str">
        <f>IF(AND(ISNUMBER(K54),ISNUMBER(L54),ISNUMBER(P54)),IF(AND(K54&lt;&gt;L54,P54&gt;0),ABS(K54-L54)*P54*1,""),"")</f>
        <v/>
      </c>
      <c r="R54" s="20" t="str">
        <f>IF(AND(ISNUMBER(K54),ISNUMBER(P54)),K54*P54,"")</f>
        <v/>
      </c>
      <c r="S54" s="20" t="str">
        <f>IF(AND(D54="合约",ISNUMBER(R54),N(G54)&gt;0),R54/G54,"")</f>
        <v/>
      </c>
      <c r="T54" s="36" t="str">
        <f>IF(NOT(D54="合约"),"",IF(H54&lt;&gt;"逐仓","看平台",IF(AND(ISNUMBER(K54),N(G54)&gt;0),IF(F54="空",K54*(1+1/G54-IF(ISNUMBER(I54),I54,'参数'!$C$13)),K54*(1-1/G54+IF(ISNUMBER(I54),I54,'参数'!$C$13))),"")))</f>
        <v/>
      </c>
      <c r="U54" s="37" t="str">
        <f>IF(AND(ISNUMBER(T54),ISNUMBER(L54),ISNUMBER(K54)),IF(F54="空",T54-L54,L54-T54)/K54,"")</f>
        <v/>
      </c>
      <c r="V54" s="38" t="str">
        <f>IF(ISNUMBER(U54),IF(U54&lt;'参数'!$C$15,"先降杠杆或减量","在止损外"),"")</f>
        <v/>
      </c>
      <c r="W54" s="30" t="n"/>
      <c r="X54" s="31" t="n"/>
      <c r="Y54" s="39" t="str">
        <f>IF(N(AB54)&gt;0,SUMPRODUCT(LARGE(('成交明细'!$A$5:$A$804=A54)*('成交明细'!$D$5:$D$804=IF(F54="空","卖","买"))*'成交明细'!$B$5:$B$804,COUNTIFS('成交明细'!$A$5:$A$804,A54,'成交明细'!$D$5:$D$804,IF(F54="空","卖","买")))),"")</f>
        <v/>
      </c>
      <c r="Z54" s="39" t="str">
        <f>IF(AND(N(AB54)&gt;0,N(AD54)&gt;=N(AB54)),SUMPRODUCT(MAX(('成交明细'!$A$5:$A$804=A54)*('成交明细'!$D$5:$D$804=IF(F54="空","买","卖"))*'成交明细'!$B$5:$B$804)),"")</f>
        <v/>
      </c>
      <c r="AA54" s="40" t="str">
        <f>IF(N(AB54)=0,"",IF(SUMPRODUCT(('成交明细'!$A$5:$A$804=A54)*('成交明细'!$D$5:$D$804=IF(F54="空","卖","买"))*ISNUMBER('成交明细'!$C$5:$C$804))=0,"没填时间",IFERROR(VLOOKUP(MOD(SUMPRODUCT(LARGE(('成交明细'!$A$5:$A$804=A54)*('成交明细'!$D$5:$D$804=IF(F54="空","卖","买"))*('成交明细'!$B$5:$B$804+'成交明细'!$C$5:$C$804),COUNTIFS('成交明细'!$A$5:$A$804,A54,'成交明细'!$D$5:$D$804,IF(F54="空","卖","买")))),1),'参数'!$B$39:$C$48,2,TRUE),"")))</f>
        <v/>
      </c>
      <c r="AB54" s="34" t="str">
        <f>IF(A54="","",SUMIFS('成交明细'!$F$5:$F$804,'成交明细'!$A$5:$A$804,A54,'成交明细'!$D$5:$D$804,IF(F54="空","卖","买")))</f>
        <v/>
      </c>
      <c r="AC54" s="41" t="str">
        <f>IF(N(AB54)&gt;0,SUMIFS('成交明细'!$H$5:$H$804,'成交明细'!$A$5:$A$804,A54,'成交明细'!$D$5:$D$804,IF(F54="空","卖","买"))/AB54,"")</f>
        <v/>
      </c>
      <c r="AD54" s="34" t="str">
        <f>IF(A54="","",SUMIFS('成交明细'!$F$5:$F$804,'成交明细'!$A$5:$A$804,A54,'成交明细'!$D$5:$D$804,IF(F54="空","买","卖")))</f>
        <v/>
      </c>
      <c r="AE54" s="41" t="str">
        <f>IF(N(AD54)&gt;0,SUMIFS('成交明细'!$H$5:$H$804,'成交明细'!$A$5:$A$804,A54,'成交明细'!$D$5:$D$804,IF(F54="空","买","卖"))/AD54,"")</f>
        <v/>
      </c>
      <c r="AF54" s="38" t="str">
        <f>IF(A54="","",IF(X54&lt;&gt;"已执行",IF(X54="","未填执行情况",X54),IF(N(AB54)=0,"待录成交",IF(N(AD54)&gt;N(AB54),"平仓多于开仓",IF(N(AD54)&lt;N(AB54),"持仓中","已平仓")))))</f>
        <v/>
      </c>
      <c r="AG54" s="42" t="str">
        <f>IF(N(AB54)=0,"",SUMIFS('成交明细'!$L$5:$L$804,'成交明细'!$A$5:$A$804,A54))</f>
        <v/>
      </c>
      <c r="AH54" s="43" t="str">
        <f>IF(A54="","",SUMIFS('资金费流水'!$F$5:$F$604,'资金费流水'!$B$5:$B$604,A54))</f>
        <v/>
      </c>
      <c r="AI54" s="43" t="str">
        <f>IF(AF54&lt;&gt;"已平仓","",(SUMIFS('成交明细'!$H$5:$H$804,'成交明细'!$A$5:$A$804,A54,'成交明细'!$D$5:$D$804,"卖")-SUMIFS('成交明细'!$H$5:$H$804,'成交明细'!$A$5:$A$804,A54,'成交明细'!$D$5:$D$804,"买"))*1-AG54+N(AH54))</f>
        <v/>
      </c>
      <c r="AJ54" s="44" t="str">
        <f>IF(AND(AF54="已平仓",ISNUMBER(Q54)),(SUMIFS('成交明细'!$H$5:$H$804,'成交明细'!$A$5:$A$804,A54,'成交明细'!$D$5:$D$804,"卖")-SUMIFS('成交明细'!$H$5:$H$804,'成交明细'!$A$5:$A$804,A54,'成交明细'!$D$5:$D$804,"买"))*1/Q54,"")</f>
        <v/>
      </c>
      <c r="AK54" s="44" t="str">
        <f>IF(AND(AF54="已平仓",ISNUMBER(Q54)),AI54/Q54,"")</f>
        <v/>
      </c>
      <c r="AL54" s="45" t="str">
        <f>IF(AND(ISNUMBER(AC54),ISNUMBER(K54)),IF(F54="空",K54-AC54,AC54-K54),"")</f>
        <v/>
      </c>
      <c r="AM54" s="45" t="str">
        <f>IF(OR(NOT(ISNUMBER(AI54)),NOT(ISNUMBER(AE54))),"",IF(AI54&lt;0,IF(F54="空",AE54-L54,L54-AE54),IF(NOT(ISNUMBER(M54)),"",IF(F54="空",AE54-M54,M54-AE54))))</f>
        <v/>
      </c>
      <c r="AN54" s="31" t="n"/>
      <c r="AO54" s="31" t="n"/>
      <c r="AP54" s="30" t="n"/>
      <c r="AQ54" s="44" t="str">
        <f>IF(A54="","",SUM(AK$5:AK54))</f>
        <v/>
      </c>
      <c r="AR54" s="46" t="str">
        <f>IF(A54="","",MAX(0,MAX(AQ$5:AQ54))-AQ54)</f>
        <v/>
      </c>
    </row>
    <row r="55">
      <c r="A55" s="24" t="n"/>
      <c r="B55" s="29" t="n"/>
      <c r="C55" s="30" t="n"/>
      <c r="D55" s="31" t="n"/>
      <c r="E55" s="31" t="n"/>
      <c r="F55" s="31" t="n"/>
      <c r="G55" s="21" t="n"/>
      <c r="H55" s="31" t="n"/>
      <c r="I55" s="23" t="n"/>
      <c r="J55" s="31" t="n"/>
      <c r="K55" s="32" t="n"/>
      <c r="L55" s="32" t="n"/>
      <c r="M55" s="32" t="n"/>
      <c r="N55" s="33" t="str">
        <f>IF(AND(ISNUMBER(K55),ISNUMBER(L55),ISNUMBER(M55)),IF(OR(AND(F55="多",K55&gt;L55),AND(F55="空",K55&lt;L55)),ABS(M55-K55)/ABS(K55-L55),"止损方向不对"),"")</f>
        <v/>
      </c>
      <c r="O55" s="34" t="str">
        <f>IF(AND(ISNUMBER(K55),ISNUMBER(L55)),IF(K55=L55,"",IF(INT(ROUND('参数'!$C$7/(ABS(K55-L55)*1+2*K55*'参数'!$C$12)/IF(N(J55)&gt;0,J55,1),6))*IF(N(J55)&gt;0,J55,1)&gt;0,INT(ROUND('参数'!$C$7/(ABS(K55-L55)*1+2*K55*'参数'!$C$12)/IF(N(J55)&gt;0,J55,1),6))*IF(N(J55)&gt;0,J55,1),"预算不足，这笔不做")),"")</f>
        <v/>
      </c>
      <c r="P55" s="35" t="n"/>
      <c r="Q55" s="20" t="str">
        <f>IF(AND(ISNUMBER(K55),ISNUMBER(L55),ISNUMBER(P55)),IF(AND(K55&lt;&gt;L55,P55&gt;0),ABS(K55-L55)*P55*1,""),"")</f>
        <v/>
      </c>
      <c r="R55" s="20" t="str">
        <f>IF(AND(ISNUMBER(K55),ISNUMBER(P55)),K55*P55,"")</f>
        <v/>
      </c>
      <c r="S55" s="20" t="str">
        <f>IF(AND(D55="合约",ISNUMBER(R55),N(G55)&gt;0),R55/G55,"")</f>
        <v/>
      </c>
      <c r="T55" s="36" t="str">
        <f>IF(NOT(D55="合约"),"",IF(H55&lt;&gt;"逐仓","看平台",IF(AND(ISNUMBER(K55),N(G55)&gt;0),IF(F55="空",K55*(1+1/G55-IF(ISNUMBER(I55),I55,'参数'!$C$13)),K55*(1-1/G55+IF(ISNUMBER(I55),I55,'参数'!$C$13))),"")))</f>
        <v/>
      </c>
      <c r="U55" s="37" t="str">
        <f>IF(AND(ISNUMBER(T55),ISNUMBER(L55),ISNUMBER(K55)),IF(F55="空",T55-L55,L55-T55)/K55,"")</f>
        <v/>
      </c>
      <c r="V55" s="38" t="str">
        <f>IF(ISNUMBER(U55),IF(U55&lt;'参数'!$C$15,"先降杠杆或减量","在止损外"),"")</f>
        <v/>
      </c>
      <c r="W55" s="30" t="n"/>
      <c r="X55" s="31" t="n"/>
      <c r="Y55" s="39" t="str">
        <f>IF(N(AB55)&gt;0,SUMPRODUCT(LARGE(('成交明细'!$A$5:$A$804=A55)*('成交明细'!$D$5:$D$804=IF(F55="空","卖","买"))*'成交明细'!$B$5:$B$804,COUNTIFS('成交明细'!$A$5:$A$804,A55,'成交明细'!$D$5:$D$804,IF(F55="空","卖","买")))),"")</f>
        <v/>
      </c>
      <c r="Z55" s="39" t="str">
        <f>IF(AND(N(AB55)&gt;0,N(AD55)&gt;=N(AB55)),SUMPRODUCT(MAX(('成交明细'!$A$5:$A$804=A55)*('成交明细'!$D$5:$D$804=IF(F55="空","买","卖"))*'成交明细'!$B$5:$B$804)),"")</f>
        <v/>
      </c>
      <c r="AA55" s="40" t="str">
        <f>IF(N(AB55)=0,"",IF(SUMPRODUCT(('成交明细'!$A$5:$A$804=A55)*('成交明细'!$D$5:$D$804=IF(F55="空","卖","买"))*ISNUMBER('成交明细'!$C$5:$C$804))=0,"没填时间",IFERROR(VLOOKUP(MOD(SUMPRODUCT(LARGE(('成交明细'!$A$5:$A$804=A55)*('成交明细'!$D$5:$D$804=IF(F55="空","卖","买"))*('成交明细'!$B$5:$B$804+'成交明细'!$C$5:$C$804),COUNTIFS('成交明细'!$A$5:$A$804,A55,'成交明细'!$D$5:$D$804,IF(F55="空","卖","买")))),1),'参数'!$B$39:$C$48,2,TRUE),"")))</f>
        <v/>
      </c>
      <c r="AB55" s="34" t="str">
        <f>IF(A55="","",SUMIFS('成交明细'!$F$5:$F$804,'成交明细'!$A$5:$A$804,A55,'成交明细'!$D$5:$D$804,IF(F55="空","卖","买")))</f>
        <v/>
      </c>
      <c r="AC55" s="41" t="str">
        <f>IF(N(AB55)&gt;0,SUMIFS('成交明细'!$H$5:$H$804,'成交明细'!$A$5:$A$804,A55,'成交明细'!$D$5:$D$804,IF(F55="空","卖","买"))/AB55,"")</f>
        <v/>
      </c>
      <c r="AD55" s="34" t="str">
        <f>IF(A55="","",SUMIFS('成交明细'!$F$5:$F$804,'成交明细'!$A$5:$A$804,A55,'成交明细'!$D$5:$D$804,IF(F55="空","买","卖")))</f>
        <v/>
      </c>
      <c r="AE55" s="41" t="str">
        <f>IF(N(AD55)&gt;0,SUMIFS('成交明细'!$H$5:$H$804,'成交明细'!$A$5:$A$804,A55,'成交明细'!$D$5:$D$804,IF(F55="空","买","卖"))/AD55,"")</f>
        <v/>
      </c>
      <c r="AF55" s="38" t="str">
        <f>IF(A55="","",IF(X55&lt;&gt;"已执行",IF(X55="","未填执行情况",X55),IF(N(AB55)=0,"待录成交",IF(N(AD55)&gt;N(AB55),"平仓多于开仓",IF(N(AD55)&lt;N(AB55),"持仓中","已平仓")))))</f>
        <v/>
      </c>
      <c r="AG55" s="42" t="str">
        <f>IF(N(AB55)=0,"",SUMIFS('成交明细'!$L$5:$L$804,'成交明细'!$A$5:$A$804,A55))</f>
        <v/>
      </c>
      <c r="AH55" s="43" t="str">
        <f>IF(A55="","",SUMIFS('资金费流水'!$F$5:$F$604,'资金费流水'!$B$5:$B$604,A55))</f>
        <v/>
      </c>
      <c r="AI55" s="43" t="str">
        <f>IF(AF55&lt;&gt;"已平仓","",(SUMIFS('成交明细'!$H$5:$H$804,'成交明细'!$A$5:$A$804,A55,'成交明细'!$D$5:$D$804,"卖")-SUMIFS('成交明细'!$H$5:$H$804,'成交明细'!$A$5:$A$804,A55,'成交明细'!$D$5:$D$804,"买"))*1-AG55+N(AH55))</f>
        <v/>
      </c>
      <c r="AJ55" s="44" t="str">
        <f>IF(AND(AF55="已平仓",ISNUMBER(Q55)),(SUMIFS('成交明细'!$H$5:$H$804,'成交明细'!$A$5:$A$804,A55,'成交明细'!$D$5:$D$804,"卖")-SUMIFS('成交明细'!$H$5:$H$804,'成交明细'!$A$5:$A$804,A55,'成交明细'!$D$5:$D$804,"买"))*1/Q55,"")</f>
        <v/>
      </c>
      <c r="AK55" s="44" t="str">
        <f>IF(AND(AF55="已平仓",ISNUMBER(Q55)),AI55/Q55,"")</f>
        <v/>
      </c>
      <c r="AL55" s="45" t="str">
        <f>IF(AND(ISNUMBER(AC55),ISNUMBER(K55)),IF(F55="空",K55-AC55,AC55-K55),"")</f>
        <v/>
      </c>
      <c r="AM55" s="45" t="str">
        <f>IF(OR(NOT(ISNUMBER(AI55)),NOT(ISNUMBER(AE55))),"",IF(AI55&lt;0,IF(F55="空",AE55-L55,L55-AE55),IF(NOT(ISNUMBER(M55)),"",IF(F55="空",AE55-M55,M55-AE55))))</f>
        <v/>
      </c>
      <c r="AN55" s="31" t="n"/>
      <c r="AO55" s="31" t="n"/>
      <c r="AP55" s="30" t="n"/>
      <c r="AQ55" s="44" t="str">
        <f>IF(A55="","",SUM(AK$5:AK55))</f>
        <v/>
      </c>
      <c r="AR55" s="46" t="str">
        <f>IF(A55="","",MAX(0,MAX(AQ$5:AQ55))-AQ55)</f>
        <v/>
      </c>
    </row>
    <row r="56">
      <c r="A56" s="24" t="n"/>
      <c r="B56" s="29" t="n"/>
      <c r="C56" s="30" t="n"/>
      <c r="D56" s="31" t="n"/>
      <c r="E56" s="31" t="n"/>
      <c r="F56" s="31" t="n"/>
      <c r="G56" s="21" t="n"/>
      <c r="H56" s="31" t="n"/>
      <c r="I56" s="23" t="n"/>
      <c r="J56" s="31" t="n"/>
      <c r="K56" s="32" t="n"/>
      <c r="L56" s="32" t="n"/>
      <c r="M56" s="32" t="n"/>
      <c r="N56" s="33" t="str">
        <f>IF(AND(ISNUMBER(K56),ISNUMBER(L56),ISNUMBER(M56)),IF(OR(AND(F56="多",K56&gt;L56),AND(F56="空",K56&lt;L56)),ABS(M56-K56)/ABS(K56-L56),"止损方向不对"),"")</f>
        <v/>
      </c>
      <c r="O56" s="34" t="str">
        <f>IF(AND(ISNUMBER(K56),ISNUMBER(L56)),IF(K56=L56,"",IF(INT(ROUND('参数'!$C$7/(ABS(K56-L56)*1+2*K56*'参数'!$C$12)/IF(N(J56)&gt;0,J56,1),6))*IF(N(J56)&gt;0,J56,1)&gt;0,INT(ROUND('参数'!$C$7/(ABS(K56-L56)*1+2*K56*'参数'!$C$12)/IF(N(J56)&gt;0,J56,1),6))*IF(N(J56)&gt;0,J56,1),"预算不足，这笔不做")),"")</f>
        <v/>
      </c>
      <c r="P56" s="35" t="n"/>
      <c r="Q56" s="20" t="str">
        <f>IF(AND(ISNUMBER(K56),ISNUMBER(L56),ISNUMBER(P56)),IF(AND(K56&lt;&gt;L56,P56&gt;0),ABS(K56-L56)*P56*1,""),"")</f>
        <v/>
      </c>
      <c r="R56" s="20" t="str">
        <f>IF(AND(ISNUMBER(K56),ISNUMBER(P56)),K56*P56,"")</f>
        <v/>
      </c>
      <c r="S56" s="20" t="str">
        <f>IF(AND(D56="合约",ISNUMBER(R56),N(G56)&gt;0),R56/G56,"")</f>
        <v/>
      </c>
      <c r="T56" s="36" t="str">
        <f>IF(NOT(D56="合约"),"",IF(H56&lt;&gt;"逐仓","看平台",IF(AND(ISNUMBER(K56),N(G56)&gt;0),IF(F56="空",K56*(1+1/G56-IF(ISNUMBER(I56),I56,'参数'!$C$13)),K56*(1-1/G56+IF(ISNUMBER(I56),I56,'参数'!$C$13))),"")))</f>
        <v/>
      </c>
      <c r="U56" s="37" t="str">
        <f>IF(AND(ISNUMBER(T56),ISNUMBER(L56),ISNUMBER(K56)),IF(F56="空",T56-L56,L56-T56)/K56,"")</f>
        <v/>
      </c>
      <c r="V56" s="38" t="str">
        <f>IF(ISNUMBER(U56),IF(U56&lt;'参数'!$C$15,"先降杠杆或减量","在止损外"),"")</f>
        <v/>
      </c>
      <c r="W56" s="30" t="n"/>
      <c r="X56" s="31" t="n"/>
      <c r="Y56" s="39" t="str">
        <f>IF(N(AB56)&gt;0,SUMPRODUCT(LARGE(('成交明细'!$A$5:$A$804=A56)*('成交明细'!$D$5:$D$804=IF(F56="空","卖","买"))*'成交明细'!$B$5:$B$804,COUNTIFS('成交明细'!$A$5:$A$804,A56,'成交明细'!$D$5:$D$804,IF(F56="空","卖","买")))),"")</f>
        <v/>
      </c>
      <c r="Z56" s="39" t="str">
        <f>IF(AND(N(AB56)&gt;0,N(AD56)&gt;=N(AB56)),SUMPRODUCT(MAX(('成交明细'!$A$5:$A$804=A56)*('成交明细'!$D$5:$D$804=IF(F56="空","买","卖"))*'成交明细'!$B$5:$B$804)),"")</f>
        <v/>
      </c>
      <c r="AA56" s="40" t="str">
        <f>IF(N(AB56)=0,"",IF(SUMPRODUCT(('成交明细'!$A$5:$A$804=A56)*('成交明细'!$D$5:$D$804=IF(F56="空","卖","买"))*ISNUMBER('成交明细'!$C$5:$C$804))=0,"没填时间",IFERROR(VLOOKUP(MOD(SUMPRODUCT(LARGE(('成交明细'!$A$5:$A$804=A56)*('成交明细'!$D$5:$D$804=IF(F56="空","卖","买"))*('成交明细'!$B$5:$B$804+'成交明细'!$C$5:$C$804),COUNTIFS('成交明细'!$A$5:$A$804,A56,'成交明细'!$D$5:$D$804,IF(F56="空","卖","买")))),1),'参数'!$B$39:$C$48,2,TRUE),"")))</f>
        <v/>
      </c>
      <c r="AB56" s="34" t="str">
        <f>IF(A56="","",SUMIFS('成交明细'!$F$5:$F$804,'成交明细'!$A$5:$A$804,A56,'成交明细'!$D$5:$D$804,IF(F56="空","卖","买")))</f>
        <v/>
      </c>
      <c r="AC56" s="41" t="str">
        <f>IF(N(AB56)&gt;0,SUMIFS('成交明细'!$H$5:$H$804,'成交明细'!$A$5:$A$804,A56,'成交明细'!$D$5:$D$804,IF(F56="空","卖","买"))/AB56,"")</f>
        <v/>
      </c>
      <c r="AD56" s="34" t="str">
        <f>IF(A56="","",SUMIFS('成交明细'!$F$5:$F$804,'成交明细'!$A$5:$A$804,A56,'成交明细'!$D$5:$D$804,IF(F56="空","买","卖")))</f>
        <v/>
      </c>
      <c r="AE56" s="41" t="str">
        <f>IF(N(AD56)&gt;0,SUMIFS('成交明细'!$H$5:$H$804,'成交明细'!$A$5:$A$804,A56,'成交明细'!$D$5:$D$804,IF(F56="空","买","卖"))/AD56,"")</f>
        <v/>
      </c>
      <c r="AF56" s="38" t="str">
        <f>IF(A56="","",IF(X56&lt;&gt;"已执行",IF(X56="","未填执行情况",X56),IF(N(AB56)=0,"待录成交",IF(N(AD56)&gt;N(AB56),"平仓多于开仓",IF(N(AD56)&lt;N(AB56),"持仓中","已平仓")))))</f>
        <v/>
      </c>
      <c r="AG56" s="42" t="str">
        <f>IF(N(AB56)=0,"",SUMIFS('成交明细'!$L$5:$L$804,'成交明细'!$A$5:$A$804,A56))</f>
        <v/>
      </c>
      <c r="AH56" s="43" t="str">
        <f>IF(A56="","",SUMIFS('资金费流水'!$F$5:$F$604,'资金费流水'!$B$5:$B$604,A56))</f>
        <v/>
      </c>
      <c r="AI56" s="43" t="str">
        <f>IF(AF56&lt;&gt;"已平仓","",(SUMIFS('成交明细'!$H$5:$H$804,'成交明细'!$A$5:$A$804,A56,'成交明细'!$D$5:$D$804,"卖")-SUMIFS('成交明细'!$H$5:$H$804,'成交明细'!$A$5:$A$804,A56,'成交明细'!$D$5:$D$804,"买"))*1-AG56+N(AH56))</f>
        <v/>
      </c>
      <c r="AJ56" s="44" t="str">
        <f>IF(AND(AF56="已平仓",ISNUMBER(Q56)),(SUMIFS('成交明细'!$H$5:$H$804,'成交明细'!$A$5:$A$804,A56,'成交明细'!$D$5:$D$804,"卖")-SUMIFS('成交明细'!$H$5:$H$804,'成交明细'!$A$5:$A$804,A56,'成交明细'!$D$5:$D$804,"买"))*1/Q56,"")</f>
        <v/>
      </c>
      <c r="AK56" s="44" t="str">
        <f>IF(AND(AF56="已平仓",ISNUMBER(Q56)),AI56/Q56,"")</f>
        <v/>
      </c>
      <c r="AL56" s="45" t="str">
        <f>IF(AND(ISNUMBER(AC56),ISNUMBER(K56)),IF(F56="空",K56-AC56,AC56-K56),"")</f>
        <v/>
      </c>
      <c r="AM56" s="45" t="str">
        <f>IF(OR(NOT(ISNUMBER(AI56)),NOT(ISNUMBER(AE56))),"",IF(AI56&lt;0,IF(F56="空",AE56-L56,L56-AE56),IF(NOT(ISNUMBER(M56)),"",IF(F56="空",AE56-M56,M56-AE56))))</f>
        <v/>
      </c>
      <c r="AN56" s="31" t="n"/>
      <c r="AO56" s="31" t="n"/>
      <c r="AP56" s="30" t="n"/>
      <c r="AQ56" s="44" t="str">
        <f>IF(A56="","",SUM(AK$5:AK56))</f>
        <v/>
      </c>
      <c r="AR56" s="46" t="str">
        <f>IF(A56="","",MAX(0,MAX(AQ$5:AQ56))-AQ56)</f>
        <v/>
      </c>
    </row>
    <row r="57">
      <c r="A57" s="24" t="n"/>
      <c r="B57" s="29" t="n"/>
      <c r="C57" s="30" t="n"/>
      <c r="D57" s="31" t="n"/>
      <c r="E57" s="31" t="n"/>
      <c r="F57" s="31" t="n"/>
      <c r="G57" s="21" t="n"/>
      <c r="H57" s="31" t="n"/>
      <c r="I57" s="23" t="n"/>
      <c r="J57" s="31" t="n"/>
      <c r="K57" s="32" t="n"/>
      <c r="L57" s="32" t="n"/>
      <c r="M57" s="32" t="n"/>
      <c r="N57" s="33" t="str">
        <f>IF(AND(ISNUMBER(K57),ISNUMBER(L57),ISNUMBER(M57)),IF(OR(AND(F57="多",K57&gt;L57),AND(F57="空",K57&lt;L57)),ABS(M57-K57)/ABS(K57-L57),"止损方向不对"),"")</f>
        <v/>
      </c>
      <c r="O57" s="34" t="str">
        <f>IF(AND(ISNUMBER(K57),ISNUMBER(L57)),IF(K57=L57,"",IF(INT(ROUND('参数'!$C$7/(ABS(K57-L57)*1+2*K57*'参数'!$C$12)/IF(N(J57)&gt;0,J57,1),6))*IF(N(J57)&gt;0,J57,1)&gt;0,INT(ROUND('参数'!$C$7/(ABS(K57-L57)*1+2*K57*'参数'!$C$12)/IF(N(J57)&gt;0,J57,1),6))*IF(N(J57)&gt;0,J57,1),"预算不足，这笔不做")),"")</f>
        <v/>
      </c>
      <c r="P57" s="35" t="n"/>
      <c r="Q57" s="20" t="str">
        <f>IF(AND(ISNUMBER(K57),ISNUMBER(L57),ISNUMBER(P57)),IF(AND(K57&lt;&gt;L57,P57&gt;0),ABS(K57-L57)*P57*1,""),"")</f>
        <v/>
      </c>
      <c r="R57" s="20" t="str">
        <f>IF(AND(ISNUMBER(K57),ISNUMBER(P57)),K57*P57,"")</f>
        <v/>
      </c>
      <c r="S57" s="20" t="str">
        <f>IF(AND(D57="合约",ISNUMBER(R57),N(G57)&gt;0),R57/G57,"")</f>
        <v/>
      </c>
      <c r="T57" s="36" t="str">
        <f>IF(NOT(D57="合约"),"",IF(H57&lt;&gt;"逐仓","看平台",IF(AND(ISNUMBER(K57),N(G57)&gt;0),IF(F57="空",K57*(1+1/G57-IF(ISNUMBER(I57),I57,'参数'!$C$13)),K57*(1-1/G57+IF(ISNUMBER(I57),I57,'参数'!$C$13))),"")))</f>
        <v/>
      </c>
      <c r="U57" s="37" t="str">
        <f>IF(AND(ISNUMBER(T57),ISNUMBER(L57),ISNUMBER(K57)),IF(F57="空",T57-L57,L57-T57)/K57,"")</f>
        <v/>
      </c>
      <c r="V57" s="38" t="str">
        <f>IF(ISNUMBER(U57),IF(U57&lt;'参数'!$C$15,"先降杠杆或减量","在止损外"),"")</f>
        <v/>
      </c>
      <c r="W57" s="30" t="n"/>
      <c r="X57" s="31" t="n"/>
      <c r="Y57" s="39" t="str">
        <f>IF(N(AB57)&gt;0,SUMPRODUCT(LARGE(('成交明细'!$A$5:$A$804=A57)*('成交明细'!$D$5:$D$804=IF(F57="空","卖","买"))*'成交明细'!$B$5:$B$804,COUNTIFS('成交明细'!$A$5:$A$804,A57,'成交明细'!$D$5:$D$804,IF(F57="空","卖","买")))),"")</f>
        <v/>
      </c>
      <c r="Z57" s="39" t="str">
        <f>IF(AND(N(AB57)&gt;0,N(AD57)&gt;=N(AB57)),SUMPRODUCT(MAX(('成交明细'!$A$5:$A$804=A57)*('成交明细'!$D$5:$D$804=IF(F57="空","买","卖"))*'成交明细'!$B$5:$B$804)),"")</f>
        <v/>
      </c>
      <c r="AA57" s="40" t="str">
        <f>IF(N(AB57)=0,"",IF(SUMPRODUCT(('成交明细'!$A$5:$A$804=A57)*('成交明细'!$D$5:$D$804=IF(F57="空","卖","买"))*ISNUMBER('成交明细'!$C$5:$C$804))=0,"没填时间",IFERROR(VLOOKUP(MOD(SUMPRODUCT(LARGE(('成交明细'!$A$5:$A$804=A57)*('成交明细'!$D$5:$D$804=IF(F57="空","卖","买"))*('成交明细'!$B$5:$B$804+'成交明细'!$C$5:$C$804),COUNTIFS('成交明细'!$A$5:$A$804,A57,'成交明细'!$D$5:$D$804,IF(F57="空","卖","买")))),1),'参数'!$B$39:$C$48,2,TRUE),"")))</f>
        <v/>
      </c>
      <c r="AB57" s="34" t="str">
        <f>IF(A57="","",SUMIFS('成交明细'!$F$5:$F$804,'成交明细'!$A$5:$A$804,A57,'成交明细'!$D$5:$D$804,IF(F57="空","卖","买")))</f>
        <v/>
      </c>
      <c r="AC57" s="41" t="str">
        <f>IF(N(AB57)&gt;0,SUMIFS('成交明细'!$H$5:$H$804,'成交明细'!$A$5:$A$804,A57,'成交明细'!$D$5:$D$804,IF(F57="空","卖","买"))/AB57,"")</f>
        <v/>
      </c>
      <c r="AD57" s="34" t="str">
        <f>IF(A57="","",SUMIFS('成交明细'!$F$5:$F$804,'成交明细'!$A$5:$A$804,A57,'成交明细'!$D$5:$D$804,IF(F57="空","买","卖")))</f>
        <v/>
      </c>
      <c r="AE57" s="41" t="str">
        <f>IF(N(AD57)&gt;0,SUMIFS('成交明细'!$H$5:$H$804,'成交明细'!$A$5:$A$804,A57,'成交明细'!$D$5:$D$804,IF(F57="空","买","卖"))/AD57,"")</f>
        <v/>
      </c>
      <c r="AF57" s="38" t="str">
        <f>IF(A57="","",IF(X57&lt;&gt;"已执行",IF(X57="","未填执行情况",X57),IF(N(AB57)=0,"待录成交",IF(N(AD57)&gt;N(AB57),"平仓多于开仓",IF(N(AD57)&lt;N(AB57),"持仓中","已平仓")))))</f>
        <v/>
      </c>
      <c r="AG57" s="42" t="str">
        <f>IF(N(AB57)=0,"",SUMIFS('成交明细'!$L$5:$L$804,'成交明细'!$A$5:$A$804,A57))</f>
        <v/>
      </c>
      <c r="AH57" s="43" t="str">
        <f>IF(A57="","",SUMIFS('资金费流水'!$F$5:$F$604,'资金费流水'!$B$5:$B$604,A57))</f>
        <v/>
      </c>
      <c r="AI57" s="43" t="str">
        <f>IF(AF57&lt;&gt;"已平仓","",(SUMIFS('成交明细'!$H$5:$H$804,'成交明细'!$A$5:$A$804,A57,'成交明细'!$D$5:$D$804,"卖")-SUMIFS('成交明细'!$H$5:$H$804,'成交明细'!$A$5:$A$804,A57,'成交明细'!$D$5:$D$804,"买"))*1-AG57+N(AH57))</f>
        <v/>
      </c>
      <c r="AJ57" s="44" t="str">
        <f>IF(AND(AF57="已平仓",ISNUMBER(Q57)),(SUMIFS('成交明细'!$H$5:$H$804,'成交明细'!$A$5:$A$804,A57,'成交明细'!$D$5:$D$804,"卖")-SUMIFS('成交明细'!$H$5:$H$804,'成交明细'!$A$5:$A$804,A57,'成交明细'!$D$5:$D$804,"买"))*1/Q57,"")</f>
        <v/>
      </c>
      <c r="AK57" s="44" t="str">
        <f>IF(AND(AF57="已平仓",ISNUMBER(Q57)),AI57/Q57,"")</f>
        <v/>
      </c>
      <c r="AL57" s="45" t="str">
        <f>IF(AND(ISNUMBER(AC57),ISNUMBER(K57)),IF(F57="空",K57-AC57,AC57-K57),"")</f>
        <v/>
      </c>
      <c r="AM57" s="45" t="str">
        <f>IF(OR(NOT(ISNUMBER(AI57)),NOT(ISNUMBER(AE57))),"",IF(AI57&lt;0,IF(F57="空",AE57-L57,L57-AE57),IF(NOT(ISNUMBER(M57)),"",IF(F57="空",AE57-M57,M57-AE57))))</f>
        <v/>
      </c>
      <c r="AN57" s="31" t="n"/>
      <c r="AO57" s="31" t="n"/>
      <c r="AP57" s="30" t="n"/>
      <c r="AQ57" s="44" t="str">
        <f>IF(A57="","",SUM(AK$5:AK57))</f>
        <v/>
      </c>
      <c r="AR57" s="46" t="str">
        <f>IF(A57="","",MAX(0,MAX(AQ$5:AQ57))-AQ57)</f>
        <v/>
      </c>
    </row>
    <row r="58">
      <c r="A58" s="24" t="n"/>
      <c r="B58" s="29" t="n"/>
      <c r="C58" s="30" t="n"/>
      <c r="D58" s="31" t="n"/>
      <c r="E58" s="31" t="n"/>
      <c r="F58" s="31" t="n"/>
      <c r="G58" s="21" t="n"/>
      <c r="H58" s="31" t="n"/>
      <c r="I58" s="23" t="n"/>
      <c r="J58" s="31" t="n"/>
      <c r="K58" s="32" t="n"/>
      <c r="L58" s="32" t="n"/>
      <c r="M58" s="32" t="n"/>
      <c r="N58" s="33" t="str">
        <f>IF(AND(ISNUMBER(K58),ISNUMBER(L58),ISNUMBER(M58)),IF(OR(AND(F58="多",K58&gt;L58),AND(F58="空",K58&lt;L58)),ABS(M58-K58)/ABS(K58-L58),"止损方向不对"),"")</f>
        <v/>
      </c>
      <c r="O58" s="34" t="str">
        <f>IF(AND(ISNUMBER(K58),ISNUMBER(L58)),IF(K58=L58,"",IF(INT(ROUND('参数'!$C$7/(ABS(K58-L58)*1+2*K58*'参数'!$C$12)/IF(N(J58)&gt;0,J58,1),6))*IF(N(J58)&gt;0,J58,1)&gt;0,INT(ROUND('参数'!$C$7/(ABS(K58-L58)*1+2*K58*'参数'!$C$12)/IF(N(J58)&gt;0,J58,1),6))*IF(N(J58)&gt;0,J58,1),"预算不足，这笔不做")),"")</f>
        <v/>
      </c>
      <c r="P58" s="35" t="n"/>
      <c r="Q58" s="20" t="str">
        <f>IF(AND(ISNUMBER(K58),ISNUMBER(L58),ISNUMBER(P58)),IF(AND(K58&lt;&gt;L58,P58&gt;0),ABS(K58-L58)*P58*1,""),"")</f>
        <v/>
      </c>
      <c r="R58" s="20" t="str">
        <f>IF(AND(ISNUMBER(K58),ISNUMBER(P58)),K58*P58,"")</f>
        <v/>
      </c>
      <c r="S58" s="20" t="str">
        <f>IF(AND(D58="合约",ISNUMBER(R58),N(G58)&gt;0),R58/G58,"")</f>
        <v/>
      </c>
      <c r="T58" s="36" t="str">
        <f>IF(NOT(D58="合约"),"",IF(H58&lt;&gt;"逐仓","看平台",IF(AND(ISNUMBER(K58),N(G58)&gt;0),IF(F58="空",K58*(1+1/G58-IF(ISNUMBER(I58),I58,'参数'!$C$13)),K58*(1-1/G58+IF(ISNUMBER(I58),I58,'参数'!$C$13))),"")))</f>
        <v/>
      </c>
      <c r="U58" s="37" t="str">
        <f>IF(AND(ISNUMBER(T58),ISNUMBER(L58),ISNUMBER(K58)),IF(F58="空",T58-L58,L58-T58)/K58,"")</f>
        <v/>
      </c>
      <c r="V58" s="38" t="str">
        <f>IF(ISNUMBER(U58),IF(U58&lt;'参数'!$C$15,"先降杠杆或减量","在止损外"),"")</f>
        <v/>
      </c>
      <c r="W58" s="30" t="n"/>
      <c r="X58" s="31" t="n"/>
      <c r="Y58" s="39" t="str">
        <f>IF(N(AB58)&gt;0,SUMPRODUCT(LARGE(('成交明细'!$A$5:$A$804=A58)*('成交明细'!$D$5:$D$804=IF(F58="空","卖","买"))*'成交明细'!$B$5:$B$804,COUNTIFS('成交明细'!$A$5:$A$804,A58,'成交明细'!$D$5:$D$804,IF(F58="空","卖","买")))),"")</f>
        <v/>
      </c>
      <c r="Z58" s="39" t="str">
        <f>IF(AND(N(AB58)&gt;0,N(AD58)&gt;=N(AB58)),SUMPRODUCT(MAX(('成交明细'!$A$5:$A$804=A58)*('成交明细'!$D$5:$D$804=IF(F58="空","买","卖"))*'成交明细'!$B$5:$B$804)),"")</f>
        <v/>
      </c>
      <c r="AA58" s="40" t="str">
        <f>IF(N(AB58)=0,"",IF(SUMPRODUCT(('成交明细'!$A$5:$A$804=A58)*('成交明细'!$D$5:$D$804=IF(F58="空","卖","买"))*ISNUMBER('成交明细'!$C$5:$C$804))=0,"没填时间",IFERROR(VLOOKUP(MOD(SUMPRODUCT(LARGE(('成交明细'!$A$5:$A$804=A58)*('成交明细'!$D$5:$D$804=IF(F58="空","卖","买"))*('成交明细'!$B$5:$B$804+'成交明细'!$C$5:$C$804),COUNTIFS('成交明细'!$A$5:$A$804,A58,'成交明细'!$D$5:$D$804,IF(F58="空","卖","买")))),1),'参数'!$B$39:$C$48,2,TRUE),"")))</f>
        <v/>
      </c>
      <c r="AB58" s="34" t="str">
        <f>IF(A58="","",SUMIFS('成交明细'!$F$5:$F$804,'成交明细'!$A$5:$A$804,A58,'成交明细'!$D$5:$D$804,IF(F58="空","卖","买")))</f>
        <v/>
      </c>
      <c r="AC58" s="41" t="str">
        <f>IF(N(AB58)&gt;0,SUMIFS('成交明细'!$H$5:$H$804,'成交明细'!$A$5:$A$804,A58,'成交明细'!$D$5:$D$804,IF(F58="空","卖","买"))/AB58,"")</f>
        <v/>
      </c>
      <c r="AD58" s="34" t="str">
        <f>IF(A58="","",SUMIFS('成交明细'!$F$5:$F$804,'成交明细'!$A$5:$A$804,A58,'成交明细'!$D$5:$D$804,IF(F58="空","买","卖")))</f>
        <v/>
      </c>
      <c r="AE58" s="41" t="str">
        <f>IF(N(AD58)&gt;0,SUMIFS('成交明细'!$H$5:$H$804,'成交明细'!$A$5:$A$804,A58,'成交明细'!$D$5:$D$804,IF(F58="空","买","卖"))/AD58,"")</f>
        <v/>
      </c>
      <c r="AF58" s="38" t="str">
        <f>IF(A58="","",IF(X58&lt;&gt;"已执行",IF(X58="","未填执行情况",X58),IF(N(AB58)=0,"待录成交",IF(N(AD58)&gt;N(AB58),"平仓多于开仓",IF(N(AD58)&lt;N(AB58),"持仓中","已平仓")))))</f>
        <v/>
      </c>
      <c r="AG58" s="42" t="str">
        <f>IF(N(AB58)=0,"",SUMIFS('成交明细'!$L$5:$L$804,'成交明细'!$A$5:$A$804,A58))</f>
        <v/>
      </c>
      <c r="AH58" s="43" t="str">
        <f>IF(A58="","",SUMIFS('资金费流水'!$F$5:$F$604,'资金费流水'!$B$5:$B$604,A58))</f>
        <v/>
      </c>
      <c r="AI58" s="43" t="str">
        <f>IF(AF58&lt;&gt;"已平仓","",(SUMIFS('成交明细'!$H$5:$H$804,'成交明细'!$A$5:$A$804,A58,'成交明细'!$D$5:$D$804,"卖")-SUMIFS('成交明细'!$H$5:$H$804,'成交明细'!$A$5:$A$804,A58,'成交明细'!$D$5:$D$804,"买"))*1-AG58+N(AH58))</f>
        <v/>
      </c>
      <c r="AJ58" s="44" t="str">
        <f>IF(AND(AF58="已平仓",ISNUMBER(Q58)),(SUMIFS('成交明细'!$H$5:$H$804,'成交明细'!$A$5:$A$804,A58,'成交明细'!$D$5:$D$804,"卖")-SUMIFS('成交明细'!$H$5:$H$804,'成交明细'!$A$5:$A$804,A58,'成交明细'!$D$5:$D$804,"买"))*1/Q58,"")</f>
        <v/>
      </c>
      <c r="AK58" s="44" t="str">
        <f>IF(AND(AF58="已平仓",ISNUMBER(Q58)),AI58/Q58,"")</f>
        <v/>
      </c>
      <c r="AL58" s="45" t="str">
        <f>IF(AND(ISNUMBER(AC58),ISNUMBER(K58)),IF(F58="空",K58-AC58,AC58-K58),"")</f>
        <v/>
      </c>
      <c r="AM58" s="45" t="str">
        <f>IF(OR(NOT(ISNUMBER(AI58)),NOT(ISNUMBER(AE58))),"",IF(AI58&lt;0,IF(F58="空",AE58-L58,L58-AE58),IF(NOT(ISNUMBER(M58)),"",IF(F58="空",AE58-M58,M58-AE58))))</f>
        <v/>
      </c>
      <c r="AN58" s="31" t="n"/>
      <c r="AO58" s="31" t="n"/>
      <c r="AP58" s="30" t="n"/>
      <c r="AQ58" s="44" t="str">
        <f>IF(A58="","",SUM(AK$5:AK58))</f>
        <v/>
      </c>
      <c r="AR58" s="46" t="str">
        <f>IF(A58="","",MAX(0,MAX(AQ$5:AQ58))-AQ58)</f>
        <v/>
      </c>
    </row>
    <row r="59">
      <c r="A59" s="24" t="n"/>
      <c r="B59" s="29" t="n"/>
      <c r="C59" s="30" t="n"/>
      <c r="D59" s="31" t="n"/>
      <c r="E59" s="31" t="n"/>
      <c r="F59" s="31" t="n"/>
      <c r="G59" s="21" t="n"/>
      <c r="H59" s="31" t="n"/>
      <c r="I59" s="23" t="n"/>
      <c r="J59" s="31" t="n"/>
      <c r="K59" s="32" t="n"/>
      <c r="L59" s="32" t="n"/>
      <c r="M59" s="32" t="n"/>
      <c r="N59" s="33" t="str">
        <f>IF(AND(ISNUMBER(K59),ISNUMBER(L59),ISNUMBER(M59)),IF(OR(AND(F59="多",K59&gt;L59),AND(F59="空",K59&lt;L59)),ABS(M59-K59)/ABS(K59-L59),"止损方向不对"),"")</f>
        <v/>
      </c>
      <c r="O59" s="34" t="str">
        <f>IF(AND(ISNUMBER(K59),ISNUMBER(L59)),IF(K59=L59,"",IF(INT(ROUND('参数'!$C$7/(ABS(K59-L59)*1+2*K59*'参数'!$C$12)/IF(N(J59)&gt;0,J59,1),6))*IF(N(J59)&gt;0,J59,1)&gt;0,INT(ROUND('参数'!$C$7/(ABS(K59-L59)*1+2*K59*'参数'!$C$12)/IF(N(J59)&gt;0,J59,1),6))*IF(N(J59)&gt;0,J59,1),"预算不足，这笔不做")),"")</f>
        <v/>
      </c>
      <c r="P59" s="35" t="n"/>
      <c r="Q59" s="20" t="str">
        <f>IF(AND(ISNUMBER(K59),ISNUMBER(L59),ISNUMBER(P59)),IF(AND(K59&lt;&gt;L59,P59&gt;0),ABS(K59-L59)*P59*1,""),"")</f>
        <v/>
      </c>
      <c r="R59" s="20" t="str">
        <f>IF(AND(ISNUMBER(K59),ISNUMBER(P59)),K59*P59,"")</f>
        <v/>
      </c>
      <c r="S59" s="20" t="str">
        <f>IF(AND(D59="合约",ISNUMBER(R59),N(G59)&gt;0),R59/G59,"")</f>
        <v/>
      </c>
      <c r="T59" s="36" t="str">
        <f>IF(NOT(D59="合约"),"",IF(H59&lt;&gt;"逐仓","看平台",IF(AND(ISNUMBER(K59),N(G59)&gt;0),IF(F59="空",K59*(1+1/G59-IF(ISNUMBER(I59),I59,'参数'!$C$13)),K59*(1-1/G59+IF(ISNUMBER(I59),I59,'参数'!$C$13))),"")))</f>
        <v/>
      </c>
      <c r="U59" s="37" t="str">
        <f>IF(AND(ISNUMBER(T59),ISNUMBER(L59),ISNUMBER(K59)),IF(F59="空",T59-L59,L59-T59)/K59,"")</f>
        <v/>
      </c>
      <c r="V59" s="38" t="str">
        <f>IF(ISNUMBER(U59),IF(U59&lt;'参数'!$C$15,"先降杠杆或减量","在止损外"),"")</f>
        <v/>
      </c>
      <c r="W59" s="30" t="n"/>
      <c r="X59" s="31" t="n"/>
      <c r="Y59" s="39" t="str">
        <f>IF(N(AB59)&gt;0,SUMPRODUCT(LARGE(('成交明细'!$A$5:$A$804=A59)*('成交明细'!$D$5:$D$804=IF(F59="空","卖","买"))*'成交明细'!$B$5:$B$804,COUNTIFS('成交明细'!$A$5:$A$804,A59,'成交明细'!$D$5:$D$804,IF(F59="空","卖","买")))),"")</f>
        <v/>
      </c>
      <c r="Z59" s="39" t="str">
        <f>IF(AND(N(AB59)&gt;0,N(AD59)&gt;=N(AB59)),SUMPRODUCT(MAX(('成交明细'!$A$5:$A$804=A59)*('成交明细'!$D$5:$D$804=IF(F59="空","买","卖"))*'成交明细'!$B$5:$B$804)),"")</f>
        <v/>
      </c>
      <c r="AA59" s="40" t="str">
        <f>IF(N(AB59)=0,"",IF(SUMPRODUCT(('成交明细'!$A$5:$A$804=A59)*('成交明细'!$D$5:$D$804=IF(F59="空","卖","买"))*ISNUMBER('成交明细'!$C$5:$C$804))=0,"没填时间",IFERROR(VLOOKUP(MOD(SUMPRODUCT(LARGE(('成交明细'!$A$5:$A$804=A59)*('成交明细'!$D$5:$D$804=IF(F59="空","卖","买"))*('成交明细'!$B$5:$B$804+'成交明细'!$C$5:$C$804),COUNTIFS('成交明细'!$A$5:$A$804,A59,'成交明细'!$D$5:$D$804,IF(F59="空","卖","买")))),1),'参数'!$B$39:$C$48,2,TRUE),"")))</f>
        <v/>
      </c>
      <c r="AB59" s="34" t="str">
        <f>IF(A59="","",SUMIFS('成交明细'!$F$5:$F$804,'成交明细'!$A$5:$A$804,A59,'成交明细'!$D$5:$D$804,IF(F59="空","卖","买")))</f>
        <v/>
      </c>
      <c r="AC59" s="41" t="str">
        <f>IF(N(AB59)&gt;0,SUMIFS('成交明细'!$H$5:$H$804,'成交明细'!$A$5:$A$804,A59,'成交明细'!$D$5:$D$804,IF(F59="空","卖","买"))/AB59,"")</f>
        <v/>
      </c>
      <c r="AD59" s="34" t="str">
        <f>IF(A59="","",SUMIFS('成交明细'!$F$5:$F$804,'成交明细'!$A$5:$A$804,A59,'成交明细'!$D$5:$D$804,IF(F59="空","买","卖")))</f>
        <v/>
      </c>
      <c r="AE59" s="41" t="str">
        <f>IF(N(AD59)&gt;0,SUMIFS('成交明细'!$H$5:$H$804,'成交明细'!$A$5:$A$804,A59,'成交明细'!$D$5:$D$804,IF(F59="空","买","卖"))/AD59,"")</f>
        <v/>
      </c>
      <c r="AF59" s="38" t="str">
        <f>IF(A59="","",IF(X59&lt;&gt;"已执行",IF(X59="","未填执行情况",X59),IF(N(AB59)=0,"待录成交",IF(N(AD59)&gt;N(AB59),"平仓多于开仓",IF(N(AD59)&lt;N(AB59),"持仓中","已平仓")))))</f>
        <v/>
      </c>
      <c r="AG59" s="42" t="str">
        <f>IF(N(AB59)=0,"",SUMIFS('成交明细'!$L$5:$L$804,'成交明细'!$A$5:$A$804,A59))</f>
        <v/>
      </c>
      <c r="AH59" s="43" t="str">
        <f>IF(A59="","",SUMIFS('资金费流水'!$F$5:$F$604,'资金费流水'!$B$5:$B$604,A59))</f>
        <v/>
      </c>
      <c r="AI59" s="43" t="str">
        <f>IF(AF59&lt;&gt;"已平仓","",(SUMIFS('成交明细'!$H$5:$H$804,'成交明细'!$A$5:$A$804,A59,'成交明细'!$D$5:$D$804,"卖")-SUMIFS('成交明细'!$H$5:$H$804,'成交明细'!$A$5:$A$804,A59,'成交明细'!$D$5:$D$804,"买"))*1-AG59+N(AH59))</f>
        <v/>
      </c>
      <c r="AJ59" s="44" t="str">
        <f>IF(AND(AF59="已平仓",ISNUMBER(Q59)),(SUMIFS('成交明细'!$H$5:$H$804,'成交明细'!$A$5:$A$804,A59,'成交明细'!$D$5:$D$804,"卖")-SUMIFS('成交明细'!$H$5:$H$804,'成交明细'!$A$5:$A$804,A59,'成交明细'!$D$5:$D$804,"买"))*1/Q59,"")</f>
        <v/>
      </c>
      <c r="AK59" s="44" t="str">
        <f>IF(AND(AF59="已平仓",ISNUMBER(Q59)),AI59/Q59,"")</f>
        <v/>
      </c>
      <c r="AL59" s="45" t="str">
        <f>IF(AND(ISNUMBER(AC59),ISNUMBER(K59)),IF(F59="空",K59-AC59,AC59-K59),"")</f>
        <v/>
      </c>
      <c r="AM59" s="45" t="str">
        <f>IF(OR(NOT(ISNUMBER(AI59)),NOT(ISNUMBER(AE59))),"",IF(AI59&lt;0,IF(F59="空",AE59-L59,L59-AE59),IF(NOT(ISNUMBER(M59)),"",IF(F59="空",AE59-M59,M59-AE59))))</f>
        <v/>
      </c>
      <c r="AN59" s="31" t="n"/>
      <c r="AO59" s="31" t="n"/>
      <c r="AP59" s="30" t="n"/>
      <c r="AQ59" s="44" t="str">
        <f>IF(A59="","",SUM(AK$5:AK59))</f>
        <v/>
      </c>
      <c r="AR59" s="46" t="str">
        <f>IF(A59="","",MAX(0,MAX(AQ$5:AQ59))-AQ59)</f>
        <v/>
      </c>
    </row>
    <row r="60">
      <c r="A60" s="24" t="n"/>
      <c r="B60" s="29" t="n"/>
      <c r="C60" s="30" t="n"/>
      <c r="D60" s="31" t="n"/>
      <c r="E60" s="31" t="n"/>
      <c r="F60" s="31" t="n"/>
      <c r="G60" s="21" t="n"/>
      <c r="H60" s="31" t="n"/>
      <c r="I60" s="23" t="n"/>
      <c r="J60" s="31" t="n"/>
      <c r="K60" s="32" t="n"/>
      <c r="L60" s="32" t="n"/>
      <c r="M60" s="32" t="n"/>
      <c r="N60" s="33" t="str">
        <f>IF(AND(ISNUMBER(K60),ISNUMBER(L60),ISNUMBER(M60)),IF(OR(AND(F60="多",K60&gt;L60),AND(F60="空",K60&lt;L60)),ABS(M60-K60)/ABS(K60-L60),"止损方向不对"),"")</f>
        <v/>
      </c>
      <c r="O60" s="34" t="str">
        <f>IF(AND(ISNUMBER(K60),ISNUMBER(L60)),IF(K60=L60,"",IF(INT(ROUND('参数'!$C$7/(ABS(K60-L60)*1+2*K60*'参数'!$C$12)/IF(N(J60)&gt;0,J60,1),6))*IF(N(J60)&gt;0,J60,1)&gt;0,INT(ROUND('参数'!$C$7/(ABS(K60-L60)*1+2*K60*'参数'!$C$12)/IF(N(J60)&gt;0,J60,1),6))*IF(N(J60)&gt;0,J60,1),"预算不足，这笔不做")),"")</f>
        <v/>
      </c>
      <c r="P60" s="35" t="n"/>
      <c r="Q60" s="20" t="str">
        <f>IF(AND(ISNUMBER(K60),ISNUMBER(L60),ISNUMBER(P60)),IF(AND(K60&lt;&gt;L60,P60&gt;0),ABS(K60-L60)*P60*1,""),"")</f>
        <v/>
      </c>
      <c r="R60" s="20" t="str">
        <f>IF(AND(ISNUMBER(K60),ISNUMBER(P60)),K60*P60,"")</f>
        <v/>
      </c>
      <c r="S60" s="20" t="str">
        <f>IF(AND(D60="合约",ISNUMBER(R60),N(G60)&gt;0),R60/G60,"")</f>
        <v/>
      </c>
      <c r="T60" s="36" t="str">
        <f>IF(NOT(D60="合约"),"",IF(H60&lt;&gt;"逐仓","看平台",IF(AND(ISNUMBER(K60),N(G60)&gt;0),IF(F60="空",K60*(1+1/G60-IF(ISNUMBER(I60),I60,'参数'!$C$13)),K60*(1-1/G60+IF(ISNUMBER(I60),I60,'参数'!$C$13))),"")))</f>
        <v/>
      </c>
      <c r="U60" s="37" t="str">
        <f>IF(AND(ISNUMBER(T60),ISNUMBER(L60),ISNUMBER(K60)),IF(F60="空",T60-L60,L60-T60)/K60,"")</f>
        <v/>
      </c>
      <c r="V60" s="38" t="str">
        <f>IF(ISNUMBER(U60),IF(U60&lt;'参数'!$C$15,"先降杠杆或减量","在止损外"),"")</f>
        <v/>
      </c>
      <c r="W60" s="30" t="n"/>
      <c r="X60" s="31" t="n"/>
      <c r="Y60" s="39" t="str">
        <f>IF(N(AB60)&gt;0,SUMPRODUCT(LARGE(('成交明细'!$A$5:$A$804=A60)*('成交明细'!$D$5:$D$804=IF(F60="空","卖","买"))*'成交明细'!$B$5:$B$804,COUNTIFS('成交明细'!$A$5:$A$804,A60,'成交明细'!$D$5:$D$804,IF(F60="空","卖","买")))),"")</f>
        <v/>
      </c>
      <c r="Z60" s="39" t="str">
        <f>IF(AND(N(AB60)&gt;0,N(AD60)&gt;=N(AB60)),SUMPRODUCT(MAX(('成交明细'!$A$5:$A$804=A60)*('成交明细'!$D$5:$D$804=IF(F60="空","买","卖"))*'成交明细'!$B$5:$B$804)),"")</f>
        <v/>
      </c>
      <c r="AA60" s="40" t="str">
        <f>IF(N(AB60)=0,"",IF(SUMPRODUCT(('成交明细'!$A$5:$A$804=A60)*('成交明细'!$D$5:$D$804=IF(F60="空","卖","买"))*ISNUMBER('成交明细'!$C$5:$C$804))=0,"没填时间",IFERROR(VLOOKUP(MOD(SUMPRODUCT(LARGE(('成交明细'!$A$5:$A$804=A60)*('成交明细'!$D$5:$D$804=IF(F60="空","卖","买"))*('成交明细'!$B$5:$B$804+'成交明细'!$C$5:$C$804),COUNTIFS('成交明细'!$A$5:$A$804,A60,'成交明细'!$D$5:$D$804,IF(F60="空","卖","买")))),1),'参数'!$B$39:$C$48,2,TRUE),"")))</f>
        <v/>
      </c>
      <c r="AB60" s="34" t="str">
        <f>IF(A60="","",SUMIFS('成交明细'!$F$5:$F$804,'成交明细'!$A$5:$A$804,A60,'成交明细'!$D$5:$D$804,IF(F60="空","卖","买")))</f>
        <v/>
      </c>
      <c r="AC60" s="41" t="str">
        <f>IF(N(AB60)&gt;0,SUMIFS('成交明细'!$H$5:$H$804,'成交明细'!$A$5:$A$804,A60,'成交明细'!$D$5:$D$804,IF(F60="空","卖","买"))/AB60,"")</f>
        <v/>
      </c>
      <c r="AD60" s="34" t="str">
        <f>IF(A60="","",SUMIFS('成交明细'!$F$5:$F$804,'成交明细'!$A$5:$A$804,A60,'成交明细'!$D$5:$D$804,IF(F60="空","买","卖")))</f>
        <v/>
      </c>
      <c r="AE60" s="41" t="str">
        <f>IF(N(AD60)&gt;0,SUMIFS('成交明细'!$H$5:$H$804,'成交明细'!$A$5:$A$804,A60,'成交明细'!$D$5:$D$804,IF(F60="空","买","卖"))/AD60,"")</f>
        <v/>
      </c>
      <c r="AF60" s="38" t="str">
        <f>IF(A60="","",IF(X60&lt;&gt;"已执行",IF(X60="","未填执行情况",X60),IF(N(AB60)=0,"待录成交",IF(N(AD60)&gt;N(AB60),"平仓多于开仓",IF(N(AD60)&lt;N(AB60),"持仓中","已平仓")))))</f>
        <v/>
      </c>
      <c r="AG60" s="42" t="str">
        <f>IF(N(AB60)=0,"",SUMIFS('成交明细'!$L$5:$L$804,'成交明细'!$A$5:$A$804,A60))</f>
        <v/>
      </c>
      <c r="AH60" s="43" t="str">
        <f>IF(A60="","",SUMIFS('资金费流水'!$F$5:$F$604,'资金费流水'!$B$5:$B$604,A60))</f>
        <v/>
      </c>
      <c r="AI60" s="43" t="str">
        <f>IF(AF60&lt;&gt;"已平仓","",(SUMIFS('成交明细'!$H$5:$H$804,'成交明细'!$A$5:$A$804,A60,'成交明细'!$D$5:$D$804,"卖")-SUMIFS('成交明细'!$H$5:$H$804,'成交明细'!$A$5:$A$804,A60,'成交明细'!$D$5:$D$804,"买"))*1-AG60+N(AH60))</f>
        <v/>
      </c>
      <c r="AJ60" s="44" t="str">
        <f>IF(AND(AF60="已平仓",ISNUMBER(Q60)),(SUMIFS('成交明细'!$H$5:$H$804,'成交明细'!$A$5:$A$804,A60,'成交明细'!$D$5:$D$804,"卖")-SUMIFS('成交明细'!$H$5:$H$804,'成交明细'!$A$5:$A$804,A60,'成交明细'!$D$5:$D$804,"买"))*1/Q60,"")</f>
        <v/>
      </c>
      <c r="AK60" s="44" t="str">
        <f>IF(AND(AF60="已平仓",ISNUMBER(Q60)),AI60/Q60,"")</f>
        <v/>
      </c>
      <c r="AL60" s="45" t="str">
        <f>IF(AND(ISNUMBER(AC60),ISNUMBER(K60)),IF(F60="空",K60-AC60,AC60-K60),"")</f>
        <v/>
      </c>
      <c r="AM60" s="45" t="str">
        <f>IF(OR(NOT(ISNUMBER(AI60)),NOT(ISNUMBER(AE60))),"",IF(AI60&lt;0,IF(F60="空",AE60-L60,L60-AE60),IF(NOT(ISNUMBER(M60)),"",IF(F60="空",AE60-M60,M60-AE60))))</f>
        <v/>
      </c>
      <c r="AN60" s="31" t="n"/>
      <c r="AO60" s="31" t="n"/>
      <c r="AP60" s="30" t="n"/>
      <c r="AQ60" s="44" t="str">
        <f>IF(A60="","",SUM(AK$5:AK60))</f>
        <v/>
      </c>
      <c r="AR60" s="46" t="str">
        <f>IF(A60="","",MAX(0,MAX(AQ$5:AQ60))-AQ60)</f>
        <v/>
      </c>
    </row>
    <row r="61">
      <c r="A61" s="24" t="n"/>
      <c r="B61" s="29" t="n"/>
      <c r="C61" s="30" t="n"/>
      <c r="D61" s="31" t="n"/>
      <c r="E61" s="31" t="n"/>
      <c r="F61" s="31" t="n"/>
      <c r="G61" s="21" t="n"/>
      <c r="H61" s="31" t="n"/>
      <c r="I61" s="23" t="n"/>
      <c r="J61" s="31" t="n"/>
      <c r="K61" s="32" t="n"/>
      <c r="L61" s="32" t="n"/>
      <c r="M61" s="32" t="n"/>
      <c r="N61" s="33" t="str">
        <f>IF(AND(ISNUMBER(K61),ISNUMBER(L61),ISNUMBER(M61)),IF(OR(AND(F61="多",K61&gt;L61),AND(F61="空",K61&lt;L61)),ABS(M61-K61)/ABS(K61-L61),"止损方向不对"),"")</f>
        <v/>
      </c>
      <c r="O61" s="34" t="str">
        <f>IF(AND(ISNUMBER(K61),ISNUMBER(L61)),IF(K61=L61,"",IF(INT(ROUND('参数'!$C$7/(ABS(K61-L61)*1+2*K61*'参数'!$C$12)/IF(N(J61)&gt;0,J61,1),6))*IF(N(J61)&gt;0,J61,1)&gt;0,INT(ROUND('参数'!$C$7/(ABS(K61-L61)*1+2*K61*'参数'!$C$12)/IF(N(J61)&gt;0,J61,1),6))*IF(N(J61)&gt;0,J61,1),"预算不足，这笔不做")),"")</f>
        <v/>
      </c>
      <c r="P61" s="35" t="n"/>
      <c r="Q61" s="20" t="str">
        <f>IF(AND(ISNUMBER(K61),ISNUMBER(L61),ISNUMBER(P61)),IF(AND(K61&lt;&gt;L61,P61&gt;0),ABS(K61-L61)*P61*1,""),"")</f>
        <v/>
      </c>
      <c r="R61" s="20" t="str">
        <f>IF(AND(ISNUMBER(K61),ISNUMBER(P61)),K61*P61,"")</f>
        <v/>
      </c>
      <c r="S61" s="20" t="str">
        <f>IF(AND(D61="合约",ISNUMBER(R61),N(G61)&gt;0),R61/G61,"")</f>
        <v/>
      </c>
      <c r="T61" s="36" t="str">
        <f>IF(NOT(D61="合约"),"",IF(H61&lt;&gt;"逐仓","看平台",IF(AND(ISNUMBER(K61),N(G61)&gt;0),IF(F61="空",K61*(1+1/G61-IF(ISNUMBER(I61),I61,'参数'!$C$13)),K61*(1-1/G61+IF(ISNUMBER(I61),I61,'参数'!$C$13))),"")))</f>
        <v/>
      </c>
      <c r="U61" s="37" t="str">
        <f>IF(AND(ISNUMBER(T61),ISNUMBER(L61),ISNUMBER(K61)),IF(F61="空",T61-L61,L61-T61)/K61,"")</f>
        <v/>
      </c>
      <c r="V61" s="38" t="str">
        <f>IF(ISNUMBER(U61),IF(U61&lt;'参数'!$C$15,"先降杠杆或减量","在止损外"),"")</f>
        <v/>
      </c>
      <c r="W61" s="30" t="n"/>
      <c r="X61" s="31" t="n"/>
      <c r="Y61" s="39" t="str">
        <f>IF(N(AB61)&gt;0,SUMPRODUCT(LARGE(('成交明细'!$A$5:$A$804=A61)*('成交明细'!$D$5:$D$804=IF(F61="空","卖","买"))*'成交明细'!$B$5:$B$804,COUNTIFS('成交明细'!$A$5:$A$804,A61,'成交明细'!$D$5:$D$804,IF(F61="空","卖","买")))),"")</f>
        <v/>
      </c>
      <c r="Z61" s="39" t="str">
        <f>IF(AND(N(AB61)&gt;0,N(AD61)&gt;=N(AB61)),SUMPRODUCT(MAX(('成交明细'!$A$5:$A$804=A61)*('成交明细'!$D$5:$D$804=IF(F61="空","买","卖"))*'成交明细'!$B$5:$B$804)),"")</f>
        <v/>
      </c>
      <c r="AA61" s="40" t="str">
        <f>IF(N(AB61)=0,"",IF(SUMPRODUCT(('成交明细'!$A$5:$A$804=A61)*('成交明细'!$D$5:$D$804=IF(F61="空","卖","买"))*ISNUMBER('成交明细'!$C$5:$C$804))=0,"没填时间",IFERROR(VLOOKUP(MOD(SUMPRODUCT(LARGE(('成交明细'!$A$5:$A$804=A61)*('成交明细'!$D$5:$D$804=IF(F61="空","卖","买"))*('成交明细'!$B$5:$B$804+'成交明细'!$C$5:$C$804),COUNTIFS('成交明细'!$A$5:$A$804,A61,'成交明细'!$D$5:$D$804,IF(F61="空","卖","买")))),1),'参数'!$B$39:$C$48,2,TRUE),"")))</f>
        <v/>
      </c>
      <c r="AB61" s="34" t="str">
        <f>IF(A61="","",SUMIFS('成交明细'!$F$5:$F$804,'成交明细'!$A$5:$A$804,A61,'成交明细'!$D$5:$D$804,IF(F61="空","卖","买")))</f>
        <v/>
      </c>
      <c r="AC61" s="41" t="str">
        <f>IF(N(AB61)&gt;0,SUMIFS('成交明细'!$H$5:$H$804,'成交明细'!$A$5:$A$804,A61,'成交明细'!$D$5:$D$804,IF(F61="空","卖","买"))/AB61,"")</f>
        <v/>
      </c>
      <c r="AD61" s="34" t="str">
        <f>IF(A61="","",SUMIFS('成交明细'!$F$5:$F$804,'成交明细'!$A$5:$A$804,A61,'成交明细'!$D$5:$D$804,IF(F61="空","买","卖")))</f>
        <v/>
      </c>
      <c r="AE61" s="41" t="str">
        <f>IF(N(AD61)&gt;0,SUMIFS('成交明细'!$H$5:$H$804,'成交明细'!$A$5:$A$804,A61,'成交明细'!$D$5:$D$804,IF(F61="空","买","卖"))/AD61,"")</f>
        <v/>
      </c>
      <c r="AF61" s="38" t="str">
        <f>IF(A61="","",IF(X61&lt;&gt;"已执行",IF(X61="","未填执行情况",X61),IF(N(AB61)=0,"待录成交",IF(N(AD61)&gt;N(AB61),"平仓多于开仓",IF(N(AD61)&lt;N(AB61),"持仓中","已平仓")))))</f>
        <v/>
      </c>
      <c r="AG61" s="42" t="str">
        <f>IF(N(AB61)=0,"",SUMIFS('成交明细'!$L$5:$L$804,'成交明细'!$A$5:$A$804,A61))</f>
        <v/>
      </c>
      <c r="AH61" s="43" t="str">
        <f>IF(A61="","",SUMIFS('资金费流水'!$F$5:$F$604,'资金费流水'!$B$5:$B$604,A61))</f>
        <v/>
      </c>
      <c r="AI61" s="43" t="str">
        <f>IF(AF61&lt;&gt;"已平仓","",(SUMIFS('成交明细'!$H$5:$H$804,'成交明细'!$A$5:$A$804,A61,'成交明细'!$D$5:$D$804,"卖")-SUMIFS('成交明细'!$H$5:$H$804,'成交明细'!$A$5:$A$804,A61,'成交明细'!$D$5:$D$804,"买"))*1-AG61+N(AH61))</f>
        <v/>
      </c>
      <c r="AJ61" s="44" t="str">
        <f>IF(AND(AF61="已平仓",ISNUMBER(Q61)),(SUMIFS('成交明细'!$H$5:$H$804,'成交明细'!$A$5:$A$804,A61,'成交明细'!$D$5:$D$804,"卖")-SUMIFS('成交明细'!$H$5:$H$804,'成交明细'!$A$5:$A$804,A61,'成交明细'!$D$5:$D$804,"买"))*1/Q61,"")</f>
        <v/>
      </c>
      <c r="AK61" s="44" t="str">
        <f>IF(AND(AF61="已平仓",ISNUMBER(Q61)),AI61/Q61,"")</f>
        <v/>
      </c>
      <c r="AL61" s="45" t="str">
        <f>IF(AND(ISNUMBER(AC61),ISNUMBER(K61)),IF(F61="空",K61-AC61,AC61-K61),"")</f>
        <v/>
      </c>
      <c r="AM61" s="45" t="str">
        <f>IF(OR(NOT(ISNUMBER(AI61)),NOT(ISNUMBER(AE61))),"",IF(AI61&lt;0,IF(F61="空",AE61-L61,L61-AE61),IF(NOT(ISNUMBER(M61)),"",IF(F61="空",AE61-M61,M61-AE61))))</f>
        <v/>
      </c>
      <c r="AN61" s="31" t="n"/>
      <c r="AO61" s="31" t="n"/>
      <c r="AP61" s="30" t="n"/>
      <c r="AQ61" s="44" t="str">
        <f>IF(A61="","",SUM(AK$5:AK61))</f>
        <v/>
      </c>
      <c r="AR61" s="46" t="str">
        <f>IF(A61="","",MAX(0,MAX(AQ$5:AQ61))-AQ61)</f>
        <v/>
      </c>
    </row>
    <row r="62">
      <c r="A62" s="24" t="n"/>
      <c r="B62" s="29" t="n"/>
      <c r="C62" s="30" t="n"/>
      <c r="D62" s="31" t="n"/>
      <c r="E62" s="31" t="n"/>
      <c r="F62" s="31" t="n"/>
      <c r="G62" s="21" t="n"/>
      <c r="H62" s="31" t="n"/>
      <c r="I62" s="23" t="n"/>
      <c r="J62" s="31" t="n"/>
      <c r="K62" s="32" t="n"/>
      <c r="L62" s="32" t="n"/>
      <c r="M62" s="32" t="n"/>
      <c r="N62" s="33" t="str">
        <f>IF(AND(ISNUMBER(K62),ISNUMBER(L62),ISNUMBER(M62)),IF(OR(AND(F62="多",K62&gt;L62),AND(F62="空",K62&lt;L62)),ABS(M62-K62)/ABS(K62-L62),"止损方向不对"),"")</f>
        <v/>
      </c>
      <c r="O62" s="34" t="str">
        <f>IF(AND(ISNUMBER(K62),ISNUMBER(L62)),IF(K62=L62,"",IF(INT(ROUND('参数'!$C$7/(ABS(K62-L62)*1+2*K62*'参数'!$C$12)/IF(N(J62)&gt;0,J62,1),6))*IF(N(J62)&gt;0,J62,1)&gt;0,INT(ROUND('参数'!$C$7/(ABS(K62-L62)*1+2*K62*'参数'!$C$12)/IF(N(J62)&gt;0,J62,1),6))*IF(N(J62)&gt;0,J62,1),"预算不足，这笔不做")),"")</f>
        <v/>
      </c>
      <c r="P62" s="35" t="n"/>
      <c r="Q62" s="20" t="str">
        <f>IF(AND(ISNUMBER(K62),ISNUMBER(L62),ISNUMBER(P62)),IF(AND(K62&lt;&gt;L62,P62&gt;0),ABS(K62-L62)*P62*1,""),"")</f>
        <v/>
      </c>
      <c r="R62" s="20" t="str">
        <f>IF(AND(ISNUMBER(K62),ISNUMBER(P62)),K62*P62,"")</f>
        <v/>
      </c>
      <c r="S62" s="20" t="str">
        <f>IF(AND(D62="合约",ISNUMBER(R62),N(G62)&gt;0),R62/G62,"")</f>
        <v/>
      </c>
      <c r="T62" s="36" t="str">
        <f>IF(NOT(D62="合约"),"",IF(H62&lt;&gt;"逐仓","看平台",IF(AND(ISNUMBER(K62),N(G62)&gt;0),IF(F62="空",K62*(1+1/G62-IF(ISNUMBER(I62),I62,'参数'!$C$13)),K62*(1-1/G62+IF(ISNUMBER(I62),I62,'参数'!$C$13))),"")))</f>
        <v/>
      </c>
      <c r="U62" s="37" t="str">
        <f>IF(AND(ISNUMBER(T62),ISNUMBER(L62),ISNUMBER(K62)),IF(F62="空",T62-L62,L62-T62)/K62,"")</f>
        <v/>
      </c>
      <c r="V62" s="38" t="str">
        <f>IF(ISNUMBER(U62),IF(U62&lt;'参数'!$C$15,"先降杠杆或减量","在止损外"),"")</f>
        <v/>
      </c>
      <c r="W62" s="30" t="n"/>
      <c r="X62" s="31" t="n"/>
      <c r="Y62" s="39" t="str">
        <f>IF(N(AB62)&gt;0,SUMPRODUCT(LARGE(('成交明细'!$A$5:$A$804=A62)*('成交明细'!$D$5:$D$804=IF(F62="空","卖","买"))*'成交明细'!$B$5:$B$804,COUNTIFS('成交明细'!$A$5:$A$804,A62,'成交明细'!$D$5:$D$804,IF(F62="空","卖","买")))),"")</f>
        <v/>
      </c>
      <c r="Z62" s="39" t="str">
        <f>IF(AND(N(AB62)&gt;0,N(AD62)&gt;=N(AB62)),SUMPRODUCT(MAX(('成交明细'!$A$5:$A$804=A62)*('成交明细'!$D$5:$D$804=IF(F62="空","买","卖"))*'成交明细'!$B$5:$B$804)),"")</f>
        <v/>
      </c>
      <c r="AA62" s="40" t="str">
        <f>IF(N(AB62)=0,"",IF(SUMPRODUCT(('成交明细'!$A$5:$A$804=A62)*('成交明细'!$D$5:$D$804=IF(F62="空","卖","买"))*ISNUMBER('成交明细'!$C$5:$C$804))=0,"没填时间",IFERROR(VLOOKUP(MOD(SUMPRODUCT(LARGE(('成交明细'!$A$5:$A$804=A62)*('成交明细'!$D$5:$D$804=IF(F62="空","卖","买"))*('成交明细'!$B$5:$B$804+'成交明细'!$C$5:$C$804),COUNTIFS('成交明细'!$A$5:$A$804,A62,'成交明细'!$D$5:$D$804,IF(F62="空","卖","买")))),1),'参数'!$B$39:$C$48,2,TRUE),"")))</f>
        <v/>
      </c>
      <c r="AB62" s="34" t="str">
        <f>IF(A62="","",SUMIFS('成交明细'!$F$5:$F$804,'成交明细'!$A$5:$A$804,A62,'成交明细'!$D$5:$D$804,IF(F62="空","卖","买")))</f>
        <v/>
      </c>
      <c r="AC62" s="41" t="str">
        <f>IF(N(AB62)&gt;0,SUMIFS('成交明细'!$H$5:$H$804,'成交明细'!$A$5:$A$804,A62,'成交明细'!$D$5:$D$804,IF(F62="空","卖","买"))/AB62,"")</f>
        <v/>
      </c>
      <c r="AD62" s="34" t="str">
        <f>IF(A62="","",SUMIFS('成交明细'!$F$5:$F$804,'成交明细'!$A$5:$A$804,A62,'成交明细'!$D$5:$D$804,IF(F62="空","买","卖")))</f>
        <v/>
      </c>
      <c r="AE62" s="41" t="str">
        <f>IF(N(AD62)&gt;0,SUMIFS('成交明细'!$H$5:$H$804,'成交明细'!$A$5:$A$804,A62,'成交明细'!$D$5:$D$804,IF(F62="空","买","卖"))/AD62,"")</f>
        <v/>
      </c>
      <c r="AF62" s="38" t="str">
        <f>IF(A62="","",IF(X62&lt;&gt;"已执行",IF(X62="","未填执行情况",X62),IF(N(AB62)=0,"待录成交",IF(N(AD62)&gt;N(AB62),"平仓多于开仓",IF(N(AD62)&lt;N(AB62),"持仓中","已平仓")))))</f>
        <v/>
      </c>
      <c r="AG62" s="42" t="str">
        <f>IF(N(AB62)=0,"",SUMIFS('成交明细'!$L$5:$L$804,'成交明细'!$A$5:$A$804,A62))</f>
        <v/>
      </c>
      <c r="AH62" s="43" t="str">
        <f>IF(A62="","",SUMIFS('资金费流水'!$F$5:$F$604,'资金费流水'!$B$5:$B$604,A62))</f>
        <v/>
      </c>
      <c r="AI62" s="43" t="str">
        <f>IF(AF62&lt;&gt;"已平仓","",(SUMIFS('成交明细'!$H$5:$H$804,'成交明细'!$A$5:$A$804,A62,'成交明细'!$D$5:$D$804,"卖")-SUMIFS('成交明细'!$H$5:$H$804,'成交明细'!$A$5:$A$804,A62,'成交明细'!$D$5:$D$804,"买"))*1-AG62+N(AH62))</f>
        <v/>
      </c>
      <c r="AJ62" s="44" t="str">
        <f>IF(AND(AF62="已平仓",ISNUMBER(Q62)),(SUMIFS('成交明细'!$H$5:$H$804,'成交明细'!$A$5:$A$804,A62,'成交明细'!$D$5:$D$804,"卖")-SUMIFS('成交明细'!$H$5:$H$804,'成交明细'!$A$5:$A$804,A62,'成交明细'!$D$5:$D$804,"买"))*1/Q62,"")</f>
        <v/>
      </c>
      <c r="AK62" s="44" t="str">
        <f>IF(AND(AF62="已平仓",ISNUMBER(Q62)),AI62/Q62,"")</f>
        <v/>
      </c>
      <c r="AL62" s="45" t="str">
        <f>IF(AND(ISNUMBER(AC62),ISNUMBER(K62)),IF(F62="空",K62-AC62,AC62-K62),"")</f>
        <v/>
      </c>
      <c r="AM62" s="45" t="str">
        <f>IF(OR(NOT(ISNUMBER(AI62)),NOT(ISNUMBER(AE62))),"",IF(AI62&lt;0,IF(F62="空",AE62-L62,L62-AE62),IF(NOT(ISNUMBER(M62)),"",IF(F62="空",AE62-M62,M62-AE62))))</f>
        <v/>
      </c>
      <c r="AN62" s="31" t="n"/>
      <c r="AO62" s="31" t="n"/>
      <c r="AP62" s="30" t="n"/>
      <c r="AQ62" s="44" t="str">
        <f>IF(A62="","",SUM(AK$5:AK62))</f>
        <v/>
      </c>
      <c r="AR62" s="46" t="str">
        <f>IF(A62="","",MAX(0,MAX(AQ$5:AQ62))-AQ62)</f>
        <v/>
      </c>
    </row>
    <row r="63">
      <c r="A63" s="24" t="n"/>
      <c r="B63" s="29" t="n"/>
      <c r="C63" s="30" t="n"/>
      <c r="D63" s="31" t="n"/>
      <c r="E63" s="31" t="n"/>
      <c r="F63" s="31" t="n"/>
      <c r="G63" s="21" t="n"/>
      <c r="H63" s="31" t="n"/>
      <c r="I63" s="23" t="n"/>
      <c r="J63" s="31" t="n"/>
      <c r="K63" s="32" t="n"/>
      <c r="L63" s="32" t="n"/>
      <c r="M63" s="32" t="n"/>
      <c r="N63" s="33" t="str">
        <f>IF(AND(ISNUMBER(K63),ISNUMBER(L63),ISNUMBER(M63)),IF(OR(AND(F63="多",K63&gt;L63),AND(F63="空",K63&lt;L63)),ABS(M63-K63)/ABS(K63-L63),"止损方向不对"),"")</f>
        <v/>
      </c>
      <c r="O63" s="34" t="str">
        <f>IF(AND(ISNUMBER(K63),ISNUMBER(L63)),IF(K63=L63,"",IF(INT(ROUND('参数'!$C$7/(ABS(K63-L63)*1+2*K63*'参数'!$C$12)/IF(N(J63)&gt;0,J63,1),6))*IF(N(J63)&gt;0,J63,1)&gt;0,INT(ROUND('参数'!$C$7/(ABS(K63-L63)*1+2*K63*'参数'!$C$12)/IF(N(J63)&gt;0,J63,1),6))*IF(N(J63)&gt;0,J63,1),"预算不足，这笔不做")),"")</f>
        <v/>
      </c>
      <c r="P63" s="35" t="n"/>
      <c r="Q63" s="20" t="str">
        <f>IF(AND(ISNUMBER(K63),ISNUMBER(L63),ISNUMBER(P63)),IF(AND(K63&lt;&gt;L63,P63&gt;0),ABS(K63-L63)*P63*1,""),"")</f>
        <v/>
      </c>
      <c r="R63" s="20" t="str">
        <f>IF(AND(ISNUMBER(K63),ISNUMBER(P63)),K63*P63,"")</f>
        <v/>
      </c>
      <c r="S63" s="20" t="str">
        <f>IF(AND(D63="合约",ISNUMBER(R63),N(G63)&gt;0),R63/G63,"")</f>
        <v/>
      </c>
      <c r="T63" s="36" t="str">
        <f>IF(NOT(D63="合约"),"",IF(H63&lt;&gt;"逐仓","看平台",IF(AND(ISNUMBER(K63),N(G63)&gt;0),IF(F63="空",K63*(1+1/G63-IF(ISNUMBER(I63),I63,'参数'!$C$13)),K63*(1-1/G63+IF(ISNUMBER(I63),I63,'参数'!$C$13))),"")))</f>
        <v/>
      </c>
      <c r="U63" s="37" t="str">
        <f>IF(AND(ISNUMBER(T63),ISNUMBER(L63),ISNUMBER(K63)),IF(F63="空",T63-L63,L63-T63)/K63,"")</f>
        <v/>
      </c>
      <c r="V63" s="38" t="str">
        <f>IF(ISNUMBER(U63),IF(U63&lt;'参数'!$C$15,"先降杠杆或减量","在止损外"),"")</f>
        <v/>
      </c>
      <c r="W63" s="30" t="n"/>
      <c r="X63" s="31" t="n"/>
      <c r="Y63" s="39" t="str">
        <f>IF(N(AB63)&gt;0,SUMPRODUCT(LARGE(('成交明细'!$A$5:$A$804=A63)*('成交明细'!$D$5:$D$804=IF(F63="空","卖","买"))*'成交明细'!$B$5:$B$804,COUNTIFS('成交明细'!$A$5:$A$804,A63,'成交明细'!$D$5:$D$804,IF(F63="空","卖","买")))),"")</f>
        <v/>
      </c>
      <c r="Z63" s="39" t="str">
        <f>IF(AND(N(AB63)&gt;0,N(AD63)&gt;=N(AB63)),SUMPRODUCT(MAX(('成交明细'!$A$5:$A$804=A63)*('成交明细'!$D$5:$D$804=IF(F63="空","买","卖"))*'成交明细'!$B$5:$B$804)),"")</f>
        <v/>
      </c>
      <c r="AA63" s="40" t="str">
        <f>IF(N(AB63)=0,"",IF(SUMPRODUCT(('成交明细'!$A$5:$A$804=A63)*('成交明细'!$D$5:$D$804=IF(F63="空","卖","买"))*ISNUMBER('成交明细'!$C$5:$C$804))=0,"没填时间",IFERROR(VLOOKUP(MOD(SUMPRODUCT(LARGE(('成交明细'!$A$5:$A$804=A63)*('成交明细'!$D$5:$D$804=IF(F63="空","卖","买"))*('成交明细'!$B$5:$B$804+'成交明细'!$C$5:$C$804),COUNTIFS('成交明细'!$A$5:$A$804,A63,'成交明细'!$D$5:$D$804,IF(F63="空","卖","买")))),1),'参数'!$B$39:$C$48,2,TRUE),"")))</f>
        <v/>
      </c>
      <c r="AB63" s="34" t="str">
        <f>IF(A63="","",SUMIFS('成交明细'!$F$5:$F$804,'成交明细'!$A$5:$A$804,A63,'成交明细'!$D$5:$D$804,IF(F63="空","卖","买")))</f>
        <v/>
      </c>
      <c r="AC63" s="41" t="str">
        <f>IF(N(AB63)&gt;0,SUMIFS('成交明细'!$H$5:$H$804,'成交明细'!$A$5:$A$804,A63,'成交明细'!$D$5:$D$804,IF(F63="空","卖","买"))/AB63,"")</f>
        <v/>
      </c>
      <c r="AD63" s="34" t="str">
        <f>IF(A63="","",SUMIFS('成交明细'!$F$5:$F$804,'成交明细'!$A$5:$A$804,A63,'成交明细'!$D$5:$D$804,IF(F63="空","买","卖")))</f>
        <v/>
      </c>
      <c r="AE63" s="41" t="str">
        <f>IF(N(AD63)&gt;0,SUMIFS('成交明细'!$H$5:$H$804,'成交明细'!$A$5:$A$804,A63,'成交明细'!$D$5:$D$804,IF(F63="空","买","卖"))/AD63,"")</f>
        <v/>
      </c>
      <c r="AF63" s="38" t="str">
        <f>IF(A63="","",IF(X63&lt;&gt;"已执行",IF(X63="","未填执行情况",X63),IF(N(AB63)=0,"待录成交",IF(N(AD63)&gt;N(AB63),"平仓多于开仓",IF(N(AD63)&lt;N(AB63),"持仓中","已平仓")))))</f>
        <v/>
      </c>
      <c r="AG63" s="42" t="str">
        <f>IF(N(AB63)=0,"",SUMIFS('成交明细'!$L$5:$L$804,'成交明细'!$A$5:$A$804,A63))</f>
        <v/>
      </c>
      <c r="AH63" s="43" t="str">
        <f>IF(A63="","",SUMIFS('资金费流水'!$F$5:$F$604,'资金费流水'!$B$5:$B$604,A63))</f>
        <v/>
      </c>
      <c r="AI63" s="43" t="str">
        <f>IF(AF63&lt;&gt;"已平仓","",(SUMIFS('成交明细'!$H$5:$H$804,'成交明细'!$A$5:$A$804,A63,'成交明细'!$D$5:$D$804,"卖")-SUMIFS('成交明细'!$H$5:$H$804,'成交明细'!$A$5:$A$804,A63,'成交明细'!$D$5:$D$804,"买"))*1-AG63+N(AH63))</f>
        <v/>
      </c>
      <c r="AJ63" s="44" t="str">
        <f>IF(AND(AF63="已平仓",ISNUMBER(Q63)),(SUMIFS('成交明细'!$H$5:$H$804,'成交明细'!$A$5:$A$804,A63,'成交明细'!$D$5:$D$804,"卖")-SUMIFS('成交明细'!$H$5:$H$804,'成交明细'!$A$5:$A$804,A63,'成交明细'!$D$5:$D$804,"买"))*1/Q63,"")</f>
        <v/>
      </c>
      <c r="AK63" s="44" t="str">
        <f>IF(AND(AF63="已平仓",ISNUMBER(Q63)),AI63/Q63,"")</f>
        <v/>
      </c>
      <c r="AL63" s="45" t="str">
        <f>IF(AND(ISNUMBER(AC63),ISNUMBER(K63)),IF(F63="空",K63-AC63,AC63-K63),"")</f>
        <v/>
      </c>
      <c r="AM63" s="45" t="str">
        <f>IF(OR(NOT(ISNUMBER(AI63)),NOT(ISNUMBER(AE63))),"",IF(AI63&lt;0,IF(F63="空",AE63-L63,L63-AE63),IF(NOT(ISNUMBER(M63)),"",IF(F63="空",AE63-M63,M63-AE63))))</f>
        <v/>
      </c>
      <c r="AN63" s="31" t="n"/>
      <c r="AO63" s="31" t="n"/>
      <c r="AP63" s="30" t="n"/>
      <c r="AQ63" s="44" t="str">
        <f>IF(A63="","",SUM(AK$5:AK63))</f>
        <v/>
      </c>
      <c r="AR63" s="46" t="str">
        <f>IF(A63="","",MAX(0,MAX(AQ$5:AQ63))-AQ63)</f>
        <v/>
      </c>
    </row>
    <row r="64">
      <c r="A64" s="24" t="n"/>
      <c r="B64" s="29" t="n"/>
      <c r="C64" s="30" t="n"/>
      <c r="D64" s="31" t="n"/>
      <c r="E64" s="31" t="n"/>
      <c r="F64" s="31" t="n"/>
      <c r="G64" s="21" t="n"/>
      <c r="H64" s="31" t="n"/>
      <c r="I64" s="23" t="n"/>
      <c r="J64" s="31" t="n"/>
      <c r="K64" s="32" t="n"/>
      <c r="L64" s="32" t="n"/>
      <c r="M64" s="32" t="n"/>
      <c r="N64" s="33" t="str">
        <f>IF(AND(ISNUMBER(K64),ISNUMBER(L64),ISNUMBER(M64)),IF(OR(AND(F64="多",K64&gt;L64),AND(F64="空",K64&lt;L64)),ABS(M64-K64)/ABS(K64-L64),"止损方向不对"),"")</f>
        <v/>
      </c>
      <c r="O64" s="34" t="str">
        <f>IF(AND(ISNUMBER(K64),ISNUMBER(L64)),IF(K64=L64,"",IF(INT(ROUND('参数'!$C$7/(ABS(K64-L64)*1+2*K64*'参数'!$C$12)/IF(N(J64)&gt;0,J64,1),6))*IF(N(J64)&gt;0,J64,1)&gt;0,INT(ROUND('参数'!$C$7/(ABS(K64-L64)*1+2*K64*'参数'!$C$12)/IF(N(J64)&gt;0,J64,1),6))*IF(N(J64)&gt;0,J64,1),"预算不足，这笔不做")),"")</f>
        <v/>
      </c>
      <c r="P64" s="35" t="n"/>
      <c r="Q64" s="20" t="str">
        <f>IF(AND(ISNUMBER(K64),ISNUMBER(L64),ISNUMBER(P64)),IF(AND(K64&lt;&gt;L64,P64&gt;0),ABS(K64-L64)*P64*1,""),"")</f>
        <v/>
      </c>
      <c r="R64" s="20" t="str">
        <f>IF(AND(ISNUMBER(K64),ISNUMBER(P64)),K64*P64,"")</f>
        <v/>
      </c>
      <c r="S64" s="20" t="str">
        <f>IF(AND(D64="合约",ISNUMBER(R64),N(G64)&gt;0),R64/G64,"")</f>
        <v/>
      </c>
      <c r="T64" s="36" t="str">
        <f>IF(NOT(D64="合约"),"",IF(H64&lt;&gt;"逐仓","看平台",IF(AND(ISNUMBER(K64),N(G64)&gt;0),IF(F64="空",K64*(1+1/G64-IF(ISNUMBER(I64),I64,'参数'!$C$13)),K64*(1-1/G64+IF(ISNUMBER(I64),I64,'参数'!$C$13))),"")))</f>
        <v/>
      </c>
      <c r="U64" s="37" t="str">
        <f>IF(AND(ISNUMBER(T64),ISNUMBER(L64),ISNUMBER(K64)),IF(F64="空",T64-L64,L64-T64)/K64,"")</f>
        <v/>
      </c>
      <c r="V64" s="38" t="str">
        <f>IF(ISNUMBER(U64),IF(U64&lt;'参数'!$C$15,"先降杠杆或减量","在止损外"),"")</f>
        <v/>
      </c>
      <c r="W64" s="30" t="n"/>
      <c r="X64" s="31" t="n"/>
      <c r="Y64" s="39" t="str">
        <f>IF(N(AB64)&gt;0,SUMPRODUCT(LARGE(('成交明细'!$A$5:$A$804=A64)*('成交明细'!$D$5:$D$804=IF(F64="空","卖","买"))*'成交明细'!$B$5:$B$804,COUNTIFS('成交明细'!$A$5:$A$804,A64,'成交明细'!$D$5:$D$804,IF(F64="空","卖","买")))),"")</f>
        <v/>
      </c>
      <c r="Z64" s="39" t="str">
        <f>IF(AND(N(AB64)&gt;0,N(AD64)&gt;=N(AB64)),SUMPRODUCT(MAX(('成交明细'!$A$5:$A$804=A64)*('成交明细'!$D$5:$D$804=IF(F64="空","买","卖"))*'成交明细'!$B$5:$B$804)),"")</f>
        <v/>
      </c>
      <c r="AA64" s="40" t="str">
        <f>IF(N(AB64)=0,"",IF(SUMPRODUCT(('成交明细'!$A$5:$A$804=A64)*('成交明细'!$D$5:$D$804=IF(F64="空","卖","买"))*ISNUMBER('成交明细'!$C$5:$C$804))=0,"没填时间",IFERROR(VLOOKUP(MOD(SUMPRODUCT(LARGE(('成交明细'!$A$5:$A$804=A64)*('成交明细'!$D$5:$D$804=IF(F64="空","卖","买"))*('成交明细'!$B$5:$B$804+'成交明细'!$C$5:$C$804),COUNTIFS('成交明细'!$A$5:$A$804,A64,'成交明细'!$D$5:$D$804,IF(F64="空","卖","买")))),1),'参数'!$B$39:$C$48,2,TRUE),"")))</f>
        <v/>
      </c>
      <c r="AB64" s="34" t="str">
        <f>IF(A64="","",SUMIFS('成交明细'!$F$5:$F$804,'成交明细'!$A$5:$A$804,A64,'成交明细'!$D$5:$D$804,IF(F64="空","卖","买")))</f>
        <v/>
      </c>
      <c r="AC64" s="41" t="str">
        <f>IF(N(AB64)&gt;0,SUMIFS('成交明细'!$H$5:$H$804,'成交明细'!$A$5:$A$804,A64,'成交明细'!$D$5:$D$804,IF(F64="空","卖","买"))/AB64,"")</f>
        <v/>
      </c>
      <c r="AD64" s="34" t="str">
        <f>IF(A64="","",SUMIFS('成交明细'!$F$5:$F$804,'成交明细'!$A$5:$A$804,A64,'成交明细'!$D$5:$D$804,IF(F64="空","买","卖")))</f>
        <v/>
      </c>
      <c r="AE64" s="41" t="str">
        <f>IF(N(AD64)&gt;0,SUMIFS('成交明细'!$H$5:$H$804,'成交明细'!$A$5:$A$804,A64,'成交明细'!$D$5:$D$804,IF(F64="空","买","卖"))/AD64,"")</f>
        <v/>
      </c>
      <c r="AF64" s="38" t="str">
        <f>IF(A64="","",IF(X64&lt;&gt;"已执行",IF(X64="","未填执行情况",X64),IF(N(AB64)=0,"待录成交",IF(N(AD64)&gt;N(AB64),"平仓多于开仓",IF(N(AD64)&lt;N(AB64),"持仓中","已平仓")))))</f>
        <v/>
      </c>
      <c r="AG64" s="42" t="str">
        <f>IF(N(AB64)=0,"",SUMIFS('成交明细'!$L$5:$L$804,'成交明细'!$A$5:$A$804,A64))</f>
        <v/>
      </c>
      <c r="AH64" s="43" t="str">
        <f>IF(A64="","",SUMIFS('资金费流水'!$F$5:$F$604,'资金费流水'!$B$5:$B$604,A64))</f>
        <v/>
      </c>
      <c r="AI64" s="43" t="str">
        <f>IF(AF64&lt;&gt;"已平仓","",(SUMIFS('成交明细'!$H$5:$H$804,'成交明细'!$A$5:$A$804,A64,'成交明细'!$D$5:$D$804,"卖")-SUMIFS('成交明细'!$H$5:$H$804,'成交明细'!$A$5:$A$804,A64,'成交明细'!$D$5:$D$804,"买"))*1-AG64+N(AH64))</f>
        <v/>
      </c>
      <c r="AJ64" s="44" t="str">
        <f>IF(AND(AF64="已平仓",ISNUMBER(Q64)),(SUMIFS('成交明细'!$H$5:$H$804,'成交明细'!$A$5:$A$804,A64,'成交明细'!$D$5:$D$804,"卖")-SUMIFS('成交明细'!$H$5:$H$804,'成交明细'!$A$5:$A$804,A64,'成交明细'!$D$5:$D$804,"买"))*1/Q64,"")</f>
        <v/>
      </c>
      <c r="AK64" s="44" t="str">
        <f>IF(AND(AF64="已平仓",ISNUMBER(Q64)),AI64/Q64,"")</f>
        <v/>
      </c>
      <c r="AL64" s="45" t="str">
        <f>IF(AND(ISNUMBER(AC64),ISNUMBER(K64)),IF(F64="空",K64-AC64,AC64-K64),"")</f>
        <v/>
      </c>
      <c r="AM64" s="45" t="str">
        <f>IF(OR(NOT(ISNUMBER(AI64)),NOT(ISNUMBER(AE64))),"",IF(AI64&lt;0,IF(F64="空",AE64-L64,L64-AE64),IF(NOT(ISNUMBER(M64)),"",IF(F64="空",AE64-M64,M64-AE64))))</f>
        <v/>
      </c>
      <c r="AN64" s="31" t="n"/>
      <c r="AO64" s="31" t="n"/>
      <c r="AP64" s="30" t="n"/>
      <c r="AQ64" s="44" t="str">
        <f>IF(A64="","",SUM(AK$5:AK64))</f>
        <v/>
      </c>
      <c r="AR64" s="46" t="str">
        <f>IF(A64="","",MAX(0,MAX(AQ$5:AQ64))-AQ64)</f>
        <v/>
      </c>
    </row>
    <row r="65">
      <c r="A65" s="24" t="n"/>
      <c r="B65" s="29" t="n"/>
      <c r="C65" s="30" t="n"/>
      <c r="D65" s="31" t="n"/>
      <c r="E65" s="31" t="n"/>
      <c r="F65" s="31" t="n"/>
      <c r="G65" s="21" t="n"/>
      <c r="H65" s="31" t="n"/>
      <c r="I65" s="23" t="n"/>
      <c r="J65" s="31" t="n"/>
      <c r="K65" s="32" t="n"/>
      <c r="L65" s="32" t="n"/>
      <c r="M65" s="32" t="n"/>
      <c r="N65" s="33" t="str">
        <f>IF(AND(ISNUMBER(K65),ISNUMBER(L65),ISNUMBER(M65)),IF(OR(AND(F65="多",K65&gt;L65),AND(F65="空",K65&lt;L65)),ABS(M65-K65)/ABS(K65-L65),"止损方向不对"),"")</f>
        <v/>
      </c>
      <c r="O65" s="34" t="str">
        <f>IF(AND(ISNUMBER(K65),ISNUMBER(L65)),IF(K65=L65,"",IF(INT(ROUND('参数'!$C$7/(ABS(K65-L65)*1+2*K65*'参数'!$C$12)/IF(N(J65)&gt;0,J65,1),6))*IF(N(J65)&gt;0,J65,1)&gt;0,INT(ROUND('参数'!$C$7/(ABS(K65-L65)*1+2*K65*'参数'!$C$12)/IF(N(J65)&gt;0,J65,1),6))*IF(N(J65)&gt;0,J65,1),"预算不足，这笔不做")),"")</f>
        <v/>
      </c>
      <c r="P65" s="35" t="n"/>
      <c r="Q65" s="20" t="str">
        <f>IF(AND(ISNUMBER(K65),ISNUMBER(L65),ISNUMBER(P65)),IF(AND(K65&lt;&gt;L65,P65&gt;0),ABS(K65-L65)*P65*1,""),"")</f>
        <v/>
      </c>
      <c r="R65" s="20" t="str">
        <f>IF(AND(ISNUMBER(K65),ISNUMBER(P65)),K65*P65,"")</f>
        <v/>
      </c>
      <c r="S65" s="20" t="str">
        <f>IF(AND(D65="合约",ISNUMBER(R65),N(G65)&gt;0),R65/G65,"")</f>
        <v/>
      </c>
      <c r="T65" s="36" t="str">
        <f>IF(NOT(D65="合约"),"",IF(H65&lt;&gt;"逐仓","看平台",IF(AND(ISNUMBER(K65),N(G65)&gt;0),IF(F65="空",K65*(1+1/G65-IF(ISNUMBER(I65),I65,'参数'!$C$13)),K65*(1-1/G65+IF(ISNUMBER(I65),I65,'参数'!$C$13))),"")))</f>
        <v/>
      </c>
      <c r="U65" s="37" t="str">
        <f>IF(AND(ISNUMBER(T65),ISNUMBER(L65),ISNUMBER(K65)),IF(F65="空",T65-L65,L65-T65)/K65,"")</f>
        <v/>
      </c>
      <c r="V65" s="38" t="str">
        <f>IF(ISNUMBER(U65),IF(U65&lt;'参数'!$C$15,"先降杠杆或减量","在止损外"),"")</f>
        <v/>
      </c>
      <c r="W65" s="30" t="n"/>
      <c r="X65" s="31" t="n"/>
      <c r="Y65" s="39" t="str">
        <f>IF(N(AB65)&gt;0,SUMPRODUCT(LARGE(('成交明细'!$A$5:$A$804=A65)*('成交明细'!$D$5:$D$804=IF(F65="空","卖","买"))*'成交明细'!$B$5:$B$804,COUNTIFS('成交明细'!$A$5:$A$804,A65,'成交明细'!$D$5:$D$804,IF(F65="空","卖","买")))),"")</f>
        <v/>
      </c>
      <c r="Z65" s="39" t="str">
        <f>IF(AND(N(AB65)&gt;0,N(AD65)&gt;=N(AB65)),SUMPRODUCT(MAX(('成交明细'!$A$5:$A$804=A65)*('成交明细'!$D$5:$D$804=IF(F65="空","买","卖"))*'成交明细'!$B$5:$B$804)),"")</f>
        <v/>
      </c>
      <c r="AA65" s="40" t="str">
        <f>IF(N(AB65)=0,"",IF(SUMPRODUCT(('成交明细'!$A$5:$A$804=A65)*('成交明细'!$D$5:$D$804=IF(F65="空","卖","买"))*ISNUMBER('成交明细'!$C$5:$C$804))=0,"没填时间",IFERROR(VLOOKUP(MOD(SUMPRODUCT(LARGE(('成交明细'!$A$5:$A$804=A65)*('成交明细'!$D$5:$D$804=IF(F65="空","卖","买"))*('成交明细'!$B$5:$B$804+'成交明细'!$C$5:$C$804),COUNTIFS('成交明细'!$A$5:$A$804,A65,'成交明细'!$D$5:$D$804,IF(F65="空","卖","买")))),1),'参数'!$B$39:$C$48,2,TRUE),"")))</f>
        <v/>
      </c>
      <c r="AB65" s="34" t="str">
        <f>IF(A65="","",SUMIFS('成交明细'!$F$5:$F$804,'成交明细'!$A$5:$A$804,A65,'成交明细'!$D$5:$D$804,IF(F65="空","卖","买")))</f>
        <v/>
      </c>
      <c r="AC65" s="41" t="str">
        <f>IF(N(AB65)&gt;0,SUMIFS('成交明细'!$H$5:$H$804,'成交明细'!$A$5:$A$804,A65,'成交明细'!$D$5:$D$804,IF(F65="空","卖","买"))/AB65,"")</f>
        <v/>
      </c>
      <c r="AD65" s="34" t="str">
        <f>IF(A65="","",SUMIFS('成交明细'!$F$5:$F$804,'成交明细'!$A$5:$A$804,A65,'成交明细'!$D$5:$D$804,IF(F65="空","买","卖")))</f>
        <v/>
      </c>
      <c r="AE65" s="41" t="str">
        <f>IF(N(AD65)&gt;0,SUMIFS('成交明细'!$H$5:$H$804,'成交明细'!$A$5:$A$804,A65,'成交明细'!$D$5:$D$804,IF(F65="空","买","卖"))/AD65,"")</f>
        <v/>
      </c>
      <c r="AF65" s="38" t="str">
        <f>IF(A65="","",IF(X65&lt;&gt;"已执行",IF(X65="","未填执行情况",X65),IF(N(AB65)=0,"待录成交",IF(N(AD65)&gt;N(AB65),"平仓多于开仓",IF(N(AD65)&lt;N(AB65),"持仓中","已平仓")))))</f>
        <v/>
      </c>
      <c r="AG65" s="42" t="str">
        <f>IF(N(AB65)=0,"",SUMIFS('成交明细'!$L$5:$L$804,'成交明细'!$A$5:$A$804,A65))</f>
        <v/>
      </c>
      <c r="AH65" s="43" t="str">
        <f>IF(A65="","",SUMIFS('资金费流水'!$F$5:$F$604,'资金费流水'!$B$5:$B$604,A65))</f>
        <v/>
      </c>
      <c r="AI65" s="43" t="str">
        <f>IF(AF65&lt;&gt;"已平仓","",(SUMIFS('成交明细'!$H$5:$H$804,'成交明细'!$A$5:$A$804,A65,'成交明细'!$D$5:$D$804,"卖")-SUMIFS('成交明细'!$H$5:$H$804,'成交明细'!$A$5:$A$804,A65,'成交明细'!$D$5:$D$804,"买"))*1-AG65+N(AH65))</f>
        <v/>
      </c>
      <c r="AJ65" s="44" t="str">
        <f>IF(AND(AF65="已平仓",ISNUMBER(Q65)),(SUMIFS('成交明细'!$H$5:$H$804,'成交明细'!$A$5:$A$804,A65,'成交明细'!$D$5:$D$804,"卖")-SUMIFS('成交明细'!$H$5:$H$804,'成交明细'!$A$5:$A$804,A65,'成交明细'!$D$5:$D$804,"买"))*1/Q65,"")</f>
        <v/>
      </c>
      <c r="AK65" s="44" t="str">
        <f>IF(AND(AF65="已平仓",ISNUMBER(Q65)),AI65/Q65,"")</f>
        <v/>
      </c>
      <c r="AL65" s="45" t="str">
        <f>IF(AND(ISNUMBER(AC65),ISNUMBER(K65)),IF(F65="空",K65-AC65,AC65-K65),"")</f>
        <v/>
      </c>
      <c r="AM65" s="45" t="str">
        <f>IF(OR(NOT(ISNUMBER(AI65)),NOT(ISNUMBER(AE65))),"",IF(AI65&lt;0,IF(F65="空",AE65-L65,L65-AE65),IF(NOT(ISNUMBER(M65)),"",IF(F65="空",AE65-M65,M65-AE65))))</f>
        <v/>
      </c>
      <c r="AN65" s="31" t="n"/>
      <c r="AO65" s="31" t="n"/>
      <c r="AP65" s="30" t="n"/>
      <c r="AQ65" s="44" t="str">
        <f>IF(A65="","",SUM(AK$5:AK65))</f>
        <v/>
      </c>
      <c r="AR65" s="46" t="str">
        <f>IF(A65="","",MAX(0,MAX(AQ$5:AQ65))-AQ65)</f>
        <v/>
      </c>
    </row>
    <row r="66">
      <c r="A66" s="24" t="n"/>
      <c r="B66" s="29" t="n"/>
      <c r="C66" s="30" t="n"/>
      <c r="D66" s="31" t="n"/>
      <c r="E66" s="31" t="n"/>
      <c r="F66" s="31" t="n"/>
      <c r="G66" s="21" t="n"/>
      <c r="H66" s="31" t="n"/>
      <c r="I66" s="23" t="n"/>
      <c r="J66" s="31" t="n"/>
      <c r="K66" s="32" t="n"/>
      <c r="L66" s="32" t="n"/>
      <c r="M66" s="32" t="n"/>
      <c r="N66" s="33" t="str">
        <f>IF(AND(ISNUMBER(K66),ISNUMBER(L66),ISNUMBER(M66)),IF(OR(AND(F66="多",K66&gt;L66),AND(F66="空",K66&lt;L66)),ABS(M66-K66)/ABS(K66-L66),"止损方向不对"),"")</f>
        <v/>
      </c>
      <c r="O66" s="34" t="str">
        <f>IF(AND(ISNUMBER(K66),ISNUMBER(L66)),IF(K66=L66,"",IF(INT(ROUND('参数'!$C$7/(ABS(K66-L66)*1+2*K66*'参数'!$C$12)/IF(N(J66)&gt;0,J66,1),6))*IF(N(J66)&gt;0,J66,1)&gt;0,INT(ROUND('参数'!$C$7/(ABS(K66-L66)*1+2*K66*'参数'!$C$12)/IF(N(J66)&gt;0,J66,1),6))*IF(N(J66)&gt;0,J66,1),"预算不足，这笔不做")),"")</f>
        <v/>
      </c>
      <c r="P66" s="35" t="n"/>
      <c r="Q66" s="20" t="str">
        <f>IF(AND(ISNUMBER(K66),ISNUMBER(L66),ISNUMBER(P66)),IF(AND(K66&lt;&gt;L66,P66&gt;0),ABS(K66-L66)*P66*1,""),"")</f>
        <v/>
      </c>
      <c r="R66" s="20" t="str">
        <f>IF(AND(ISNUMBER(K66),ISNUMBER(P66)),K66*P66,"")</f>
        <v/>
      </c>
      <c r="S66" s="20" t="str">
        <f>IF(AND(D66="合约",ISNUMBER(R66),N(G66)&gt;0),R66/G66,"")</f>
        <v/>
      </c>
      <c r="T66" s="36" t="str">
        <f>IF(NOT(D66="合约"),"",IF(H66&lt;&gt;"逐仓","看平台",IF(AND(ISNUMBER(K66),N(G66)&gt;0),IF(F66="空",K66*(1+1/G66-IF(ISNUMBER(I66),I66,'参数'!$C$13)),K66*(1-1/G66+IF(ISNUMBER(I66),I66,'参数'!$C$13))),"")))</f>
        <v/>
      </c>
      <c r="U66" s="37" t="str">
        <f>IF(AND(ISNUMBER(T66),ISNUMBER(L66),ISNUMBER(K66)),IF(F66="空",T66-L66,L66-T66)/K66,"")</f>
        <v/>
      </c>
      <c r="V66" s="38" t="str">
        <f>IF(ISNUMBER(U66),IF(U66&lt;'参数'!$C$15,"先降杠杆或减量","在止损外"),"")</f>
        <v/>
      </c>
      <c r="W66" s="30" t="n"/>
      <c r="X66" s="31" t="n"/>
      <c r="Y66" s="39" t="str">
        <f>IF(N(AB66)&gt;0,SUMPRODUCT(LARGE(('成交明细'!$A$5:$A$804=A66)*('成交明细'!$D$5:$D$804=IF(F66="空","卖","买"))*'成交明细'!$B$5:$B$804,COUNTIFS('成交明细'!$A$5:$A$804,A66,'成交明细'!$D$5:$D$804,IF(F66="空","卖","买")))),"")</f>
        <v/>
      </c>
      <c r="Z66" s="39" t="str">
        <f>IF(AND(N(AB66)&gt;0,N(AD66)&gt;=N(AB66)),SUMPRODUCT(MAX(('成交明细'!$A$5:$A$804=A66)*('成交明细'!$D$5:$D$804=IF(F66="空","买","卖"))*'成交明细'!$B$5:$B$804)),"")</f>
        <v/>
      </c>
      <c r="AA66" s="40" t="str">
        <f>IF(N(AB66)=0,"",IF(SUMPRODUCT(('成交明细'!$A$5:$A$804=A66)*('成交明细'!$D$5:$D$804=IF(F66="空","卖","买"))*ISNUMBER('成交明细'!$C$5:$C$804))=0,"没填时间",IFERROR(VLOOKUP(MOD(SUMPRODUCT(LARGE(('成交明细'!$A$5:$A$804=A66)*('成交明细'!$D$5:$D$804=IF(F66="空","卖","买"))*('成交明细'!$B$5:$B$804+'成交明细'!$C$5:$C$804),COUNTIFS('成交明细'!$A$5:$A$804,A66,'成交明细'!$D$5:$D$804,IF(F66="空","卖","买")))),1),'参数'!$B$39:$C$48,2,TRUE),"")))</f>
        <v/>
      </c>
      <c r="AB66" s="34" t="str">
        <f>IF(A66="","",SUMIFS('成交明细'!$F$5:$F$804,'成交明细'!$A$5:$A$804,A66,'成交明细'!$D$5:$D$804,IF(F66="空","卖","买")))</f>
        <v/>
      </c>
      <c r="AC66" s="41" t="str">
        <f>IF(N(AB66)&gt;0,SUMIFS('成交明细'!$H$5:$H$804,'成交明细'!$A$5:$A$804,A66,'成交明细'!$D$5:$D$804,IF(F66="空","卖","买"))/AB66,"")</f>
        <v/>
      </c>
      <c r="AD66" s="34" t="str">
        <f>IF(A66="","",SUMIFS('成交明细'!$F$5:$F$804,'成交明细'!$A$5:$A$804,A66,'成交明细'!$D$5:$D$804,IF(F66="空","买","卖")))</f>
        <v/>
      </c>
      <c r="AE66" s="41" t="str">
        <f>IF(N(AD66)&gt;0,SUMIFS('成交明细'!$H$5:$H$804,'成交明细'!$A$5:$A$804,A66,'成交明细'!$D$5:$D$804,IF(F66="空","买","卖"))/AD66,"")</f>
        <v/>
      </c>
      <c r="AF66" s="38" t="str">
        <f>IF(A66="","",IF(X66&lt;&gt;"已执行",IF(X66="","未填执行情况",X66),IF(N(AB66)=0,"待录成交",IF(N(AD66)&gt;N(AB66),"平仓多于开仓",IF(N(AD66)&lt;N(AB66),"持仓中","已平仓")))))</f>
        <v/>
      </c>
      <c r="AG66" s="42" t="str">
        <f>IF(N(AB66)=0,"",SUMIFS('成交明细'!$L$5:$L$804,'成交明细'!$A$5:$A$804,A66))</f>
        <v/>
      </c>
      <c r="AH66" s="43" t="str">
        <f>IF(A66="","",SUMIFS('资金费流水'!$F$5:$F$604,'资金费流水'!$B$5:$B$604,A66))</f>
        <v/>
      </c>
      <c r="AI66" s="43" t="str">
        <f>IF(AF66&lt;&gt;"已平仓","",(SUMIFS('成交明细'!$H$5:$H$804,'成交明细'!$A$5:$A$804,A66,'成交明细'!$D$5:$D$804,"卖")-SUMIFS('成交明细'!$H$5:$H$804,'成交明细'!$A$5:$A$804,A66,'成交明细'!$D$5:$D$804,"买"))*1-AG66+N(AH66))</f>
        <v/>
      </c>
      <c r="AJ66" s="44" t="str">
        <f>IF(AND(AF66="已平仓",ISNUMBER(Q66)),(SUMIFS('成交明细'!$H$5:$H$804,'成交明细'!$A$5:$A$804,A66,'成交明细'!$D$5:$D$804,"卖")-SUMIFS('成交明细'!$H$5:$H$804,'成交明细'!$A$5:$A$804,A66,'成交明细'!$D$5:$D$804,"买"))*1/Q66,"")</f>
        <v/>
      </c>
      <c r="AK66" s="44" t="str">
        <f>IF(AND(AF66="已平仓",ISNUMBER(Q66)),AI66/Q66,"")</f>
        <v/>
      </c>
      <c r="AL66" s="45" t="str">
        <f>IF(AND(ISNUMBER(AC66),ISNUMBER(K66)),IF(F66="空",K66-AC66,AC66-K66),"")</f>
        <v/>
      </c>
      <c r="AM66" s="45" t="str">
        <f>IF(OR(NOT(ISNUMBER(AI66)),NOT(ISNUMBER(AE66))),"",IF(AI66&lt;0,IF(F66="空",AE66-L66,L66-AE66),IF(NOT(ISNUMBER(M66)),"",IF(F66="空",AE66-M66,M66-AE66))))</f>
        <v/>
      </c>
      <c r="AN66" s="31" t="n"/>
      <c r="AO66" s="31" t="n"/>
      <c r="AP66" s="30" t="n"/>
      <c r="AQ66" s="44" t="str">
        <f>IF(A66="","",SUM(AK$5:AK66))</f>
        <v/>
      </c>
      <c r="AR66" s="46" t="str">
        <f>IF(A66="","",MAX(0,MAX(AQ$5:AQ66))-AQ66)</f>
        <v/>
      </c>
    </row>
    <row r="67">
      <c r="A67" s="24" t="n"/>
      <c r="B67" s="29" t="n"/>
      <c r="C67" s="30" t="n"/>
      <c r="D67" s="31" t="n"/>
      <c r="E67" s="31" t="n"/>
      <c r="F67" s="31" t="n"/>
      <c r="G67" s="21" t="n"/>
      <c r="H67" s="31" t="n"/>
      <c r="I67" s="23" t="n"/>
      <c r="J67" s="31" t="n"/>
      <c r="K67" s="32" t="n"/>
      <c r="L67" s="32" t="n"/>
      <c r="M67" s="32" t="n"/>
      <c r="N67" s="33" t="str">
        <f>IF(AND(ISNUMBER(K67),ISNUMBER(L67),ISNUMBER(M67)),IF(OR(AND(F67="多",K67&gt;L67),AND(F67="空",K67&lt;L67)),ABS(M67-K67)/ABS(K67-L67),"止损方向不对"),"")</f>
        <v/>
      </c>
      <c r="O67" s="34" t="str">
        <f>IF(AND(ISNUMBER(K67),ISNUMBER(L67)),IF(K67=L67,"",IF(INT(ROUND('参数'!$C$7/(ABS(K67-L67)*1+2*K67*'参数'!$C$12)/IF(N(J67)&gt;0,J67,1),6))*IF(N(J67)&gt;0,J67,1)&gt;0,INT(ROUND('参数'!$C$7/(ABS(K67-L67)*1+2*K67*'参数'!$C$12)/IF(N(J67)&gt;0,J67,1),6))*IF(N(J67)&gt;0,J67,1),"预算不足，这笔不做")),"")</f>
        <v/>
      </c>
      <c r="P67" s="35" t="n"/>
      <c r="Q67" s="20" t="str">
        <f>IF(AND(ISNUMBER(K67),ISNUMBER(L67),ISNUMBER(P67)),IF(AND(K67&lt;&gt;L67,P67&gt;0),ABS(K67-L67)*P67*1,""),"")</f>
        <v/>
      </c>
      <c r="R67" s="20" t="str">
        <f>IF(AND(ISNUMBER(K67),ISNUMBER(P67)),K67*P67,"")</f>
        <v/>
      </c>
      <c r="S67" s="20" t="str">
        <f>IF(AND(D67="合约",ISNUMBER(R67),N(G67)&gt;0),R67/G67,"")</f>
        <v/>
      </c>
      <c r="T67" s="36" t="str">
        <f>IF(NOT(D67="合约"),"",IF(H67&lt;&gt;"逐仓","看平台",IF(AND(ISNUMBER(K67),N(G67)&gt;0),IF(F67="空",K67*(1+1/G67-IF(ISNUMBER(I67),I67,'参数'!$C$13)),K67*(1-1/G67+IF(ISNUMBER(I67),I67,'参数'!$C$13))),"")))</f>
        <v/>
      </c>
      <c r="U67" s="37" t="str">
        <f>IF(AND(ISNUMBER(T67),ISNUMBER(L67),ISNUMBER(K67)),IF(F67="空",T67-L67,L67-T67)/K67,"")</f>
        <v/>
      </c>
      <c r="V67" s="38" t="str">
        <f>IF(ISNUMBER(U67),IF(U67&lt;'参数'!$C$15,"先降杠杆或减量","在止损外"),"")</f>
        <v/>
      </c>
      <c r="W67" s="30" t="n"/>
      <c r="X67" s="31" t="n"/>
      <c r="Y67" s="39" t="str">
        <f>IF(N(AB67)&gt;0,SUMPRODUCT(LARGE(('成交明细'!$A$5:$A$804=A67)*('成交明细'!$D$5:$D$804=IF(F67="空","卖","买"))*'成交明细'!$B$5:$B$804,COUNTIFS('成交明细'!$A$5:$A$804,A67,'成交明细'!$D$5:$D$804,IF(F67="空","卖","买")))),"")</f>
        <v/>
      </c>
      <c r="Z67" s="39" t="str">
        <f>IF(AND(N(AB67)&gt;0,N(AD67)&gt;=N(AB67)),SUMPRODUCT(MAX(('成交明细'!$A$5:$A$804=A67)*('成交明细'!$D$5:$D$804=IF(F67="空","买","卖"))*'成交明细'!$B$5:$B$804)),"")</f>
        <v/>
      </c>
      <c r="AA67" s="40" t="str">
        <f>IF(N(AB67)=0,"",IF(SUMPRODUCT(('成交明细'!$A$5:$A$804=A67)*('成交明细'!$D$5:$D$804=IF(F67="空","卖","买"))*ISNUMBER('成交明细'!$C$5:$C$804))=0,"没填时间",IFERROR(VLOOKUP(MOD(SUMPRODUCT(LARGE(('成交明细'!$A$5:$A$804=A67)*('成交明细'!$D$5:$D$804=IF(F67="空","卖","买"))*('成交明细'!$B$5:$B$804+'成交明细'!$C$5:$C$804),COUNTIFS('成交明细'!$A$5:$A$804,A67,'成交明细'!$D$5:$D$804,IF(F67="空","卖","买")))),1),'参数'!$B$39:$C$48,2,TRUE),"")))</f>
        <v/>
      </c>
      <c r="AB67" s="34" t="str">
        <f>IF(A67="","",SUMIFS('成交明细'!$F$5:$F$804,'成交明细'!$A$5:$A$804,A67,'成交明细'!$D$5:$D$804,IF(F67="空","卖","买")))</f>
        <v/>
      </c>
      <c r="AC67" s="41" t="str">
        <f>IF(N(AB67)&gt;0,SUMIFS('成交明细'!$H$5:$H$804,'成交明细'!$A$5:$A$804,A67,'成交明细'!$D$5:$D$804,IF(F67="空","卖","买"))/AB67,"")</f>
        <v/>
      </c>
      <c r="AD67" s="34" t="str">
        <f>IF(A67="","",SUMIFS('成交明细'!$F$5:$F$804,'成交明细'!$A$5:$A$804,A67,'成交明细'!$D$5:$D$804,IF(F67="空","买","卖")))</f>
        <v/>
      </c>
      <c r="AE67" s="41" t="str">
        <f>IF(N(AD67)&gt;0,SUMIFS('成交明细'!$H$5:$H$804,'成交明细'!$A$5:$A$804,A67,'成交明细'!$D$5:$D$804,IF(F67="空","买","卖"))/AD67,"")</f>
        <v/>
      </c>
      <c r="AF67" s="38" t="str">
        <f>IF(A67="","",IF(X67&lt;&gt;"已执行",IF(X67="","未填执行情况",X67),IF(N(AB67)=0,"待录成交",IF(N(AD67)&gt;N(AB67),"平仓多于开仓",IF(N(AD67)&lt;N(AB67),"持仓中","已平仓")))))</f>
        <v/>
      </c>
      <c r="AG67" s="42" t="str">
        <f>IF(N(AB67)=0,"",SUMIFS('成交明细'!$L$5:$L$804,'成交明细'!$A$5:$A$804,A67))</f>
        <v/>
      </c>
      <c r="AH67" s="43" t="str">
        <f>IF(A67="","",SUMIFS('资金费流水'!$F$5:$F$604,'资金费流水'!$B$5:$B$604,A67))</f>
        <v/>
      </c>
      <c r="AI67" s="43" t="str">
        <f>IF(AF67&lt;&gt;"已平仓","",(SUMIFS('成交明细'!$H$5:$H$804,'成交明细'!$A$5:$A$804,A67,'成交明细'!$D$5:$D$804,"卖")-SUMIFS('成交明细'!$H$5:$H$804,'成交明细'!$A$5:$A$804,A67,'成交明细'!$D$5:$D$804,"买"))*1-AG67+N(AH67))</f>
        <v/>
      </c>
      <c r="AJ67" s="44" t="str">
        <f>IF(AND(AF67="已平仓",ISNUMBER(Q67)),(SUMIFS('成交明细'!$H$5:$H$804,'成交明细'!$A$5:$A$804,A67,'成交明细'!$D$5:$D$804,"卖")-SUMIFS('成交明细'!$H$5:$H$804,'成交明细'!$A$5:$A$804,A67,'成交明细'!$D$5:$D$804,"买"))*1/Q67,"")</f>
        <v/>
      </c>
      <c r="AK67" s="44" t="str">
        <f>IF(AND(AF67="已平仓",ISNUMBER(Q67)),AI67/Q67,"")</f>
        <v/>
      </c>
      <c r="AL67" s="45" t="str">
        <f>IF(AND(ISNUMBER(AC67),ISNUMBER(K67)),IF(F67="空",K67-AC67,AC67-K67),"")</f>
        <v/>
      </c>
      <c r="AM67" s="45" t="str">
        <f>IF(OR(NOT(ISNUMBER(AI67)),NOT(ISNUMBER(AE67))),"",IF(AI67&lt;0,IF(F67="空",AE67-L67,L67-AE67),IF(NOT(ISNUMBER(M67)),"",IF(F67="空",AE67-M67,M67-AE67))))</f>
        <v/>
      </c>
      <c r="AN67" s="31" t="n"/>
      <c r="AO67" s="31" t="n"/>
      <c r="AP67" s="30" t="n"/>
      <c r="AQ67" s="44" t="str">
        <f>IF(A67="","",SUM(AK$5:AK67))</f>
        <v/>
      </c>
      <c r="AR67" s="46" t="str">
        <f>IF(A67="","",MAX(0,MAX(AQ$5:AQ67))-AQ67)</f>
        <v/>
      </c>
    </row>
    <row r="68">
      <c r="A68" s="24" t="n"/>
      <c r="B68" s="29" t="n"/>
      <c r="C68" s="30" t="n"/>
      <c r="D68" s="31" t="n"/>
      <c r="E68" s="31" t="n"/>
      <c r="F68" s="31" t="n"/>
      <c r="G68" s="21" t="n"/>
      <c r="H68" s="31" t="n"/>
      <c r="I68" s="23" t="n"/>
      <c r="J68" s="31" t="n"/>
      <c r="K68" s="32" t="n"/>
      <c r="L68" s="32" t="n"/>
      <c r="M68" s="32" t="n"/>
      <c r="N68" s="33" t="str">
        <f>IF(AND(ISNUMBER(K68),ISNUMBER(L68),ISNUMBER(M68)),IF(OR(AND(F68="多",K68&gt;L68),AND(F68="空",K68&lt;L68)),ABS(M68-K68)/ABS(K68-L68),"止损方向不对"),"")</f>
        <v/>
      </c>
      <c r="O68" s="34" t="str">
        <f>IF(AND(ISNUMBER(K68),ISNUMBER(L68)),IF(K68=L68,"",IF(INT(ROUND('参数'!$C$7/(ABS(K68-L68)*1+2*K68*'参数'!$C$12)/IF(N(J68)&gt;0,J68,1),6))*IF(N(J68)&gt;0,J68,1)&gt;0,INT(ROUND('参数'!$C$7/(ABS(K68-L68)*1+2*K68*'参数'!$C$12)/IF(N(J68)&gt;0,J68,1),6))*IF(N(J68)&gt;0,J68,1),"预算不足，这笔不做")),"")</f>
        <v/>
      </c>
      <c r="P68" s="35" t="n"/>
      <c r="Q68" s="20" t="str">
        <f>IF(AND(ISNUMBER(K68),ISNUMBER(L68),ISNUMBER(P68)),IF(AND(K68&lt;&gt;L68,P68&gt;0),ABS(K68-L68)*P68*1,""),"")</f>
        <v/>
      </c>
      <c r="R68" s="20" t="str">
        <f>IF(AND(ISNUMBER(K68),ISNUMBER(P68)),K68*P68,"")</f>
        <v/>
      </c>
      <c r="S68" s="20" t="str">
        <f>IF(AND(D68="合约",ISNUMBER(R68),N(G68)&gt;0),R68/G68,"")</f>
        <v/>
      </c>
      <c r="T68" s="36" t="str">
        <f>IF(NOT(D68="合约"),"",IF(H68&lt;&gt;"逐仓","看平台",IF(AND(ISNUMBER(K68),N(G68)&gt;0),IF(F68="空",K68*(1+1/G68-IF(ISNUMBER(I68),I68,'参数'!$C$13)),K68*(1-1/G68+IF(ISNUMBER(I68),I68,'参数'!$C$13))),"")))</f>
        <v/>
      </c>
      <c r="U68" s="37" t="str">
        <f>IF(AND(ISNUMBER(T68),ISNUMBER(L68),ISNUMBER(K68)),IF(F68="空",T68-L68,L68-T68)/K68,"")</f>
        <v/>
      </c>
      <c r="V68" s="38" t="str">
        <f>IF(ISNUMBER(U68),IF(U68&lt;'参数'!$C$15,"先降杠杆或减量","在止损外"),"")</f>
        <v/>
      </c>
      <c r="W68" s="30" t="n"/>
      <c r="X68" s="31" t="n"/>
      <c r="Y68" s="39" t="str">
        <f>IF(N(AB68)&gt;0,SUMPRODUCT(LARGE(('成交明细'!$A$5:$A$804=A68)*('成交明细'!$D$5:$D$804=IF(F68="空","卖","买"))*'成交明细'!$B$5:$B$804,COUNTIFS('成交明细'!$A$5:$A$804,A68,'成交明细'!$D$5:$D$804,IF(F68="空","卖","买")))),"")</f>
        <v/>
      </c>
      <c r="Z68" s="39" t="str">
        <f>IF(AND(N(AB68)&gt;0,N(AD68)&gt;=N(AB68)),SUMPRODUCT(MAX(('成交明细'!$A$5:$A$804=A68)*('成交明细'!$D$5:$D$804=IF(F68="空","买","卖"))*'成交明细'!$B$5:$B$804)),"")</f>
        <v/>
      </c>
      <c r="AA68" s="40" t="str">
        <f>IF(N(AB68)=0,"",IF(SUMPRODUCT(('成交明细'!$A$5:$A$804=A68)*('成交明细'!$D$5:$D$804=IF(F68="空","卖","买"))*ISNUMBER('成交明细'!$C$5:$C$804))=0,"没填时间",IFERROR(VLOOKUP(MOD(SUMPRODUCT(LARGE(('成交明细'!$A$5:$A$804=A68)*('成交明细'!$D$5:$D$804=IF(F68="空","卖","买"))*('成交明细'!$B$5:$B$804+'成交明细'!$C$5:$C$804),COUNTIFS('成交明细'!$A$5:$A$804,A68,'成交明细'!$D$5:$D$804,IF(F68="空","卖","买")))),1),'参数'!$B$39:$C$48,2,TRUE),"")))</f>
        <v/>
      </c>
      <c r="AB68" s="34" t="str">
        <f>IF(A68="","",SUMIFS('成交明细'!$F$5:$F$804,'成交明细'!$A$5:$A$804,A68,'成交明细'!$D$5:$D$804,IF(F68="空","卖","买")))</f>
        <v/>
      </c>
      <c r="AC68" s="41" t="str">
        <f>IF(N(AB68)&gt;0,SUMIFS('成交明细'!$H$5:$H$804,'成交明细'!$A$5:$A$804,A68,'成交明细'!$D$5:$D$804,IF(F68="空","卖","买"))/AB68,"")</f>
        <v/>
      </c>
      <c r="AD68" s="34" t="str">
        <f>IF(A68="","",SUMIFS('成交明细'!$F$5:$F$804,'成交明细'!$A$5:$A$804,A68,'成交明细'!$D$5:$D$804,IF(F68="空","买","卖")))</f>
        <v/>
      </c>
      <c r="AE68" s="41" t="str">
        <f>IF(N(AD68)&gt;0,SUMIFS('成交明细'!$H$5:$H$804,'成交明细'!$A$5:$A$804,A68,'成交明细'!$D$5:$D$804,IF(F68="空","买","卖"))/AD68,"")</f>
        <v/>
      </c>
      <c r="AF68" s="38" t="str">
        <f>IF(A68="","",IF(X68&lt;&gt;"已执行",IF(X68="","未填执行情况",X68),IF(N(AB68)=0,"待录成交",IF(N(AD68)&gt;N(AB68),"平仓多于开仓",IF(N(AD68)&lt;N(AB68),"持仓中","已平仓")))))</f>
        <v/>
      </c>
      <c r="AG68" s="42" t="str">
        <f>IF(N(AB68)=0,"",SUMIFS('成交明细'!$L$5:$L$804,'成交明细'!$A$5:$A$804,A68))</f>
        <v/>
      </c>
      <c r="AH68" s="43" t="str">
        <f>IF(A68="","",SUMIFS('资金费流水'!$F$5:$F$604,'资金费流水'!$B$5:$B$604,A68))</f>
        <v/>
      </c>
      <c r="AI68" s="43" t="str">
        <f>IF(AF68&lt;&gt;"已平仓","",(SUMIFS('成交明细'!$H$5:$H$804,'成交明细'!$A$5:$A$804,A68,'成交明细'!$D$5:$D$804,"卖")-SUMIFS('成交明细'!$H$5:$H$804,'成交明细'!$A$5:$A$804,A68,'成交明细'!$D$5:$D$804,"买"))*1-AG68+N(AH68))</f>
        <v/>
      </c>
      <c r="AJ68" s="44" t="str">
        <f>IF(AND(AF68="已平仓",ISNUMBER(Q68)),(SUMIFS('成交明细'!$H$5:$H$804,'成交明细'!$A$5:$A$804,A68,'成交明细'!$D$5:$D$804,"卖")-SUMIFS('成交明细'!$H$5:$H$804,'成交明细'!$A$5:$A$804,A68,'成交明细'!$D$5:$D$804,"买"))*1/Q68,"")</f>
        <v/>
      </c>
      <c r="AK68" s="44" t="str">
        <f>IF(AND(AF68="已平仓",ISNUMBER(Q68)),AI68/Q68,"")</f>
        <v/>
      </c>
      <c r="AL68" s="45" t="str">
        <f>IF(AND(ISNUMBER(AC68),ISNUMBER(K68)),IF(F68="空",K68-AC68,AC68-K68),"")</f>
        <v/>
      </c>
      <c r="AM68" s="45" t="str">
        <f>IF(OR(NOT(ISNUMBER(AI68)),NOT(ISNUMBER(AE68))),"",IF(AI68&lt;0,IF(F68="空",AE68-L68,L68-AE68),IF(NOT(ISNUMBER(M68)),"",IF(F68="空",AE68-M68,M68-AE68))))</f>
        <v/>
      </c>
      <c r="AN68" s="31" t="n"/>
      <c r="AO68" s="31" t="n"/>
      <c r="AP68" s="30" t="n"/>
      <c r="AQ68" s="44" t="str">
        <f>IF(A68="","",SUM(AK$5:AK68))</f>
        <v/>
      </c>
      <c r="AR68" s="46" t="str">
        <f>IF(A68="","",MAX(0,MAX(AQ$5:AQ68))-AQ68)</f>
        <v/>
      </c>
    </row>
    <row r="69">
      <c r="A69" s="24" t="n"/>
      <c r="B69" s="29" t="n"/>
      <c r="C69" s="30" t="n"/>
      <c r="D69" s="31" t="n"/>
      <c r="E69" s="31" t="n"/>
      <c r="F69" s="31" t="n"/>
      <c r="G69" s="21" t="n"/>
      <c r="H69" s="31" t="n"/>
      <c r="I69" s="23" t="n"/>
      <c r="J69" s="31" t="n"/>
      <c r="K69" s="32" t="n"/>
      <c r="L69" s="32" t="n"/>
      <c r="M69" s="32" t="n"/>
      <c r="N69" s="33" t="str">
        <f>IF(AND(ISNUMBER(K69),ISNUMBER(L69),ISNUMBER(M69)),IF(OR(AND(F69="多",K69&gt;L69),AND(F69="空",K69&lt;L69)),ABS(M69-K69)/ABS(K69-L69),"止损方向不对"),"")</f>
        <v/>
      </c>
      <c r="O69" s="34" t="str">
        <f>IF(AND(ISNUMBER(K69),ISNUMBER(L69)),IF(K69=L69,"",IF(INT(ROUND('参数'!$C$7/(ABS(K69-L69)*1+2*K69*'参数'!$C$12)/IF(N(J69)&gt;0,J69,1),6))*IF(N(J69)&gt;0,J69,1)&gt;0,INT(ROUND('参数'!$C$7/(ABS(K69-L69)*1+2*K69*'参数'!$C$12)/IF(N(J69)&gt;0,J69,1),6))*IF(N(J69)&gt;0,J69,1),"预算不足，这笔不做")),"")</f>
        <v/>
      </c>
      <c r="P69" s="35" t="n"/>
      <c r="Q69" s="20" t="str">
        <f>IF(AND(ISNUMBER(K69),ISNUMBER(L69),ISNUMBER(P69)),IF(AND(K69&lt;&gt;L69,P69&gt;0),ABS(K69-L69)*P69*1,""),"")</f>
        <v/>
      </c>
      <c r="R69" s="20" t="str">
        <f>IF(AND(ISNUMBER(K69),ISNUMBER(P69)),K69*P69,"")</f>
        <v/>
      </c>
      <c r="S69" s="20" t="str">
        <f>IF(AND(D69="合约",ISNUMBER(R69),N(G69)&gt;0),R69/G69,"")</f>
        <v/>
      </c>
      <c r="T69" s="36" t="str">
        <f>IF(NOT(D69="合约"),"",IF(H69&lt;&gt;"逐仓","看平台",IF(AND(ISNUMBER(K69),N(G69)&gt;0),IF(F69="空",K69*(1+1/G69-IF(ISNUMBER(I69),I69,'参数'!$C$13)),K69*(1-1/G69+IF(ISNUMBER(I69),I69,'参数'!$C$13))),"")))</f>
        <v/>
      </c>
      <c r="U69" s="37" t="str">
        <f>IF(AND(ISNUMBER(T69),ISNUMBER(L69),ISNUMBER(K69)),IF(F69="空",T69-L69,L69-T69)/K69,"")</f>
        <v/>
      </c>
      <c r="V69" s="38" t="str">
        <f>IF(ISNUMBER(U69),IF(U69&lt;'参数'!$C$15,"先降杠杆或减量","在止损外"),"")</f>
        <v/>
      </c>
      <c r="W69" s="30" t="n"/>
      <c r="X69" s="31" t="n"/>
      <c r="Y69" s="39" t="str">
        <f>IF(N(AB69)&gt;0,SUMPRODUCT(LARGE(('成交明细'!$A$5:$A$804=A69)*('成交明细'!$D$5:$D$804=IF(F69="空","卖","买"))*'成交明细'!$B$5:$B$804,COUNTIFS('成交明细'!$A$5:$A$804,A69,'成交明细'!$D$5:$D$804,IF(F69="空","卖","买")))),"")</f>
        <v/>
      </c>
      <c r="Z69" s="39" t="str">
        <f>IF(AND(N(AB69)&gt;0,N(AD69)&gt;=N(AB69)),SUMPRODUCT(MAX(('成交明细'!$A$5:$A$804=A69)*('成交明细'!$D$5:$D$804=IF(F69="空","买","卖"))*'成交明细'!$B$5:$B$804)),"")</f>
        <v/>
      </c>
      <c r="AA69" s="40" t="str">
        <f>IF(N(AB69)=0,"",IF(SUMPRODUCT(('成交明细'!$A$5:$A$804=A69)*('成交明细'!$D$5:$D$804=IF(F69="空","卖","买"))*ISNUMBER('成交明细'!$C$5:$C$804))=0,"没填时间",IFERROR(VLOOKUP(MOD(SUMPRODUCT(LARGE(('成交明细'!$A$5:$A$804=A69)*('成交明细'!$D$5:$D$804=IF(F69="空","卖","买"))*('成交明细'!$B$5:$B$804+'成交明细'!$C$5:$C$804),COUNTIFS('成交明细'!$A$5:$A$804,A69,'成交明细'!$D$5:$D$804,IF(F69="空","卖","买")))),1),'参数'!$B$39:$C$48,2,TRUE),"")))</f>
        <v/>
      </c>
      <c r="AB69" s="34" t="str">
        <f>IF(A69="","",SUMIFS('成交明细'!$F$5:$F$804,'成交明细'!$A$5:$A$804,A69,'成交明细'!$D$5:$D$804,IF(F69="空","卖","买")))</f>
        <v/>
      </c>
      <c r="AC69" s="41" t="str">
        <f>IF(N(AB69)&gt;0,SUMIFS('成交明细'!$H$5:$H$804,'成交明细'!$A$5:$A$804,A69,'成交明细'!$D$5:$D$804,IF(F69="空","卖","买"))/AB69,"")</f>
        <v/>
      </c>
      <c r="AD69" s="34" t="str">
        <f>IF(A69="","",SUMIFS('成交明细'!$F$5:$F$804,'成交明细'!$A$5:$A$804,A69,'成交明细'!$D$5:$D$804,IF(F69="空","买","卖")))</f>
        <v/>
      </c>
      <c r="AE69" s="41" t="str">
        <f>IF(N(AD69)&gt;0,SUMIFS('成交明细'!$H$5:$H$804,'成交明细'!$A$5:$A$804,A69,'成交明细'!$D$5:$D$804,IF(F69="空","买","卖"))/AD69,"")</f>
        <v/>
      </c>
      <c r="AF69" s="38" t="str">
        <f>IF(A69="","",IF(X69&lt;&gt;"已执行",IF(X69="","未填执行情况",X69),IF(N(AB69)=0,"待录成交",IF(N(AD69)&gt;N(AB69),"平仓多于开仓",IF(N(AD69)&lt;N(AB69),"持仓中","已平仓")))))</f>
        <v/>
      </c>
      <c r="AG69" s="42" t="str">
        <f>IF(N(AB69)=0,"",SUMIFS('成交明细'!$L$5:$L$804,'成交明细'!$A$5:$A$804,A69))</f>
        <v/>
      </c>
      <c r="AH69" s="43" t="str">
        <f>IF(A69="","",SUMIFS('资金费流水'!$F$5:$F$604,'资金费流水'!$B$5:$B$604,A69))</f>
        <v/>
      </c>
      <c r="AI69" s="43" t="str">
        <f>IF(AF69&lt;&gt;"已平仓","",(SUMIFS('成交明细'!$H$5:$H$804,'成交明细'!$A$5:$A$804,A69,'成交明细'!$D$5:$D$804,"卖")-SUMIFS('成交明细'!$H$5:$H$804,'成交明细'!$A$5:$A$804,A69,'成交明细'!$D$5:$D$804,"买"))*1-AG69+N(AH69))</f>
        <v/>
      </c>
      <c r="AJ69" s="44" t="str">
        <f>IF(AND(AF69="已平仓",ISNUMBER(Q69)),(SUMIFS('成交明细'!$H$5:$H$804,'成交明细'!$A$5:$A$804,A69,'成交明细'!$D$5:$D$804,"卖")-SUMIFS('成交明细'!$H$5:$H$804,'成交明细'!$A$5:$A$804,A69,'成交明细'!$D$5:$D$804,"买"))*1/Q69,"")</f>
        <v/>
      </c>
      <c r="AK69" s="44" t="str">
        <f>IF(AND(AF69="已平仓",ISNUMBER(Q69)),AI69/Q69,"")</f>
        <v/>
      </c>
      <c r="AL69" s="45" t="str">
        <f>IF(AND(ISNUMBER(AC69),ISNUMBER(K69)),IF(F69="空",K69-AC69,AC69-K69),"")</f>
        <v/>
      </c>
      <c r="AM69" s="45" t="str">
        <f>IF(OR(NOT(ISNUMBER(AI69)),NOT(ISNUMBER(AE69))),"",IF(AI69&lt;0,IF(F69="空",AE69-L69,L69-AE69),IF(NOT(ISNUMBER(M69)),"",IF(F69="空",AE69-M69,M69-AE69))))</f>
        <v/>
      </c>
      <c r="AN69" s="31" t="n"/>
      <c r="AO69" s="31" t="n"/>
      <c r="AP69" s="30" t="n"/>
      <c r="AQ69" s="44" t="str">
        <f>IF(A69="","",SUM(AK$5:AK69))</f>
        <v/>
      </c>
      <c r="AR69" s="46" t="str">
        <f>IF(A69="","",MAX(0,MAX(AQ$5:AQ69))-AQ69)</f>
        <v/>
      </c>
    </row>
    <row r="70">
      <c r="A70" s="24" t="n"/>
      <c r="B70" s="29" t="n"/>
      <c r="C70" s="30" t="n"/>
      <c r="D70" s="31" t="n"/>
      <c r="E70" s="31" t="n"/>
      <c r="F70" s="31" t="n"/>
      <c r="G70" s="21" t="n"/>
      <c r="H70" s="31" t="n"/>
      <c r="I70" s="23" t="n"/>
      <c r="J70" s="31" t="n"/>
      <c r="K70" s="32" t="n"/>
      <c r="L70" s="32" t="n"/>
      <c r="M70" s="32" t="n"/>
      <c r="N70" s="33" t="str">
        <f>IF(AND(ISNUMBER(K70),ISNUMBER(L70),ISNUMBER(M70)),IF(OR(AND(F70="多",K70&gt;L70),AND(F70="空",K70&lt;L70)),ABS(M70-K70)/ABS(K70-L70),"止损方向不对"),"")</f>
        <v/>
      </c>
      <c r="O70" s="34" t="str">
        <f>IF(AND(ISNUMBER(K70),ISNUMBER(L70)),IF(K70=L70,"",IF(INT(ROUND('参数'!$C$7/(ABS(K70-L70)*1+2*K70*'参数'!$C$12)/IF(N(J70)&gt;0,J70,1),6))*IF(N(J70)&gt;0,J70,1)&gt;0,INT(ROUND('参数'!$C$7/(ABS(K70-L70)*1+2*K70*'参数'!$C$12)/IF(N(J70)&gt;0,J70,1),6))*IF(N(J70)&gt;0,J70,1),"预算不足，这笔不做")),"")</f>
        <v/>
      </c>
      <c r="P70" s="35" t="n"/>
      <c r="Q70" s="20" t="str">
        <f>IF(AND(ISNUMBER(K70),ISNUMBER(L70),ISNUMBER(P70)),IF(AND(K70&lt;&gt;L70,P70&gt;0),ABS(K70-L70)*P70*1,""),"")</f>
        <v/>
      </c>
      <c r="R70" s="20" t="str">
        <f>IF(AND(ISNUMBER(K70),ISNUMBER(P70)),K70*P70,"")</f>
        <v/>
      </c>
      <c r="S70" s="20" t="str">
        <f>IF(AND(D70="合约",ISNUMBER(R70),N(G70)&gt;0),R70/G70,"")</f>
        <v/>
      </c>
      <c r="T70" s="36" t="str">
        <f>IF(NOT(D70="合约"),"",IF(H70&lt;&gt;"逐仓","看平台",IF(AND(ISNUMBER(K70),N(G70)&gt;0),IF(F70="空",K70*(1+1/G70-IF(ISNUMBER(I70),I70,'参数'!$C$13)),K70*(1-1/G70+IF(ISNUMBER(I70),I70,'参数'!$C$13))),"")))</f>
        <v/>
      </c>
      <c r="U70" s="37" t="str">
        <f>IF(AND(ISNUMBER(T70),ISNUMBER(L70),ISNUMBER(K70)),IF(F70="空",T70-L70,L70-T70)/K70,"")</f>
        <v/>
      </c>
      <c r="V70" s="38" t="str">
        <f>IF(ISNUMBER(U70),IF(U70&lt;'参数'!$C$15,"先降杠杆或减量","在止损外"),"")</f>
        <v/>
      </c>
      <c r="W70" s="30" t="n"/>
      <c r="X70" s="31" t="n"/>
      <c r="Y70" s="39" t="str">
        <f>IF(N(AB70)&gt;0,SUMPRODUCT(LARGE(('成交明细'!$A$5:$A$804=A70)*('成交明细'!$D$5:$D$804=IF(F70="空","卖","买"))*'成交明细'!$B$5:$B$804,COUNTIFS('成交明细'!$A$5:$A$804,A70,'成交明细'!$D$5:$D$804,IF(F70="空","卖","买")))),"")</f>
        <v/>
      </c>
      <c r="Z70" s="39" t="str">
        <f>IF(AND(N(AB70)&gt;0,N(AD70)&gt;=N(AB70)),SUMPRODUCT(MAX(('成交明细'!$A$5:$A$804=A70)*('成交明细'!$D$5:$D$804=IF(F70="空","买","卖"))*'成交明细'!$B$5:$B$804)),"")</f>
        <v/>
      </c>
      <c r="AA70" s="40" t="str">
        <f>IF(N(AB70)=0,"",IF(SUMPRODUCT(('成交明细'!$A$5:$A$804=A70)*('成交明细'!$D$5:$D$804=IF(F70="空","卖","买"))*ISNUMBER('成交明细'!$C$5:$C$804))=0,"没填时间",IFERROR(VLOOKUP(MOD(SUMPRODUCT(LARGE(('成交明细'!$A$5:$A$804=A70)*('成交明细'!$D$5:$D$804=IF(F70="空","卖","买"))*('成交明细'!$B$5:$B$804+'成交明细'!$C$5:$C$804),COUNTIFS('成交明细'!$A$5:$A$804,A70,'成交明细'!$D$5:$D$804,IF(F70="空","卖","买")))),1),'参数'!$B$39:$C$48,2,TRUE),"")))</f>
        <v/>
      </c>
      <c r="AB70" s="34" t="str">
        <f>IF(A70="","",SUMIFS('成交明细'!$F$5:$F$804,'成交明细'!$A$5:$A$804,A70,'成交明细'!$D$5:$D$804,IF(F70="空","卖","买")))</f>
        <v/>
      </c>
      <c r="AC70" s="41" t="str">
        <f>IF(N(AB70)&gt;0,SUMIFS('成交明细'!$H$5:$H$804,'成交明细'!$A$5:$A$804,A70,'成交明细'!$D$5:$D$804,IF(F70="空","卖","买"))/AB70,"")</f>
        <v/>
      </c>
      <c r="AD70" s="34" t="str">
        <f>IF(A70="","",SUMIFS('成交明细'!$F$5:$F$804,'成交明细'!$A$5:$A$804,A70,'成交明细'!$D$5:$D$804,IF(F70="空","买","卖")))</f>
        <v/>
      </c>
      <c r="AE70" s="41" t="str">
        <f>IF(N(AD70)&gt;0,SUMIFS('成交明细'!$H$5:$H$804,'成交明细'!$A$5:$A$804,A70,'成交明细'!$D$5:$D$804,IF(F70="空","买","卖"))/AD70,"")</f>
        <v/>
      </c>
      <c r="AF70" s="38" t="str">
        <f>IF(A70="","",IF(X70&lt;&gt;"已执行",IF(X70="","未填执行情况",X70),IF(N(AB70)=0,"待录成交",IF(N(AD70)&gt;N(AB70),"平仓多于开仓",IF(N(AD70)&lt;N(AB70),"持仓中","已平仓")))))</f>
        <v/>
      </c>
      <c r="AG70" s="42" t="str">
        <f>IF(N(AB70)=0,"",SUMIFS('成交明细'!$L$5:$L$804,'成交明细'!$A$5:$A$804,A70))</f>
        <v/>
      </c>
      <c r="AH70" s="43" t="str">
        <f>IF(A70="","",SUMIFS('资金费流水'!$F$5:$F$604,'资金费流水'!$B$5:$B$604,A70))</f>
        <v/>
      </c>
      <c r="AI70" s="43" t="str">
        <f>IF(AF70&lt;&gt;"已平仓","",(SUMIFS('成交明细'!$H$5:$H$804,'成交明细'!$A$5:$A$804,A70,'成交明细'!$D$5:$D$804,"卖")-SUMIFS('成交明细'!$H$5:$H$804,'成交明细'!$A$5:$A$804,A70,'成交明细'!$D$5:$D$804,"买"))*1-AG70+N(AH70))</f>
        <v/>
      </c>
      <c r="AJ70" s="44" t="str">
        <f>IF(AND(AF70="已平仓",ISNUMBER(Q70)),(SUMIFS('成交明细'!$H$5:$H$804,'成交明细'!$A$5:$A$804,A70,'成交明细'!$D$5:$D$804,"卖")-SUMIFS('成交明细'!$H$5:$H$804,'成交明细'!$A$5:$A$804,A70,'成交明细'!$D$5:$D$804,"买"))*1/Q70,"")</f>
        <v/>
      </c>
      <c r="AK70" s="44" t="str">
        <f>IF(AND(AF70="已平仓",ISNUMBER(Q70)),AI70/Q70,"")</f>
        <v/>
      </c>
      <c r="AL70" s="45" t="str">
        <f>IF(AND(ISNUMBER(AC70),ISNUMBER(K70)),IF(F70="空",K70-AC70,AC70-K70),"")</f>
        <v/>
      </c>
      <c r="AM70" s="45" t="str">
        <f>IF(OR(NOT(ISNUMBER(AI70)),NOT(ISNUMBER(AE70))),"",IF(AI70&lt;0,IF(F70="空",AE70-L70,L70-AE70),IF(NOT(ISNUMBER(M70)),"",IF(F70="空",AE70-M70,M70-AE70))))</f>
        <v/>
      </c>
      <c r="AN70" s="31" t="n"/>
      <c r="AO70" s="31" t="n"/>
      <c r="AP70" s="30" t="n"/>
      <c r="AQ70" s="44" t="str">
        <f>IF(A70="","",SUM(AK$5:AK70))</f>
        <v/>
      </c>
      <c r="AR70" s="46" t="str">
        <f>IF(A70="","",MAX(0,MAX(AQ$5:AQ70))-AQ70)</f>
        <v/>
      </c>
    </row>
    <row r="71">
      <c r="A71" s="24" t="n"/>
      <c r="B71" s="29" t="n"/>
      <c r="C71" s="30" t="n"/>
      <c r="D71" s="31" t="n"/>
      <c r="E71" s="31" t="n"/>
      <c r="F71" s="31" t="n"/>
      <c r="G71" s="21" t="n"/>
      <c r="H71" s="31" t="n"/>
      <c r="I71" s="23" t="n"/>
      <c r="J71" s="31" t="n"/>
      <c r="K71" s="32" t="n"/>
      <c r="L71" s="32" t="n"/>
      <c r="M71" s="32" t="n"/>
      <c r="N71" s="33" t="str">
        <f>IF(AND(ISNUMBER(K71),ISNUMBER(L71),ISNUMBER(M71)),IF(OR(AND(F71="多",K71&gt;L71),AND(F71="空",K71&lt;L71)),ABS(M71-K71)/ABS(K71-L71),"止损方向不对"),"")</f>
        <v/>
      </c>
      <c r="O71" s="34" t="str">
        <f>IF(AND(ISNUMBER(K71),ISNUMBER(L71)),IF(K71=L71,"",IF(INT(ROUND('参数'!$C$7/(ABS(K71-L71)*1+2*K71*'参数'!$C$12)/IF(N(J71)&gt;0,J71,1),6))*IF(N(J71)&gt;0,J71,1)&gt;0,INT(ROUND('参数'!$C$7/(ABS(K71-L71)*1+2*K71*'参数'!$C$12)/IF(N(J71)&gt;0,J71,1),6))*IF(N(J71)&gt;0,J71,1),"预算不足，这笔不做")),"")</f>
        <v/>
      </c>
      <c r="P71" s="35" t="n"/>
      <c r="Q71" s="20" t="str">
        <f>IF(AND(ISNUMBER(K71),ISNUMBER(L71),ISNUMBER(P71)),IF(AND(K71&lt;&gt;L71,P71&gt;0),ABS(K71-L71)*P71*1,""),"")</f>
        <v/>
      </c>
      <c r="R71" s="20" t="str">
        <f>IF(AND(ISNUMBER(K71),ISNUMBER(P71)),K71*P71,"")</f>
        <v/>
      </c>
      <c r="S71" s="20" t="str">
        <f>IF(AND(D71="合约",ISNUMBER(R71),N(G71)&gt;0),R71/G71,"")</f>
        <v/>
      </c>
      <c r="T71" s="36" t="str">
        <f>IF(NOT(D71="合约"),"",IF(H71&lt;&gt;"逐仓","看平台",IF(AND(ISNUMBER(K71),N(G71)&gt;0),IF(F71="空",K71*(1+1/G71-IF(ISNUMBER(I71),I71,'参数'!$C$13)),K71*(1-1/G71+IF(ISNUMBER(I71),I71,'参数'!$C$13))),"")))</f>
        <v/>
      </c>
      <c r="U71" s="37" t="str">
        <f>IF(AND(ISNUMBER(T71),ISNUMBER(L71),ISNUMBER(K71)),IF(F71="空",T71-L71,L71-T71)/K71,"")</f>
        <v/>
      </c>
      <c r="V71" s="38" t="str">
        <f>IF(ISNUMBER(U71),IF(U71&lt;'参数'!$C$15,"先降杠杆或减量","在止损外"),"")</f>
        <v/>
      </c>
      <c r="W71" s="30" t="n"/>
      <c r="X71" s="31" t="n"/>
      <c r="Y71" s="39" t="str">
        <f>IF(N(AB71)&gt;0,SUMPRODUCT(LARGE(('成交明细'!$A$5:$A$804=A71)*('成交明细'!$D$5:$D$804=IF(F71="空","卖","买"))*'成交明细'!$B$5:$B$804,COUNTIFS('成交明细'!$A$5:$A$804,A71,'成交明细'!$D$5:$D$804,IF(F71="空","卖","买")))),"")</f>
        <v/>
      </c>
      <c r="Z71" s="39" t="str">
        <f>IF(AND(N(AB71)&gt;0,N(AD71)&gt;=N(AB71)),SUMPRODUCT(MAX(('成交明细'!$A$5:$A$804=A71)*('成交明细'!$D$5:$D$804=IF(F71="空","买","卖"))*'成交明细'!$B$5:$B$804)),"")</f>
        <v/>
      </c>
      <c r="AA71" s="40" t="str">
        <f>IF(N(AB71)=0,"",IF(SUMPRODUCT(('成交明细'!$A$5:$A$804=A71)*('成交明细'!$D$5:$D$804=IF(F71="空","卖","买"))*ISNUMBER('成交明细'!$C$5:$C$804))=0,"没填时间",IFERROR(VLOOKUP(MOD(SUMPRODUCT(LARGE(('成交明细'!$A$5:$A$804=A71)*('成交明细'!$D$5:$D$804=IF(F71="空","卖","买"))*('成交明细'!$B$5:$B$804+'成交明细'!$C$5:$C$804),COUNTIFS('成交明细'!$A$5:$A$804,A71,'成交明细'!$D$5:$D$804,IF(F71="空","卖","买")))),1),'参数'!$B$39:$C$48,2,TRUE),"")))</f>
        <v/>
      </c>
      <c r="AB71" s="34" t="str">
        <f>IF(A71="","",SUMIFS('成交明细'!$F$5:$F$804,'成交明细'!$A$5:$A$804,A71,'成交明细'!$D$5:$D$804,IF(F71="空","卖","买")))</f>
        <v/>
      </c>
      <c r="AC71" s="41" t="str">
        <f>IF(N(AB71)&gt;0,SUMIFS('成交明细'!$H$5:$H$804,'成交明细'!$A$5:$A$804,A71,'成交明细'!$D$5:$D$804,IF(F71="空","卖","买"))/AB71,"")</f>
        <v/>
      </c>
      <c r="AD71" s="34" t="str">
        <f>IF(A71="","",SUMIFS('成交明细'!$F$5:$F$804,'成交明细'!$A$5:$A$804,A71,'成交明细'!$D$5:$D$804,IF(F71="空","买","卖")))</f>
        <v/>
      </c>
      <c r="AE71" s="41" t="str">
        <f>IF(N(AD71)&gt;0,SUMIFS('成交明细'!$H$5:$H$804,'成交明细'!$A$5:$A$804,A71,'成交明细'!$D$5:$D$804,IF(F71="空","买","卖"))/AD71,"")</f>
        <v/>
      </c>
      <c r="AF71" s="38" t="str">
        <f>IF(A71="","",IF(X71&lt;&gt;"已执行",IF(X71="","未填执行情况",X71),IF(N(AB71)=0,"待录成交",IF(N(AD71)&gt;N(AB71),"平仓多于开仓",IF(N(AD71)&lt;N(AB71),"持仓中","已平仓")))))</f>
        <v/>
      </c>
      <c r="AG71" s="42" t="str">
        <f>IF(N(AB71)=0,"",SUMIFS('成交明细'!$L$5:$L$804,'成交明细'!$A$5:$A$804,A71))</f>
        <v/>
      </c>
      <c r="AH71" s="43" t="str">
        <f>IF(A71="","",SUMIFS('资金费流水'!$F$5:$F$604,'资金费流水'!$B$5:$B$604,A71))</f>
        <v/>
      </c>
      <c r="AI71" s="43" t="str">
        <f>IF(AF71&lt;&gt;"已平仓","",(SUMIFS('成交明细'!$H$5:$H$804,'成交明细'!$A$5:$A$804,A71,'成交明细'!$D$5:$D$804,"卖")-SUMIFS('成交明细'!$H$5:$H$804,'成交明细'!$A$5:$A$804,A71,'成交明细'!$D$5:$D$804,"买"))*1-AG71+N(AH71))</f>
        <v/>
      </c>
      <c r="AJ71" s="44" t="str">
        <f>IF(AND(AF71="已平仓",ISNUMBER(Q71)),(SUMIFS('成交明细'!$H$5:$H$804,'成交明细'!$A$5:$A$804,A71,'成交明细'!$D$5:$D$804,"卖")-SUMIFS('成交明细'!$H$5:$H$804,'成交明细'!$A$5:$A$804,A71,'成交明细'!$D$5:$D$804,"买"))*1/Q71,"")</f>
        <v/>
      </c>
      <c r="AK71" s="44" t="str">
        <f>IF(AND(AF71="已平仓",ISNUMBER(Q71)),AI71/Q71,"")</f>
        <v/>
      </c>
      <c r="AL71" s="45" t="str">
        <f>IF(AND(ISNUMBER(AC71),ISNUMBER(K71)),IF(F71="空",K71-AC71,AC71-K71),"")</f>
        <v/>
      </c>
      <c r="AM71" s="45" t="str">
        <f>IF(OR(NOT(ISNUMBER(AI71)),NOT(ISNUMBER(AE71))),"",IF(AI71&lt;0,IF(F71="空",AE71-L71,L71-AE71),IF(NOT(ISNUMBER(M71)),"",IF(F71="空",AE71-M71,M71-AE71))))</f>
        <v/>
      </c>
      <c r="AN71" s="31" t="n"/>
      <c r="AO71" s="31" t="n"/>
      <c r="AP71" s="30" t="n"/>
      <c r="AQ71" s="44" t="str">
        <f>IF(A71="","",SUM(AK$5:AK71))</f>
        <v/>
      </c>
      <c r="AR71" s="46" t="str">
        <f>IF(A71="","",MAX(0,MAX(AQ$5:AQ71))-AQ71)</f>
        <v/>
      </c>
    </row>
    <row r="72">
      <c r="A72" s="24" t="n"/>
      <c r="B72" s="29" t="n"/>
      <c r="C72" s="30" t="n"/>
      <c r="D72" s="31" t="n"/>
      <c r="E72" s="31" t="n"/>
      <c r="F72" s="31" t="n"/>
      <c r="G72" s="21" t="n"/>
      <c r="H72" s="31" t="n"/>
      <c r="I72" s="23" t="n"/>
      <c r="J72" s="31" t="n"/>
      <c r="K72" s="32" t="n"/>
      <c r="L72" s="32" t="n"/>
      <c r="M72" s="32" t="n"/>
      <c r="N72" s="33" t="str">
        <f>IF(AND(ISNUMBER(K72),ISNUMBER(L72),ISNUMBER(M72)),IF(OR(AND(F72="多",K72&gt;L72),AND(F72="空",K72&lt;L72)),ABS(M72-K72)/ABS(K72-L72),"止损方向不对"),"")</f>
        <v/>
      </c>
      <c r="O72" s="34" t="str">
        <f>IF(AND(ISNUMBER(K72),ISNUMBER(L72)),IF(K72=L72,"",IF(INT(ROUND('参数'!$C$7/(ABS(K72-L72)*1+2*K72*'参数'!$C$12)/IF(N(J72)&gt;0,J72,1),6))*IF(N(J72)&gt;0,J72,1)&gt;0,INT(ROUND('参数'!$C$7/(ABS(K72-L72)*1+2*K72*'参数'!$C$12)/IF(N(J72)&gt;0,J72,1),6))*IF(N(J72)&gt;0,J72,1),"预算不足，这笔不做")),"")</f>
        <v/>
      </c>
      <c r="P72" s="35" t="n"/>
      <c r="Q72" s="20" t="str">
        <f>IF(AND(ISNUMBER(K72),ISNUMBER(L72),ISNUMBER(P72)),IF(AND(K72&lt;&gt;L72,P72&gt;0),ABS(K72-L72)*P72*1,""),"")</f>
        <v/>
      </c>
      <c r="R72" s="20" t="str">
        <f>IF(AND(ISNUMBER(K72),ISNUMBER(P72)),K72*P72,"")</f>
        <v/>
      </c>
      <c r="S72" s="20" t="str">
        <f>IF(AND(D72="合约",ISNUMBER(R72),N(G72)&gt;0),R72/G72,"")</f>
        <v/>
      </c>
      <c r="T72" s="36" t="str">
        <f>IF(NOT(D72="合约"),"",IF(H72&lt;&gt;"逐仓","看平台",IF(AND(ISNUMBER(K72),N(G72)&gt;0),IF(F72="空",K72*(1+1/G72-IF(ISNUMBER(I72),I72,'参数'!$C$13)),K72*(1-1/G72+IF(ISNUMBER(I72),I72,'参数'!$C$13))),"")))</f>
        <v/>
      </c>
      <c r="U72" s="37" t="str">
        <f>IF(AND(ISNUMBER(T72),ISNUMBER(L72),ISNUMBER(K72)),IF(F72="空",T72-L72,L72-T72)/K72,"")</f>
        <v/>
      </c>
      <c r="V72" s="38" t="str">
        <f>IF(ISNUMBER(U72),IF(U72&lt;'参数'!$C$15,"先降杠杆或减量","在止损外"),"")</f>
        <v/>
      </c>
      <c r="W72" s="30" t="n"/>
      <c r="X72" s="31" t="n"/>
      <c r="Y72" s="39" t="str">
        <f>IF(N(AB72)&gt;0,SUMPRODUCT(LARGE(('成交明细'!$A$5:$A$804=A72)*('成交明细'!$D$5:$D$804=IF(F72="空","卖","买"))*'成交明细'!$B$5:$B$804,COUNTIFS('成交明细'!$A$5:$A$804,A72,'成交明细'!$D$5:$D$804,IF(F72="空","卖","买")))),"")</f>
        <v/>
      </c>
      <c r="Z72" s="39" t="str">
        <f>IF(AND(N(AB72)&gt;0,N(AD72)&gt;=N(AB72)),SUMPRODUCT(MAX(('成交明细'!$A$5:$A$804=A72)*('成交明细'!$D$5:$D$804=IF(F72="空","买","卖"))*'成交明细'!$B$5:$B$804)),"")</f>
        <v/>
      </c>
      <c r="AA72" s="40" t="str">
        <f>IF(N(AB72)=0,"",IF(SUMPRODUCT(('成交明细'!$A$5:$A$804=A72)*('成交明细'!$D$5:$D$804=IF(F72="空","卖","买"))*ISNUMBER('成交明细'!$C$5:$C$804))=0,"没填时间",IFERROR(VLOOKUP(MOD(SUMPRODUCT(LARGE(('成交明细'!$A$5:$A$804=A72)*('成交明细'!$D$5:$D$804=IF(F72="空","卖","买"))*('成交明细'!$B$5:$B$804+'成交明细'!$C$5:$C$804),COUNTIFS('成交明细'!$A$5:$A$804,A72,'成交明细'!$D$5:$D$804,IF(F72="空","卖","买")))),1),'参数'!$B$39:$C$48,2,TRUE),"")))</f>
        <v/>
      </c>
      <c r="AB72" s="34" t="str">
        <f>IF(A72="","",SUMIFS('成交明细'!$F$5:$F$804,'成交明细'!$A$5:$A$804,A72,'成交明细'!$D$5:$D$804,IF(F72="空","卖","买")))</f>
        <v/>
      </c>
      <c r="AC72" s="41" t="str">
        <f>IF(N(AB72)&gt;0,SUMIFS('成交明细'!$H$5:$H$804,'成交明细'!$A$5:$A$804,A72,'成交明细'!$D$5:$D$804,IF(F72="空","卖","买"))/AB72,"")</f>
        <v/>
      </c>
      <c r="AD72" s="34" t="str">
        <f>IF(A72="","",SUMIFS('成交明细'!$F$5:$F$804,'成交明细'!$A$5:$A$804,A72,'成交明细'!$D$5:$D$804,IF(F72="空","买","卖")))</f>
        <v/>
      </c>
      <c r="AE72" s="41" t="str">
        <f>IF(N(AD72)&gt;0,SUMIFS('成交明细'!$H$5:$H$804,'成交明细'!$A$5:$A$804,A72,'成交明细'!$D$5:$D$804,IF(F72="空","买","卖"))/AD72,"")</f>
        <v/>
      </c>
      <c r="AF72" s="38" t="str">
        <f>IF(A72="","",IF(X72&lt;&gt;"已执行",IF(X72="","未填执行情况",X72),IF(N(AB72)=0,"待录成交",IF(N(AD72)&gt;N(AB72),"平仓多于开仓",IF(N(AD72)&lt;N(AB72),"持仓中","已平仓")))))</f>
        <v/>
      </c>
      <c r="AG72" s="42" t="str">
        <f>IF(N(AB72)=0,"",SUMIFS('成交明细'!$L$5:$L$804,'成交明细'!$A$5:$A$804,A72))</f>
        <v/>
      </c>
      <c r="AH72" s="43" t="str">
        <f>IF(A72="","",SUMIFS('资金费流水'!$F$5:$F$604,'资金费流水'!$B$5:$B$604,A72))</f>
        <v/>
      </c>
      <c r="AI72" s="43" t="str">
        <f>IF(AF72&lt;&gt;"已平仓","",(SUMIFS('成交明细'!$H$5:$H$804,'成交明细'!$A$5:$A$804,A72,'成交明细'!$D$5:$D$804,"卖")-SUMIFS('成交明细'!$H$5:$H$804,'成交明细'!$A$5:$A$804,A72,'成交明细'!$D$5:$D$804,"买"))*1-AG72+N(AH72))</f>
        <v/>
      </c>
      <c r="AJ72" s="44" t="str">
        <f>IF(AND(AF72="已平仓",ISNUMBER(Q72)),(SUMIFS('成交明细'!$H$5:$H$804,'成交明细'!$A$5:$A$804,A72,'成交明细'!$D$5:$D$804,"卖")-SUMIFS('成交明细'!$H$5:$H$804,'成交明细'!$A$5:$A$804,A72,'成交明细'!$D$5:$D$804,"买"))*1/Q72,"")</f>
        <v/>
      </c>
      <c r="AK72" s="44" t="str">
        <f>IF(AND(AF72="已平仓",ISNUMBER(Q72)),AI72/Q72,"")</f>
        <v/>
      </c>
      <c r="AL72" s="45" t="str">
        <f>IF(AND(ISNUMBER(AC72),ISNUMBER(K72)),IF(F72="空",K72-AC72,AC72-K72),"")</f>
        <v/>
      </c>
      <c r="AM72" s="45" t="str">
        <f>IF(OR(NOT(ISNUMBER(AI72)),NOT(ISNUMBER(AE72))),"",IF(AI72&lt;0,IF(F72="空",AE72-L72,L72-AE72),IF(NOT(ISNUMBER(M72)),"",IF(F72="空",AE72-M72,M72-AE72))))</f>
        <v/>
      </c>
      <c r="AN72" s="31" t="n"/>
      <c r="AO72" s="31" t="n"/>
      <c r="AP72" s="30" t="n"/>
      <c r="AQ72" s="44" t="str">
        <f>IF(A72="","",SUM(AK$5:AK72))</f>
        <v/>
      </c>
      <c r="AR72" s="46" t="str">
        <f>IF(A72="","",MAX(0,MAX(AQ$5:AQ72))-AQ72)</f>
        <v/>
      </c>
    </row>
    <row r="73">
      <c r="A73" s="24" t="n"/>
      <c r="B73" s="29" t="n"/>
      <c r="C73" s="30" t="n"/>
      <c r="D73" s="31" t="n"/>
      <c r="E73" s="31" t="n"/>
      <c r="F73" s="31" t="n"/>
      <c r="G73" s="21" t="n"/>
      <c r="H73" s="31" t="n"/>
      <c r="I73" s="23" t="n"/>
      <c r="J73" s="31" t="n"/>
      <c r="K73" s="32" t="n"/>
      <c r="L73" s="32" t="n"/>
      <c r="M73" s="32" t="n"/>
      <c r="N73" s="33" t="str">
        <f>IF(AND(ISNUMBER(K73),ISNUMBER(L73),ISNUMBER(M73)),IF(OR(AND(F73="多",K73&gt;L73),AND(F73="空",K73&lt;L73)),ABS(M73-K73)/ABS(K73-L73),"止损方向不对"),"")</f>
        <v/>
      </c>
      <c r="O73" s="34" t="str">
        <f>IF(AND(ISNUMBER(K73),ISNUMBER(L73)),IF(K73=L73,"",IF(INT(ROUND('参数'!$C$7/(ABS(K73-L73)*1+2*K73*'参数'!$C$12)/IF(N(J73)&gt;0,J73,1),6))*IF(N(J73)&gt;0,J73,1)&gt;0,INT(ROUND('参数'!$C$7/(ABS(K73-L73)*1+2*K73*'参数'!$C$12)/IF(N(J73)&gt;0,J73,1),6))*IF(N(J73)&gt;0,J73,1),"预算不足，这笔不做")),"")</f>
        <v/>
      </c>
      <c r="P73" s="35" t="n"/>
      <c r="Q73" s="20" t="str">
        <f>IF(AND(ISNUMBER(K73),ISNUMBER(L73),ISNUMBER(P73)),IF(AND(K73&lt;&gt;L73,P73&gt;0),ABS(K73-L73)*P73*1,""),"")</f>
        <v/>
      </c>
      <c r="R73" s="20" t="str">
        <f>IF(AND(ISNUMBER(K73),ISNUMBER(P73)),K73*P73,"")</f>
        <v/>
      </c>
      <c r="S73" s="20" t="str">
        <f>IF(AND(D73="合约",ISNUMBER(R73),N(G73)&gt;0),R73/G73,"")</f>
        <v/>
      </c>
      <c r="T73" s="36" t="str">
        <f>IF(NOT(D73="合约"),"",IF(H73&lt;&gt;"逐仓","看平台",IF(AND(ISNUMBER(K73),N(G73)&gt;0),IF(F73="空",K73*(1+1/G73-IF(ISNUMBER(I73),I73,'参数'!$C$13)),K73*(1-1/G73+IF(ISNUMBER(I73),I73,'参数'!$C$13))),"")))</f>
        <v/>
      </c>
      <c r="U73" s="37" t="str">
        <f>IF(AND(ISNUMBER(T73),ISNUMBER(L73),ISNUMBER(K73)),IF(F73="空",T73-L73,L73-T73)/K73,"")</f>
        <v/>
      </c>
      <c r="V73" s="38" t="str">
        <f>IF(ISNUMBER(U73),IF(U73&lt;'参数'!$C$15,"先降杠杆或减量","在止损外"),"")</f>
        <v/>
      </c>
      <c r="W73" s="30" t="n"/>
      <c r="X73" s="31" t="n"/>
      <c r="Y73" s="39" t="str">
        <f>IF(N(AB73)&gt;0,SUMPRODUCT(LARGE(('成交明细'!$A$5:$A$804=A73)*('成交明细'!$D$5:$D$804=IF(F73="空","卖","买"))*'成交明细'!$B$5:$B$804,COUNTIFS('成交明细'!$A$5:$A$804,A73,'成交明细'!$D$5:$D$804,IF(F73="空","卖","买")))),"")</f>
        <v/>
      </c>
      <c r="Z73" s="39" t="str">
        <f>IF(AND(N(AB73)&gt;0,N(AD73)&gt;=N(AB73)),SUMPRODUCT(MAX(('成交明细'!$A$5:$A$804=A73)*('成交明细'!$D$5:$D$804=IF(F73="空","买","卖"))*'成交明细'!$B$5:$B$804)),"")</f>
        <v/>
      </c>
      <c r="AA73" s="40" t="str">
        <f>IF(N(AB73)=0,"",IF(SUMPRODUCT(('成交明细'!$A$5:$A$804=A73)*('成交明细'!$D$5:$D$804=IF(F73="空","卖","买"))*ISNUMBER('成交明细'!$C$5:$C$804))=0,"没填时间",IFERROR(VLOOKUP(MOD(SUMPRODUCT(LARGE(('成交明细'!$A$5:$A$804=A73)*('成交明细'!$D$5:$D$804=IF(F73="空","卖","买"))*('成交明细'!$B$5:$B$804+'成交明细'!$C$5:$C$804),COUNTIFS('成交明细'!$A$5:$A$804,A73,'成交明细'!$D$5:$D$804,IF(F73="空","卖","买")))),1),'参数'!$B$39:$C$48,2,TRUE),"")))</f>
        <v/>
      </c>
      <c r="AB73" s="34" t="str">
        <f>IF(A73="","",SUMIFS('成交明细'!$F$5:$F$804,'成交明细'!$A$5:$A$804,A73,'成交明细'!$D$5:$D$804,IF(F73="空","卖","买")))</f>
        <v/>
      </c>
      <c r="AC73" s="41" t="str">
        <f>IF(N(AB73)&gt;0,SUMIFS('成交明细'!$H$5:$H$804,'成交明细'!$A$5:$A$804,A73,'成交明细'!$D$5:$D$804,IF(F73="空","卖","买"))/AB73,"")</f>
        <v/>
      </c>
      <c r="AD73" s="34" t="str">
        <f>IF(A73="","",SUMIFS('成交明细'!$F$5:$F$804,'成交明细'!$A$5:$A$804,A73,'成交明细'!$D$5:$D$804,IF(F73="空","买","卖")))</f>
        <v/>
      </c>
      <c r="AE73" s="41" t="str">
        <f>IF(N(AD73)&gt;0,SUMIFS('成交明细'!$H$5:$H$804,'成交明细'!$A$5:$A$804,A73,'成交明细'!$D$5:$D$804,IF(F73="空","买","卖"))/AD73,"")</f>
        <v/>
      </c>
      <c r="AF73" s="38" t="str">
        <f>IF(A73="","",IF(X73&lt;&gt;"已执行",IF(X73="","未填执行情况",X73),IF(N(AB73)=0,"待录成交",IF(N(AD73)&gt;N(AB73),"平仓多于开仓",IF(N(AD73)&lt;N(AB73),"持仓中","已平仓")))))</f>
        <v/>
      </c>
      <c r="AG73" s="42" t="str">
        <f>IF(N(AB73)=0,"",SUMIFS('成交明细'!$L$5:$L$804,'成交明细'!$A$5:$A$804,A73))</f>
        <v/>
      </c>
      <c r="AH73" s="43" t="str">
        <f>IF(A73="","",SUMIFS('资金费流水'!$F$5:$F$604,'资金费流水'!$B$5:$B$604,A73))</f>
        <v/>
      </c>
      <c r="AI73" s="43" t="str">
        <f>IF(AF73&lt;&gt;"已平仓","",(SUMIFS('成交明细'!$H$5:$H$804,'成交明细'!$A$5:$A$804,A73,'成交明细'!$D$5:$D$804,"卖")-SUMIFS('成交明细'!$H$5:$H$804,'成交明细'!$A$5:$A$804,A73,'成交明细'!$D$5:$D$804,"买"))*1-AG73+N(AH73))</f>
        <v/>
      </c>
      <c r="AJ73" s="44" t="str">
        <f>IF(AND(AF73="已平仓",ISNUMBER(Q73)),(SUMIFS('成交明细'!$H$5:$H$804,'成交明细'!$A$5:$A$804,A73,'成交明细'!$D$5:$D$804,"卖")-SUMIFS('成交明细'!$H$5:$H$804,'成交明细'!$A$5:$A$804,A73,'成交明细'!$D$5:$D$804,"买"))*1/Q73,"")</f>
        <v/>
      </c>
      <c r="AK73" s="44" t="str">
        <f>IF(AND(AF73="已平仓",ISNUMBER(Q73)),AI73/Q73,"")</f>
        <v/>
      </c>
      <c r="AL73" s="45" t="str">
        <f>IF(AND(ISNUMBER(AC73),ISNUMBER(K73)),IF(F73="空",K73-AC73,AC73-K73),"")</f>
        <v/>
      </c>
      <c r="AM73" s="45" t="str">
        <f>IF(OR(NOT(ISNUMBER(AI73)),NOT(ISNUMBER(AE73))),"",IF(AI73&lt;0,IF(F73="空",AE73-L73,L73-AE73),IF(NOT(ISNUMBER(M73)),"",IF(F73="空",AE73-M73,M73-AE73))))</f>
        <v/>
      </c>
      <c r="AN73" s="31" t="n"/>
      <c r="AO73" s="31" t="n"/>
      <c r="AP73" s="30" t="n"/>
      <c r="AQ73" s="44" t="str">
        <f>IF(A73="","",SUM(AK$5:AK73))</f>
        <v/>
      </c>
      <c r="AR73" s="46" t="str">
        <f>IF(A73="","",MAX(0,MAX(AQ$5:AQ73))-AQ73)</f>
        <v/>
      </c>
    </row>
    <row r="74">
      <c r="A74" s="24" t="n"/>
      <c r="B74" s="29" t="n"/>
      <c r="C74" s="30" t="n"/>
      <c r="D74" s="31" t="n"/>
      <c r="E74" s="31" t="n"/>
      <c r="F74" s="31" t="n"/>
      <c r="G74" s="21" t="n"/>
      <c r="H74" s="31" t="n"/>
      <c r="I74" s="23" t="n"/>
      <c r="J74" s="31" t="n"/>
      <c r="K74" s="32" t="n"/>
      <c r="L74" s="32" t="n"/>
      <c r="M74" s="32" t="n"/>
      <c r="N74" s="33" t="str">
        <f>IF(AND(ISNUMBER(K74),ISNUMBER(L74),ISNUMBER(M74)),IF(OR(AND(F74="多",K74&gt;L74),AND(F74="空",K74&lt;L74)),ABS(M74-K74)/ABS(K74-L74),"止损方向不对"),"")</f>
        <v/>
      </c>
      <c r="O74" s="34" t="str">
        <f>IF(AND(ISNUMBER(K74),ISNUMBER(L74)),IF(K74=L74,"",IF(INT(ROUND('参数'!$C$7/(ABS(K74-L74)*1+2*K74*'参数'!$C$12)/IF(N(J74)&gt;0,J74,1),6))*IF(N(J74)&gt;0,J74,1)&gt;0,INT(ROUND('参数'!$C$7/(ABS(K74-L74)*1+2*K74*'参数'!$C$12)/IF(N(J74)&gt;0,J74,1),6))*IF(N(J74)&gt;0,J74,1),"预算不足，这笔不做")),"")</f>
        <v/>
      </c>
      <c r="P74" s="35" t="n"/>
      <c r="Q74" s="20" t="str">
        <f>IF(AND(ISNUMBER(K74),ISNUMBER(L74),ISNUMBER(P74)),IF(AND(K74&lt;&gt;L74,P74&gt;0),ABS(K74-L74)*P74*1,""),"")</f>
        <v/>
      </c>
      <c r="R74" s="20" t="str">
        <f>IF(AND(ISNUMBER(K74),ISNUMBER(P74)),K74*P74,"")</f>
        <v/>
      </c>
      <c r="S74" s="20" t="str">
        <f>IF(AND(D74="合约",ISNUMBER(R74),N(G74)&gt;0),R74/G74,"")</f>
        <v/>
      </c>
      <c r="T74" s="36" t="str">
        <f>IF(NOT(D74="合约"),"",IF(H74&lt;&gt;"逐仓","看平台",IF(AND(ISNUMBER(K74),N(G74)&gt;0),IF(F74="空",K74*(1+1/G74-IF(ISNUMBER(I74),I74,'参数'!$C$13)),K74*(1-1/G74+IF(ISNUMBER(I74),I74,'参数'!$C$13))),"")))</f>
        <v/>
      </c>
      <c r="U74" s="37" t="str">
        <f>IF(AND(ISNUMBER(T74),ISNUMBER(L74),ISNUMBER(K74)),IF(F74="空",T74-L74,L74-T74)/K74,"")</f>
        <v/>
      </c>
      <c r="V74" s="38" t="str">
        <f>IF(ISNUMBER(U74),IF(U74&lt;'参数'!$C$15,"先降杠杆或减量","在止损外"),"")</f>
        <v/>
      </c>
      <c r="W74" s="30" t="n"/>
      <c r="X74" s="31" t="n"/>
      <c r="Y74" s="39" t="str">
        <f>IF(N(AB74)&gt;0,SUMPRODUCT(LARGE(('成交明细'!$A$5:$A$804=A74)*('成交明细'!$D$5:$D$804=IF(F74="空","卖","买"))*'成交明细'!$B$5:$B$804,COUNTIFS('成交明细'!$A$5:$A$804,A74,'成交明细'!$D$5:$D$804,IF(F74="空","卖","买")))),"")</f>
        <v/>
      </c>
      <c r="Z74" s="39" t="str">
        <f>IF(AND(N(AB74)&gt;0,N(AD74)&gt;=N(AB74)),SUMPRODUCT(MAX(('成交明细'!$A$5:$A$804=A74)*('成交明细'!$D$5:$D$804=IF(F74="空","买","卖"))*'成交明细'!$B$5:$B$804)),"")</f>
        <v/>
      </c>
      <c r="AA74" s="40" t="str">
        <f>IF(N(AB74)=0,"",IF(SUMPRODUCT(('成交明细'!$A$5:$A$804=A74)*('成交明细'!$D$5:$D$804=IF(F74="空","卖","买"))*ISNUMBER('成交明细'!$C$5:$C$804))=0,"没填时间",IFERROR(VLOOKUP(MOD(SUMPRODUCT(LARGE(('成交明细'!$A$5:$A$804=A74)*('成交明细'!$D$5:$D$804=IF(F74="空","卖","买"))*('成交明细'!$B$5:$B$804+'成交明细'!$C$5:$C$804),COUNTIFS('成交明细'!$A$5:$A$804,A74,'成交明细'!$D$5:$D$804,IF(F74="空","卖","买")))),1),'参数'!$B$39:$C$48,2,TRUE),"")))</f>
        <v/>
      </c>
      <c r="AB74" s="34" t="str">
        <f>IF(A74="","",SUMIFS('成交明细'!$F$5:$F$804,'成交明细'!$A$5:$A$804,A74,'成交明细'!$D$5:$D$804,IF(F74="空","卖","买")))</f>
        <v/>
      </c>
      <c r="AC74" s="41" t="str">
        <f>IF(N(AB74)&gt;0,SUMIFS('成交明细'!$H$5:$H$804,'成交明细'!$A$5:$A$804,A74,'成交明细'!$D$5:$D$804,IF(F74="空","卖","买"))/AB74,"")</f>
        <v/>
      </c>
      <c r="AD74" s="34" t="str">
        <f>IF(A74="","",SUMIFS('成交明细'!$F$5:$F$804,'成交明细'!$A$5:$A$804,A74,'成交明细'!$D$5:$D$804,IF(F74="空","买","卖")))</f>
        <v/>
      </c>
      <c r="AE74" s="41" t="str">
        <f>IF(N(AD74)&gt;0,SUMIFS('成交明细'!$H$5:$H$804,'成交明细'!$A$5:$A$804,A74,'成交明细'!$D$5:$D$804,IF(F74="空","买","卖"))/AD74,"")</f>
        <v/>
      </c>
      <c r="AF74" s="38" t="str">
        <f>IF(A74="","",IF(X74&lt;&gt;"已执行",IF(X74="","未填执行情况",X74),IF(N(AB74)=0,"待录成交",IF(N(AD74)&gt;N(AB74),"平仓多于开仓",IF(N(AD74)&lt;N(AB74),"持仓中","已平仓")))))</f>
        <v/>
      </c>
      <c r="AG74" s="42" t="str">
        <f>IF(N(AB74)=0,"",SUMIFS('成交明细'!$L$5:$L$804,'成交明细'!$A$5:$A$804,A74))</f>
        <v/>
      </c>
      <c r="AH74" s="43" t="str">
        <f>IF(A74="","",SUMIFS('资金费流水'!$F$5:$F$604,'资金费流水'!$B$5:$B$604,A74))</f>
        <v/>
      </c>
      <c r="AI74" s="43" t="str">
        <f>IF(AF74&lt;&gt;"已平仓","",(SUMIFS('成交明细'!$H$5:$H$804,'成交明细'!$A$5:$A$804,A74,'成交明细'!$D$5:$D$804,"卖")-SUMIFS('成交明细'!$H$5:$H$804,'成交明细'!$A$5:$A$804,A74,'成交明细'!$D$5:$D$804,"买"))*1-AG74+N(AH74))</f>
        <v/>
      </c>
      <c r="AJ74" s="44" t="str">
        <f>IF(AND(AF74="已平仓",ISNUMBER(Q74)),(SUMIFS('成交明细'!$H$5:$H$804,'成交明细'!$A$5:$A$804,A74,'成交明细'!$D$5:$D$804,"卖")-SUMIFS('成交明细'!$H$5:$H$804,'成交明细'!$A$5:$A$804,A74,'成交明细'!$D$5:$D$804,"买"))*1/Q74,"")</f>
        <v/>
      </c>
      <c r="AK74" s="44" t="str">
        <f>IF(AND(AF74="已平仓",ISNUMBER(Q74)),AI74/Q74,"")</f>
        <v/>
      </c>
      <c r="AL74" s="45" t="str">
        <f>IF(AND(ISNUMBER(AC74),ISNUMBER(K74)),IF(F74="空",K74-AC74,AC74-K74),"")</f>
        <v/>
      </c>
      <c r="AM74" s="45" t="str">
        <f>IF(OR(NOT(ISNUMBER(AI74)),NOT(ISNUMBER(AE74))),"",IF(AI74&lt;0,IF(F74="空",AE74-L74,L74-AE74),IF(NOT(ISNUMBER(M74)),"",IF(F74="空",AE74-M74,M74-AE74))))</f>
        <v/>
      </c>
      <c r="AN74" s="31" t="n"/>
      <c r="AO74" s="31" t="n"/>
      <c r="AP74" s="30" t="n"/>
      <c r="AQ74" s="44" t="str">
        <f>IF(A74="","",SUM(AK$5:AK74))</f>
        <v/>
      </c>
      <c r="AR74" s="46" t="str">
        <f>IF(A74="","",MAX(0,MAX(AQ$5:AQ74))-AQ74)</f>
        <v/>
      </c>
    </row>
    <row r="75">
      <c r="A75" s="24" t="n"/>
      <c r="B75" s="29" t="n"/>
      <c r="C75" s="30" t="n"/>
      <c r="D75" s="31" t="n"/>
      <c r="E75" s="31" t="n"/>
      <c r="F75" s="31" t="n"/>
      <c r="G75" s="21" t="n"/>
      <c r="H75" s="31" t="n"/>
      <c r="I75" s="23" t="n"/>
      <c r="J75" s="31" t="n"/>
      <c r="K75" s="32" t="n"/>
      <c r="L75" s="32" t="n"/>
      <c r="M75" s="32" t="n"/>
      <c r="N75" s="33" t="str">
        <f>IF(AND(ISNUMBER(K75),ISNUMBER(L75),ISNUMBER(M75)),IF(OR(AND(F75="多",K75&gt;L75),AND(F75="空",K75&lt;L75)),ABS(M75-K75)/ABS(K75-L75),"止损方向不对"),"")</f>
        <v/>
      </c>
      <c r="O75" s="34" t="str">
        <f>IF(AND(ISNUMBER(K75),ISNUMBER(L75)),IF(K75=L75,"",IF(INT(ROUND('参数'!$C$7/(ABS(K75-L75)*1+2*K75*'参数'!$C$12)/IF(N(J75)&gt;0,J75,1),6))*IF(N(J75)&gt;0,J75,1)&gt;0,INT(ROUND('参数'!$C$7/(ABS(K75-L75)*1+2*K75*'参数'!$C$12)/IF(N(J75)&gt;0,J75,1),6))*IF(N(J75)&gt;0,J75,1),"预算不足，这笔不做")),"")</f>
        <v/>
      </c>
      <c r="P75" s="35" t="n"/>
      <c r="Q75" s="20" t="str">
        <f>IF(AND(ISNUMBER(K75),ISNUMBER(L75),ISNUMBER(P75)),IF(AND(K75&lt;&gt;L75,P75&gt;0),ABS(K75-L75)*P75*1,""),"")</f>
        <v/>
      </c>
      <c r="R75" s="20" t="str">
        <f>IF(AND(ISNUMBER(K75),ISNUMBER(P75)),K75*P75,"")</f>
        <v/>
      </c>
      <c r="S75" s="20" t="str">
        <f>IF(AND(D75="合约",ISNUMBER(R75),N(G75)&gt;0),R75/G75,"")</f>
        <v/>
      </c>
      <c r="T75" s="36" t="str">
        <f>IF(NOT(D75="合约"),"",IF(H75&lt;&gt;"逐仓","看平台",IF(AND(ISNUMBER(K75),N(G75)&gt;0),IF(F75="空",K75*(1+1/G75-IF(ISNUMBER(I75),I75,'参数'!$C$13)),K75*(1-1/G75+IF(ISNUMBER(I75),I75,'参数'!$C$13))),"")))</f>
        <v/>
      </c>
      <c r="U75" s="37" t="str">
        <f>IF(AND(ISNUMBER(T75),ISNUMBER(L75),ISNUMBER(K75)),IF(F75="空",T75-L75,L75-T75)/K75,"")</f>
        <v/>
      </c>
      <c r="V75" s="38" t="str">
        <f>IF(ISNUMBER(U75),IF(U75&lt;'参数'!$C$15,"先降杠杆或减量","在止损外"),"")</f>
        <v/>
      </c>
      <c r="W75" s="30" t="n"/>
      <c r="X75" s="31" t="n"/>
      <c r="Y75" s="39" t="str">
        <f>IF(N(AB75)&gt;0,SUMPRODUCT(LARGE(('成交明细'!$A$5:$A$804=A75)*('成交明细'!$D$5:$D$804=IF(F75="空","卖","买"))*'成交明细'!$B$5:$B$804,COUNTIFS('成交明细'!$A$5:$A$804,A75,'成交明细'!$D$5:$D$804,IF(F75="空","卖","买")))),"")</f>
        <v/>
      </c>
      <c r="Z75" s="39" t="str">
        <f>IF(AND(N(AB75)&gt;0,N(AD75)&gt;=N(AB75)),SUMPRODUCT(MAX(('成交明细'!$A$5:$A$804=A75)*('成交明细'!$D$5:$D$804=IF(F75="空","买","卖"))*'成交明细'!$B$5:$B$804)),"")</f>
        <v/>
      </c>
      <c r="AA75" s="40" t="str">
        <f>IF(N(AB75)=0,"",IF(SUMPRODUCT(('成交明细'!$A$5:$A$804=A75)*('成交明细'!$D$5:$D$804=IF(F75="空","卖","买"))*ISNUMBER('成交明细'!$C$5:$C$804))=0,"没填时间",IFERROR(VLOOKUP(MOD(SUMPRODUCT(LARGE(('成交明细'!$A$5:$A$804=A75)*('成交明细'!$D$5:$D$804=IF(F75="空","卖","买"))*('成交明细'!$B$5:$B$804+'成交明细'!$C$5:$C$804),COUNTIFS('成交明细'!$A$5:$A$804,A75,'成交明细'!$D$5:$D$804,IF(F75="空","卖","买")))),1),'参数'!$B$39:$C$48,2,TRUE),"")))</f>
        <v/>
      </c>
      <c r="AB75" s="34" t="str">
        <f>IF(A75="","",SUMIFS('成交明细'!$F$5:$F$804,'成交明细'!$A$5:$A$804,A75,'成交明细'!$D$5:$D$804,IF(F75="空","卖","买")))</f>
        <v/>
      </c>
      <c r="AC75" s="41" t="str">
        <f>IF(N(AB75)&gt;0,SUMIFS('成交明细'!$H$5:$H$804,'成交明细'!$A$5:$A$804,A75,'成交明细'!$D$5:$D$804,IF(F75="空","卖","买"))/AB75,"")</f>
        <v/>
      </c>
      <c r="AD75" s="34" t="str">
        <f>IF(A75="","",SUMIFS('成交明细'!$F$5:$F$804,'成交明细'!$A$5:$A$804,A75,'成交明细'!$D$5:$D$804,IF(F75="空","买","卖")))</f>
        <v/>
      </c>
      <c r="AE75" s="41" t="str">
        <f>IF(N(AD75)&gt;0,SUMIFS('成交明细'!$H$5:$H$804,'成交明细'!$A$5:$A$804,A75,'成交明细'!$D$5:$D$804,IF(F75="空","买","卖"))/AD75,"")</f>
        <v/>
      </c>
      <c r="AF75" s="38" t="str">
        <f>IF(A75="","",IF(X75&lt;&gt;"已执行",IF(X75="","未填执行情况",X75),IF(N(AB75)=0,"待录成交",IF(N(AD75)&gt;N(AB75),"平仓多于开仓",IF(N(AD75)&lt;N(AB75),"持仓中","已平仓")))))</f>
        <v/>
      </c>
      <c r="AG75" s="42" t="str">
        <f>IF(N(AB75)=0,"",SUMIFS('成交明细'!$L$5:$L$804,'成交明细'!$A$5:$A$804,A75))</f>
        <v/>
      </c>
      <c r="AH75" s="43" t="str">
        <f>IF(A75="","",SUMIFS('资金费流水'!$F$5:$F$604,'资金费流水'!$B$5:$B$604,A75))</f>
        <v/>
      </c>
      <c r="AI75" s="43" t="str">
        <f>IF(AF75&lt;&gt;"已平仓","",(SUMIFS('成交明细'!$H$5:$H$804,'成交明细'!$A$5:$A$804,A75,'成交明细'!$D$5:$D$804,"卖")-SUMIFS('成交明细'!$H$5:$H$804,'成交明细'!$A$5:$A$804,A75,'成交明细'!$D$5:$D$804,"买"))*1-AG75+N(AH75))</f>
        <v/>
      </c>
      <c r="AJ75" s="44" t="str">
        <f>IF(AND(AF75="已平仓",ISNUMBER(Q75)),(SUMIFS('成交明细'!$H$5:$H$804,'成交明细'!$A$5:$A$804,A75,'成交明细'!$D$5:$D$804,"卖")-SUMIFS('成交明细'!$H$5:$H$804,'成交明细'!$A$5:$A$804,A75,'成交明细'!$D$5:$D$804,"买"))*1/Q75,"")</f>
        <v/>
      </c>
      <c r="AK75" s="44" t="str">
        <f>IF(AND(AF75="已平仓",ISNUMBER(Q75)),AI75/Q75,"")</f>
        <v/>
      </c>
      <c r="AL75" s="45" t="str">
        <f>IF(AND(ISNUMBER(AC75),ISNUMBER(K75)),IF(F75="空",K75-AC75,AC75-K75),"")</f>
        <v/>
      </c>
      <c r="AM75" s="45" t="str">
        <f>IF(OR(NOT(ISNUMBER(AI75)),NOT(ISNUMBER(AE75))),"",IF(AI75&lt;0,IF(F75="空",AE75-L75,L75-AE75),IF(NOT(ISNUMBER(M75)),"",IF(F75="空",AE75-M75,M75-AE75))))</f>
        <v/>
      </c>
      <c r="AN75" s="31" t="n"/>
      <c r="AO75" s="31" t="n"/>
      <c r="AP75" s="30" t="n"/>
      <c r="AQ75" s="44" t="str">
        <f>IF(A75="","",SUM(AK$5:AK75))</f>
        <v/>
      </c>
      <c r="AR75" s="46" t="str">
        <f>IF(A75="","",MAX(0,MAX(AQ$5:AQ75))-AQ75)</f>
        <v/>
      </c>
    </row>
    <row r="76">
      <c r="A76" s="24" t="n"/>
      <c r="B76" s="29" t="n"/>
      <c r="C76" s="30" t="n"/>
      <c r="D76" s="31" t="n"/>
      <c r="E76" s="31" t="n"/>
      <c r="F76" s="31" t="n"/>
      <c r="G76" s="21" t="n"/>
      <c r="H76" s="31" t="n"/>
      <c r="I76" s="23" t="n"/>
      <c r="J76" s="31" t="n"/>
      <c r="K76" s="32" t="n"/>
      <c r="L76" s="32" t="n"/>
      <c r="M76" s="32" t="n"/>
      <c r="N76" s="33" t="str">
        <f>IF(AND(ISNUMBER(K76),ISNUMBER(L76),ISNUMBER(M76)),IF(OR(AND(F76="多",K76&gt;L76),AND(F76="空",K76&lt;L76)),ABS(M76-K76)/ABS(K76-L76),"止损方向不对"),"")</f>
        <v/>
      </c>
      <c r="O76" s="34" t="str">
        <f>IF(AND(ISNUMBER(K76),ISNUMBER(L76)),IF(K76=L76,"",IF(INT(ROUND('参数'!$C$7/(ABS(K76-L76)*1+2*K76*'参数'!$C$12)/IF(N(J76)&gt;0,J76,1),6))*IF(N(J76)&gt;0,J76,1)&gt;0,INT(ROUND('参数'!$C$7/(ABS(K76-L76)*1+2*K76*'参数'!$C$12)/IF(N(J76)&gt;0,J76,1),6))*IF(N(J76)&gt;0,J76,1),"预算不足，这笔不做")),"")</f>
        <v/>
      </c>
      <c r="P76" s="35" t="n"/>
      <c r="Q76" s="20" t="str">
        <f>IF(AND(ISNUMBER(K76),ISNUMBER(L76),ISNUMBER(P76)),IF(AND(K76&lt;&gt;L76,P76&gt;0),ABS(K76-L76)*P76*1,""),"")</f>
        <v/>
      </c>
      <c r="R76" s="20" t="str">
        <f>IF(AND(ISNUMBER(K76),ISNUMBER(P76)),K76*P76,"")</f>
        <v/>
      </c>
      <c r="S76" s="20" t="str">
        <f>IF(AND(D76="合约",ISNUMBER(R76),N(G76)&gt;0),R76/G76,"")</f>
        <v/>
      </c>
      <c r="T76" s="36" t="str">
        <f>IF(NOT(D76="合约"),"",IF(H76&lt;&gt;"逐仓","看平台",IF(AND(ISNUMBER(K76),N(G76)&gt;0),IF(F76="空",K76*(1+1/G76-IF(ISNUMBER(I76),I76,'参数'!$C$13)),K76*(1-1/G76+IF(ISNUMBER(I76),I76,'参数'!$C$13))),"")))</f>
        <v/>
      </c>
      <c r="U76" s="37" t="str">
        <f>IF(AND(ISNUMBER(T76),ISNUMBER(L76),ISNUMBER(K76)),IF(F76="空",T76-L76,L76-T76)/K76,"")</f>
        <v/>
      </c>
      <c r="V76" s="38" t="str">
        <f>IF(ISNUMBER(U76),IF(U76&lt;'参数'!$C$15,"先降杠杆或减量","在止损外"),"")</f>
        <v/>
      </c>
      <c r="W76" s="30" t="n"/>
      <c r="X76" s="31" t="n"/>
      <c r="Y76" s="39" t="str">
        <f>IF(N(AB76)&gt;0,SUMPRODUCT(LARGE(('成交明细'!$A$5:$A$804=A76)*('成交明细'!$D$5:$D$804=IF(F76="空","卖","买"))*'成交明细'!$B$5:$B$804,COUNTIFS('成交明细'!$A$5:$A$804,A76,'成交明细'!$D$5:$D$804,IF(F76="空","卖","买")))),"")</f>
        <v/>
      </c>
      <c r="Z76" s="39" t="str">
        <f>IF(AND(N(AB76)&gt;0,N(AD76)&gt;=N(AB76)),SUMPRODUCT(MAX(('成交明细'!$A$5:$A$804=A76)*('成交明细'!$D$5:$D$804=IF(F76="空","买","卖"))*'成交明细'!$B$5:$B$804)),"")</f>
        <v/>
      </c>
      <c r="AA76" s="40" t="str">
        <f>IF(N(AB76)=0,"",IF(SUMPRODUCT(('成交明细'!$A$5:$A$804=A76)*('成交明细'!$D$5:$D$804=IF(F76="空","卖","买"))*ISNUMBER('成交明细'!$C$5:$C$804))=0,"没填时间",IFERROR(VLOOKUP(MOD(SUMPRODUCT(LARGE(('成交明细'!$A$5:$A$804=A76)*('成交明细'!$D$5:$D$804=IF(F76="空","卖","买"))*('成交明细'!$B$5:$B$804+'成交明细'!$C$5:$C$804),COUNTIFS('成交明细'!$A$5:$A$804,A76,'成交明细'!$D$5:$D$804,IF(F76="空","卖","买")))),1),'参数'!$B$39:$C$48,2,TRUE),"")))</f>
        <v/>
      </c>
      <c r="AB76" s="34" t="str">
        <f>IF(A76="","",SUMIFS('成交明细'!$F$5:$F$804,'成交明细'!$A$5:$A$804,A76,'成交明细'!$D$5:$D$804,IF(F76="空","卖","买")))</f>
        <v/>
      </c>
      <c r="AC76" s="41" t="str">
        <f>IF(N(AB76)&gt;0,SUMIFS('成交明细'!$H$5:$H$804,'成交明细'!$A$5:$A$804,A76,'成交明细'!$D$5:$D$804,IF(F76="空","卖","买"))/AB76,"")</f>
        <v/>
      </c>
      <c r="AD76" s="34" t="str">
        <f>IF(A76="","",SUMIFS('成交明细'!$F$5:$F$804,'成交明细'!$A$5:$A$804,A76,'成交明细'!$D$5:$D$804,IF(F76="空","买","卖")))</f>
        <v/>
      </c>
      <c r="AE76" s="41" t="str">
        <f>IF(N(AD76)&gt;0,SUMIFS('成交明细'!$H$5:$H$804,'成交明细'!$A$5:$A$804,A76,'成交明细'!$D$5:$D$804,IF(F76="空","买","卖"))/AD76,"")</f>
        <v/>
      </c>
      <c r="AF76" s="38" t="str">
        <f>IF(A76="","",IF(X76&lt;&gt;"已执行",IF(X76="","未填执行情况",X76),IF(N(AB76)=0,"待录成交",IF(N(AD76)&gt;N(AB76),"平仓多于开仓",IF(N(AD76)&lt;N(AB76),"持仓中","已平仓")))))</f>
        <v/>
      </c>
      <c r="AG76" s="42" t="str">
        <f>IF(N(AB76)=0,"",SUMIFS('成交明细'!$L$5:$L$804,'成交明细'!$A$5:$A$804,A76))</f>
        <v/>
      </c>
      <c r="AH76" s="43" t="str">
        <f>IF(A76="","",SUMIFS('资金费流水'!$F$5:$F$604,'资金费流水'!$B$5:$B$604,A76))</f>
        <v/>
      </c>
      <c r="AI76" s="43" t="str">
        <f>IF(AF76&lt;&gt;"已平仓","",(SUMIFS('成交明细'!$H$5:$H$804,'成交明细'!$A$5:$A$804,A76,'成交明细'!$D$5:$D$804,"卖")-SUMIFS('成交明细'!$H$5:$H$804,'成交明细'!$A$5:$A$804,A76,'成交明细'!$D$5:$D$804,"买"))*1-AG76+N(AH76))</f>
        <v/>
      </c>
      <c r="AJ76" s="44" t="str">
        <f>IF(AND(AF76="已平仓",ISNUMBER(Q76)),(SUMIFS('成交明细'!$H$5:$H$804,'成交明细'!$A$5:$A$804,A76,'成交明细'!$D$5:$D$804,"卖")-SUMIFS('成交明细'!$H$5:$H$804,'成交明细'!$A$5:$A$804,A76,'成交明细'!$D$5:$D$804,"买"))*1/Q76,"")</f>
        <v/>
      </c>
      <c r="AK76" s="44" t="str">
        <f>IF(AND(AF76="已平仓",ISNUMBER(Q76)),AI76/Q76,"")</f>
        <v/>
      </c>
      <c r="AL76" s="45" t="str">
        <f>IF(AND(ISNUMBER(AC76),ISNUMBER(K76)),IF(F76="空",K76-AC76,AC76-K76),"")</f>
        <v/>
      </c>
      <c r="AM76" s="45" t="str">
        <f>IF(OR(NOT(ISNUMBER(AI76)),NOT(ISNUMBER(AE76))),"",IF(AI76&lt;0,IF(F76="空",AE76-L76,L76-AE76),IF(NOT(ISNUMBER(M76)),"",IF(F76="空",AE76-M76,M76-AE76))))</f>
        <v/>
      </c>
      <c r="AN76" s="31" t="n"/>
      <c r="AO76" s="31" t="n"/>
      <c r="AP76" s="30" t="n"/>
      <c r="AQ76" s="44" t="str">
        <f>IF(A76="","",SUM(AK$5:AK76))</f>
        <v/>
      </c>
      <c r="AR76" s="46" t="str">
        <f>IF(A76="","",MAX(0,MAX(AQ$5:AQ76))-AQ76)</f>
        <v/>
      </c>
    </row>
    <row r="77">
      <c r="A77" s="24" t="n"/>
      <c r="B77" s="29" t="n"/>
      <c r="C77" s="30" t="n"/>
      <c r="D77" s="31" t="n"/>
      <c r="E77" s="31" t="n"/>
      <c r="F77" s="31" t="n"/>
      <c r="G77" s="21" t="n"/>
      <c r="H77" s="31" t="n"/>
      <c r="I77" s="23" t="n"/>
      <c r="J77" s="31" t="n"/>
      <c r="K77" s="32" t="n"/>
      <c r="L77" s="32" t="n"/>
      <c r="M77" s="32" t="n"/>
      <c r="N77" s="33" t="str">
        <f>IF(AND(ISNUMBER(K77),ISNUMBER(L77),ISNUMBER(M77)),IF(OR(AND(F77="多",K77&gt;L77),AND(F77="空",K77&lt;L77)),ABS(M77-K77)/ABS(K77-L77),"止损方向不对"),"")</f>
        <v/>
      </c>
      <c r="O77" s="34" t="str">
        <f>IF(AND(ISNUMBER(K77),ISNUMBER(L77)),IF(K77=L77,"",IF(INT(ROUND('参数'!$C$7/(ABS(K77-L77)*1+2*K77*'参数'!$C$12)/IF(N(J77)&gt;0,J77,1),6))*IF(N(J77)&gt;0,J77,1)&gt;0,INT(ROUND('参数'!$C$7/(ABS(K77-L77)*1+2*K77*'参数'!$C$12)/IF(N(J77)&gt;0,J77,1),6))*IF(N(J77)&gt;0,J77,1),"预算不足，这笔不做")),"")</f>
        <v/>
      </c>
      <c r="P77" s="35" t="n"/>
      <c r="Q77" s="20" t="str">
        <f>IF(AND(ISNUMBER(K77),ISNUMBER(L77),ISNUMBER(P77)),IF(AND(K77&lt;&gt;L77,P77&gt;0),ABS(K77-L77)*P77*1,""),"")</f>
        <v/>
      </c>
      <c r="R77" s="20" t="str">
        <f>IF(AND(ISNUMBER(K77),ISNUMBER(P77)),K77*P77,"")</f>
        <v/>
      </c>
      <c r="S77" s="20" t="str">
        <f>IF(AND(D77="合约",ISNUMBER(R77),N(G77)&gt;0),R77/G77,"")</f>
        <v/>
      </c>
      <c r="T77" s="36" t="str">
        <f>IF(NOT(D77="合约"),"",IF(H77&lt;&gt;"逐仓","看平台",IF(AND(ISNUMBER(K77),N(G77)&gt;0),IF(F77="空",K77*(1+1/G77-IF(ISNUMBER(I77),I77,'参数'!$C$13)),K77*(1-1/G77+IF(ISNUMBER(I77),I77,'参数'!$C$13))),"")))</f>
        <v/>
      </c>
      <c r="U77" s="37" t="str">
        <f>IF(AND(ISNUMBER(T77),ISNUMBER(L77),ISNUMBER(K77)),IF(F77="空",T77-L77,L77-T77)/K77,"")</f>
        <v/>
      </c>
      <c r="V77" s="38" t="str">
        <f>IF(ISNUMBER(U77),IF(U77&lt;'参数'!$C$15,"先降杠杆或减量","在止损外"),"")</f>
        <v/>
      </c>
      <c r="W77" s="30" t="n"/>
      <c r="X77" s="31" t="n"/>
      <c r="Y77" s="39" t="str">
        <f>IF(N(AB77)&gt;0,SUMPRODUCT(LARGE(('成交明细'!$A$5:$A$804=A77)*('成交明细'!$D$5:$D$804=IF(F77="空","卖","买"))*'成交明细'!$B$5:$B$804,COUNTIFS('成交明细'!$A$5:$A$804,A77,'成交明细'!$D$5:$D$804,IF(F77="空","卖","买")))),"")</f>
        <v/>
      </c>
      <c r="Z77" s="39" t="str">
        <f>IF(AND(N(AB77)&gt;0,N(AD77)&gt;=N(AB77)),SUMPRODUCT(MAX(('成交明细'!$A$5:$A$804=A77)*('成交明细'!$D$5:$D$804=IF(F77="空","买","卖"))*'成交明细'!$B$5:$B$804)),"")</f>
        <v/>
      </c>
      <c r="AA77" s="40" t="str">
        <f>IF(N(AB77)=0,"",IF(SUMPRODUCT(('成交明细'!$A$5:$A$804=A77)*('成交明细'!$D$5:$D$804=IF(F77="空","卖","买"))*ISNUMBER('成交明细'!$C$5:$C$804))=0,"没填时间",IFERROR(VLOOKUP(MOD(SUMPRODUCT(LARGE(('成交明细'!$A$5:$A$804=A77)*('成交明细'!$D$5:$D$804=IF(F77="空","卖","买"))*('成交明细'!$B$5:$B$804+'成交明细'!$C$5:$C$804),COUNTIFS('成交明细'!$A$5:$A$804,A77,'成交明细'!$D$5:$D$804,IF(F77="空","卖","买")))),1),'参数'!$B$39:$C$48,2,TRUE),"")))</f>
        <v/>
      </c>
      <c r="AB77" s="34" t="str">
        <f>IF(A77="","",SUMIFS('成交明细'!$F$5:$F$804,'成交明细'!$A$5:$A$804,A77,'成交明细'!$D$5:$D$804,IF(F77="空","卖","买")))</f>
        <v/>
      </c>
      <c r="AC77" s="41" t="str">
        <f>IF(N(AB77)&gt;0,SUMIFS('成交明细'!$H$5:$H$804,'成交明细'!$A$5:$A$804,A77,'成交明细'!$D$5:$D$804,IF(F77="空","卖","买"))/AB77,"")</f>
        <v/>
      </c>
      <c r="AD77" s="34" t="str">
        <f>IF(A77="","",SUMIFS('成交明细'!$F$5:$F$804,'成交明细'!$A$5:$A$804,A77,'成交明细'!$D$5:$D$804,IF(F77="空","买","卖")))</f>
        <v/>
      </c>
      <c r="AE77" s="41" t="str">
        <f>IF(N(AD77)&gt;0,SUMIFS('成交明细'!$H$5:$H$804,'成交明细'!$A$5:$A$804,A77,'成交明细'!$D$5:$D$804,IF(F77="空","买","卖"))/AD77,"")</f>
        <v/>
      </c>
      <c r="AF77" s="38" t="str">
        <f>IF(A77="","",IF(X77&lt;&gt;"已执行",IF(X77="","未填执行情况",X77),IF(N(AB77)=0,"待录成交",IF(N(AD77)&gt;N(AB77),"平仓多于开仓",IF(N(AD77)&lt;N(AB77),"持仓中","已平仓")))))</f>
        <v/>
      </c>
      <c r="AG77" s="42" t="str">
        <f>IF(N(AB77)=0,"",SUMIFS('成交明细'!$L$5:$L$804,'成交明细'!$A$5:$A$804,A77))</f>
        <v/>
      </c>
      <c r="AH77" s="43" t="str">
        <f>IF(A77="","",SUMIFS('资金费流水'!$F$5:$F$604,'资金费流水'!$B$5:$B$604,A77))</f>
        <v/>
      </c>
      <c r="AI77" s="43" t="str">
        <f>IF(AF77&lt;&gt;"已平仓","",(SUMIFS('成交明细'!$H$5:$H$804,'成交明细'!$A$5:$A$804,A77,'成交明细'!$D$5:$D$804,"卖")-SUMIFS('成交明细'!$H$5:$H$804,'成交明细'!$A$5:$A$804,A77,'成交明细'!$D$5:$D$804,"买"))*1-AG77+N(AH77))</f>
        <v/>
      </c>
      <c r="AJ77" s="44" t="str">
        <f>IF(AND(AF77="已平仓",ISNUMBER(Q77)),(SUMIFS('成交明细'!$H$5:$H$804,'成交明细'!$A$5:$A$804,A77,'成交明细'!$D$5:$D$804,"卖")-SUMIFS('成交明细'!$H$5:$H$804,'成交明细'!$A$5:$A$804,A77,'成交明细'!$D$5:$D$804,"买"))*1/Q77,"")</f>
        <v/>
      </c>
      <c r="AK77" s="44" t="str">
        <f>IF(AND(AF77="已平仓",ISNUMBER(Q77)),AI77/Q77,"")</f>
        <v/>
      </c>
      <c r="AL77" s="45" t="str">
        <f>IF(AND(ISNUMBER(AC77),ISNUMBER(K77)),IF(F77="空",K77-AC77,AC77-K77),"")</f>
        <v/>
      </c>
      <c r="AM77" s="45" t="str">
        <f>IF(OR(NOT(ISNUMBER(AI77)),NOT(ISNUMBER(AE77))),"",IF(AI77&lt;0,IF(F77="空",AE77-L77,L77-AE77),IF(NOT(ISNUMBER(M77)),"",IF(F77="空",AE77-M77,M77-AE77))))</f>
        <v/>
      </c>
      <c r="AN77" s="31" t="n"/>
      <c r="AO77" s="31" t="n"/>
      <c r="AP77" s="30" t="n"/>
      <c r="AQ77" s="44" t="str">
        <f>IF(A77="","",SUM(AK$5:AK77))</f>
        <v/>
      </c>
      <c r="AR77" s="46" t="str">
        <f>IF(A77="","",MAX(0,MAX(AQ$5:AQ77))-AQ77)</f>
        <v/>
      </c>
    </row>
    <row r="78">
      <c r="A78" s="24" t="n"/>
      <c r="B78" s="29" t="n"/>
      <c r="C78" s="30" t="n"/>
      <c r="D78" s="31" t="n"/>
      <c r="E78" s="31" t="n"/>
      <c r="F78" s="31" t="n"/>
      <c r="G78" s="21" t="n"/>
      <c r="H78" s="31" t="n"/>
      <c r="I78" s="23" t="n"/>
      <c r="J78" s="31" t="n"/>
      <c r="K78" s="32" t="n"/>
      <c r="L78" s="32" t="n"/>
      <c r="M78" s="32" t="n"/>
      <c r="N78" s="33" t="str">
        <f>IF(AND(ISNUMBER(K78),ISNUMBER(L78),ISNUMBER(M78)),IF(OR(AND(F78="多",K78&gt;L78),AND(F78="空",K78&lt;L78)),ABS(M78-K78)/ABS(K78-L78),"止损方向不对"),"")</f>
        <v/>
      </c>
      <c r="O78" s="34" t="str">
        <f>IF(AND(ISNUMBER(K78),ISNUMBER(L78)),IF(K78=L78,"",IF(INT(ROUND('参数'!$C$7/(ABS(K78-L78)*1+2*K78*'参数'!$C$12)/IF(N(J78)&gt;0,J78,1),6))*IF(N(J78)&gt;0,J78,1)&gt;0,INT(ROUND('参数'!$C$7/(ABS(K78-L78)*1+2*K78*'参数'!$C$12)/IF(N(J78)&gt;0,J78,1),6))*IF(N(J78)&gt;0,J78,1),"预算不足，这笔不做")),"")</f>
        <v/>
      </c>
      <c r="P78" s="35" t="n"/>
      <c r="Q78" s="20" t="str">
        <f>IF(AND(ISNUMBER(K78),ISNUMBER(L78),ISNUMBER(P78)),IF(AND(K78&lt;&gt;L78,P78&gt;0),ABS(K78-L78)*P78*1,""),"")</f>
        <v/>
      </c>
      <c r="R78" s="20" t="str">
        <f>IF(AND(ISNUMBER(K78),ISNUMBER(P78)),K78*P78,"")</f>
        <v/>
      </c>
      <c r="S78" s="20" t="str">
        <f>IF(AND(D78="合约",ISNUMBER(R78),N(G78)&gt;0),R78/G78,"")</f>
        <v/>
      </c>
      <c r="T78" s="36" t="str">
        <f>IF(NOT(D78="合约"),"",IF(H78&lt;&gt;"逐仓","看平台",IF(AND(ISNUMBER(K78),N(G78)&gt;0),IF(F78="空",K78*(1+1/G78-IF(ISNUMBER(I78),I78,'参数'!$C$13)),K78*(1-1/G78+IF(ISNUMBER(I78),I78,'参数'!$C$13))),"")))</f>
        <v/>
      </c>
      <c r="U78" s="37" t="str">
        <f>IF(AND(ISNUMBER(T78),ISNUMBER(L78),ISNUMBER(K78)),IF(F78="空",T78-L78,L78-T78)/K78,"")</f>
        <v/>
      </c>
      <c r="V78" s="38" t="str">
        <f>IF(ISNUMBER(U78),IF(U78&lt;'参数'!$C$15,"先降杠杆或减量","在止损外"),"")</f>
        <v/>
      </c>
      <c r="W78" s="30" t="n"/>
      <c r="X78" s="31" t="n"/>
      <c r="Y78" s="39" t="str">
        <f>IF(N(AB78)&gt;0,SUMPRODUCT(LARGE(('成交明细'!$A$5:$A$804=A78)*('成交明细'!$D$5:$D$804=IF(F78="空","卖","买"))*'成交明细'!$B$5:$B$804,COUNTIFS('成交明细'!$A$5:$A$804,A78,'成交明细'!$D$5:$D$804,IF(F78="空","卖","买")))),"")</f>
        <v/>
      </c>
      <c r="Z78" s="39" t="str">
        <f>IF(AND(N(AB78)&gt;0,N(AD78)&gt;=N(AB78)),SUMPRODUCT(MAX(('成交明细'!$A$5:$A$804=A78)*('成交明细'!$D$5:$D$804=IF(F78="空","买","卖"))*'成交明细'!$B$5:$B$804)),"")</f>
        <v/>
      </c>
      <c r="AA78" s="40" t="str">
        <f>IF(N(AB78)=0,"",IF(SUMPRODUCT(('成交明细'!$A$5:$A$804=A78)*('成交明细'!$D$5:$D$804=IF(F78="空","卖","买"))*ISNUMBER('成交明细'!$C$5:$C$804))=0,"没填时间",IFERROR(VLOOKUP(MOD(SUMPRODUCT(LARGE(('成交明细'!$A$5:$A$804=A78)*('成交明细'!$D$5:$D$804=IF(F78="空","卖","买"))*('成交明细'!$B$5:$B$804+'成交明细'!$C$5:$C$804),COUNTIFS('成交明细'!$A$5:$A$804,A78,'成交明细'!$D$5:$D$804,IF(F78="空","卖","买")))),1),'参数'!$B$39:$C$48,2,TRUE),"")))</f>
        <v/>
      </c>
      <c r="AB78" s="34" t="str">
        <f>IF(A78="","",SUMIFS('成交明细'!$F$5:$F$804,'成交明细'!$A$5:$A$804,A78,'成交明细'!$D$5:$D$804,IF(F78="空","卖","买")))</f>
        <v/>
      </c>
      <c r="AC78" s="41" t="str">
        <f>IF(N(AB78)&gt;0,SUMIFS('成交明细'!$H$5:$H$804,'成交明细'!$A$5:$A$804,A78,'成交明细'!$D$5:$D$804,IF(F78="空","卖","买"))/AB78,"")</f>
        <v/>
      </c>
      <c r="AD78" s="34" t="str">
        <f>IF(A78="","",SUMIFS('成交明细'!$F$5:$F$804,'成交明细'!$A$5:$A$804,A78,'成交明细'!$D$5:$D$804,IF(F78="空","买","卖")))</f>
        <v/>
      </c>
      <c r="AE78" s="41" t="str">
        <f>IF(N(AD78)&gt;0,SUMIFS('成交明细'!$H$5:$H$804,'成交明细'!$A$5:$A$804,A78,'成交明细'!$D$5:$D$804,IF(F78="空","买","卖"))/AD78,"")</f>
        <v/>
      </c>
      <c r="AF78" s="38" t="str">
        <f>IF(A78="","",IF(X78&lt;&gt;"已执行",IF(X78="","未填执行情况",X78),IF(N(AB78)=0,"待录成交",IF(N(AD78)&gt;N(AB78),"平仓多于开仓",IF(N(AD78)&lt;N(AB78),"持仓中","已平仓")))))</f>
        <v/>
      </c>
      <c r="AG78" s="42" t="str">
        <f>IF(N(AB78)=0,"",SUMIFS('成交明细'!$L$5:$L$804,'成交明细'!$A$5:$A$804,A78))</f>
        <v/>
      </c>
      <c r="AH78" s="43" t="str">
        <f>IF(A78="","",SUMIFS('资金费流水'!$F$5:$F$604,'资金费流水'!$B$5:$B$604,A78))</f>
        <v/>
      </c>
      <c r="AI78" s="43" t="str">
        <f>IF(AF78&lt;&gt;"已平仓","",(SUMIFS('成交明细'!$H$5:$H$804,'成交明细'!$A$5:$A$804,A78,'成交明细'!$D$5:$D$804,"卖")-SUMIFS('成交明细'!$H$5:$H$804,'成交明细'!$A$5:$A$804,A78,'成交明细'!$D$5:$D$804,"买"))*1-AG78+N(AH78))</f>
        <v/>
      </c>
      <c r="AJ78" s="44" t="str">
        <f>IF(AND(AF78="已平仓",ISNUMBER(Q78)),(SUMIFS('成交明细'!$H$5:$H$804,'成交明细'!$A$5:$A$804,A78,'成交明细'!$D$5:$D$804,"卖")-SUMIFS('成交明细'!$H$5:$H$804,'成交明细'!$A$5:$A$804,A78,'成交明细'!$D$5:$D$804,"买"))*1/Q78,"")</f>
        <v/>
      </c>
      <c r="AK78" s="44" t="str">
        <f>IF(AND(AF78="已平仓",ISNUMBER(Q78)),AI78/Q78,"")</f>
        <v/>
      </c>
      <c r="AL78" s="45" t="str">
        <f>IF(AND(ISNUMBER(AC78),ISNUMBER(K78)),IF(F78="空",K78-AC78,AC78-K78),"")</f>
        <v/>
      </c>
      <c r="AM78" s="45" t="str">
        <f>IF(OR(NOT(ISNUMBER(AI78)),NOT(ISNUMBER(AE78))),"",IF(AI78&lt;0,IF(F78="空",AE78-L78,L78-AE78),IF(NOT(ISNUMBER(M78)),"",IF(F78="空",AE78-M78,M78-AE78))))</f>
        <v/>
      </c>
      <c r="AN78" s="31" t="n"/>
      <c r="AO78" s="31" t="n"/>
      <c r="AP78" s="30" t="n"/>
      <c r="AQ78" s="44" t="str">
        <f>IF(A78="","",SUM(AK$5:AK78))</f>
        <v/>
      </c>
      <c r="AR78" s="46" t="str">
        <f>IF(A78="","",MAX(0,MAX(AQ$5:AQ78))-AQ78)</f>
        <v/>
      </c>
    </row>
    <row r="79">
      <c r="A79" s="24" t="n"/>
      <c r="B79" s="29" t="n"/>
      <c r="C79" s="30" t="n"/>
      <c r="D79" s="31" t="n"/>
      <c r="E79" s="31" t="n"/>
      <c r="F79" s="31" t="n"/>
      <c r="G79" s="21" t="n"/>
      <c r="H79" s="31" t="n"/>
      <c r="I79" s="23" t="n"/>
      <c r="J79" s="31" t="n"/>
      <c r="K79" s="32" t="n"/>
      <c r="L79" s="32" t="n"/>
      <c r="M79" s="32" t="n"/>
      <c r="N79" s="33" t="str">
        <f>IF(AND(ISNUMBER(K79),ISNUMBER(L79),ISNUMBER(M79)),IF(OR(AND(F79="多",K79&gt;L79),AND(F79="空",K79&lt;L79)),ABS(M79-K79)/ABS(K79-L79),"止损方向不对"),"")</f>
        <v/>
      </c>
      <c r="O79" s="34" t="str">
        <f>IF(AND(ISNUMBER(K79),ISNUMBER(L79)),IF(K79=L79,"",IF(INT(ROUND('参数'!$C$7/(ABS(K79-L79)*1+2*K79*'参数'!$C$12)/IF(N(J79)&gt;0,J79,1),6))*IF(N(J79)&gt;0,J79,1)&gt;0,INT(ROUND('参数'!$C$7/(ABS(K79-L79)*1+2*K79*'参数'!$C$12)/IF(N(J79)&gt;0,J79,1),6))*IF(N(J79)&gt;0,J79,1),"预算不足，这笔不做")),"")</f>
        <v/>
      </c>
      <c r="P79" s="35" t="n"/>
      <c r="Q79" s="20" t="str">
        <f>IF(AND(ISNUMBER(K79),ISNUMBER(L79),ISNUMBER(P79)),IF(AND(K79&lt;&gt;L79,P79&gt;0),ABS(K79-L79)*P79*1,""),"")</f>
        <v/>
      </c>
      <c r="R79" s="20" t="str">
        <f>IF(AND(ISNUMBER(K79),ISNUMBER(P79)),K79*P79,"")</f>
        <v/>
      </c>
      <c r="S79" s="20" t="str">
        <f>IF(AND(D79="合约",ISNUMBER(R79),N(G79)&gt;0),R79/G79,"")</f>
        <v/>
      </c>
      <c r="T79" s="36" t="str">
        <f>IF(NOT(D79="合约"),"",IF(H79&lt;&gt;"逐仓","看平台",IF(AND(ISNUMBER(K79),N(G79)&gt;0),IF(F79="空",K79*(1+1/G79-IF(ISNUMBER(I79),I79,'参数'!$C$13)),K79*(1-1/G79+IF(ISNUMBER(I79),I79,'参数'!$C$13))),"")))</f>
        <v/>
      </c>
      <c r="U79" s="37" t="str">
        <f>IF(AND(ISNUMBER(T79),ISNUMBER(L79),ISNUMBER(K79)),IF(F79="空",T79-L79,L79-T79)/K79,"")</f>
        <v/>
      </c>
      <c r="V79" s="38" t="str">
        <f>IF(ISNUMBER(U79),IF(U79&lt;'参数'!$C$15,"先降杠杆或减量","在止损外"),"")</f>
        <v/>
      </c>
      <c r="W79" s="30" t="n"/>
      <c r="X79" s="31" t="n"/>
      <c r="Y79" s="39" t="str">
        <f>IF(N(AB79)&gt;0,SUMPRODUCT(LARGE(('成交明细'!$A$5:$A$804=A79)*('成交明细'!$D$5:$D$804=IF(F79="空","卖","买"))*'成交明细'!$B$5:$B$804,COUNTIFS('成交明细'!$A$5:$A$804,A79,'成交明细'!$D$5:$D$804,IF(F79="空","卖","买")))),"")</f>
        <v/>
      </c>
      <c r="Z79" s="39" t="str">
        <f>IF(AND(N(AB79)&gt;0,N(AD79)&gt;=N(AB79)),SUMPRODUCT(MAX(('成交明细'!$A$5:$A$804=A79)*('成交明细'!$D$5:$D$804=IF(F79="空","买","卖"))*'成交明细'!$B$5:$B$804)),"")</f>
        <v/>
      </c>
      <c r="AA79" s="40" t="str">
        <f>IF(N(AB79)=0,"",IF(SUMPRODUCT(('成交明细'!$A$5:$A$804=A79)*('成交明细'!$D$5:$D$804=IF(F79="空","卖","买"))*ISNUMBER('成交明细'!$C$5:$C$804))=0,"没填时间",IFERROR(VLOOKUP(MOD(SUMPRODUCT(LARGE(('成交明细'!$A$5:$A$804=A79)*('成交明细'!$D$5:$D$804=IF(F79="空","卖","买"))*('成交明细'!$B$5:$B$804+'成交明细'!$C$5:$C$804),COUNTIFS('成交明细'!$A$5:$A$804,A79,'成交明细'!$D$5:$D$804,IF(F79="空","卖","买")))),1),'参数'!$B$39:$C$48,2,TRUE),"")))</f>
        <v/>
      </c>
      <c r="AB79" s="34" t="str">
        <f>IF(A79="","",SUMIFS('成交明细'!$F$5:$F$804,'成交明细'!$A$5:$A$804,A79,'成交明细'!$D$5:$D$804,IF(F79="空","卖","买")))</f>
        <v/>
      </c>
      <c r="AC79" s="41" t="str">
        <f>IF(N(AB79)&gt;0,SUMIFS('成交明细'!$H$5:$H$804,'成交明细'!$A$5:$A$804,A79,'成交明细'!$D$5:$D$804,IF(F79="空","卖","买"))/AB79,"")</f>
        <v/>
      </c>
      <c r="AD79" s="34" t="str">
        <f>IF(A79="","",SUMIFS('成交明细'!$F$5:$F$804,'成交明细'!$A$5:$A$804,A79,'成交明细'!$D$5:$D$804,IF(F79="空","买","卖")))</f>
        <v/>
      </c>
      <c r="AE79" s="41" t="str">
        <f>IF(N(AD79)&gt;0,SUMIFS('成交明细'!$H$5:$H$804,'成交明细'!$A$5:$A$804,A79,'成交明细'!$D$5:$D$804,IF(F79="空","买","卖"))/AD79,"")</f>
        <v/>
      </c>
      <c r="AF79" s="38" t="str">
        <f>IF(A79="","",IF(X79&lt;&gt;"已执行",IF(X79="","未填执行情况",X79),IF(N(AB79)=0,"待录成交",IF(N(AD79)&gt;N(AB79),"平仓多于开仓",IF(N(AD79)&lt;N(AB79),"持仓中","已平仓")))))</f>
        <v/>
      </c>
      <c r="AG79" s="42" t="str">
        <f>IF(N(AB79)=0,"",SUMIFS('成交明细'!$L$5:$L$804,'成交明细'!$A$5:$A$804,A79))</f>
        <v/>
      </c>
      <c r="AH79" s="43" t="str">
        <f>IF(A79="","",SUMIFS('资金费流水'!$F$5:$F$604,'资金费流水'!$B$5:$B$604,A79))</f>
        <v/>
      </c>
      <c r="AI79" s="43" t="str">
        <f>IF(AF79&lt;&gt;"已平仓","",(SUMIFS('成交明细'!$H$5:$H$804,'成交明细'!$A$5:$A$804,A79,'成交明细'!$D$5:$D$804,"卖")-SUMIFS('成交明细'!$H$5:$H$804,'成交明细'!$A$5:$A$804,A79,'成交明细'!$D$5:$D$804,"买"))*1-AG79+N(AH79))</f>
        <v/>
      </c>
      <c r="AJ79" s="44" t="str">
        <f>IF(AND(AF79="已平仓",ISNUMBER(Q79)),(SUMIFS('成交明细'!$H$5:$H$804,'成交明细'!$A$5:$A$804,A79,'成交明细'!$D$5:$D$804,"卖")-SUMIFS('成交明细'!$H$5:$H$804,'成交明细'!$A$5:$A$804,A79,'成交明细'!$D$5:$D$804,"买"))*1/Q79,"")</f>
        <v/>
      </c>
      <c r="AK79" s="44" t="str">
        <f>IF(AND(AF79="已平仓",ISNUMBER(Q79)),AI79/Q79,"")</f>
        <v/>
      </c>
      <c r="AL79" s="45" t="str">
        <f>IF(AND(ISNUMBER(AC79),ISNUMBER(K79)),IF(F79="空",K79-AC79,AC79-K79),"")</f>
        <v/>
      </c>
      <c r="AM79" s="45" t="str">
        <f>IF(OR(NOT(ISNUMBER(AI79)),NOT(ISNUMBER(AE79))),"",IF(AI79&lt;0,IF(F79="空",AE79-L79,L79-AE79),IF(NOT(ISNUMBER(M79)),"",IF(F79="空",AE79-M79,M79-AE79))))</f>
        <v/>
      </c>
      <c r="AN79" s="31" t="n"/>
      <c r="AO79" s="31" t="n"/>
      <c r="AP79" s="30" t="n"/>
      <c r="AQ79" s="44" t="str">
        <f>IF(A79="","",SUM(AK$5:AK79))</f>
        <v/>
      </c>
      <c r="AR79" s="46" t="str">
        <f>IF(A79="","",MAX(0,MAX(AQ$5:AQ79))-AQ79)</f>
        <v/>
      </c>
    </row>
    <row r="80">
      <c r="A80" s="24" t="n"/>
      <c r="B80" s="29" t="n"/>
      <c r="C80" s="30" t="n"/>
      <c r="D80" s="31" t="n"/>
      <c r="E80" s="31" t="n"/>
      <c r="F80" s="31" t="n"/>
      <c r="G80" s="21" t="n"/>
      <c r="H80" s="31" t="n"/>
      <c r="I80" s="23" t="n"/>
      <c r="J80" s="31" t="n"/>
      <c r="K80" s="32" t="n"/>
      <c r="L80" s="32" t="n"/>
      <c r="M80" s="32" t="n"/>
      <c r="N80" s="33" t="str">
        <f>IF(AND(ISNUMBER(K80),ISNUMBER(L80),ISNUMBER(M80)),IF(OR(AND(F80="多",K80&gt;L80),AND(F80="空",K80&lt;L80)),ABS(M80-K80)/ABS(K80-L80),"止损方向不对"),"")</f>
        <v/>
      </c>
      <c r="O80" s="34" t="str">
        <f>IF(AND(ISNUMBER(K80),ISNUMBER(L80)),IF(K80=L80,"",IF(INT(ROUND('参数'!$C$7/(ABS(K80-L80)*1+2*K80*'参数'!$C$12)/IF(N(J80)&gt;0,J80,1),6))*IF(N(J80)&gt;0,J80,1)&gt;0,INT(ROUND('参数'!$C$7/(ABS(K80-L80)*1+2*K80*'参数'!$C$12)/IF(N(J80)&gt;0,J80,1),6))*IF(N(J80)&gt;0,J80,1),"预算不足，这笔不做")),"")</f>
        <v/>
      </c>
      <c r="P80" s="35" t="n"/>
      <c r="Q80" s="20" t="str">
        <f>IF(AND(ISNUMBER(K80),ISNUMBER(L80),ISNUMBER(P80)),IF(AND(K80&lt;&gt;L80,P80&gt;0),ABS(K80-L80)*P80*1,""),"")</f>
        <v/>
      </c>
      <c r="R80" s="20" t="str">
        <f>IF(AND(ISNUMBER(K80),ISNUMBER(P80)),K80*P80,"")</f>
        <v/>
      </c>
      <c r="S80" s="20" t="str">
        <f>IF(AND(D80="合约",ISNUMBER(R80),N(G80)&gt;0),R80/G80,"")</f>
        <v/>
      </c>
      <c r="T80" s="36" t="str">
        <f>IF(NOT(D80="合约"),"",IF(H80&lt;&gt;"逐仓","看平台",IF(AND(ISNUMBER(K80),N(G80)&gt;0),IF(F80="空",K80*(1+1/G80-IF(ISNUMBER(I80),I80,'参数'!$C$13)),K80*(1-1/G80+IF(ISNUMBER(I80),I80,'参数'!$C$13))),"")))</f>
        <v/>
      </c>
      <c r="U80" s="37" t="str">
        <f>IF(AND(ISNUMBER(T80),ISNUMBER(L80),ISNUMBER(K80)),IF(F80="空",T80-L80,L80-T80)/K80,"")</f>
        <v/>
      </c>
      <c r="V80" s="38" t="str">
        <f>IF(ISNUMBER(U80),IF(U80&lt;'参数'!$C$15,"先降杠杆或减量","在止损外"),"")</f>
        <v/>
      </c>
      <c r="W80" s="30" t="n"/>
      <c r="X80" s="31" t="n"/>
      <c r="Y80" s="39" t="str">
        <f>IF(N(AB80)&gt;0,SUMPRODUCT(LARGE(('成交明细'!$A$5:$A$804=A80)*('成交明细'!$D$5:$D$804=IF(F80="空","卖","买"))*'成交明细'!$B$5:$B$804,COUNTIFS('成交明细'!$A$5:$A$804,A80,'成交明细'!$D$5:$D$804,IF(F80="空","卖","买")))),"")</f>
        <v/>
      </c>
      <c r="Z80" s="39" t="str">
        <f>IF(AND(N(AB80)&gt;0,N(AD80)&gt;=N(AB80)),SUMPRODUCT(MAX(('成交明细'!$A$5:$A$804=A80)*('成交明细'!$D$5:$D$804=IF(F80="空","买","卖"))*'成交明细'!$B$5:$B$804)),"")</f>
        <v/>
      </c>
      <c r="AA80" s="40" t="str">
        <f>IF(N(AB80)=0,"",IF(SUMPRODUCT(('成交明细'!$A$5:$A$804=A80)*('成交明细'!$D$5:$D$804=IF(F80="空","卖","买"))*ISNUMBER('成交明细'!$C$5:$C$804))=0,"没填时间",IFERROR(VLOOKUP(MOD(SUMPRODUCT(LARGE(('成交明细'!$A$5:$A$804=A80)*('成交明细'!$D$5:$D$804=IF(F80="空","卖","买"))*('成交明细'!$B$5:$B$804+'成交明细'!$C$5:$C$804),COUNTIFS('成交明细'!$A$5:$A$804,A80,'成交明细'!$D$5:$D$804,IF(F80="空","卖","买")))),1),'参数'!$B$39:$C$48,2,TRUE),"")))</f>
        <v/>
      </c>
      <c r="AB80" s="34" t="str">
        <f>IF(A80="","",SUMIFS('成交明细'!$F$5:$F$804,'成交明细'!$A$5:$A$804,A80,'成交明细'!$D$5:$D$804,IF(F80="空","卖","买")))</f>
        <v/>
      </c>
      <c r="AC80" s="41" t="str">
        <f>IF(N(AB80)&gt;0,SUMIFS('成交明细'!$H$5:$H$804,'成交明细'!$A$5:$A$804,A80,'成交明细'!$D$5:$D$804,IF(F80="空","卖","买"))/AB80,"")</f>
        <v/>
      </c>
      <c r="AD80" s="34" t="str">
        <f>IF(A80="","",SUMIFS('成交明细'!$F$5:$F$804,'成交明细'!$A$5:$A$804,A80,'成交明细'!$D$5:$D$804,IF(F80="空","买","卖")))</f>
        <v/>
      </c>
      <c r="AE80" s="41" t="str">
        <f>IF(N(AD80)&gt;0,SUMIFS('成交明细'!$H$5:$H$804,'成交明细'!$A$5:$A$804,A80,'成交明细'!$D$5:$D$804,IF(F80="空","买","卖"))/AD80,"")</f>
        <v/>
      </c>
      <c r="AF80" s="38" t="str">
        <f>IF(A80="","",IF(X80&lt;&gt;"已执行",IF(X80="","未填执行情况",X80),IF(N(AB80)=0,"待录成交",IF(N(AD80)&gt;N(AB80),"平仓多于开仓",IF(N(AD80)&lt;N(AB80),"持仓中","已平仓")))))</f>
        <v/>
      </c>
      <c r="AG80" s="42" t="str">
        <f>IF(N(AB80)=0,"",SUMIFS('成交明细'!$L$5:$L$804,'成交明细'!$A$5:$A$804,A80))</f>
        <v/>
      </c>
      <c r="AH80" s="43" t="str">
        <f>IF(A80="","",SUMIFS('资金费流水'!$F$5:$F$604,'资金费流水'!$B$5:$B$604,A80))</f>
        <v/>
      </c>
      <c r="AI80" s="43" t="str">
        <f>IF(AF80&lt;&gt;"已平仓","",(SUMIFS('成交明细'!$H$5:$H$804,'成交明细'!$A$5:$A$804,A80,'成交明细'!$D$5:$D$804,"卖")-SUMIFS('成交明细'!$H$5:$H$804,'成交明细'!$A$5:$A$804,A80,'成交明细'!$D$5:$D$804,"买"))*1-AG80+N(AH80))</f>
        <v/>
      </c>
      <c r="AJ80" s="44" t="str">
        <f>IF(AND(AF80="已平仓",ISNUMBER(Q80)),(SUMIFS('成交明细'!$H$5:$H$804,'成交明细'!$A$5:$A$804,A80,'成交明细'!$D$5:$D$804,"卖")-SUMIFS('成交明细'!$H$5:$H$804,'成交明细'!$A$5:$A$804,A80,'成交明细'!$D$5:$D$804,"买"))*1/Q80,"")</f>
        <v/>
      </c>
      <c r="AK80" s="44" t="str">
        <f>IF(AND(AF80="已平仓",ISNUMBER(Q80)),AI80/Q80,"")</f>
        <v/>
      </c>
      <c r="AL80" s="45" t="str">
        <f>IF(AND(ISNUMBER(AC80),ISNUMBER(K80)),IF(F80="空",K80-AC80,AC80-K80),"")</f>
        <v/>
      </c>
      <c r="AM80" s="45" t="str">
        <f>IF(OR(NOT(ISNUMBER(AI80)),NOT(ISNUMBER(AE80))),"",IF(AI80&lt;0,IF(F80="空",AE80-L80,L80-AE80),IF(NOT(ISNUMBER(M80)),"",IF(F80="空",AE80-M80,M80-AE80))))</f>
        <v/>
      </c>
      <c r="AN80" s="31" t="n"/>
      <c r="AO80" s="31" t="n"/>
      <c r="AP80" s="30" t="n"/>
      <c r="AQ80" s="44" t="str">
        <f>IF(A80="","",SUM(AK$5:AK80))</f>
        <v/>
      </c>
      <c r="AR80" s="46" t="str">
        <f>IF(A80="","",MAX(0,MAX(AQ$5:AQ80))-AQ80)</f>
        <v/>
      </c>
    </row>
    <row r="81">
      <c r="A81" s="24" t="n"/>
      <c r="B81" s="29" t="n"/>
      <c r="C81" s="30" t="n"/>
      <c r="D81" s="31" t="n"/>
      <c r="E81" s="31" t="n"/>
      <c r="F81" s="31" t="n"/>
      <c r="G81" s="21" t="n"/>
      <c r="H81" s="31" t="n"/>
      <c r="I81" s="23" t="n"/>
      <c r="J81" s="31" t="n"/>
      <c r="K81" s="32" t="n"/>
      <c r="L81" s="32" t="n"/>
      <c r="M81" s="32" t="n"/>
      <c r="N81" s="33" t="str">
        <f>IF(AND(ISNUMBER(K81),ISNUMBER(L81),ISNUMBER(M81)),IF(OR(AND(F81="多",K81&gt;L81),AND(F81="空",K81&lt;L81)),ABS(M81-K81)/ABS(K81-L81),"止损方向不对"),"")</f>
        <v/>
      </c>
      <c r="O81" s="34" t="str">
        <f>IF(AND(ISNUMBER(K81),ISNUMBER(L81)),IF(K81=L81,"",IF(INT(ROUND('参数'!$C$7/(ABS(K81-L81)*1+2*K81*'参数'!$C$12)/IF(N(J81)&gt;0,J81,1),6))*IF(N(J81)&gt;0,J81,1)&gt;0,INT(ROUND('参数'!$C$7/(ABS(K81-L81)*1+2*K81*'参数'!$C$12)/IF(N(J81)&gt;0,J81,1),6))*IF(N(J81)&gt;0,J81,1),"预算不足，这笔不做")),"")</f>
        <v/>
      </c>
      <c r="P81" s="35" t="n"/>
      <c r="Q81" s="20" t="str">
        <f>IF(AND(ISNUMBER(K81),ISNUMBER(L81),ISNUMBER(P81)),IF(AND(K81&lt;&gt;L81,P81&gt;0),ABS(K81-L81)*P81*1,""),"")</f>
        <v/>
      </c>
      <c r="R81" s="20" t="str">
        <f>IF(AND(ISNUMBER(K81),ISNUMBER(P81)),K81*P81,"")</f>
        <v/>
      </c>
      <c r="S81" s="20" t="str">
        <f>IF(AND(D81="合约",ISNUMBER(R81),N(G81)&gt;0),R81/G81,"")</f>
        <v/>
      </c>
      <c r="T81" s="36" t="str">
        <f>IF(NOT(D81="合约"),"",IF(H81&lt;&gt;"逐仓","看平台",IF(AND(ISNUMBER(K81),N(G81)&gt;0),IF(F81="空",K81*(1+1/G81-IF(ISNUMBER(I81),I81,'参数'!$C$13)),K81*(1-1/G81+IF(ISNUMBER(I81),I81,'参数'!$C$13))),"")))</f>
        <v/>
      </c>
      <c r="U81" s="37" t="str">
        <f>IF(AND(ISNUMBER(T81),ISNUMBER(L81),ISNUMBER(K81)),IF(F81="空",T81-L81,L81-T81)/K81,"")</f>
        <v/>
      </c>
      <c r="V81" s="38" t="str">
        <f>IF(ISNUMBER(U81),IF(U81&lt;'参数'!$C$15,"先降杠杆或减量","在止损外"),"")</f>
        <v/>
      </c>
      <c r="W81" s="30" t="n"/>
      <c r="X81" s="31" t="n"/>
      <c r="Y81" s="39" t="str">
        <f>IF(N(AB81)&gt;0,SUMPRODUCT(LARGE(('成交明细'!$A$5:$A$804=A81)*('成交明细'!$D$5:$D$804=IF(F81="空","卖","买"))*'成交明细'!$B$5:$B$804,COUNTIFS('成交明细'!$A$5:$A$804,A81,'成交明细'!$D$5:$D$804,IF(F81="空","卖","买")))),"")</f>
        <v/>
      </c>
      <c r="Z81" s="39" t="str">
        <f>IF(AND(N(AB81)&gt;0,N(AD81)&gt;=N(AB81)),SUMPRODUCT(MAX(('成交明细'!$A$5:$A$804=A81)*('成交明细'!$D$5:$D$804=IF(F81="空","买","卖"))*'成交明细'!$B$5:$B$804)),"")</f>
        <v/>
      </c>
      <c r="AA81" s="40" t="str">
        <f>IF(N(AB81)=0,"",IF(SUMPRODUCT(('成交明细'!$A$5:$A$804=A81)*('成交明细'!$D$5:$D$804=IF(F81="空","卖","买"))*ISNUMBER('成交明细'!$C$5:$C$804))=0,"没填时间",IFERROR(VLOOKUP(MOD(SUMPRODUCT(LARGE(('成交明细'!$A$5:$A$804=A81)*('成交明细'!$D$5:$D$804=IF(F81="空","卖","买"))*('成交明细'!$B$5:$B$804+'成交明细'!$C$5:$C$804),COUNTIFS('成交明细'!$A$5:$A$804,A81,'成交明细'!$D$5:$D$804,IF(F81="空","卖","买")))),1),'参数'!$B$39:$C$48,2,TRUE),"")))</f>
        <v/>
      </c>
      <c r="AB81" s="34" t="str">
        <f>IF(A81="","",SUMIFS('成交明细'!$F$5:$F$804,'成交明细'!$A$5:$A$804,A81,'成交明细'!$D$5:$D$804,IF(F81="空","卖","买")))</f>
        <v/>
      </c>
      <c r="AC81" s="41" t="str">
        <f>IF(N(AB81)&gt;0,SUMIFS('成交明细'!$H$5:$H$804,'成交明细'!$A$5:$A$804,A81,'成交明细'!$D$5:$D$804,IF(F81="空","卖","买"))/AB81,"")</f>
        <v/>
      </c>
      <c r="AD81" s="34" t="str">
        <f>IF(A81="","",SUMIFS('成交明细'!$F$5:$F$804,'成交明细'!$A$5:$A$804,A81,'成交明细'!$D$5:$D$804,IF(F81="空","买","卖")))</f>
        <v/>
      </c>
      <c r="AE81" s="41" t="str">
        <f>IF(N(AD81)&gt;0,SUMIFS('成交明细'!$H$5:$H$804,'成交明细'!$A$5:$A$804,A81,'成交明细'!$D$5:$D$804,IF(F81="空","买","卖"))/AD81,"")</f>
        <v/>
      </c>
      <c r="AF81" s="38" t="str">
        <f>IF(A81="","",IF(X81&lt;&gt;"已执行",IF(X81="","未填执行情况",X81),IF(N(AB81)=0,"待录成交",IF(N(AD81)&gt;N(AB81),"平仓多于开仓",IF(N(AD81)&lt;N(AB81),"持仓中","已平仓")))))</f>
        <v/>
      </c>
      <c r="AG81" s="42" t="str">
        <f>IF(N(AB81)=0,"",SUMIFS('成交明细'!$L$5:$L$804,'成交明细'!$A$5:$A$804,A81))</f>
        <v/>
      </c>
      <c r="AH81" s="43" t="str">
        <f>IF(A81="","",SUMIFS('资金费流水'!$F$5:$F$604,'资金费流水'!$B$5:$B$604,A81))</f>
        <v/>
      </c>
      <c r="AI81" s="43" t="str">
        <f>IF(AF81&lt;&gt;"已平仓","",(SUMIFS('成交明细'!$H$5:$H$804,'成交明细'!$A$5:$A$804,A81,'成交明细'!$D$5:$D$804,"卖")-SUMIFS('成交明细'!$H$5:$H$804,'成交明细'!$A$5:$A$804,A81,'成交明细'!$D$5:$D$804,"买"))*1-AG81+N(AH81))</f>
        <v/>
      </c>
      <c r="AJ81" s="44" t="str">
        <f>IF(AND(AF81="已平仓",ISNUMBER(Q81)),(SUMIFS('成交明细'!$H$5:$H$804,'成交明细'!$A$5:$A$804,A81,'成交明细'!$D$5:$D$804,"卖")-SUMIFS('成交明细'!$H$5:$H$804,'成交明细'!$A$5:$A$804,A81,'成交明细'!$D$5:$D$804,"买"))*1/Q81,"")</f>
        <v/>
      </c>
      <c r="AK81" s="44" t="str">
        <f>IF(AND(AF81="已平仓",ISNUMBER(Q81)),AI81/Q81,"")</f>
        <v/>
      </c>
      <c r="AL81" s="45" t="str">
        <f>IF(AND(ISNUMBER(AC81),ISNUMBER(K81)),IF(F81="空",K81-AC81,AC81-K81),"")</f>
        <v/>
      </c>
      <c r="AM81" s="45" t="str">
        <f>IF(OR(NOT(ISNUMBER(AI81)),NOT(ISNUMBER(AE81))),"",IF(AI81&lt;0,IF(F81="空",AE81-L81,L81-AE81),IF(NOT(ISNUMBER(M81)),"",IF(F81="空",AE81-M81,M81-AE81))))</f>
        <v/>
      </c>
      <c r="AN81" s="31" t="n"/>
      <c r="AO81" s="31" t="n"/>
      <c r="AP81" s="30" t="n"/>
      <c r="AQ81" s="44" t="str">
        <f>IF(A81="","",SUM(AK$5:AK81))</f>
        <v/>
      </c>
      <c r="AR81" s="46" t="str">
        <f>IF(A81="","",MAX(0,MAX(AQ$5:AQ81))-AQ81)</f>
        <v/>
      </c>
    </row>
    <row r="82">
      <c r="A82" s="24" t="n"/>
      <c r="B82" s="29" t="n"/>
      <c r="C82" s="30" t="n"/>
      <c r="D82" s="31" t="n"/>
      <c r="E82" s="31" t="n"/>
      <c r="F82" s="31" t="n"/>
      <c r="G82" s="21" t="n"/>
      <c r="H82" s="31" t="n"/>
      <c r="I82" s="23" t="n"/>
      <c r="J82" s="31" t="n"/>
      <c r="K82" s="32" t="n"/>
      <c r="L82" s="32" t="n"/>
      <c r="M82" s="32" t="n"/>
      <c r="N82" s="33" t="str">
        <f>IF(AND(ISNUMBER(K82),ISNUMBER(L82),ISNUMBER(M82)),IF(OR(AND(F82="多",K82&gt;L82),AND(F82="空",K82&lt;L82)),ABS(M82-K82)/ABS(K82-L82),"止损方向不对"),"")</f>
        <v/>
      </c>
      <c r="O82" s="34" t="str">
        <f>IF(AND(ISNUMBER(K82),ISNUMBER(L82)),IF(K82=L82,"",IF(INT(ROUND('参数'!$C$7/(ABS(K82-L82)*1+2*K82*'参数'!$C$12)/IF(N(J82)&gt;0,J82,1),6))*IF(N(J82)&gt;0,J82,1)&gt;0,INT(ROUND('参数'!$C$7/(ABS(K82-L82)*1+2*K82*'参数'!$C$12)/IF(N(J82)&gt;0,J82,1),6))*IF(N(J82)&gt;0,J82,1),"预算不足，这笔不做")),"")</f>
        <v/>
      </c>
      <c r="P82" s="35" t="n"/>
      <c r="Q82" s="20" t="str">
        <f>IF(AND(ISNUMBER(K82),ISNUMBER(L82),ISNUMBER(P82)),IF(AND(K82&lt;&gt;L82,P82&gt;0),ABS(K82-L82)*P82*1,""),"")</f>
        <v/>
      </c>
      <c r="R82" s="20" t="str">
        <f>IF(AND(ISNUMBER(K82),ISNUMBER(P82)),K82*P82,"")</f>
        <v/>
      </c>
      <c r="S82" s="20" t="str">
        <f>IF(AND(D82="合约",ISNUMBER(R82),N(G82)&gt;0),R82/G82,"")</f>
        <v/>
      </c>
      <c r="T82" s="36" t="str">
        <f>IF(NOT(D82="合约"),"",IF(H82&lt;&gt;"逐仓","看平台",IF(AND(ISNUMBER(K82),N(G82)&gt;0),IF(F82="空",K82*(1+1/G82-IF(ISNUMBER(I82),I82,'参数'!$C$13)),K82*(1-1/G82+IF(ISNUMBER(I82),I82,'参数'!$C$13))),"")))</f>
        <v/>
      </c>
      <c r="U82" s="37" t="str">
        <f>IF(AND(ISNUMBER(T82),ISNUMBER(L82),ISNUMBER(K82)),IF(F82="空",T82-L82,L82-T82)/K82,"")</f>
        <v/>
      </c>
      <c r="V82" s="38" t="str">
        <f>IF(ISNUMBER(U82),IF(U82&lt;'参数'!$C$15,"先降杠杆或减量","在止损外"),"")</f>
        <v/>
      </c>
      <c r="W82" s="30" t="n"/>
      <c r="X82" s="31" t="n"/>
      <c r="Y82" s="39" t="str">
        <f>IF(N(AB82)&gt;0,SUMPRODUCT(LARGE(('成交明细'!$A$5:$A$804=A82)*('成交明细'!$D$5:$D$804=IF(F82="空","卖","买"))*'成交明细'!$B$5:$B$804,COUNTIFS('成交明细'!$A$5:$A$804,A82,'成交明细'!$D$5:$D$804,IF(F82="空","卖","买")))),"")</f>
        <v/>
      </c>
      <c r="Z82" s="39" t="str">
        <f>IF(AND(N(AB82)&gt;0,N(AD82)&gt;=N(AB82)),SUMPRODUCT(MAX(('成交明细'!$A$5:$A$804=A82)*('成交明细'!$D$5:$D$804=IF(F82="空","买","卖"))*'成交明细'!$B$5:$B$804)),"")</f>
        <v/>
      </c>
      <c r="AA82" s="40" t="str">
        <f>IF(N(AB82)=0,"",IF(SUMPRODUCT(('成交明细'!$A$5:$A$804=A82)*('成交明细'!$D$5:$D$804=IF(F82="空","卖","买"))*ISNUMBER('成交明细'!$C$5:$C$804))=0,"没填时间",IFERROR(VLOOKUP(MOD(SUMPRODUCT(LARGE(('成交明细'!$A$5:$A$804=A82)*('成交明细'!$D$5:$D$804=IF(F82="空","卖","买"))*('成交明细'!$B$5:$B$804+'成交明细'!$C$5:$C$804),COUNTIFS('成交明细'!$A$5:$A$804,A82,'成交明细'!$D$5:$D$804,IF(F82="空","卖","买")))),1),'参数'!$B$39:$C$48,2,TRUE),"")))</f>
        <v/>
      </c>
      <c r="AB82" s="34" t="str">
        <f>IF(A82="","",SUMIFS('成交明细'!$F$5:$F$804,'成交明细'!$A$5:$A$804,A82,'成交明细'!$D$5:$D$804,IF(F82="空","卖","买")))</f>
        <v/>
      </c>
      <c r="AC82" s="41" t="str">
        <f>IF(N(AB82)&gt;0,SUMIFS('成交明细'!$H$5:$H$804,'成交明细'!$A$5:$A$804,A82,'成交明细'!$D$5:$D$804,IF(F82="空","卖","买"))/AB82,"")</f>
        <v/>
      </c>
      <c r="AD82" s="34" t="str">
        <f>IF(A82="","",SUMIFS('成交明细'!$F$5:$F$804,'成交明细'!$A$5:$A$804,A82,'成交明细'!$D$5:$D$804,IF(F82="空","买","卖")))</f>
        <v/>
      </c>
      <c r="AE82" s="41" t="str">
        <f>IF(N(AD82)&gt;0,SUMIFS('成交明细'!$H$5:$H$804,'成交明细'!$A$5:$A$804,A82,'成交明细'!$D$5:$D$804,IF(F82="空","买","卖"))/AD82,"")</f>
        <v/>
      </c>
      <c r="AF82" s="38" t="str">
        <f>IF(A82="","",IF(X82&lt;&gt;"已执行",IF(X82="","未填执行情况",X82),IF(N(AB82)=0,"待录成交",IF(N(AD82)&gt;N(AB82),"平仓多于开仓",IF(N(AD82)&lt;N(AB82),"持仓中","已平仓")))))</f>
        <v/>
      </c>
      <c r="AG82" s="42" t="str">
        <f>IF(N(AB82)=0,"",SUMIFS('成交明细'!$L$5:$L$804,'成交明细'!$A$5:$A$804,A82))</f>
        <v/>
      </c>
      <c r="AH82" s="43" t="str">
        <f>IF(A82="","",SUMIFS('资金费流水'!$F$5:$F$604,'资金费流水'!$B$5:$B$604,A82))</f>
        <v/>
      </c>
      <c r="AI82" s="43" t="str">
        <f>IF(AF82&lt;&gt;"已平仓","",(SUMIFS('成交明细'!$H$5:$H$804,'成交明细'!$A$5:$A$804,A82,'成交明细'!$D$5:$D$804,"卖")-SUMIFS('成交明细'!$H$5:$H$804,'成交明细'!$A$5:$A$804,A82,'成交明细'!$D$5:$D$804,"买"))*1-AG82+N(AH82))</f>
        <v/>
      </c>
      <c r="AJ82" s="44" t="str">
        <f>IF(AND(AF82="已平仓",ISNUMBER(Q82)),(SUMIFS('成交明细'!$H$5:$H$804,'成交明细'!$A$5:$A$804,A82,'成交明细'!$D$5:$D$804,"卖")-SUMIFS('成交明细'!$H$5:$H$804,'成交明细'!$A$5:$A$804,A82,'成交明细'!$D$5:$D$804,"买"))*1/Q82,"")</f>
        <v/>
      </c>
      <c r="AK82" s="44" t="str">
        <f>IF(AND(AF82="已平仓",ISNUMBER(Q82)),AI82/Q82,"")</f>
        <v/>
      </c>
      <c r="AL82" s="45" t="str">
        <f>IF(AND(ISNUMBER(AC82),ISNUMBER(K82)),IF(F82="空",K82-AC82,AC82-K82),"")</f>
        <v/>
      </c>
      <c r="AM82" s="45" t="str">
        <f>IF(OR(NOT(ISNUMBER(AI82)),NOT(ISNUMBER(AE82))),"",IF(AI82&lt;0,IF(F82="空",AE82-L82,L82-AE82),IF(NOT(ISNUMBER(M82)),"",IF(F82="空",AE82-M82,M82-AE82))))</f>
        <v/>
      </c>
      <c r="AN82" s="31" t="n"/>
      <c r="AO82" s="31" t="n"/>
      <c r="AP82" s="30" t="n"/>
      <c r="AQ82" s="44" t="str">
        <f>IF(A82="","",SUM(AK$5:AK82))</f>
        <v/>
      </c>
      <c r="AR82" s="46" t="str">
        <f>IF(A82="","",MAX(0,MAX(AQ$5:AQ82))-AQ82)</f>
        <v/>
      </c>
    </row>
    <row r="83">
      <c r="A83" s="24" t="n"/>
      <c r="B83" s="29" t="n"/>
      <c r="C83" s="30" t="n"/>
      <c r="D83" s="31" t="n"/>
      <c r="E83" s="31" t="n"/>
      <c r="F83" s="31" t="n"/>
      <c r="G83" s="21" t="n"/>
      <c r="H83" s="31" t="n"/>
      <c r="I83" s="23" t="n"/>
      <c r="J83" s="31" t="n"/>
      <c r="K83" s="32" t="n"/>
      <c r="L83" s="32" t="n"/>
      <c r="M83" s="32" t="n"/>
      <c r="N83" s="33" t="str">
        <f>IF(AND(ISNUMBER(K83),ISNUMBER(L83),ISNUMBER(M83)),IF(OR(AND(F83="多",K83&gt;L83),AND(F83="空",K83&lt;L83)),ABS(M83-K83)/ABS(K83-L83),"止损方向不对"),"")</f>
        <v/>
      </c>
      <c r="O83" s="34" t="str">
        <f>IF(AND(ISNUMBER(K83),ISNUMBER(L83)),IF(K83=L83,"",IF(INT(ROUND('参数'!$C$7/(ABS(K83-L83)*1+2*K83*'参数'!$C$12)/IF(N(J83)&gt;0,J83,1),6))*IF(N(J83)&gt;0,J83,1)&gt;0,INT(ROUND('参数'!$C$7/(ABS(K83-L83)*1+2*K83*'参数'!$C$12)/IF(N(J83)&gt;0,J83,1),6))*IF(N(J83)&gt;0,J83,1),"预算不足，这笔不做")),"")</f>
        <v/>
      </c>
      <c r="P83" s="35" t="n"/>
      <c r="Q83" s="20" t="str">
        <f>IF(AND(ISNUMBER(K83),ISNUMBER(L83),ISNUMBER(P83)),IF(AND(K83&lt;&gt;L83,P83&gt;0),ABS(K83-L83)*P83*1,""),"")</f>
        <v/>
      </c>
      <c r="R83" s="20" t="str">
        <f>IF(AND(ISNUMBER(K83),ISNUMBER(P83)),K83*P83,"")</f>
        <v/>
      </c>
      <c r="S83" s="20" t="str">
        <f>IF(AND(D83="合约",ISNUMBER(R83),N(G83)&gt;0),R83/G83,"")</f>
        <v/>
      </c>
      <c r="T83" s="36" t="str">
        <f>IF(NOT(D83="合约"),"",IF(H83&lt;&gt;"逐仓","看平台",IF(AND(ISNUMBER(K83),N(G83)&gt;0),IF(F83="空",K83*(1+1/G83-IF(ISNUMBER(I83),I83,'参数'!$C$13)),K83*(1-1/G83+IF(ISNUMBER(I83),I83,'参数'!$C$13))),"")))</f>
        <v/>
      </c>
      <c r="U83" s="37" t="str">
        <f>IF(AND(ISNUMBER(T83),ISNUMBER(L83),ISNUMBER(K83)),IF(F83="空",T83-L83,L83-T83)/K83,"")</f>
        <v/>
      </c>
      <c r="V83" s="38" t="str">
        <f>IF(ISNUMBER(U83),IF(U83&lt;'参数'!$C$15,"先降杠杆或减量","在止损外"),"")</f>
        <v/>
      </c>
      <c r="W83" s="30" t="n"/>
      <c r="X83" s="31" t="n"/>
      <c r="Y83" s="39" t="str">
        <f>IF(N(AB83)&gt;0,SUMPRODUCT(LARGE(('成交明细'!$A$5:$A$804=A83)*('成交明细'!$D$5:$D$804=IF(F83="空","卖","买"))*'成交明细'!$B$5:$B$804,COUNTIFS('成交明细'!$A$5:$A$804,A83,'成交明细'!$D$5:$D$804,IF(F83="空","卖","买")))),"")</f>
        <v/>
      </c>
      <c r="Z83" s="39" t="str">
        <f>IF(AND(N(AB83)&gt;0,N(AD83)&gt;=N(AB83)),SUMPRODUCT(MAX(('成交明细'!$A$5:$A$804=A83)*('成交明细'!$D$5:$D$804=IF(F83="空","买","卖"))*'成交明细'!$B$5:$B$804)),"")</f>
        <v/>
      </c>
      <c r="AA83" s="40" t="str">
        <f>IF(N(AB83)=0,"",IF(SUMPRODUCT(('成交明细'!$A$5:$A$804=A83)*('成交明细'!$D$5:$D$804=IF(F83="空","卖","买"))*ISNUMBER('成交明细'!$C$5:$C$804))=0,"没填时间",IFERROR(VLOOKUP(MOD(SUMPRODUCT(LARGE(('成交明细'!$A$5:$A$804=A83)*('成交明细'!$D$5:$D$804=IF(F83="空","卖","买"))*('成交明细'!$B$5:$B$804+'成交明细'!$C$5:$C$804),COUNTIFS('成交明细'!$A$5:$A$804,A83,'成交明细'!$D$5:$D$804,IF(F83="空","卖","买")))),1),'参数'!$B$39:$C$48,2,TRUE),"")))</f>
        <v/>
      </c>
      <c r="AB83" s="34" t="str">
        <f>IF(A83="","",SUMIFS('成交明细'!$F$5:$F$804,'成交明细'!$A$5:$A$804,A83,'成交明细'!$D$5:$D$804,IF(F83="空","卖","买")))</f>
        <v/>
      </c>
      <c r="AC83" s="41" t="str">
        <f>IF(N(AB83)&gt;0,SUMIFS('成交明细'!$H$5:$H$804,'成交明细'!$A$5:$A$804,A83,'成交明细'!$D$5:$D$804,IF(F83="空","卖","买"))/AB83,"")</f>
        <v/>
      </c>
      <c r="AD83" s="34" t="str">
        <f>IF(A83="","",SUMIFS('成交明细'!$F$5:$F$804,'成交明细'!$A$5:$A$804,A83,'成交明细'!$D$5:$D$804,IF(F83="空","买","卖")))</f>
        <v/>
      </c>
      <c r="AE83" s="41" t="str">
        <f>IF(N(AD83)&gt;0,SUMIFS('成交明细'!$H$5:$H$804,'成交明细'!$A$5:$A$804,A83,'成交明细'!$D$5:$D$804,IF(F83="空","买","卖"))/AD83,"")</f>
        <v/>
      </c>
      <c r="AF83" s="38" t="str">
        <f>IF(A83="","",IF(X83&lt;&gt;"已执行",IF(X83="","未填执行情况",X83),IF(N(AB83)=0,"待录成交",IF(N(AD83)&gt;N(AB83),"平仓多于开仓",IF(N(AD83)&lt;N(AB83),"持仓中","已平仓")))))</f>
        <v/>
      </c>
      <c r="AG83" s="42" t="str">
        <f>IF(N(AB83)=0,"",SUMIFS('成交明细'!$L$5:$L$804,'成交明细'!$A$5:$A$804,A83))</f>
        <v/>
      </c>
      <c r="AH83" s="43" t="str">
        <f>IF(A83="","",SUMIFS('资金费流水'!$F$5:$F$604,'资金费流水'!$B$5:$B$604,A83))</f>
        <v/>
      </c>
      <c r="AI83" s="43" t="str">
        <f>IF(AF83&lt;&gt;"已平仓","",(SUMIFS('成交明细'!$H$5:$H$804,'成交明细'!$A$5:$A$804,A83,'成交明细'!$D$5:$D$804,"卖")-SUMIFS('成交明细'!$H$5:$H$804,'成交明细'!$A$5:$A$804,A83,'成交明细'!$D$5:$D$804,"买"))*1-AG83+N(AH83))</f>
        <v/>
      </c>
      <c r="AJ83" s="44" t="str">
        <f>IF(AND(AF83="已平仓",ISNUMBER(Q83)),(SUMIFS('成交明细'!$H$5:$H$804,'成交明细'!$A$5:$A$804,A83,'成交明细'!$D$5:$D$804,"卖")-SUMIFS('成交明细'!$H$5:$H$804,'成交明细'!$A$5:$A$804,A83,'成交明细'!$D$5:$D$804,"买"))*1/Q83,"")</f>
        <v/>
      </c>
      <c r="AK83" s="44" t="str">
        <f>IF(AND(AF83="已平仓",ISNUMBER(Q83)),AI83/Q83,"")</f>
        <v/>
      </c>
      <c r="AL83" s="45" t="str">
        <f>IF(AND(ISNUMBER(AC83),ISNUMBER(K83)),IF(F83="空",K83-AC83,AC83-K83),"")</f>
        <v/>
      </c>
      <c r="AM83" s="45" t="str">
        <f>IF(OR(NOT(ISNUMBER(AI83)),NOT(ISNUMBER(AE83))),"",IF(AI83&lt;0,IF(F83="空",AE83-L83,L83-AE83),IF(NOT(ISNUMBER(M83)),"",IF(F83="空",AE83-M83,M83-AE83))))</f>
        <v/>
      </c>
      <c r="AN83" s="31" t="n"/>
      <c r="AO83" s="31" t="n"/>
      <c r="AP83" s="30" t="n"/>
      <c r="AQ83" s="44" t="str">
        <f>IF(A83="","",SUM(AK$5:AK83))</f>
        <v/>
      </c>
      <c r="AR83" s="46" t="str">
        <f>IF(A83="","",MAX(0,MAX(AQ$5:AQ83))-AQ83)</f>
        <v/>
      </c>
    </row>
    <row r="84">
      <c r="A84" s="24" t="n"/>
      <c r="B84" s="29" t="n"/>
      <c r="C84" s="30" t="n"/>
      <c r="D84" s="31" t="n"/>
      <c r="E84" s="31" t="n"/>
      <c r="F84" s="31" t="n"/>
      <c r="G84" s="21" t="n"/>
      <c r="H84" s="31" t="n"/>
      <c r="I84" s="23" t="n"/>
      <c r="J84" s="31" t="n"/>
      <c r="K84" s="32" t="n"/>
      <c r="L84" s="32" t="n"/>
      <c r="M84" s="32" t="n"/>
      <c r="N84" s="33" t="str">
        <f>IF(AND(ISNUMBER(K84),ISNUMBER(L84),ISNUMBER(M84)),IF(OR(AND(F84="多",K84&gt;L84),AND(F84="空",K84&lt;L84)),ABS(M84-K84)/ABS(K84-L84),"止损方向不对"),"")</f>
        <v/>
      </c>
      <c r="O84" s="34" t="str">
        <f>IF(AND(ISNUMBER(K84),ISNUMBER(L84)),IF(K84=L84,"",IF(INT(ROUND('参数'!$C$7/(ABS(K84-L84)*1+2*K84*'参数'!$C$12)/IF(N(J84)&gt;0,J84,1),6))*IF(N(J84)&gt;0,J84,1)&gt;0,INT(ROUND('参数'!$C$7/(ABS(K84-L84)*1+2*K84*'参数'!$C$12)/IF(N(J84)&gt;0,J84,1),6))*IF(N(J84)&gt;0,J84,1),"预算不足，这笔不做")),"")</f>
        <v/>
      </c>
      <c r="P84" s="35" t="n"/>
      <c r="Q84" s="20" t="str">
        <f>IF(AND(ISNUMBER(K84),ISNUMBER(L84),ISNUMBER(P84)),IF(AND(K84&lt;&gt;L84,P84&gt;0),ABS(K84-L84)*P84*1,""),"")</f>
        <v/>
      </c>
      <c r="R84" s="20" t="str">
        <f>IF(AND(ISNUMBER(K84),ISNUMBER(P84)),K84*P84,"")</f>
        <v/>
      </c>
      <c r="S84" s="20" t="str">
        <f>IF(AND(D84="合约",ISNUMBER(R84),N(G84)&gt;0),R84/G84,"")</f>
        <v/>
      </c>
      <c r="T84" s="36" t="str">
        <f>IF(NOT(D84="合约"),"",IF(H84&lt;&gt;"逐仓","看平台",IF(AND(ISNUMBER(K84),N(G84)&gt;0),IF(F84="空",K84*(1+1/G84-IF(ISNUMBER(I84),I84,'参数'!$C$13)),K84*(1-1/G84+IF(ISNUMBER(I84),I84,'参数'!$C$13))),"")))</f>
        <v/>
      </c>
      <c r="U84" s="37" t="str">
        <f>IF(AND(ISNUMBER(T84),ISNUMBER(L84),ISNUMBER(K84)),IF(F84="空",T84-L84,L84-T84)/K84,"")</f>
        <v/>
      </c>
      <c r="V84" s="38" t="str">
        <f>IF(ISNUMBER(U84),IF(U84&lt;'参数'!$C$15,"先降杠杆或减量","在止损外"),"")</f>
        <v/>
      </c>
      <c r="W84" s="30" t="n"/>
      <c r="X84" s="31" t="n"/>
      <c r="Y84" s="39" t="str">
        <f>IF(N(AB84)&gt;0,SUMPRODUCT(LARGE(('成交明细'!$A$5:$A$804=A84)*('成交明细'!$D$5:$D$804=IF(F84="空","卖","买"))*'成交明细'!$B$5:$B$804,COUNTIFS('成交明细'!$A$5:$A$804,A84,'成交明细'!$D$5:$D$804,IF(F84="空","卖","买")))),"")</f>
        <v/>
      </c>
      <c r="Z84" s="39" t="str">
        <f>IF(AND(N(AB84)&gt;0,N(AD84)&gt;=N(AB84)),SUMPRODUCT(MAX(('成交明细'!$A$5:$A$804=A84)*('成交明细'!$D$5:$D$804=IF(F84="空","买","卖"))*'成交明细'!$B$5:$B$804)),"")</f>
        <v/>
      </c>
      <c r="AA84" s="40" t="str">
        <f>IF(N(AB84)=0,"",IF(SUMPRODUCT(('成交明细'!$A$5:$A$804=A84)*('成交明细'!$D$5:$D$804=IF(F84="空","卖","买"))*ISNUMBER('成交明细'!$C$5:$C$804))=0,"没填时间",IFERROR(VLOOKUP(MOD(SUMPRODUCT(LARGE(('成交明细'!$A$5:$A$804=A84)*('成交明细'!$D$5:$D$804=IF(F84="空","卖","买"))*('成交明细'!$B$5:$B$804+'成交明细'!$C$5:$C$804),COUNTIFS('成交明细'!$A$5:$A$804,A84,'成交明细'!$D$5:$D$804,IF(F84="空","卖","买")))),1),'参数'!$B$39:$C$48,2,TRUE),"")))</f>
        <v/>
      </c>
      <c r="AB84" s="34" t="str">
        <f>IF(A84="","",SUMIFS('成交明细'!$F$5:$F$804,'成交明细'!$A$5:$A$804,A84,'成交明细'!$D$5:$D$804,IF(F84="空","卖","买")))</f>
        <v/>
      </c>
      <c r="AC84" s="41" t="str">
        <f>IF(N(AB84)&gt;0,SUMIFS('成交明细'!$H$5:$H$804,'成交明细'!$A$5:$A$804,A84,'成交明细'!$D$5:$D$804,IF(F84="空","卖","买"))/AB84,"")</f>
        <v/>
      </c>
      <c r="AD84" s="34" t="str">
        <f>IF(A84="","",SUMIFS('成交明细'!$F$5:$F$804,'成交明细'!$A$5:$A$804,A84,'成交明细'!$D$5:$D$804,IF(F84="空","买","卖")))</f>
        <v/>
      </c>
      <c r="AE84" s="41" t="str">
        <f>IF(N(AD84)&gt;0,SUMIFS('成交明细'!$H$5:$H$804,'成交明细'!$A$5:$A$804,A84,'成交明细'!$D$5:$D$804,IF(F84="空","买","卖"))/AD84,"")</f>
        <v/>
      </c>
      <c r="AF84" s="38" t="str">
        <f>IF(A84="","",IF(X84&lt;&gt;"已执行",IF(X84="","未填执行情况",X84),IF(N(AB84)=0,"待录成交",IF(N(AD84)&gt;N(AB84),"平仓多于开仓",IF(N(AD84)&lt;N(AB84),"持仓中","已平仓")))))</f>
        <v/>
      </c>
      <c r="AG84" s="42" t="str">
        <f>IF(N(AB84)=0,"",SUMIFS('成交明细'!$L$5:$L$804,'成交明细'!$A$5:$A$804,A84))</f>
        <v/>
      </c>
      <c r="AH84" s="43" t="str">
        <f>IF(A84="","",SUMIFS('资金费流水'!$F$5:$F$604,'资金费流水'!$B$5:$B$604,A84))</f>
        <v/>
      </c>
      <c r="AI84" s="43" t="str">
        <f>IF(AF84&lt;&gt;"已平仓","",(SUMIFS('成交明细'!$H$5:$H$804,'成交明细'!$A$5:$A$804,A84,'成交明细'!$D$5:$D$804,"卖")-SUMIFS('成交明细'!$H$5:$H$804,'成交明细'!$A$5:$A$804,A84,'成交明细'!$D$5:$D$804,"买"))*1-AG84+N(AH84))</f>
        <v/>
      </c>
      <c r="AJ84" s="44" t="str">
        <f>IF(AND(AF84="已平仓",ISNUMBER(Q84)),(SUMIFS('成交明细'!$H$5:$H$804,'成交明细'!$A$5:$A$804,A84,'成交明细'!$D$5:$D$804,"卖")-SUMIFS('成交明细'!$H$5:$H$804,'成交明细'!$A$5:$A$804,A84,'成交明细'!$D$5:$D$804,"买"))*1/Q84,"")</f>
        <v/>
      </c>
      <c r="AK84" s="44" t="str">
        <f>IF(AND(AF84="已平仓",ISNUMBER(Q84)),AI84/Q84,"")</f>
        <v/>
      </c>
      <c r="AL84" s="45" t="str">
        <f>IF(AND(ISNUMBER(AC84),ISNUMBER(K84)),IF(F84="空",K84-AC84,AC84-K84),"")</f>
        <v/>
      </c>
      <c r="AM84" s="45" t="str">
        <f>IF(OR(NOT(ISNUMBER(AI84)),NOT(ISNUMBER(AE84))),"",IF(AI84&lt;0,IF(F84="空",AE84-L84,L84-AE84),IF(NOT(ISNUMBER(M84)),"",IF(F84="空",AE84-M84,M84-AE84))))</f>
        <v/>
      </c>
      <c r="AN84" s="31" t="n"/>
      <c r="AO84" s="31" t="n"/>
      <c r="AP84" s="30" t="n"/>
      <c r="AQ84" s="44" t="str">
        <f>IF(A84="","",SUM(AK$5:AK84))</f>
        <v/>
      </c>
      <c r="AR84" s="46" t="str">
        <f>IF(A84="","",MAX(0,MAX(AQ$5:AQ84))-AQ84)</f>
        <v/>
      </c>
    </row>
    <row r="85">
      <c r="A85" s="24" t="n"/>
      <c r="B85" s="29" t="n"/>
      <c r="C85" s="30" t="n"/>
      <c r="D85" s="31" t="n"/>
      <c r="E85" s="31" t="n"/>
      <c r="F85" s="31" t="n"/>
      <c r="G85" s="21" t="n"/>
      <c r="H85" s="31" t="n"/>
      <c r="I85" s="23" t="n"/>
      <c r="J85" s="31" t="n"/>
      <c r="K85" s="32" t="n"/>
      <c r="L85" s="32" t="n"/>
      <c r="M85" s="32" t="n"/>
      <c r="N85" s="33" t="str">
        <f>IF(AND(ISNUMBER(K85),ISNUMBER(L85),ISNUMBER(M85)),IF(OR(AND(F85="多",K85&gt;L85),AND(F85="空",K85&lt;L85)),ABS(M85-K85)/ABS(K85-L85),"止损方向不对"),"")</f>
        <v/>
      </c>
      <c r="O85" s="34" t="str">
        <f>IF(AND(ISNUMBER(K85),ISNUMBER(L85)),IF(K85=L85,"",IF(INT(ROUND('参数'!$C$7/(ABS(K85-L85)*1+2*K85*'参数'!$C$12)/IF(N(J85)&gt;0,J85,1),6))*IF(N(J85)&gt;0,J85,1)&gt;0,INT(ROUND('参数'!$C$7/(ABS(K85-L85)*1+2*K85*'参数'!$C$12)/IF(N(J85)&gt;0,J85,1),6))*IF(N(J85)&gt;0,J85,1),"预算不足，这笔不做")),"")</f>
        <v/>
      </c>
      <c r="P85" s="35" t="n"/>
      <c r="Q85" s="20" t="str">
        <f>IF(AND(ISNUMBER(K85),ISNUMBER(L85),ISNUMBER(P85)),IF(AND(K85&lt;&gt;L85,P85&gt;0),ABS(K85-L85)*P85*1,""),"")</f>
        <v/>
      </c>
      <c r="R85" s="20" t="str">
        <f>IF(AND(ISNUMBER(K85),ISNUMBER(P85)),K85*P85,"")</f>
        <v/>
      </c>
      <c r="S85" s="20" t="str">
        <f>IF(AND(D85="合约",ISNUMBER(R85),N(G85)&gt;0),R85/G85,"")</f>
        <v/>
      </c>
      <c r="T85" s="36" t="str">
        <f>IF(NOT(D85="合约"),"",IF(H85&lt;&gt;"逐仓","看平台",IF(AND(ISNUMBER(K85),N(G85)&gt;0),IF(F85="空",K85*(1+1/G85-IF(ISNUMBER(I85),I85,'参数'!$C$13)),K85*(1-1/G85+IF(ISNUMBER(I85),I85,'参数'!$C$13))),"")))</f>
        <v/>
      </c>
      <c r="U85" s="37" t="str">
        <f>IF(AND(ISNUMBER(T85),ISNUMBER(L85),ISNUMBER(K85)),IF(F85="空",T85-L85,L85-T85)/K85,"")</f>
        <v/>
      </c>
      <c r="V85" s="38" t="str">
        <f>IF(ISNUMBER(U85),IF(U85&lt;'参数'!$C$15,"先降杠杆或减量","在止损外"),"")</f>
        <v/>
      </c>
      <c r="W85" s="30" t="n"/>
      <c r="X85" s="31" t="n"/>
      <c r="Y85" s="39" t="str">
        <f>IF(N(AB85)&gt;0,SUMPRODUCT(LARGE(('成交明细'!$A$5:$A$804=A85)*('成交明细'!$D$5:$D$804=IF(F85="空","卖","买"))*'成交明细'!$B$5:$B$804,COUNTIFS('成交明细'!$A$5:$A$804,A85,'成交明细'!$D$5:$D$804,IF(F85="空","卖","买")))),"")</f>
        <v/>
      </c>
      <c r="Z85" s="39" t="str">
        <f>IF(AND(N(AB85)&gt;0,N(AD85)&gt;=N(AB85)),SUMPRODUCT(MAX(('成交明细'!$A$5:$A$804=A85)*('成交明细'!$D$5:$D$804=IF(F85="空","买","卖"))*'成交明细'!$B$5:$B$804)),"")</f>
        <v/>
      </c>
      <c r="AA85" s="40" t="str">
        <f>IF(N(AB85)=0,"",IF(SUMPRODUCT(('成交明细'!$A$5:$A$804=A85)*('成交明细'!$D$5:$D$804=IF(F85="空","卖","买"))*ISNUMBER('成交明细'!$C$5:$C$804))=0,"没填时间",IFERROR(VLOOKUP(MOD(SUMPRODUCT(LARGE(('成交明细'!$A$5:$A$804=A85)*('成交明细'!$D$5:$D$804=IF(F85="空","卖","买"))*('成交明细'!$B$5:$B$804+'成交明细'!$C$5:$C$804),COUNTIFS('成交明细'!$A$5:$A$804,A85,'成交明细'!$D$5:$D$804,IF(F85="空","卖","买")))),1),'参数'!$B$39:$C$48,2,TRUE),"")))</f>
        <v/>
      </c>
      <c r="AB85" s="34" t="str">
        <f>IF(A85="","",SUMIFS('成交明细'!$F$5:$F$804,'成交明细'!$A$5:$A$804,A85,'成交明细'!$D$5:$D$804,IF(F85="空","卖","买")))</f>
        <v/>
      </c>
      <c r="AC85" s="41" t="str">
        <f>IF(N(AB85)&gt;0,SUMIFS('成交明细'!$H$5:$H$804,'成交明细'!$A$5:$A$804,A85,'成交明细'!$D$5:$D$804,IF(F85="空","卖","买"))/AB85,"")</f>
        <v/>
      </c>
      <c r="AD85" s="34" t="str">
        <f>IF(A85="","",SUMIFS('成交明细'!$F$5:$F$804,'成交明细'!$A$5:$A$804,A85,'成交明细'!$D$5:$D$804,IF(F85="空","买","卖")))</f>
        <v/>
      </c>
      <c r="AE85" s="41" t="str">
        <f>IF(N(AD85)&gt;0,SUMIFS('成交明细'!$H$5:$H$804,'成交明细'!$A$5:$A$804,A85,'成交明细'!$D$5:$D$804,IF(F85="空","买","卖"))/AD85,"")</f>
        <v/>
      </c>
      <c r="AF85" s="38" t="str">
        <f>IF(A85="","",IF(X85&lt;&gt;"已执行",IF(X85="","未填执行情况",X85),IF(N(AB85)=0,"待录成交",IF(N(AD85)&gt;N(AB85),"平仓多于开仓",IF(N(AD85)&lt;N(AB85),"持仓中","已平仓")))))</f>
        <v/>
      </c>
      <c r="AG85" s="42" t="str">
        <f>IF(N(AB85)=0,"",SUMIFS('成交明细'!$L$5:$L$804,'成交明细'!$A$5:$A$804,A85))</f>
        <v/>
      </c>
      <c r="AH85" s="43" t="str">
        <f>IF(A85="","",SUMIFS('资金费流水'!$F$5:$F$604,'资金费流水'!$B$5:$B$604,A85))</f>
        <v/>
      </c>
      <c r="AI85" s="43" t="str">
        <f>IF(AF85&lt;&gt;"已平仓","",(SUMIFS('成交明细'!$H$5:$H$804,'成交明细'!$A$5:$A$804,A85,'成交明细'!$D$5:$D$804,"卖")-SUMIFS('成交明细'!$H$5:$H$804,'成交明细'!$A$5:$A$804,A85,'成交明细'!$D$5:$D$804,"买"))*1-AG85+N(AH85))</f>
        <v/>
      </c>
      <c r="AJ85" s="44" t="str">
        <f>IF(AND(AF85="已平仓",ISNUMBER(Q85)),(SUMIFS('成交明细'!$H$5:$H$804,'成交明细'!$A$5:$A$804,A85,'成交明细'!$D$5:$D$804,"卖")-SUMIFS('成交明细'!$H$5:$H$804,'成交明细'!$A$5:$A$804,A85,'成交明细'!$D$5:$D$804,"买"))*1/Q85,"")</f>
        <v/>
      </c>
      <c r="AK85" s="44" t="str">
        <f>IF(AND(AF85="已平仓",ISNUMBER(Q85)),AI85/Q85,"")</f>
        <v/>
      </c>
      <c r="AL85" s="45" t="str">
        <f>IF(AND(ISNUMBER(AC85),ISNUMBER(K85)),IF(F85="空",K85-AC85,AC85-K85),"")</f>
        <v/>
      </c>
      <c r="AM85" s="45" t="str">
        <f>IF(OR(NOT(ISNUMBER(AI85)),NOT(ISNUMBER(AE85))),"",IF(AI85&lt;0,IF(F85="空",AE85-L85,L85-AE85),IF(NOT(ISNUMBER(M85)),"",IF(F85="空",AE85-M85,M85-AE85))))</f>
        <v/>
      </c>
      <c r="AN85" s="31" t="n"/>
      <c r="AO85" s="31" t="n"/>
      <c r="AP85" s="30" t="n"/>
      <c r="AQ85" s="44" t="str">
        <f>IF(A85="","",SUM(AK$5:AK85))</f>
        <v/>
      </c>
      <c r="AR85" s="46" t="str">
        <f>IF(A85="","",MAX(0,MAX(AQ$5:AQ85))-AQ85)</f>
        <v/>
      </c>
    </row>
    <row r="86">
      <c r="A86" s="24" t="n"/>
      <c r="B86" s="29" t="n"/>
      <c r="C86" s="30" t="n"/>
      <c r="D86" s="31" t="n"/>
      <c r="E86" s="31" t="n"/>
      <c r="F86" s="31" t="n"/>
      <c r="G86" s="21" t="n"/>
      <c r="H86" s="31" t="n"/>
      <c r="I86" s="23" t="n"/>
      <c r="J86" s="31" t="n"/>
      <c r="K86" s="32" t="n"/>
      <c r="L86" s="32" t="n"/>
      <c r="M86" s="32" t="n"/>
      <c r="N86" s="33" t="str">
        <f>IF(AND(ISNUMBER(K86),ISNUMBER(L86),ISNUMBER(M86)),IF(OR(AND(F86="多",K86&gt;L86),AND(F86="空",K86&lt;L86)),ABS(M86-K86)/ABS(K86-L86),"止损方向不对"),"")</f>
        <v/>
      </c>
      <c r="O86" s="34" t="str">
        <f>IF(AND(ISNUMBER(K86),ISNUMBER(L86)),IF(K86=L86,"",IF(INT(ROUND('参数'!$C$7/(ABS(K86-L86)*1+2*K86*'参数'!$C$12)/IF(N(J86)&gt;0,J86,1),6))*IF(N(J86)&gt;0,J86,1)&gt;0,INT(ROUND('参数'!$C$7/(ABS(K86-L86)*1+2*K86*'参数'!$C$12)/IF(N(J86)&gt;0,J86,1),6))*IF(N(J86)&gt;0,J86,1),"预算不足，这笔不做")),"")</f>
        <v/>
      </c>
      <c r="P86" s="35" t="n"/>
      <c r="Q86" s="20" t="str">
        <f>IF(AND(ISNUMBER(K86),ISNUMBER(L86),ISNUMBER(P86)),IF(AND(K86&lt;&gt;L86,P86&gt;0),ABS(K86-L86)*P86*1,""),"")</f>
        <v/>
      </c>
      <c r="R86" s="20" t="str">
        <f>IF(AND(ISNUMBER(K86),ISNUMBER(P86)),K86*P86,"")</f>
        <v/>
      </c>
      <c r="S86" s="20" t="str">
        <f>IF(AND(D86="合约",ISNUMBER(R86),N(G86)&gt;0),R86/G86,"")</f>
        <v/>
      </c>
      <c r="T86" s="36" t="str">
        <f>IF(NOT(D86="合约"),"",IF(H86&lt;&gt;"逐仓","看平台",IF(AND(ISNUMBER(K86),N(G86)&gt;0),IF(F86="空",K86*(1+1/G86-IF(ISNUMBER(I86),I86,'参数'!$C$13)),K86*(1-1/G86+IF(ISNUMBER(I86),I86,'参数'!$C$13))),"")))</f>
        <v/>
      </c>
      <c r="U86" s="37" t="str">
        <f>IF(AND(ISNUMBER(T86),ISNUMBER(L86),ISNUMBER(K86)),IF(F86="空",T86-L86,L86-T86)/K86,"")</f>
        <v/>
      </c>
      <c r="V86" s="38" t="str">
        <f>IF(ISNUMBER(U86),IF(U86&lt;'参数'!$C$15,"先降杠杆或减量","在止损外"),"")</f>
        <v/>
      </c>
      <c r="W86" s="30" t="n"/>
      <c r="X86" s="31" t="n"/>
      <c r="Y86" s="39" t="str">
        <f>IF(N(AB86)&gt;0,SUMPRODUCT(LARGE(('成交明细'!$A$5:$A$804=A86)*('成交明细'!$D$5:$D$804=IF(F86="空","卖","买"))*'成交明细'!$B$5:$B$804,COUNTIFS('成交明细'!$A$5:$A$804,A86,'成交明细'!$D$5:$D$804,IF(F86="空","卖","买")))),"")</f>
        <v/>
      </c>
      <c r="Z86" s="39" t="str">
        <f>IF(AND(N(AB86)&gt;0,N(AD86)&gt;=N(AB86)),SUMPRODUCT(MAX(('成交明细'!$A$5:$A$804=A86)*('成交明细'!$D$5:$D$804=IF(F86="空","买","卖"))*'成交明细'!$B$5:$B$804)),"")</f>
        <v/>
      </c>
      <c r="AA86" s="40" t="str">
        <f>IF(N(AB86)=0,"",IF(SUMPRODUCT(('成交明细'!$A$5:$A$804=A86)*('成交明细'!$D$5:$D$804=IF(F86="空","卖","买"))*ISNUMBER('成交明细'!$C$5:$C$804))=0,"没填时间",IFERROR(VLOOKUP(MOD(SUMPRODUCT(LARGE(('成交明细'!$A$5:$A$804=A86)*('成交明细'!$D$5:$D$804=IF(F86="空","卖","买"))*('成交明细'!$B$5:$B$804+'成交明细'!$C$5:$C$804),COUNTIFS('成交明细'!$A$5:$A$804,A86,'成交明细'!$D$5:$D$804,IF(F86="空","卖","买")))),1),'参数'!$B$39:$C$48,2,TRUE),"")))</f>
        <v/>
      </c>
      <c r="AB86" s="34" t="str">
        <f>IF(A86="","",SUMIFS('成交明细'!$F$5:$F$804,'成交明细'!$A$5:$A$804,A86,'成交明细'!$D$5:$D$804,IF(F86="空","卖","买")))</f>
        <v/>
      </c>
      <c r="AC86" s="41" t="str">
        <f>IF(N(AB86)&gt;0,SUMIFS('成交明细'!$H$5:$H$804,'成交明细'!$A$5:$A$804,A86,'成交明细'!$D$5:$D$804,IF(F86="空","卖","买"))/AB86,"")</f>
        <v/>
      </c>
      <c r="AD86" s="34" t="str">
        <f>IF(A86="","",SUMIFS('成交明细'!$F$5:$F$804,'成交明细'!$A$5:$A$804,A86,'成交明细'!$D$5:$D$804,IF(F86="空","买","卖")))</f>
        <v/>
      </c>
      <c r="AE86" s="41" t="str">
        <f>IF(N(AD86)&gt;0,SUMIFS('成交明细'!$H$5:$H$804,'成交明细'!$A$5:$A$804,A86,'成交明细'!$D$5:$D$804,IF(F86="空","买","卖"))/AD86,"")</f>
        <v/>
      </c>
      <c r="AF86" s="38" t="str">
        <f>IF(A86="","",IF(X86&lt;&gt;"已执行",IF(X86="","未填执行情况",X86),IF(N(AB86)=0,"待录成交",IF(N(AD86)&gt;N(AB86),"平仓多于开仓",IF(N(AD86)&lt;N(AB86),"持仓中","已平仓")))))</f>
        <v/>
      </c>
      <c r="AG86" s="42" t="str">
        <f>IF(N(AB86)=0,"",SUMIFS('成交明细'!$L$5:$L$804,'成交明细'!$A$5:$A$804,A86))</f>
        <v/>
      </c>
      <c r="AH86" s="43" t="str">
        <f>IF(A86="","",SUMIFS('资金费流水'!$F$5:$F$604,'资金费流水'!$B$5:$B$604,A86))</f>
        <v/>
      </c>
      <c r="AI86" s="43" t="str">
        <f>IF(AF86&lt;&gt;"已平仓","",(SUMIFS('成交明细'!$H$5:$H$804,'成交明细'!$A$5:$A$804,A86,'成交明细'!$D$5:$D$804,"卖")-SUMIFS('成交明细'!$H$5:$H$804,'成交明细'!$A$5:$A$804,A86,'成交明细'!$D$5:$D$804,"买"))*1-AG86+N(AH86))</f>
        <v/>
      </c>
      <c r="AJ86" s="44" t="str">
        <f>IF(AND(AF86="已平仓",ISNUMBER(Q86)),(SUMIFS('成交明细'!$H$5:$H$804,'成交明细'!$A$5:$A$804,A86,'成交明细'!$D$5:$D$804,"卖")-SUMIFS('成交明细'!$H$5:$H$804,'成交明细'!$A$5:$A$804,A86,'成交明细'!$D$5:$D$804,"买"))*1/Q86,"")</f>
        <v/>
      </c>
      <c r="AK86" s="44" t="str">
        <f>IF(AND(AF86="已平仓",ISNUMBER(Q86)),AI86/Q86,"")</f>
        <v/>
      </c>
      <c r="AL86" s="45" t="str">
        <f>IF(AND(ISNUMBER(AC86),ISNUMBER(K86)),IF(F86="空",K86-AC86,AC86-K86),"")</f>
        <v/>
      </c>
      <c r="AM86" s="45" t="str">
        <f>IF(OR(NOT(ISNUMBER(AI86)),NOT(ISNUMBER(AE86))),"",IF(AI86&lt;0,IF(F86="空",AE86-L86,L86-AE86),IF(NOT(ISNUMBER(M86)),"",IF(F86="空",AE86-M86,M86-AE86))))</f>
        <v/>
      </c>
      <c r="AN86" s="31" t="n"/>
      <c r="AO86" s="31" t="n"/>
      <c r="AP86" s="30" t="n"/>
      <c r="AQ86" s="44" t="str">
        <f>IF(A86="","",SUM(AK$5:AK86))</f>
        <v/>
      </c>
      <c r="AR86" s="46" t="str">
        <f>IF(A86="","",MAX(0,MAX(AQ$5:AQ86))-AQ86)</f>
        <v/>
      </c>
    </row>
    <row r="87">
      <c r="A87" s="24" t="n"/>
      <c r="B87" s="29" t="n"/>
      <c r="C87" s="30" t="n"/>
      <c r="D87" s="31" t="n"/>
      <c r="E87" s="31" t="n"/>
      <c r="F87" s="31" t="n"/>
      <c r="G87" s="21" t="n"/>
      <c r="H87" s="31" t="n"/>
      <c r="I87" s="23" t="n"/>
      <c r="J87" s="31" t="n"/>
      <c r="K87" s="32" t="n"/>
      <c r="L87" s="32" t="n"/>
      <c r="M87" s="32" t="n"/>
      <c r="N87" s="33" t="str">
        <f>IF(AND(ISNUMBER(K87),ISNUMBER(L87),ISNUMBER(M87)),IF(OR(AND(F87="多",K87&gt;L87),AND(F87="空",K87&lt;L87)),ABS(M87-K87)/ABS(K87-L87),"止损方向不对"),"")</f>
        <v/>
      </c>
      <c r="O87" s="34" t="str">
        <f>IF(AND(ISNUMBER(K87),ISNUMBER(L87)),IF(K87=L87,"",IF(INT(ROUND('参数'!$C$7/(ABS(K87-L87)*1+2*K87*'参数'!$C$12)/IF(N(J87)&gt;0,J87,1),6))*IF(N(J87)&gt;0,J87,1)&gt;0,INT(ROUND('参数'!$C$7/(ABS(K87-L87)*1+2*K87*'参数'!$C$12)/IF(N(J87)&gt;0,J87,1),6))*IF(N(J87)&gt;0,J87,1),"预算不足，这笔不做")),"")</f>
        <v/>
      </c>
      <c r="P87" s="35" t="n"/>
      <c r="Q87" s="20" t="str">
        <f>IF(AND(ISNUMBER(K87),ISNUMBER(L87),ISNUMBER(P87)),IF(AND(K87&lt;&gt;L87,P87&gt;0),ABS(K87-L87)*P87*1,""),"")</f>
        <v/>
      </c>
      <c r="R87" s="20" t="str">
        <f>IF(AND(ISNUMBER(K87),ISNUMBER(P87)),K87*P87,"")</f>
        <v/>
      </c>
      <c r="S87" s="20" t="str">
        <f>IF(AND(D87="合约",ISNUMBER(R87),N(G87)&gt;0),R87/G87,"")</f>
        <v/>
      </c>
      <c r="T87" s="36" t="str">
        <f>IF(NOT(D87="合约"),"",IF(H87&lt;&gt;"逐仓","看平台",IF(AND(ISNUMBER(K87),N(G87)&gt;0),IF(F87="空",K87*(1+1/G87-IF(ISNUMBER(I87),I87,'参数'!$C$13)),K87*(1-1/G87+IF(ISNUMBER(I87),I87,'参数'!$C$13))),"")))</f>
        <v/>
      </c>
      <c r="U87" s="37" t="str">
        <f>IF(AND(ISNUMBER(T87),ISNUMBER(L87),ISNUMBER(K87)),IF(F87="空",T87-L87,L87-T87)/K87,"")</f>
        <v/>
      </c>
      <c r="V87" s="38" t="str">
        <f>IF(ISNUMBER(U87),IF(U87&lt;'参数'!$C$15,"先降杠杆或减量","在止损外"),"")</f>
        <v/>
      </c>
      <c r="W87" s="30" t="n"/>
      <c r="X87" s="31" t="n"/>
      <c r="Y87" s="39" t="str">
        <f>IF(N(AB87)&gt;0,SUMPRODUCT(LARGE(('成交明细'!$A$5:$A$804=A87)*('成交明细'!$D$5:$D$804=IF(F87="空","卖","买"))*'成交明细'!$B$5:$B$804,COUNTIFS('成交明细'!$A$5:$A$804,A87,'成交明细'!$D$5:$D$804,IF(F87="空","卖","买")))),"")</f>
        <v/>
      </c>
      <c r="Z87" s="39" t="str">
        <f>IF(AND(N(AB87)&gt;0,N(AD87)&gt;=N(AB87)),SUMPRODUCT(MAX(('成交明细'!$A$5:$A$804=A87)*('成交明细'!$D$5:$D$804=IF(F87="空","买","卖"))*'成交明细'!$B$5:$B$804)),"")</f>
        <v/>
      </c>
      <c r="AA87" s="40" t="str">
        <f>IF(N(AB87)=0,"",IF(SUMPRODUCT(('成交明细'!$A$5:$A$804=A87)*('成交明细'!$D$5:$D$804=IF(F87="空","卖","买"))*ISNUMBER('成交明细'!$C$5:$C$804))=0,"没填时间",IFERROR(VLOOKUP(MOD(SUMPRODUCT(LARGE(('成交明细'!$A$5:$A$804=A87)*('成交明细'!$D$5:$D$804=IF(F87="空","卖","买"))*('成交明细'!$B$5:$B$804+'成交明细'!$C$5:$C$804),COUNTIFS('成交明细'!$A$5:$A$804,A87,'成交明细'!$D$5:$D$804,IF(F87="空","卖","买")))),1),'参数'!$B$39:$C$48,2,TRUE),"")))</f>
        <v/>
      </c>
      <c r="AB87" s="34" t="str">
        <f>IF(A87="","",SUMIFS('成交明细'!$F$5:$F$804,'成交明细'!$A$5:$A$804,A87,'成交明细'!$D$5:$D$804,IF(F87="空","卖","买")))</f>
        <v/>
      </c>
      <c r="AC87" s="41" t="str">
        <f>IF(N(AB87)&gt;0,SUMIFS('成交明细'!$H$5:$H$804,'成交明细'!$A$5:$A$804,A87,'成交明细'!$D$5:$D$804,IF(F87="空","卖","买"))/AB87,"")</f>
        <v/>
      </c>
      <c r="AD87" s="34" t="str">
        <f>IF(A87="","",SUMIFS('成交明细'!$F$5:$F$804,'成交明细'!$A$5:$A$804,A87,'成交明细'!$D$5:$D$804,IF(F87="空","买","卖")))</f>
        <v/>
      </c>
      <c r="AE87" s="41" t="str">
        <f>IF(N(AD87)&gt;0,SUMIFS('成交明细'!$H$5:$H$804,'成交明细'!$A$5:$A$804,A87,'成交明细'!$D$5:$D$804,IF(F87="空","买","卖"))/AD87,"")</f>
        <v/>
      </c>
      <c r="AF87" s="38" t="str">
        <f>IF(A87="","",IF(X87&lt;&gt;"已执行",IF(X87="","未填执行情况",X87),IF(N(AB87)=0,"待录成交",IF(N(AD87)&gt;N(AB87),"平仓多于开仓",IF(N(AD87)&lt;N(AB87),"持仓中","已平仓")))))</f>
        <v/>
      </c>
      <c r="AG87" s="42" t="str">
        <f>IF(N(AB87)=0,"",SUMIFS('成交明细'!$L$5:$L$804,'成交明细'!$A$5:$A$804,A87))</f>
        <v/>
      </c>
      <c r="AH87" s="43" t="str">
        <f>IF(A87="","",SUMIFS('资金费流水'!$F$5:$F$604,'资金费流水'!$B$5:$B$604,A87))</f>
        <v/>
      </c>
      <c r="AI87" s="43" t="str">
        <f>IF(AF87&lt;&gt;"已平仓","",(SUMIFS('成交明细'!$H$5:$H$804,'成交明细'!$A$5:$A$804,A87,'成交明细'!$D$5:$D$804,"卖")-SUMIFS('成交明细'!$H$5:$H$804,'成交明细'!$A$5:$A$804,A87,'成交明细'!$D$5:$D$804,"买"))*1-AG87+N(AH87))</f>
        <v/>
      </c>
      <c r="AJ87" s="44" t="str">
        <f>IF(AND(AF87="已平仓",ISNUMBER(Q87)),(SUMIFS('成交明细'!$H$5:$H$804,'成交明细'!$A$5:$A$804,A87,'成交明细'!$D$5:$D$804,"卖")-SUMIFS('成交明细'!$H$5:$H$804,'成交明细'!$A$5:$A$804,A87,'成交明细'!$D$5:$D$804,"买"))*1/Q87,"")</f>
        <v/>
      </c>
      <c r="AK87" s="44" t="str">
        <f>IF(AND(AF87="已平仓",ISNUMBER(Q87)),AI87/Q87,"")</f>
        <v/>
      </c>
      <c r="AL87" s="45" t="str">
        <f>IF(AND(ISNUMBER(AC87),ISNUMBER(K87)),IF(F87="空",K87-AC87,AC87-K87),"")</f>
        <v/>
      </c>
      <c r="AM87" s="45" t="str">
        <f>IF(OR(NOT(ISNUMBER(AI87)),NOT(ISNUMBER(AE87))),"",IF(AI87&lt;0,IF(F87="空",AE87-L87,L87-AE87),IF(NOT(ISNUMBER(M87)),"",IF(F87="空",AE87-M87,M87-AE87))))</f>
        <v/>
      </c>
      <c r="AN87" s="31" t="n"/>
      <c r="AO87" s="31" t="n"/>
      <c r="AP87" s="30" t="n"/>
      <c r="AQ87" s="44" t="str">
        <f>IF(A87="","",SUM(AK$5:AK87))</f>
        <v/>
      </c>
      <c r="AR87" s="46" t="str">
        <f>IF(A87="","",MAX(0,MAX(AQ$5:AQ87))-AQ87)</f>
        <v/>
      </c>
    </row>
    <row r="88">
      <c r="A88" s="24" t="n"/>
      <c r="B88" s="29" t="n"/>
      <c r="C88" s="30" t="n"/>
      <c r="D88" s="31" t="n"/>
      <c r="E88" s="31" t="n"/>
      <c r="F88" s="31" t="n"/>
      <c r="G88" s="21" t="n"/>
      <c r="H88" s="31" t="n"/>
      <c r="I88" s="23" t="n"/>
      <c r="J88" s="31" t="n"/>
      <c r="K88" s="32" t="n"/>
      <c r="L88" s="32" t="n"/>
      <c r="M88" s="32" t="n"/>
      <c r="N88" s="33" t="str">
        <f>IF(AND(ISNUMBER(K88),ISNUMBER(L88),ISNUMBER(M88)),IF(OR(AND(F88="多",K88&gt;L88),AND(F88="空",K88&lt;L88)),ABS(M88-K88)/ABS(K88-L88),"止损方向不对"),"")</f>
        <v/>
      </c>
      <c r="O88" s="34" t="str">
        <f>IF(AND(ISNUMBER(K88),ISNUMBER(L88)),IF(K88=L88,"",IF(INT(ROUND('参数'!$C$7/(ABS(K88-L88)*1+2*K88*'参数'!$C$12)/IF(N(J88)&gt;0,J88,1),6))*IF(N(J88)&gt;0,J88,1)&gt;0,INT(ROUND('参数'!$C$7/(ABS(K88-L88)*1+2*K88*'参数'!$C$12)/IF(N(J88)&gt;0,J88,1),6))*IF(N(J88)&gt;0,J88,1),"预算不足，这笔不做")),"")</f>
        <v/>
      </c>
      <c r="P88" s="35" t="n"/>
      <c r="Q88" s="20" t="str">
        <f>IF(AND(ISNUMBER(K88),ISNUMBER(L88),ISNUMBER(P88)),IF(AND(K88&lt;&gt;L88,P88&gt;0),ABS(K88-L88)*P88*1,""),"")</f>
        <v/>
      </c>
      <c r="R88" s="20" t="str">
        <f>IF(AND(ISNUMBER(K88),ISNUMBER(P88)),K88*P88,"")</f>
        <v/>
      </c>
      <c r="S88" s="20" t="str">
        <f>IF(AND(D88="合约",ISNUMBER(R88),N(G88)&gt;0),R88/G88,"")</f>
        <v/>
      </c>
      <c r="T88" s="36" t="str">
        <f>IF(NOT(D88="合约"),"",IF(H88&lt;&gt;"逐仓","看平台",IF(AND(ISNUMBER(K88),N(G88)&gt;0),IF(F88="空",K88*(1+1/G88-IF(ISNUMBER(I88),I88,'参数'!$C$13)),K88*(1-1/G88+IF(ISNUMBER(I88),I88,'参数'!$C$13))),"")))</f>
        <v/>
      </c>
      <c r="U88" s="37" t="str">
        <f>IF(AND(ISNUMBER(T88),ISNUMBER(L88),ISNUMBER(K88)),IF(F88="空",T88-L88,L88-T88)/K88,"")</f>
        <v/>
      </c>
      <c r="V88" s="38" t="str">
        <f>IF(ISNUMBER(U88),IF(U88&lt;'参数'!$C$15,"先降杠杆或减量","在止损外"),"")</f>
        <v/>
      </c>
      <c r="W88" s="30" t="n"/>
      <c r="X88" s="31" t="n"/>
      <c r="Y88" s="39" t="str">
        <f>IF(N(AB88)&gt;0,SUMPRODUCT(LARGE(('成交明细'!$A$5:$A$804=A88)*('成交明细'!$D$5:$D$804=IF(F88="空","卖","买"))*'成交明细'!$B$5:$B$804,COUNTIFS('成交明细'!$A$5:$A$804,A88,'成交明细'!$D$5:$D$804,IF(F88="空","卖","买")))),"")</f>
        <v/>
      </c>
      <c r="Z88" s="39" t="str">
        <f>IF(AND(N(AB88)&gt;0,N(AD88)&gt;=N(AB88)),SUMPRODUCT(MAX(('成交明细'!$A$5:$A$804=A88)*('成交明细'!$D$5:$D$804=IF(F88="空","买","卖"))*'成交明细'!$B$5:$B$804)),"")</f>
        <v/>
      </c>
      <c r="AA88" s="40" t="str">
        <f>IF(N(AB88)=0,"",IF(SUMPRODUCT(('成交明细'!$A$5:$A$804=A88)*('成交明细'!$D$5:$D$804=IF(F88="空","卖","买"))*ISNUMBER('成交明细'!$C$5:$C$804))=0,"没填时间",IFERROR(VLOOKUP(MOD(SUMPRODUCT(LARGE(('成交明细'!$A$5:$A$804=A88)*('成交明细'!$D$5:$D$804=IF(F88="空","卖","买"))*('成交明细'!$B$5:$B$804+'成交明细'!$C$5:$C$804),COUNTIFS('成交明细'!$A$5:$A$804,A88,'成交明细'!$D$5:$D$804,IF(F88="空","卖","买")))),1),'参数'!$B$39:$C$48,2,TRUE),"")))</f>
        <v/>
      </c>
      <c r="AB88" s="34" t="str">
        <f>IF(A88="","",SUMIFS('成交明细'!$F$5:$F$804,'成交明细'!$A$5:$A$804,A88,'成交明细'!$D$5:$D$804,IF(F88="空","卖","买")))</f>
        <v/>
      </c>
      <c r="AC88" s="41" t="str">
        <f>IF(N(AB88)&gt;0,SUMIFS('成交明细'!$H$5:$H$804,'成交明细'!$A$5:$A$804,A88,'成交明细'!$D$5:$D$804,IF(F88="空","卖","买"))/AB88,"")</f>
        <v/>
      </c>
      <c r="AD88" s="34" t="str">
        <f>IF(A88="","",SUMIFS('成交明细'!$F$5:$F$804,'成交明细'!$A$5:$A$804,A88,'成交明细'!$D$5:$D$804,IF(F88="空","买","卖")))</f>
        <v/>
      </c>
      <c r="AE88" s="41" t="str">
        <f>IF(N(AD88)&gt;0,SUMIFS('成交明细'!$H$5:$H$804,'成交明细'!$A$5:$A$804,A88,'成交明细'!$D$5:$D$804,IF(F88="空","买","卖"))/AD88,"")</f>
        <v/>
      </c>
      <c r="AF88" s="38" t="str">
        <f>IF(A88="","",IF(X88&lt;&gt;"已执行",IF(X88="","未填执行情况",X88),IF(N(AB88)=0,"待录成交",IF(N(AD88)&gt;N(AB88),"平仓多于开仓",IF(N(AD88)&lt;N(AB88),"持仓中","已平仓")))))</f>
        <v/>
      </c>
      <c r="AG88" s="42" t="str">
        <f>IF(N(AB88)=0,"",SUMIFS('成交明细'!$L$5:$L$804,'成交明细'!$A$5:$A$804,A88))</f>
        <v/>
      </c>
      <c r="AH88" s="43" t="str">
        <f>IF(A88="","",SUMIFS('资金费流水'!$F$5:$F$604,'资金费流水'!$B$5:$B$604,A88))</f>
        <v/>
      </c>
      <c r="AI88" s="43" t="str">
        <f>IF(AF88&lt;&gt;"已平仓","",(SUMIFS('成交明细'!$H$5:$H$804,'成交明细'!$A$5:$A$804,A88,'成交明细'!$D$5:$D$804,"卖")-SUMIFS('成交明细'!$H$5:$H$804,'成交明细'!$A$5:$A$804,A88,'成交明细'!$D$5:$D$804,"买"))*1-AG88+N(AH88))</f>
        <v/>
      </c>
      <c r="AJ88" s="44" t="str">
        <f>IF(AND(AF88="已平仓",ISNUMBER(Q88)),(SUMIFS('成交明细'!$H$5:$H$804,'成交明细'!$A$5:$A$804,A88,'成交明细'!$D$5:$D$804,"卖")-SUMIFS('成交明细'!$H$5:$H$804,'成交明细'!$A$5:$A$804,A88,'成交明细'!$D$5:$D$804,"买"))*1/Q88,"")</f>
        <v/>
      </c>
      <c r="AK88" s="44" t="str">
        <f>IF(AND(AF88="已平仓",ISNUMBER(Q88)),AI88/Q88,"")</f>
        <v/>
      </c>
      <c r="AL88" s="45" t="str">
        <f>IF(AND(ISNUMBER(AC88),ISNUMBER(K88)),IF(F88="空",K88-AC88,AC88-K88),"")</f>
        <v/>
      </c>
      <c r="AM88" s="45" t="str">
        <f>IF(OR(NOT(ISNUMBER(AI88)),NOT(ISNUMBER(AE88))),"",IF(AI88&lt;0,IF(F88="空",AE88-L88,L88-AE88),IF(NOT(ISNUMBER(M88)),"",IF(F88="空",AE88-M88,M88-AE88))))</f>
        <v/>
      </c>
      <c r="AN88" s="31" t="n"/>
      <c r="AO88" s="31" t="n"/>
      <c r="AP88" s="30" t="n"/>
      <c r="AQ88" s="44" t="str">
        <f>IF(A88="","",SUM(AK$5:AK88))</f>
        <v/>
      </c>
      <c r="AR88" s="46" t="str">
        <f>IF(A88="","",MAX(0,MAX(AQ$5:AQ88))-AQ88)</f>
        <v/>
      </c>
    </row>
    <row r="89">
      <c r="A89" s="24" t="n"/>
      <c r="B89" s="29" t="n"/>
      <c r="C89" s="30" t="n"/>
      <c r="D89" s="31" t="n"/>
      <c r="E89" s="31" t="n"/>
      <c r="F89" s="31" t="n"/>
      <c r="G89" s="21" t="n"/>
      <c r="H89" s="31" t="n"/>
      <c r="I89" s="23" t="n"/>
      <c r="J89" s="31" t="n"/>
      <c r="K89" s="32" t="n"/>
      <c r="L89" s="32" t="n"/>
      <c r="M89" s="32" t="n"/>
      <c r="N89" s="33" t="str">
        <f>IF(AND(ISNUMBER(K89),ISNUMBER(L89),ISNUMBER(M89)),IF(OR(AND(F89="多",K89&gt;L89),AND(F89="空",K89&lt;L89)),ABS(M89-K89)/ABS(K89-L89),"止损方向不对"),"")</f>
        <v/>
      </c>
      <c r="O89" s="34" t="str">
        <f>IF(AND(ISNUMBER(K89),ISNUMBER(L89)),IF(K89=L89,"",IF(INT(ROUND('参数'!$C$7/(ABS(K89-L89)*1+2*K89*'参数'!$C$12)/IF(N(J89)&gt;0,J89,1),6))*IF(N(J89)&gt;0,J89,1)&gt;0,INT(ROUND('参数'!$C$7/(ABS(K89-L89)*1+2*K89*'参数'!$C$12)/IF(N(J89)&gt;0,J89,1),6))*IF(N(J89)&gt;0,J89,1),"预算不足，这笔不做")),"")</f>
        <v/>
      </c>
      <c r="P89" s="35" t="n"/>
      <c r="Q89" s="20" t="str">
        <f>IF(AND(ISNUMBER(K89),ISNUMBER(L89),ISNUMBER(P89)),IF(AND(K89&lt;&gt;L89,P89&gt;0),ABS(K89-L89)*P89*1,""),"")</f>
        <v/>
      </c>
      <c r="R89" s="20" t="str">
        <f>IF(AND(ISNUMBER(K89),ISNUMBER(P89)),K89*P89,"")</f>
        <v/>
      </c>
      <c r="S89" s="20" t="str">
        <f>IF(AND(D89="合约",ISNUMBER(R89),N(G89)&gt;0),R89/G89,"")</f>
        <v/>
      </c>
      <c r="T89" s="36" t="str">
        <f>IF(NOT(D89="合约"),"",IF(H89&lt;&gt;"逐仓","看平台",IF(AND(ISNUMBER(K89),N(G89)&gt;0),IF(F89="空",K89*(1+1/G89-IF(ISNUMBER(I89),I89,'参数'!$C$13)),K89*(1-1/G89+IF(ISNUMBER(I89),I89,'参数'!$C$13))),"")))</f>
        <v/>
      </c>
      <c r="U89" s="37" t="str">
        <f>IF(AND(ISNUMBER(T89),ISNUMBER(L89),ISNUMBER(K89)),IF(F89="空",T89-L89,L89-T89)/K89,"")</f>
        <v/>
      </c>
      <c r="V89" s="38" t="str">
        <f>IF(ISNUMBER(U89),IF(U89&lt;'参数'!$C$15,"先降杠杆或减量","在止损外"),"")</f>
        <v/>
      </c>
      <c r="W89" s="30" t="n"/>
      <c r="X89" s="31" t="n"/>
      <c r="Y89" s="39" t="str">
        <f>IF(N(AB89)&gt;0,SUMPRODUCT(LARGE(('成交明细'!$A$5:$A$804=A89)*('成交明细'!$D$5:$D$804=IF(F89="空","卖","买"))*'成交明细'!$B$5:$B$804,COUNTIFS('成交明细'!$A$5:$A$804,A89,'成交明细'!$D$5:$D$804,IF(F89="空","卖","买")))),"")</f>
        <v/>
      </c>
      <c r="Z89" s="39" t="str">
        <f>IF(AND(N(AB89)&gt;0,N(AD89)&gt;=N(AB89)),SUMPRODUCT(MAX(('成交明细'!$A$5:$A$804=A89)*('成交明细'!$D$5:$D$804=IF(F89="空","买","卖"))*'成交明细'!$B$5:$B$804)),"")</f>
        <v/>
      </c>
      <c r="AA89" s="40" t="str">
        <f>IF(N(AB89)=0,"",IF(SUMPRODUCT(('成交明细'!$A$5:$A$804=A89)*('成交明细'!$D$5:$D$804=IF(F89="空","卖","买"))*ISNUMBER('成交明细'!$C$5:$C$804))=0,"没填时间",IFERROR(VLOOKUP(MOD(SUMPRODUCT(LARGE(('成交明细'!$A$5:$A$804=A89)*('成交明细'!$D$5:$D$804=IF(F89="空","卖","买"))*('成交明细'!$B$5:$B$804+'成交明细'!$C$5:$C$804),COUNTIFS('成交明细'!$A$5:$A$804,A89,'成交明细'!$D$5:$D$804,IF(F89="空","卖","买")))),1),'参数'!$B$39:$C$48,2,TRUE),"")))</f>
        <v/>
      </c>
      <c r="AB89" s="34" t="str">
        <f>IF(A89="","",SUMIFS('成交明细'!$F$5:$F$804,'成交明细'!$A$5:$A$804,A89,'成交明细'!$D$5:$D$804,IF(F89="空","卖","买")))</f>
        <v/>
      </c>
      <c r="AC89" s="41" t="str">
        <f>IF(N(AB89)&gt;0,SUMIFS('成交明细'!$H$5:$H$804,'成交明细'!$A$5:$A$804,A89,'成交明细'!$D$5:$D$804,IF(F89="空","卖","买"))/AB89,"")</f>
        <v/>
      </c>
      <c r="AD89" s="34" t="str">
        <f>IF(A89="","",SUMIFS('成交明细'!$F$5:$F$804,'成交明细'!$A$5:$A$804,A89,'成交明细'!$D$5:$D$804,IF(F89="空","买","卖")))</f>
        <v/>
      </c>
      <c r="AE89" s="41" t="str">
        <f>IF(N(AD89)&gt;0,SUMIFS('成交明细'!$H$5:$H$804,'成交明细'!$A$5:$A$804,A89,'成交明细'!$D$5:$D$804,IF(F89="空","买","卖"))/AD89,"")</f>
        <v/>
      </c>
      <c r="AF89" s="38" t="str">
        <f>IF(A89="","",IF(X89&lt;&gt;"已执行",IF(X89="","未填执行情况",X89),IF(N(AB89)=0,"待录成交",IF(N(AD89)&gt;N(AB89),"平仓多于开仓",IF(N(AD89)&lt;N(AB89),"持仓中","已平仓")))))</f>
        <v/>
      </c>
      <c r="AG89" s="42" t="str">
        <f>IF(N(AB89)=0,"",SUMIFS('成交明细'!$L$5:$L$804,'成交明细'!$A$5:$A$804,A89))</f>
        <v/>
      </c>
      <c r="AH89" s="43" t="str">
        <f>IF(A89="","",SUMIFS('资金费流水'!$F$5:$F$604,'资金费流水'!$B$5:$B$604,A89))</f>
        <v/>
      </c>
      <c r="AI89" s="43" t="str">
        <f>IF(AF89&lt;&gt;"已平仓","",(SUMIFS('成交明细'!$H$5:$H$804,'成交明细'!$A$5:$A$804,A89,'成交明细'!$D$5:$D$804,"卖")-SUMIFS('成交明细'!$H$5:$H$804,'成交明细'!$A$5:$A$804,A89,'成交明细'!$D$5:$D$804,"买"))*1-AG89+N(AH89))</f>
        <v/>
      </c>
      <c r="AJ89" s="44" t="str">
        <f>IF(AND(AF89="已平仓",ISNUMBER(Q89)),(SUMIFS('成交明细'!$H$5:$H$804,'成交明细'!$A$5:$A$804,A89,'成交明细'!$D$5:$D$804,"卖")-SUMIFS('成交明细'!$H$5:$H$804,'成交明细'!$A$5:$A$804,A89,'成交明细'!$D$5:$D$804,"买"))*1/Q89,"")</f>
        <v/>
      </c>
      <c r="AK89" s="44" t="str">
        <f>IF(AND(AF89="已平仓",ISNUMBER(Q89)),AI89/Q89,"")</f>
        <v/>
      </c>
      <c r="AL89" s="45" t="str">
        <f>IF(AND(ISNUMBER(AC89),ISNUMBER(K89)),IF(F89="空",K89-AC89,AC89-K89),"")</f>
        <v/>
      </c>
      <c r="AM89" s="45" t="str">
        <f>IF(OR(NOT(ISNUMBER(AI89)),NOT(ISNUMBER(AE89))),"",IF(AI89&lt;0,IF(F89="空",AE89-L89,L89-AE89),IF(NOT(ISNUMBER(M89)),"",IF(F89="空",AE89-M89,M89-AE89))))</f>
        <v/>
      </c>
      <c r="AN89" s="31" t="n"/>
      <c r="AO89" s="31" t="n"/>
      <c r="AP89" s="30" t="n"/>
      <c r="AQ89" s="44" t="str">
        <f>IF(A89="","",SUM(AK$5:AK89))</f>
        <v/>
      </c>
      <c r="AR89" s="46" t="str">
        <f>IF(A89="","",MAX(0,MAX(AQ$5:AQ89))-AQ89)</f>
        <v/>
      </c>
    </row>
    <row r="90">
      <c r="A90" s="24" t="n"/>
      <c r="B90" s="29" t="n"/>
      <c r="C90" s="30" t="n"/>
      <c r="D90" s="31" t="n"/>
      <c r="E90" s="31" t="n"/>
      <c r="F90" s="31" t="n"/>
      <c r="G90" s="21" t="n"/>
      <c r="H90" s="31" t="n"/>
      <c r="I90" s="23" t="n"/>
      <c r="J90" s="31" t="n"/>
      <c r="K90" s="32" t="n"/>
      <c r="L90" s="32" t="n"/>
      <c r="M90" s="32" t="n"/>
      <c r="N90" s="33" t="str">
        <f>IF(AND(ISNUMBER(K90),ISNUMBER(L90),ISNUMBER(M90)),IF(OR(AND(F90="多",K90&gt;L90),AND(F90="空",K90&lt;L90)),ABS(M90-K90)/ABS(K90-L90),"止损方向不对"),"")</f>
        <v/>
      </c>
      <c r="O90" s="34" t="str">
        <f>IF(AND(ISNUMBER(K90),ISNUMBER(L90)),IF(K90=L90,"",IF(INT(ROUND('参数'!$C$7/(ABS(K90-L90)*1+2*K90*'参数'!$C$12)/IF(N(J90)&gt;0,J90,1),6))*IF(N(J90)&gt;0,J90,1)&gt;0,INT(ROUND('参数'!$C$7/(ABS(K90-L90)*1+2*K90*'参数'!$C$12)/IF(N(J90)&gt;0,J90,1),6))*IF(N(J90)&gt;0,J90,1),"预算不足，这笔不做")),"")</f>
        <v/>
      </c>
      <c r="P90" s="35" t="n"/>
      <c r="Q90" s="20" t="str">
        <f>IF(AND(ISNUMBER(K90),ISNUMBER(L90),ISNUMBER(P90)),IF(AND(K90&lt;&gt;L90,P90&gt;0),ABS(K90-L90)*P90*1,""),"")</f>
        <v/>
      </c>
      <c r="R90" s="20" t="str">
        <f>IF(AND(ISNUMBER(K90),ISNUMBER(P90)),K90*P90,"")</f>
        <v/>
      </c>
      <c r="S90" s="20" t="str">
        <f>IF(AND(D90="合约",ISNUMBER(R90),N(G90)&gt;0),R90/G90,"")</f>
        <v/>
      </c>
      <c r="T90" s="36" t="str">
        <f>IF(NOT(D90="合约"),"",IF(H90&lt;&gt;"逐仓","看平台",IF(AND(ISNUMBER(K90),N(G90)&gt;0),IF(F90="空",K90*(1+1/G90-IF(ISNUMBER(I90),I90,'参数'!$C$13)),K90*(1-1/G90+IF(ISNUMBER(I90),I90,'参数'!$C$13))),"")))</f>
        <v/>
      </c>
      <c r="U90" s="37" t="str">
        <f>IF(AND(ISNUMBER(T90),ISNUMBER(L90),ISNUMBER(K90)),IF(F90="空",T90-L90,L90-T90)/K90,"")</f>
        <v/>
      </c>
      <c r="V90" s="38" t="str">
        <f>IF(ISNUMBER(U90),IF(U90&lt;'参数'!$C$15,"先降杠杆或减量","在止损外"),"")</f>
        <v/>
      </c>
      <c r="W90" s="30" t="n"/>
      <c r="X90" s="31" t="n"/>
      <c r="Y90" s="39" t="str">
        <f>IF(N(AB90)&gt;0,SUMPRODUCT(LARGE(('成交明细'!$A$5:$A$804=A90)*('成交明细'!$D$5:$D$804=IF(F90="空","卖","买"))*'成交明细'!$B$5:$B$804,COUNTIFS('成交明细'!$A$5:$A$804,A90,'成交明细'!$D$5:$D$804,IF(F90="空","卖","买")))),"")</f>
        <v/>
      </c>
      <c r="Z90" s="39" t="str">
        <f>IF(AND(N(AB90)&gt;0,N(AD90)&gt;=N(AB90)),SUMPRODUCT(MAX(('成交明细'!$A$5:$A$804=A90)*('成交明细'!$D$5:$D$804=IF(F90="空","买","卖"))*'成交明细'!$B$5:$B$804)),"")</f>
        <v/>
      </c>
      <c r="AA90" s="40" t="str">
        <f>IF(N(AB90)=0,"",IF(SUMPRODUCT(('成交明细'!$A$5:$A$804=A90)*('成交明细'!$D$5:$D$804=IF(F90="空","卖","买"))*ISNUMBER('成交明细'!$C$5:$C$804))=0,"没填时间",IFERROR(VLOOKUP(MOD(SUMPRODUCT(LARGE(('成交明细'!$A$5:$A$804=A90)*('成交明细'!$D$5:$D$804=IF(F90="空","卖","买"))*('成交明细'!$B$5:$B$804+'成交明细'!$C$5:$C$804),COUNTIFS('成交明细'!$A$5:$A$804,A90,'成交明细'!$D$5:$D$804,IF(F90="空","卖","买")))),1),'参数'!$B$39:$C$48,2,TRUE),"")))</f>
        <v/>
      </c>
      <c r="AB90" s="34" t="str">
        <f>IF(A90="","",SUMIFS('成交明细'!$F$5:$F$804,'成交明细'!$A$5:$A$804,A90,'成交明细'!$D$5:$D$804,IF(F90="空","卖","买")))</f>
        <v/>
      </c>
      <c r="AC90" s="41" t="str">
        <f>IF(N(AB90)&gt;0,SUMIFS('成交明细'!$H$5:$H$804,'成交明细'!$A$5:$A$804,A90,'成交明细'!$D$5:$D$804,IF(F90="空","卖","买"))/AB90,"")</f>
        <v/>
      </c>
      <c r="AD90" s="34" t="str">
        <f>IF(A90="","",SUMIFS('成交明细'!$F$5:$F$804,'成交明细'!$A$5:$A$804,A90,'成交明细'!$D$5:$D$804,IF(F90="空","买","卖")))</f>
        <v/>
      </c>
      <c r="AE90" s="41" t="str">
        <f>IF(N(AD90)&gt;0,SUMIFS('成交明细'!$H$5:$H$804,'成交明细'!$A$5:$A$804,A90,'成交明细'!$D$5:$D$804,IF(F90="空","买","卖"))/AD90,"")</f>
        <v/>
      </c>
      <c r="AF90" s="38" t="str">
        <f>IF(A90="","",IF(X90&lt;&gt;"已执行",IF(X90="","未填执行情况",X90),IF(N(AB90)=0,"待录成交",IF(N(AD90)&gt;N(AB90),"平仓多于开仓",IF(N(AD90)&lt;N(AB90),"持仓中","已平仓")))))</f>
        <v/>
      </c>
      <c r="AG90" s="42" t="str">
        <f>IF(N(AB90)=0,"",SUMIFS('成交明细'!$L$5:$L$804,'成交明细'!$A$5:$A$804,A90))</f>
        <v/>
      </c>
      <c r="AH90" s="43" t="str">
        <f>IF(A90="","",SUMIFS('资金费流水'!$F$5:$F$604,'资金费流水'!$B$5:$B$604,A90))</f>
        <v/>
      </c>
      <c r="AI90" s="43" t="str">
        <f>IF(AF90&lt;&gt;"已平仓","",(SUMIFS('成交明细'!$H$5:$H$804,'成交明细'!$A$5:$A$804,A90,'成交明细'!$D$5:$D$804,"卖")-SUMIFS('成交明细'!$H$5:$H$804,'成交明细'!$A$5:$A$804,A90,'成交明细'!$D$5:$D$804,"买"))*1-AG90+N(AH90))</f>
        <v/>
      </c>
      <c r="AJ90" s="44" t="str">
        <f>IF(AND(AF90="已平仓",ISNUMBER(Q90)),(SUMIFS('成交明细'!$H$5:$H$804,'成交明细'!$A$5:$A$804,A90,'成交明细'!$D$5:$D$804,"卖")-SUMIFS('成交明细'!$H$5:$H$804,'成交明细'!$A$5:$A$804,A90,'成交明细'!$D$5:$D$804,"买"))*1/Q90,"")</f>
        <v/>
      </c>
      <c r="AK90" s="44" t="str">
        <f>IF(AND(AF90="已平仓",ISNUMBER(Q90)),AI90/Q90,"")</f>
        <v/>
      </c>
      <c r="AL90" s="45" t="str">
        <f>IF(AND(ISNUMBER(AC90),ISNUMBER(K90)),IF(F90="空",K90-AC90,AC90-K90),"")</f>
        <v/>
      </c>
      <c r="AM90" s="45" t="str">
        <f>IF(OR(NOT(ISNUMBER(AI90)),NOT(ISNUMBER(AE90))),"",IF(AI90&lt;0,IF(F90="空",AE90-L90,L90-AE90),IF(NOT(ISNUMBER(M90)),"",IF(F90="空",AE90-M90,M90-AE90))))</f>
        <v/>
      </c>
      <c r="AN90" s="31" t="n"/>
      <c r="AO90" s="31" t="n"/>
      <c r="AP90" s="30" t="n"/>
      <c r="AQ90" s="44" t="str">
        <f>IF(A90="","",SUM(AK$5:AK90))</f>
        <v/>
      </c>
      <c r="AR90" s="46" t="str">
        <f>IF(A90="","",MAX(0,MAX(AQ$5:AQ90))-AQ90)</f>
        <v/>
      </c>
    </row>
    <row r="91">
      <c r="A91" s="24" t="n"/>
      <c r="B91" s="29" t="n"/>
      <c r="C91" s="30" t="n"/>
      <c r="D91" s="31" t="n"/>
      <c r="E91" s="31" t="n"/>
      <c r="F91" s="31" t="n"/>
      <c r="G91" s="21" t="n"/>
      <c r="H91" s="31" t="n"/>
      <c r="I91" s="23" t="n"/>
      <c r="J91" s="31" t="n"/>
      <c r="K91" s="32" t="n"/>
      <c r="L91" s="32" t="n"/>
      <c r="M91" s="32" t="n"/>
      <c r="N91" s="33" t="str">
        <f>IF(AND(ISNUMBER(K91),ISNUMBER(L91),ISNUMBER(M91)),IF(OR(AND(F91="多",K91&gt;L91),AND(F91="空",K91&lt;L91)),ABS(M91-K91)/ABS(K91-L91),"止损方向不对"),"")</f>
        <v/>
      </c>
      <c r="O91" s="34" t="str">
        <f>IF(AND(ISNUMBER(K91),ISNUMBER(L91)),IF(K91=L91,"",IF(INT(ROUND('参数'!$C$7/(ABS(K91-L91)*1+2*K91*'参数'!$C$12)/IF(N(J91)&gt;0,J91,1),6))*IF(N(J91)&gt;0,J91,1)&gt;0,INT(ROUND('参数'!$C$7/(ABS(K91-L91)*1+2*K91*'参数'!$C$12)/IF(N(J91)&gt;0,J91,1),6))*IF(N(J91)&gt;0,J91,1),"预算不足，这笔不做")),"")</f>
        <v/>
      </c>
      <c r="P91" s="35" t="n"/>
      <c r="Q91" s="20" t="str">
        <f>IF(AND(ISNUMBER(K91),ISNUMBER(L91),ISNUMBER(P91)),IF(AND(K91&lt;&gt;L91,P91&gt;0),ABS(K91-L91)*P91*1,""),"")</f>
        <v/>
      </c>
      <c r="R91" s="20" t="str">
        <f>IF(AND(ISNUMBER(K91),ISNUMBER(P91)),K91*P91,"")</f>
        <v/>
      </c>
      <c r="S91" s="20" t="str">
        <f>IF(AND(D91="合约",ISNUMBER(R91),N(G91)&gt;0),R91/G91,"")</f>
        <v/>
      </c>
      <c r="T91" s="36" t="str">
        <f>IF(NOT(D91="合约"),"",IF(H91&lt;&gt;"逐仓","看平台",IF(AND(ISNUMBER(K91),N(G91)&gt;0),IF(F91="空",K91*(1+1/G91-IF(ISNUMBER(I91),I91,'参数'!$C$13)),K91*(1-1/G91+IF(ISNUMBER(I91),I91,'参数'!$C$13))),"")))</f>
        <v/>
      </c>
      <c r="U91" s="37" t="str">
        <f>IF(AND(ISNUMBER(T91),ISNUMBER(L91),ISNUMBER(K91)),IF(F91="空",T91-L91,L91-T91)/K91,"")</f>
        <v/>
      </c>
      <c r="V91" s="38" t="str">
        <f>IF(ISNUMBER(U91),IF(U91&lt;'参数'!$C$15,"先降杠杆或减量","在止损外"),"")</f>
        <v/>
      </c>
      <c r="W91" s="30" t="n"/>
      <c r="X91" s="31" t="n"/>
      <c r="Y91" s="39" t="str">
        <f>IF(N(AB91)&gt;0,SUMPRODUCT(LARGE(('成交明细'!$A$5:$A$804=A91)*('成交明细'!$D$5:$D$804=IF(F91="空","卖","买"))*'成交明细'!$B$5:$B$804,COUNTIFS('成交明细'!$A$5:$A$804,A91,'成交明细'!$D$5:$D$804,IF(F91="空","卖","买")))),"")</f>
        <v/>
      </c>
      <c r="Z91" s="39" t="str">
        <f>IF(AND(N(AB91)&gt;0,N(AD91)&gt;=N(AB91)),SUMPRODUCT(MAX(('成交明细'!$A$5:$A$804=A91)*('成交明细'!$D$5:$D$804=IF(F91="空","买","卖"))*'成交明细'!$B$5:$B$804)),"")</f>
        <v/>
      </c>
      <c r="AA91" s="40" t="str">
        <f>IF(N(AB91)=0,"",IF(SUMPRODUCT(('成交明细'!$A$5:$A$804=A91)*('成交明细'!$D$5:$D$804=IF(F91="空","卖","买"))*ISNUMBER('成交明细'!$C$5:$C$804))=0,"没填时间",IFERROR(VLOOKUP(MOD(SUMPRODUCT(LARGE(('成交明细'!$A$5:$A$804=A91)*('成交明细'!$D$5:$D$804=IF(F91="空","卖","买"))*('成交明细'!$B$5:$B$804+'成交明细'!$C$5:$C$804),COUNTIFS('成交明细'!$A$5:$A$804,A91,'成交明细'!$D$5:$D$804,IF(F91="空","卖","买")))),1),'参数'!$B$39:$C$48,2,TRUE),"")))</f>
        <v/>
      </c>
      <c r="AB91" s="34" t="str">
        <f>IF(A91="","",SUMIFS('成交明细'!$F$5:$F$804,'成交明细'!$A$5:$A$804,A91,'成交明细'!$D$5:$D$804,IF(F91="空","卖","买")))</f>
        <v/>
      </c>
      <c r="AC91" s="41" t="str">
        <f>IF(N(AB91)&gt;0,SUMIFS('成交明细'!$H$5:$H$804,'成交明细'!$A$5:$A$804,A91,'成交明细'!$D$5:$D$804,IF(F91="空","卖","买"))/AB91,"")</f>
        <v/>
      </c>
      <c r="AD91" s="34" t="str">
        <f>IF(A91="","",SUMIFS('成交明细'!$F$5:$F$804,'成交明细'!$A$5:$A$804,A91,'成交明细'!$D$5:$D$804,IF(F91="空","买","卖")))</f>
        <v/>
      </c>
      <c r="AE91" s="41" t="str">
        <f>IF(N(AD91)&gt;0,SUMIFS('成交明细'!$H$5:$H$804,'成交明细'!$A$5:$A$804,A91,'成交明细'!$D$5:$D$804,IF(F91="空","买","卖"))/AD91,"")</f>
        <v/>
      </c>
      <c r="AF91" s="38" t="str">
        <f>IF(A91="","",IF(X91&lt;&gt;"已执行",IF(X91="","未填执行情况",X91),IF(N(AB91)=0,"待录成交",IF(N(AD91)&gt;N(AB91),"平仓多于开仓",IF(N(AD91)&lt;N(AB91),"持仓中","已平仓")))))</f>
        <v/>
      </c>
      <c r="AG91" s="42" t="str">
        <f>IF(N(AB91)=0,"",SUMIFS('成交明细'!$L$5:$L$804,'成交明细'!$A$5:$A$804,A91))</f>
        <v/>
      </c>
      <c r="AH91" s="43" t="str">
        <f>IF(A91="","",SUMIFS('资金费流水'!$F$5:$F$604,'资金费流水'!$B$5:$B$604,A91))</f>
        <v/>
      </c>
      <c r="AI91" s="43" t="str">
        <f>IF(AF91&lt;&gt;"已平仓","",(SUMIFS('成交明细'!$H$5:$H$804,'成交明细'!$A$5:$A$804,A91,'成交明细'!$D$5:$D$804,"卖")-SUMIFS('成交明细'!$H$5:$H$804,'成交明细'!$A$5:$A$804,A91,'成交明细'!$D$5:$D$804,"买"))*1-AG91+N(AH91))</f>
        <v/>
      </c>
      <c r="AJ91" s="44" t="str">
        <f>IF(AND(AF91="已平仓",ISNUMBER(Q91)),(SUMIFS('成交明细'!$H$5:$H$804,'成交明细'!$A$5:$A$804,A91,'成交明细'!$D$5:$D$804,"卖")-SUMIFS('成交明细'!$H$5:$H$804,'成交明细'!$A$5:$A$804,A91,'成交明细'!$D$5:$D$804,"买"))*1/Q91,"")</f>
        <v/>
      </c>
      <c r="AK91" s="44" t="str">
        <f>IF(AND(AF91="已平仓",ISNUMBER(Q91)),AI91/Q91,"")</f>
        <v/>
      </c>
      <c r="AL91" s="45" t="str">
        <f>IF(AND(ISNUMBER(AC91),ISNUMBER(K91)),IF(F91="空",K91-AC91,AC91-K91),"")</f>
        <v/>
      </c>
      <c r="AM91" s="45" t="str">
        <f>IF(OR(NOT(ISNUMBER(AI91)),NOT(ISNUMBER(AE91))),"",IF(AI91&lt;0,IF(F91="空",AE91-L91,L91-AE91),IF(NOT(ISNUMBER(M91)),"",IF(F91="空",AE91-M91,M91-AE91))))</f>
        <v/>
      </c>
      <c r="AN91" s="31" t="n"/>
      <c r="AO91" s="31" t="n"/>
      <c r="AP91" s="30" t="n"/>
      <c r="AQ91" s="44" t="str">
        <f>IF(A91="","",SUM(AK$5:AK91))</f>
        <v/>
      </c>
      <c r="AR91" s="46" t="str">
        <f>IF(A91="","",MAX(0,MAX(AQ$5:AQ91))-AQ91)</f>
        <v/>
      </c>
    </row>
    <row r="92">
      <c r="A92" s="24" t="n"/>
      <c r="B92" s="29" t="n"/>
      <c r="C92" s="30" t="n"/>
      <c r="D92" s="31" t="n"/>
      <c r="E92" s="31" t="n"/>
      <c r="F92" s="31" t="n"/>
      <c r="G92" s="21" t="n"/>
      <c r="H92" s="31" t="n"/>
      <c r="I92" s="23" t="n"/>
      <c r="J92" s="31" t="n"/>
      <c r="K92" s="32" t="n"/>
      <c r="L92" s="32" t="n"/>
      <c r="M92" s="32" t="n"/>
      <c r="N92" s="33" t="str">
        <f>IF(AND(ISNUMBER(K92),ISNUMBER(L92),ISNUMBER(M92)),IF(OR(AND(F92="多",K92&gt;L92),AND(F92="空",K92&lt;L92)),ABS(M92-K92)/ABS(K92-L92),"止损方向不对"),"")</f>
        <v/>
      </c>
      <c r="O92" s="34" t="str">
        <f>IF(AND(ISNUMBER(K92),ISNUMBER(L92)),IF(K92=L92,"",IF(INT(ROUND('参数'!$C$7/(ABS(K92-L92)*1+2*K92*'参数'!$C$12)/IF(N(J92)&gt;0,J92,1),6))*IF(N(J92)&gt;0,J92,1)&gt;0,INT(ROUND('参数'!$C$7/(ABS(K92-L92)*1+2*K92*'参数'!$C$12)/IF(N(J92)&gt;0,J92,1),6))*IF(N(J92)&gt;0,J92,1),"预算不足，这笔不做")),"")</f>
        <v/>
      </c>
      <c r="P92" s="35" t="n"/>
      <c r="Q92" s="20" t="str">
        <f>IF(AND(ISNUMBER(K92),ISNUMBER(L92),ISNUMBER(P92)),IF(AND(K92&lt;&gt;L92,P92&gt;0),ABS(K92-L92)*P92*1,""),"")</f>
        <v/>
      </c>
      <c r="R92" s="20" t="str">
        <f>IF(AND(ISNUMBER(K92),ISNUMBER(P92)),K92*P92,"")</f>
        <v/>
      </c>
      <c r="S92" s="20" t="str">
        <f>IF(AND(D92="合约",ISNUMBER(R92),N(G92)&gt;0),R92/G92,"")</f>
        <v/>
      </c>
      <c r="T92" s="36" t="str">
        <f>IF(NOT(D92="合约"),"",IF(H92&lt;&gt;"逐仓","看平台",IF(AND(ISNUMBER(K92),N(G92)&gt;0),IF(F92="空",K92*(1+1/G92-IF(ISNUMBER(I92),I92,'参数'!$C$13)),K92*(1-1/G92+IF(ISNUMBER(I92),I92,'参数'!$C$13))),"")))</f>
        <v/>
      </c>
      <c r="U92" s="37" t="str">
        <f>IF(AND(ISNUMBER(T92),ISNUMBER(L92),ISNUMBER(K92)),IF(F92="空",T92-L92,L92-T92)/K92,"")</f>
        <v/>
      </c>
      <c r="V92" s="38" t="str">
        <f>IF(ISNUMBER(U92),IF(U92&lt;'参数'!$C$15,"先降杠杆或减量","在止损外"),"")</f>
        <v/>
      </c>
      <c r="W92" s="30" t="n"/>
      <c r="X92" s="31" t="n"/>
      <c r="Y92" s="39" t="str">
        <f>IF(N(AB92)&gt;0,SUMPRODUCT(LARGE(('成交明细'!$A$5:$A$804=A92)*('成交明细'!$D$5:$D$804=IF(F92="空","卖","买"))*'成交明细'!$B$5:$B$804,COUNTIFS('成交明细'!$A$5:$A$804,A92,'成交明细'!$D$5:$D$804,IF(F92="空","卖","买")))),"")</f>
        <v/>
      </c>
      <c r="Z92" s="39" t="str">
        <f>IF(AND(N(AB92)&gt;0,N(AD92)&gt;=N(AB92)),SUMPRODUCT(MAX(('成交明细'!$A$5:$A$804=A92)*('成交明细'!$D$5:$D$804=IF(F92="空","买","卖"))*'成交明细'!$B$5:$B$804)),"")</f>
        <v/>
      </c>
      <c r="AA92" s="40" t="str">
        <f>IF(N(AB92)=0,"",IF(SUMPRODUCT(('成交明细'!$A$5:$A$804=A92)*('成交明细'!$D$5:$D$804=IF(F92="空","卖","买"))*ISNUMBER('成交明细'!$C$5:$C$804))=0,"没填时间",IFERROR(VLOOKUP(MOD(SUMPRODUCT(LARGE(('成交明细'!$A$5:$A$804=A92)*('成交明细'!$D$5:$D$804=IF(F92="空","卖","买"))*('成交明细'!$B$5:$B$804+'成交明细'!$C$5:$C$804),COUNTIFS('成交明细'!$A$5:$A$804,A92,'成交明细'!$D$5:$D$804,IF(F92="空","卖","买")))),1),'参数'!$B$39:$C$48,2,TRUE),"")))</f>
        <v/>
      </c>
      <c r="AB92" s="34" t="str">
        <f>IF(A92="","",SUMIFS('成交明细'!$F$5:$F$804,'成交明细'!$A$5:$A$804,A92,'成交明细'!$D$5:$D$804,IF(F92="空","卖","买")))</f>
        <v/>
      </c>
      <c r="AC92" s="41" t="str">
        <f>IF(N(AB92)&gt;0,SUMIFS('成交明细'!$H$5:$H$804,'成交明细'!$A$5:$A$804,A92,'成交明细'!$D$5:$D$804,IF(F92="空","卖","买"))/AB92,"")</f>
        <v/>
      </c>
      <c r="AD92" s="34" t="str">
        <f>IF(A92="","",SUMIFS('成交明细'!$F$5:$F$804,'成交明细'!$A$5:$A$804,A92,'成交明细'!$D$5:$D$804,IF(F92="空","买","卖")))</f>
        <v/>
      </c>
      <c r="AE92" s="41" t="str">
        <f>IF(N(AD92)&gt;0,SUMIFS('成交明细'!$H$5:$H$804,'成交明细'!$A$5:$A$804,A92,'成交明细'!$D$5:$D$804,IF(F92="空","买","卖"))/AD92,"")</f>
        <v/>
      </c>
      <c r="AF92" s="38" t="str">
        <f>IF(A92="","",IF(X92&lt;&gt;"已执行",IF(X92="","未填执行情况",X92),IF(N(AB92)=0,"待录成交",IF(N(AD92)&gt;N(AB92),"平仓多于开仓",IF(N(AD92)&lt;N(AB92),"持仓中","已平仓")))))</f>
        <v/>
      </c>
      <c r="AG92" s="42" t="str">
        <f>IF(N(AB92)=0,"",SUMIFS('成交明细'!$L$5:$L$804,'成交明细'!$A$5:$A$804,A92))</f>
        <v/>
      </c>
      <c r="AH92" s="43" t="str">
        <f>IF(A92="","",SUMIFS('资金费流水'!$F$5:$F$604,'资金费流水'!$B$5:$B$604,A92))</f>
        <v/>
      </c>
      <c r="AI92" s="43" t="str">
        <f>IF(AF92&lt;&gt;"已平仓","",(SUMIFS('成交明细'!$H$5:$H$804,'成交明细'!$A$5:$A$804,A92,'成交明细'!$D$5:$D$804,"卖")-SUMIFS('成交明细'!$H$5:$H$804,'成交明细'!$A$5:$A$804,A92,'成交明细'!$D$5:$D$804,"买"))*1-AG92+N(AH92))</f>
        <v/>
      </c>
      <c r="AJ92" s="44" t="str">
        <f>IF(AND(AF92="已平仓",ISNUMBER(Q92)),(SUMIFS('成交明细'!$H$5:$H$804,'成交明细'!$A$5:$A$804,A92,'成交明细'!$D$5:$D$804,"卖")-SUMIFS('成交明细'!$H$5:$H$804,'成交明细'!$A$5:$A$804,A92,'成交明细'!$D$5:$D$804,"买"))*1/Q92,"")</f>
        <v/>
      </c>
      <c r="AK92" s="44" t="str">
        <f>IF(AND(AF92="已平仓",ISNUMBER(Q92)),AI92/Q92,"")</f>
        <v/>
      </c>
      <c r="AL92" s="45" t="str">
        <f>IF(AND(ISNUMBER(AC92),ISNUMBER(K92)),IF(F92="空",K92-AC92,AC92-K92),"")</f>
        <v/>
      </c>
      <c r="AM92" s="45" t="str">
        <f>IF(OR(NOT(ISNUMBER(AI92)),NOT(ISNUMBER(AE92))),"",IF(AI92&lt;0,IF(F92="空",AE92-L92,L92-AE92),IF(NOT(ISNUMBER(M92)),"",IF(F92="空",AE92-M92,M92-AE92))))</f>
        <v/>
      </c>
      <c r="AN92" s="31" t="n"/>
      <c r="AO92" s="31" t="n"/>
      <c r="AP92" s="30" t="n"/>
      <c r="AQ92" s="44" t="str">
        <f>IF(A92="","",SUM(AK$5:AK92))</f>
        <v/>
      </c>
      <c r="AR92" s="46" t="str">
        <f>IF(A92="","",MAX(0,MAX(AQ$5:AQ92))-AQ92)</f>
        <v/>
      </c>
    </row>
    <row r="93">
      <c r="A93" s="24" t="n"/>
      <c r="B93" s="29" t="n"/>
      <c r="C93" s="30" t="n"/>
      <c r="D93" s="31" t="n"/>
      <c r="E93" s="31" t="n"/>
      <c r="F93" s="31" t="n"/>
      <c r="G93" s="21" t="n"/>
      <c r="H93" s="31" t="n"/>
      <c r="I93" s="23" t="n"/>
      <c r="J93" s="31" t="n"/>
      <c r="K93" s="32" t="n"/>
      <c r="L93" s="32" t="n"/>
      <c r="M93" s="32" t="n"/>
      <c r="N93" s="33" t="str">
        <f>IF(AND(ISNUMBER(K93),ISNUMBER(L93),ISNUMBER(M93)),IF(OR(AND(F93="多",K93&gt;L93),AND(F93="空",K93&lt;L93)),ABS(M93-K93)/ABS(K93-L93),"止损方向不对"),"")</f>
        <v/>
      </c>
      <c r="O93" s="34" t="str">
        <f>IF(AND(ISNUMBER(K93),ISNUMBER(L93)),IF(K93=L93,"",IF(INT(ROUND('参数'!$C$7/(ABS(K93-L93)*1+2*K93*'参数'!$C$12)/IF(N(J93)&gt;0,J93,1),6))*IF(N(J93)&gt;0,J93,1)&gt;0,INT(ROUND('参数'!$C$7/(ABS(K93-L93)*1+2*K93*'参数'!$C$12)/IF(N(J93)&gt;0,J93,1),6))*IF(N(J93)&gt;0,J93,1),"预算不足，这笔不做")),"")</f>
        <v/>
      </c>
      <c r="P93" s="35" t="n"/>
      <c r="Q93" s="20" t="str">
        <f>IF(AND(ISNUMBER(K93),ISNUMBER(L93),ISNUMBER(P93)),IF(AND(K93&lt;&gt;L93,P93&gt;0),ABS(K93-L93)*P93*1,""),"")</f>
        <v/>
      </c>
      <c r="R93" s="20" t="str">
        <f>IF(AND(ISNUMBER(K93),ISNUMBER(P93)),K93*P93,"")</f>
        <v/>
      </c>
      <c r="S93" s="20" t="str">
        <f>IF(AND(D93="合约",ISNUMBER(R93),N(G93)&gt;0),R93/G93,"")</f>
        <v/>
      </c>
      <c r="T93" s="36" t="str">
        <f>IF(NOT(D93="合约"),"",IF(H93&lt;&gt;"逐仓","看平台",IF(AND(ISNUMBER(K93),N(G93)&gt;0),IF(F93="空",K93*(1+1/G93-IF(ISNUMBER(I93),I93,'参数'!$C$13)),K93*(1-1/G93+IF(ISNUMBER(I93),I93,'参数'!$C$13))),"")))</f>
        <v/>
      </c>
      <c r="U93" s="37" t="str">
        <f>IF(AND(ISNUMBER(T93),ISNUMBER(L93),ISNUMBER(K93)),IF(F93="空",T93-L93,L93-T93)/K93,"")</f>
        <v/>
      </c>
      <c r="V93" s="38" t="str">
        <f>IF(ISNUMBER(U93),IF(U93&lt;'参数'!$C$15,"先降杠杆或减量","在止损外"),"")</f>
        <v/>
      </c>
      <c r="W93" s="30" t="n"/>
      <c r="X93" s="31" t="n"/>
      <c r="Y93" s="39" t="str">
        <f>IF(N(AB93)&gt;0,SUMPRODUCT(LARGE(('成交明细'!$A$5:$A$804=A93)*('成交明细'!$D$5:$D$804=IF(F93="空","卖","买"))*'成交明细'!$B$5:$B$804,COUNTIFS('成交明细'!$A$5:$A$804,A93,'成交明细'!$D$5:$D$804,IF(F93="空","卖","买")))),"")</f>
        <v/>
      </c>
      <c r="Z93" s="39" t="str">
        <f>IF(AND(N(AB93)&gt;0,N(AD93)&gt;=N(AB93)),SUMPRODUCT(MAX(('成交明细'!$A$5:$A$804=A93)*('成交明细'!$D$5:$D$804=IF(F93="空","买","卖"))*'成交明细'!$B$5:$B$804)),"")</f>
        <v/>
      </c>
      <c r="AA93" s="40" t="str">
        <f>IF(N(AB93)=0,"",IF(SUMPRODUCT(('成交明细'!$A$5:$A$804=A93)*('成交明细'!$D$5:$D$804=IF(F93="空","卖","买"))*ISNUMBER('成交明细'!$C$5:$C$804))=0,"没填时间",IFERROR(VLOOKUP(MOD(SUMPRODUCT(LARGE(('成交明细'!$A$5:$A$804=A93)*('成交明细'!$D$5:$D$804=IF(F93="空","卖","买"))*('成交明细'!$B$5:$B$804+'成交明细'!$C$5:$C$804),COUNTIFS('成交明细'!$A$5:$A$804,A93,'成交明细'!$D$5:$D$804,IF(F93="空","卖","买")))),1),'参数'!$B$39:$C$48,2,TRUE),"")))</f>
        <v/>
      </c>
      <c r="AB93" s="34" t="str">
        <f>IF(A93="","",SUMIFS('成交明细'!$F$5:$F$804,'成交明细'!$A$5:$A$804,A93,'成交明细'!$D$5:$D$804,IF(F93="空","卖","买")))</f>
        <v/>
      </c>
      <c r="AC93" s="41" t="str">
        <f>IF(N(AB93)&gt;0,SUMIFS('成交明细'!$H$5:$H$804,'成交明细'!$A$5:$A$804,A93,'成交明细'!$D$5:$D$804,IF(F93="空","卖","买"))/AB93,"")</f>
        <v/>
      </c>
      <c r="AD93" s="34" t="str">
        <f>IF(A93="","",SUMIFS('成交明细'!$F$5:$F$804,'成交明细'!$A$5:$A$804,A93,'成交明细'!$D$5:$D$804,IF(F93="空","买","卖")))</f>
        <v/>
      </c>
      <c r="AE93" s="41" t="str">
        <f>IF(N(AD93)&gt;0,SUMIFS('成交明细'!$H$5:$H$804,'成交明细'!$A$5:$A$804,A93,'成交明细'!$D$5:$D$804,IF(F93="空","买","卖"))/AD93,"")</f>
        <v/>
      </c>
      <c r="AF93" s="38" t="str">
        <f>IF(A93="","",IF(X93&lt;&gt;"已执行",IF(X93="","未填执行情况",X93),IF(N(AB93)=0,"待录成交",IF(N(AD93)&gt;N(AB93),"平仓多于开仓",IF(N(AD93)&lt;N(AB93),"持仓中","已平仓")))))</f>
        <v/>
      </c>
      <c r="AG93" s="42" t="str">
        <f>IF(N(AB93)=0,"",SUMIFS('成交明细'!$L$5:$L$804,'成交明细'!$A$5:$A$804,A93))</f>
        <v/>
      </c>
      <c r="AH93" s="43" t="str">
        <f>IF(A93="","",SUMIFS('资金费流水'!$F$5:$F$604,'资金费流水'!$B$5:$B$604,A93))</f>
        <v/>
      </c>
      <c r="AI93" s="43" t="str">
        <f>IF(AF93&lt;&gt;"已平仓","",(SUMIFS('成交明细'!$H$5:$H$804,'成交明细'!$A$5:$A$804,A93,'成交明细'!$D$5:$D$804,"卖")-SUMIFS('成交明细'!$H$5:$H$804,'成交明细'!$A$5:$A$804,A93,'成交明细'!$D$5:$D$804,"买"))*1-AG93+N(AH93))</f>
        <v/>
      </c>
      <c r="AJ93" s="44" t="str">
        <f>IF(AND(AF93="已平仓",ISNUMBER(Q93)),(SUMIFS('成交明细'!$H$5:$H$804,'成交明细'!$A$5:$A$804,A93,'成交明细'!$D$5:$D$804,"卖")-SUMIFS('成交明细'!$H$5:$H$804,'成交明细'!$A$5:$A$804,A93,'成交明细'!$D$5:$D$804,"买"))*1/Q93,"")</f>
        <v/>
      </c>
      <c r="AK93" s="44" t="str">
        <f>IF(AND(AF93="已平仓",ISNUMBER(Q93)),AI93/Q93,"")</f>
        <v/>
      </c>
      <c r="AL93" s="45" t="str">
        <f>IF(AND(ISNUMBER(AC93),ISNUMBER(K93)),IF(F93="空",K93-AC93,AC93-K93),"")</f>
        <v/>
      </c>
      <c r="AM93" s="45" t="str">
        <f>IF(OR(NOT(ISNUMBER(AI93)),NOT(ISNUMBER(AE93))),"",IF(AI93&lt;0,IF(F93="空",AE93-L93,L93-AE93),IF(NOT(ISNUMBER(M93)),"",IF(F93="空",AE93-M93,M93-AE93))))</f>
        <v/>
      </c>
      <c r="AN93" s="31" t="n"/>
      <c r="AO93" s="31" t="n"/>
      <c r="AP93" s="30" t="n"/>
      <c r="AQ93" s="44" t="str">
        <f>IF(A93="","",SUM(AK$5:AK93))</f>
        <v/>
      </c>
      <c r="AR93" s="46" t="str">
        <f>IF(A93="","",MAX(0,MAX(AQ$5:AQ93))-AQ93)</f>
        <v/>
      </c>
    </row>
    <row r="94">
      <c r="A94" s="24" t="n"/>
      <c r="B94" s="29" t="n"/>
      <c r="C94" s="30" t="n"/>
      <c r="D94" s="31" t="n"/>
      <c r="E94" s="31" t="n"/>
      <c r="F94" s="31" t="n"/>
      <c r="G94" s="21" t="n"/>
      <c r="H94" s="31" t="n"/>
      <c r="I94" s="23" t="n"/>
      <c r="J94" s="31" t="n"/>
      <c r="K94" s="32" t="n"/>
      <c r="L94" s="32" t="n"/>
      <c r="M94" s="32" t="n"/>
      <c r="N94" s="33" t="str">
        <f>IF(AND(ISNUMBER(K94),ISNUMBER(L94),ISNUMBER(M94)),IF(OR(AND(F94="多",K94&gt;L94),AND(F94="空",K94&lt;L94)),ABS(M94-K94)/ABS(K94-L94),"止损方向不对"),"")</f>
        <v/>
      </c>
      <c r="O94" s="34" t="str">
        <f>IF(AND(ISNUMBER(K94),ISNUMBER(L94)),IF(K94=L94,"",IF(INT(ROUND('参数'!$C$7/(ABS(K94-L94)*1+2*K94*'参数'!$C$12)/IF(N(J94)&gt;0,J94,1),6))*IF(N(J94)&gt;0,J94,1)&gt;0,INT(ROUND('参数'!$C$7/(ABS(K94-L94)*1+2*K94*'参数'!$C$12)/IF(N(J94)&gt;0,J94,1),6))*IF(N(J94)&gt;0,J94,1),"预算不足，这笔不做")),"")</f>
        <v/>
      </c>
      <c r="P94" s="35" t="n"/>
      <c r="Q94" s="20" t="str">
        <f>IF(AND(ISNUMBER(K94),ISNUMBER(L94),ISNUMBER(P94)),IF(AND(K94&lt;&gt;L94,P94&gt;0),ABS(K94-L94)*P94*1,""),"")</f>
        <v/>
      </c>
      <c r="R94" s="20" t="str">
        <f>IF(AND(ISNUMBER(K94),ISNUMBER(P94)),K94*P94,"")</f>
        <v/>
      </c>
      <c r="S94" s="20" t="str">
        <f>IF(AND(D94="合约",ISNUMBER(R94),N(G94)&gt;0),R94/G94,"")</f>
        <v/>
      </c>
      <c r="T94" s="36" t="str">
        <f>IF(NOT(D94="合约"),"",IF(H94&lt;&gt;"逐仓","看平台",IF(AND(ISNUMBER(K94),N(G94)&gt;0),IF(F94="空",K94*(1+1/G94-IF(ISNUMBER(I94),I94,'参数'!$C$13)),K94*(1-1/G94+IF(ISNUMBER(I94),I94,'参数'!$C$13))),"")))</f>
        <v/>
      </c>
      <c r="U94" s="37" t="str">
        <f>IF(AND(ISNUMBER(T94),ISNUMBER(L94),ISNUMBER(K94)),IF(F94="空",T94-L94,L94-T94)/K94,"")</f>
        <v/>
      </c>
      <c r="V94" s="38" t="str">
        <f>IF(ISNUMBER(U94),IF(U94&lt;'参数'!$C$15,"先降杠杆或减量","在止损外"),"")</f>
        <v/>
      </c>
      <c r="W94" s="30" t="n"/>
      <c r="X94" s="31" t="n"/>
      <c r="Y94" s="39" t="str">
        <f>IF(N(AB94)&gt;0,SUMPRODUCT(LARGE(('成交明细'!$A$5:$A$804=A94)*('成交明细'!$D$5:$D$804=IF(F94="空","卖","买"))*'成交明细'!$B$5:$B$804,COUNTIFS('成交明细'!$A$5:$A$804,A94,'成交明细'!$D$5:$D$804,IF(F94="空","卖","买")))),"")</f>
        <v/>
      </c>
      <c r="Z94" s="39" t="str">
        <f>IF(AND(N(AB94)&gt;0,N(AD94)&gt;=N(AB94)),SUMPRODUCT(MAX(('成交明细'!$A$5:$A$804=A94)*('成交明细'!$D$5:$D$804=IF(F94="空","买","卖"))*'成交明细'!$B$5:$B$804)),"")</f>
        <v/>
      </c>
      <c r="AA94" s="40" t="str">
        <f>IF(N(AB94)=0,"",IF(SUMPRODUCT(('成交明细'!$A$5:$A$804=A94)*('成交明细'!$D$5:$D$804=IF(F94="空","卖","买"))*ISNUMBER('成交明细'!$C$5:$C$804))=0,"没填时间",IFERROR(VLOOKUP(MOD(SUMPRODUCT(LARGE(('成交明细'!$A$5:$A$804=A94)*('成交明细'!$D$5:$D$804=IF(F94="空","卖","买"))*('成交明细'!$B$5:$B$804+'成交明细'!$C$5:$C$804),COUNTIFS('成交明细'!$A$5:$A$804,A94,'成交明细'!$D$5:$D$804,IF(F94="空","卖","买")))),1),'参数'!$B$39:$C$48,2,TRUE),"")))</f>
        <v/>
      </c>
      <c r="AB94" s="34" t="str">
        <f>IF(A94="","",SUMIFS('成交明细'!$F$5:$F$804,'成交明细'!$A$5:$A$804,A94,'成交明细'!$D$5:$D$804,IF(F94="空","卖","买")))</f>
        <v/>
      </c>
      <c r="AC94" s="41" t="str">
        <f>IF(N(AB94)&gt;0,SUMIFS('成交明细'!$H$5:$H$804,'成交明细'!$A$5:$A$804,A94,'成交明细'!$D$5:$D$804,IF(F94="空","卖","买"))/AB94,"")</f>
        <v/>
      </c>
      <c r="AD94" s="34" t="str">
        <f>IF(A94="","",SUMIFS('成交明细'!$F$5:$F$804,'成交明细'!$A$5:$A$804,A94,'成交明细'!$D$5:$D$804,IF(F94="空","买","卖")))</f>
        <v/>
      </c>
      <c r="AE94" s="41" t="str">
        <f>IF(N(AD94)&gt;0,SUMIFS('成交明细'!$H$5:$H$804,'成交明细'!$A$5:$A$804,A94,'成交明细'!$D$5:$D$804,IF(F94="空","买","卖"))/AD94,"")</f>
        <v/>
      </c>
      <c r="AF94" s="38" t="str">
        <f>IF(A94="","",IF(X94&lt;&gt;"已执行",IF(X94="","未填执行情况",X94),IF(N(AB94)=0,"待录成交",IF(N(AD94)&gt;N(AB94),"平仓多于开仓",IF(N(AD94)&lt;N(AB94),"持仓中","已平仓")))))</f>
        <v/>
      </c>
      <c r="AG94" s="42" t="str">
        <f>IF(N(AB94)=0,"",SUMIFS('成交明细'!$L$5:$L$804,'成交明细'!$A$5:$A$804,A94))</f>
        <v/>
      </c>
      <c r="AH94" s="43" t="str">
        <f>IF(A94="","",SUMIFS('资金费流水'!$F$5:$F$604,'资金费流水'!$B$5:$B$604,A94))</f>
        <v/>
      </c>
      <c r="AI94" s="43" t="str">
        <f>IF(AF94&lt;&gt;"已平仓","",(SUMIFS('成交明细'!$H$5:$H$804,'成交明细'!$A$5:$A$804,A94,'成交明细'!$D$5:$D$804,"卖")-SUMIFS('成交明细'!$H$5:$H$804,'成交明细'!$A$5:$A$804,A94,'成交明细'!$D$5:$D$804,"买"))*1-AG94+N(AH94))</f>
        <v/>
      </c>
      <c r="AJ94" s="44" t="str">
        <f>IF(AND(AF94="已平仓",ISNUMBER(Q94)),(SUMIFS('成交明细'!$H$5:$H$804,'成交明细'!$A$5:$A$804,A94,'成交明细'!$D$5:$D$804,"卖")-SUMIFS('成交明细'!$H$5:$H$804,'成交明细'!$A$5:$A$804,A94,'成交明细'!$D$5:$D$804,"买"))*1/Q94,"")</f>
        <v/>
      </c>
      <c r="AK94" s="44" t="str">
        <f>IF(AND(AF94="已平仓",ISNUMBER(Q94)),AI94/Q94,"")</f>
        <v/>
      </c>
      <c r="AL94" s="45" t="str">
        <f>IF(AND(ISNUMBER(AC94),ISNUMBER(K94)),IF(F94="空",K94-AC94,AC94-K94),"")</f>
        <v/>
      </c>
      <c r="AM94" s="45" t="str">
        <f>IF(OR(NOT(ISNUMBER(AI94)),NOT(ISNUMBER(AE94))),"",IF(AI94&lt;0,IF(F94="空",AE94-L94,L94-AE94),IF(NOT(ISNUMBER(M94)),"",IF(F94="空",AE94-M94,M94-AE94))))</f>
        <v/>
      </c>
      <c r="AN94" s="31" t="n"/>
      <c r="AO94" s="31" t="n"/>
      <c r="AP94" s="30" t="n"/>
      <c r="AQ94" s="44" t="str">
        <f>IF(A94="","",SUM(AK$5:AK94))</f>
        <v/>
      </c>
      <c r="AR94" s="46" t="str">
        <f>IF(A94="","",MAX(0,MAX(AQ$5:AQ94))-AQ94)</f>
        <v/>
      </c>
    </row>
    <row r="95">
      <c r="A95" s="24" t="n"/>
      <c r="B95" s="29" t="n"/>
      <c r="C95" s="30" t="n"/>
      <c r="D95" s="31" t="n"/>
      <c r="E95" s="31" t="n"/>
      <c r="F95" s="31" t="n"/>
      <c r="G95" s="21" t="n"/>
      <c r="H95" s="31" t="n"/>
      <c r="I95" s="23" t="n"/>
      <c r="J95" s="31" t="n"/>
      <c r="K95" s="32" t="n"/>
      <c r="L95" s="32" t="n"/>
      <c r="M95" s="32" t="n"/>
      <c r="N95" s="33" t="str">
        <f>IF(AND(ISNUMBER(K95),ISNUMBER(L95),ISNUMBER(M95)),IF(OR(AND(F95="多",K95&gt;L95),AND(F95="空",K95&lt;L95)),ABS(M95-K95)/ABS(K95-L95),"止损方向不对"),"")</f>
        <v/>
      </c>
      <c r="O95" s="34" t="str">
        <f>IF(AND(ISNUMBER(K95),ISNUMBER(L95)),IF(K95=L95,"",IF(INT(ROUND('参数'!$C$7/(ABS(K95-L95)*1+2*K95*'参数'!$C$12)/IF(N(J95)&gt;0,J95,1),6))*IF(N(J95)&gt;0,J95,1)&gt;0,INT(ROUND('参数'!$C$7/(ABS(K95-L95)*1+2*K95*'参数'!$C$12)/IF(N(J95)&gt;0,J95,1),6))*IF(N(J95)&gt;0,J95,1),"预算不足，这笔不做")),"")</f>
        <v/>
      </c>
      <c r="P95" s="35" t="n"/>
      <c r="Q95" s="20" t="str">
        <f>IF(AND(ISNUMBER(K95),ISNUMBER(L95),ISNUMBER(P95)),IF(AND(K95&lt;&gt;L95,P95&gt;0),ABS(K95-L95)*P95*1,""),"")</f>
        <v/>
      </c>
      <c r="R95" s="20" t="str">
        <f>IF(AND(ISNUMBER(K95),ISNUMBER(P95)),K95*P95,"")</f>
        <v/>
      </c>
      <c r="S95" s="20" t="str">
        <f>IF(AND(D95="合约",ISNUMBER(R95),N(G95)&gt;0),R95/G95,"")</f>
        <v/>
      </c>
      <c r="T95" s="36" t="str">
        <f>IF(NOT(D95="合约"),"",IF(H95&lt;&gt;"逐仓","看平台",IF(AND(ISNUMBER(K95),N(G95)&gt;0),IF(F95="空",K95*(1+1/G95-IF(ISNUMBER(I95),I95,'参数'!$C$13)),K95*(1-1/G95+IF(ISNUMBER(I95),I95,'参数'!$C$13))),"")))</f>
        <v/>
      </c>
      <c r="U95" s="37" t="str">
        <f>IF(AND(ISNUMBER(T95),ISNUMBER(L95),ISNUMBER(K95)),IF(F95="空",T95-L95,L95-T95)/K95,"")</f>
        <v/>
      </c>
      <c r="V95" s="38" t="str">
        <f>IF(ISNUMBER(U95),IF(U95&lt;'参数'!$C$15,"先降杠杆或减量","在止损外"),"")</f>
        <v/>
      </c>
      <c r="W95" s="30" t="n"/>
      <c r="X95" s="31" t="n"/>
      <c r="Y95" s="39" t="str">
        <f>IF(N(AB95)&gt;0,SUMPRODUCT(LARGE(('成交明细'!$A$5:$A$804=A95)*('成交明细'!$D$5:$D$804=IF(F95="空","卖","买"))*'成交明细'!$B$5:$B$804,COUNTIFS('成交明细'!$A$5:$A$804,A95,'成交明细'!$D$5:$D$804,IF(F95="空","卖","买")))),"")</f>
        <v/>
      </c>
      <c r="Z95" s="39" t="str">
        <f>IF(AND(N(AB95)&gt;0,N(AD95)&gt;=N(AB95)),SUMPRODUCT(MAX(('成交明细'!$A$5:$A$804=A95)*('成交明细'!$D$5:$D$804=IF(F95="空","买","卖"))*'成交明细'!$B$5:$B$804)),"")</f>
        <v/>
      </c>
      <c r="AA95" s="40" t="str">
        <f>IF(N(AB95)=0,"",IF(SUMPRODUCT(('成交明细'!$A$5:$A$804=A95)*('成交明细'!$D$5:$D$804=IF(F95="空","卖","买"))*ISNUMBER('成交明细'!$C$5:$C$804))=0,"没填时间",IFERROR(VLOOKUP(MOD(SUMPRODUCT(LARGE(('成交明细'!$A$5:$A$804=A95)*('成交明细'!$D$5:$D$804=IF(F95="空","卖","买"))*('成交明细'!$B$5:$B$804+'成交明细'!$C$5:$C$804),COUNTIFS('成交明细'!$A$5:$A$804,A95,'成交明细'!$D$5:$D$804,IF(F95="空","卖","买")))),1),'参数'!$B$39:$C$48,2,TRUE),"")))</f>
        <v/>
      </c>
      <c r="AB95" s="34" t="str">
        <f>IF(A95="","",SUMIFS('成交明细'!$F$5:$F$804,'成交明细'!$A$5:$A$804,A95,'成交明细'!$D$5:$D$804,IF(F95="空","卖","买")))</f>
        <v/>
      </c>
      <c r="AC95" s="41" t="str">
        <f>IF(N(AB95)&gt;0,SUMIFS('成交明细'!$H$5:$H$804,'成交明细'!$A$5:$A$804,A95,'成交明细'!$D$5:$D$804,IF(F95="空","卖","买"))/AB95,"")</f>
        <v/>
      </c>
      <c r="AD95" s="34" t="str">
        <f>IF(A95="","",SUMIFS('成交明细'!$F$5:$F$804,'成交明细'!$A$5:$A$804,A95,'成交明细'!$D$5:$D$804,IF(F95="空","买","卖")))</f>
        <v/>
      </c>
      <c r="AE95" s="41" t="str">
        <f>IF(N(AD95)&gt;0,SUMIFS('成交明细'!$H$5:$H$804,'成交明细'!$A$5:$A$804,A95,'成交明细'!$D$5:$D$804,IF(F95="空","买","卖"))/AD95,"")</f>
        <v/>
      </c>
      <c r="AF95" s="38" t="str">
        <f>IF(A95="","",IF(X95&lt;&gt;"已执行",IF(X95="","未填执行情况",X95),IF(N(AB95)=0,"待录成交",IF(N(AD95)&gt;N(AB95),"平仓多于开仓",IF(N(AD95)&lt;N(AB95),"持仓中","已平仓")))))</f>
        <v/>
      </c>
      <c r="AG95" s="42" t="str">
        <f>IF(N(AB95)=0,"",SUMIFS('成交明细'!$L$5:$L$804,'成交明细'!$A$5:$A$804,A95))</f>
        <v/>
      </c>
      <c r="AH95" s="43" t="str">
        <f>IF(A95="","",SUMIFS('资金费流水'!$F$5:$F$604,'资金费流水'!$B$5:$B$604,A95))</f>
        <v/>
      </c>
      <c r="AI95" s="43" t="str">
        <f>IF(AF95&lt;&gt;"已平仓","",(SUMIFS('成交明细'!$H$5:$H$804,'成交明细'!$A$5:$A$804,A95,'成交明细'!$D$5:$D$804,"卖")-SUMIFS('成交明细'!$H$5:$H$804,'成交明细'!$A$5:$A$804,A95,'成交明细'!$D$5:$D$804,"买"))*1-AG95+N(AH95))</f>
        <v/>
      </c>
      <c r="AJ95" s="44" t="str">
        <f>IF(AND(AF95="已平仓",ISNUMBER(Q95)),(SUMIFS('成交明细'!$H$5:$H$804,'成交明细'!$A$5:$A$804,A95,'成交明细'!$D$5:$D$804,"卖")-SUMIFS('成交明细'!$H$5:$H$804,'成交明细'!$A$5:$A$804,A95,'成交明细'!$D$5:$D$804,"买"))*1/Q95,"")</f>
        <v/>
      </c>
      <c r="AK95" s="44" t="str">
        <f>IF(AND(AF95="已平仓",ISNUMBER(Q95)),AI95/Q95,"")</f>
        <v/>
      </c>
      <c r="AL95" s="45" t="str">
        <f>IF(AND(ISNUMBER(AC95),ISNUMBER(K95)),IF(F95="空",K95-AC95,AC95-K95),"")</f>
        <v/>
      </c>
      <c r="AM95" s="45" t="str">
        <f>IF(OR(NOT(ISNUMBER(AI95)),NOT(ISNUMBER(AE95))),"",IF(AI95&lt;0,IF(F95="空",AE95-L95,L95-AE95),IF(NOT(ISNUMBER(M95)),"",IF(F95="空",AE95-M95,M95-AE95))))</f>
        <v/>
      </c>
      <c r="AN95" s="31" t="n"/>
      <c r="AO95" s="31" t="n"/>
      <c r="AP95" s="30" t="n"/>
      <c r="AQ95" s="44" t="str">
        <f>IF(A95="","",SUM(AK$5:AK95))</f>
        <v/>
      </c>
      <c r="AR95" s="46" t="str">
        <f>IF(A95="","",MAX(0,MAX(AQ$5:AQ95))-AQ95)</f>
        <v/>
      </c>
    </row>
    <row r="96">
      <c r="A96" s="24" t="n"/>
      <c r="B96" s="29" t="n"/>
      <c r="C96" s="30" t="n"/>
      <c r="D96" s="31" t="n"/>
      <c r="E96" s="31" t="n"/>
      <c r="F96" s="31" t="n"/>
      <c r="G96" s="21" t="n"/>
      <c r="H96" s="31" t="n"/>
      <c r="I96" s="23" t="n"/>
      <c r="J96" s="31" t="n"/>
      <c r="K96" s="32" t="n"/>
      <c r="L96" s="32" t="n"/>
      <c r="M96" s="32" t="n"/>
      <c r="N96" s="33" t="str">
        <f>IF(AND(ISNUMBER(K96),ISNUMBER(L96),ISNUMBER(M96)),IF(OR(AND(F96="多",K96&gt;L96),AND(F96="空",K96&lt;L96)),ABS(M96-K96)/ABS(K96-L96),"止损方向不对"),"")</f>
        <v/>
      </c>
      <c r="O96" s="34" t="str">
        <f>IF(AND(ISNUMBER(K96),ISNUMBER(L96)),IF(K96=L96,"",IF(INT(ROUND('参数'!$C$7/(ABS(K96-L96)*1+2*K96*'参数'!$C$12)/IF(N(J96)&gt;0,J96,1),6))*IF(N(J96)&gt;0,J96,1)&gt;0,INT(ROUND('参数'!$C$7/(ABS(K96-L96)*1+2*K96*'参数'!$C$12)/IF(N(J96)&gt;0,J96,1),6))*IF(N(J96)&gt;0,J96,1),"预算不足，这笔不做")),"")</f>
        <v/>
      </c>
      <c r="P96" s="35" t="n"/>
      <c r="Q96" s="20" t="str">
        <f>IF(AND(ISNUMBER(K96),ISNUMBER(L96),ISNUMBER(P96)),IF(AND(K96&lt;&gt;L96,P96&gt;0),ABS(K96-L96)*P96*1,""),"")</f>
        <v/>
      </c>
      <c r="R96" s="20" t="str">
        <f>IF(AND(ISNUMBER(K96),ISNUMBER(P96)),K96*P96,"")</f>
        <v/>
      </c>
      <c r="S96" s="20" t="str">
        <f>IF(AND(D96="合约",ISNUMBER(R96),N(G96)&gt;0),R96/G96,"")</f>
        <v/>
      </c>
      <c r="T96" s="36" t="str">
        <f>IF(NOT(D96="合约"),"",IF(H96&lt;&gt;"逐仓","看平台",IF(AND(ISNUMBER(K96),N(G96)&gt;0),IF(F96="空",K96*(1+1/G96-IF(ISNUMBER(I96),I96,'参数'!$C$13)),K96*(1-1/G96+IF(ISNUMBER(I96),I96,'参数'!$C$13))),"")))</f>
        <v/>
      </c>
      <c r="U96" s="37" t="str">
        <f>IF(AND(ISNUMBER(T96),ISNUMBER(L96),ISNUMBER(K96)),IF(F96="空",T96-L96,L96-T96)/K96,"")</f>
        <v/>
      </c>
      <c r="V96" s="38" t="str">
        <f>IF(ISNUMBER(U96),IF(U96&lt;'参数'!$C$15,"先降杠杆或减量","在止损外"),"")</f>
        <v/>
      </c>
      <c r="W96" s="30" t="n"/>
      <c r="X96" s="31" t="n"/>
      <c r="Y96" s="39" t="str">
        <f>IF(N(AB96)&gt;0,SUMPRODUCT(LARGE(('成交明细'!$A$5:$A$804=A96)*('成交明细'!$D$5:$D$804=IF(F96="空","卖","买"))*'成交明细'!$B$5:$B$804,COUNTIFS('成交明细'!$A$5:$A$804,A96,'成交明细'!$D$5:$D$804,IF(F96="空","卖","买")))),"")</f>
        <v/>
      </c>
      <c r="Z96" s="39" t="str">
        <f>IF(AND(N(AB96)&gt;0,N(AD96)&gt;=N(AB96)),SUMPRODUCT(MAX(('成交明细'!$A$5:$A$804=A96)*('成交明细'!$D$5:$D$804=IF(F96="空","买","卖"))*'成交明细'!$B$5:$B$804)),"")</f>
        <v/>
      </c>
      <c r="AA96" s="40" t="str">
        <f>IF(N(AB96)=0,"",IF(SUMPRODUCT(('成交明细'!$A$5:$A$804=A96)*('成交明细'!$D$5:$D$804=IF(F96="空","卖","买"))*ISNUMBER('成交明细'!$C$5:$C$804))=0,"没填时间",IFERROR(VLOOKUP(MOD(SUMPRODUCT(LARGE(('成交明细'!$A$5:$A$804=A96)*('成交明细'!$D$5:$D$804=IF(F96="空","卖","买"))*('成交明细'!$B$5:$B$804+'成交明细'!$C$5:$C$804),COUNTIFS('成交明细'!$A$5:$A$804,A96,'成交明细'!$D$5:$D$804,IF(F96="空","卖","买")))),1),'参数'!$B$39:$C$48,2,TRUE),"")))</f>
        <v/>
      </c>
      <c r="AB96" s="34" t="str">
        <f>IF(A96="","",SUMIFS('成交明细'!$F$5:$F$804,'成交明细'!$A$5:$A$804,A96,'成交明细'!$D$5:$D$804,IF(F96="空","卖","买")))</f>
        <v/>
      </c>
      <c r="AC96" s="41" t="str">
        <f>IF(N(AB96)&gt;0,SUMIFS('成交明细'!$H$5:$H$804,'成交明细'!$A$5:$A$804,A96,'成交明细'!$D$5:$D$804,IF(F96="空","卖","买"))/AB96,"")</f>
        <v/>
      </c>
      <c r="AD96" s="34" t="str">
        <f>IF(A96="","",SUMIFS('成交明细'!$F$5:$F$804,'成交明细'!$A$5:$A$804,A96,'成交明细'!$D$5:$D$804,IF(F96="空","买","卖")))</f>
        <v/>
      </c>
      <c r="AE96" s="41" t="str">
        <f>IF(N(AD96)&gt;0,SUMIFS('成交明细'!$H$5:$H$804,'成交明细'!$A$5:$A$804,A96,'成交明细'!$D$5:$D$804,IF(F96="空","买","卖"))/AD96,"")</f>
        <v/>
      </c>
      <c r="AF96" s="38" t="str">
        <f>IF(A96="","",IF(X96&lt;&gt;"已执行",IF(X96="","未填执行情况",X96),IF(N(AB96)=0,"待录成交",IF(N(AD96)&gt;N(AB96),"平仓多于开仓",IF(N(AD96)&lt;N(AB96),"持仓中","已平仓")))))</f>
        <v/>
      </c>
      <c r="AG96" s="42" t="str">
        <f>IF(N(AB96)=0,"",SUMIFS('成交明细'!$L$5:$L$804,'成交明细'!$A$5:$A$804,A96))</f>
        <v/>
      </c>
      <c r="AH96" s="43" t="str">
        <f>IF(A96="","",SUMIFS('资金费流水'!$F$5:$F$604,'资金费流水'!$B$5:$B$604,A96))</f>
        <v/>
      </c>
      <c r="AI96" s="43" t="str">
        <f>IF(AF96&lt;&gt;"已平仓","",(SUMIFS('成交明细'!$H$5:$H$804,'成交明细'!$A$5:$A$804,A96,'成交明细'!$D$5:$D$804,"卖")-SUMIFS('成交明细'!$H$5:$H$804,'成交明细'!$A$5:$A$804,A96,'成交明细'!$D$5:$D$804,"买"))*1-AG96+N(AH96))</f>
        <v/>
      </c>
      <c r="AJ96" s="44" t="str">
        <f>IF(AND(AF96="已平仓",ISNUMBER(Q96)),(SUMIFS('成交明细'!$H$5:$H$804,'成交明细'!$A$5:$A$804,A96,'成交明细'!$D$5:$D$804,"卖")-SUMIFS('成交明细'!$H$5:$H$804,'成交明细'!$A$5:$A$804,A96,'成交明细'!$D$5:$D$804,"买"))*1/Q96,"")</f>
        <v/>
      </c>
      <c r="AK96" s="44" t="str">
        <f>IF(AND(AF96="已平仓",ISNUMBER(Q96)),AI96/Q96,"")</f>
        <v/>
      </c>
      <c r="AL96" s="45" t="str">
        <f>IF(AND(ISNUMBER(AC96),ISNUMBER(K96)),IF(F96="空",K96-AC96,AC96-K96),"")</f>
        <v/>
      </c>
      <c r="AM96" s="45" t="str">
        <f>IF(OR(NOT(ISNUMBER(AI96)),NOT(ISNUMBER(AE96))),"",IF(AI96&lt;0,IF(F96="空",AE96-L96,L96-AE96),IF(NOT(ISNUMBER(M96)),"",IF(F96="空",AE96-M96,M96-AE96))))</f>
        <v/>
      </c>
      <c r="AN96" s="31" t="n"/>
      <c r="AO96" s="31" t="n"/>
      <c r="AP96" s="30" t="n"/>
      <c r="AQ96" s="44" t="str">
        <f>IF(A96="","",SUM(AK$5:AK96))</f>
        <v/>
      </c>
      <c r="AR96" s="46" t="str">
        <f>IF(A96="","",MAX(0,MAX(AQ$5:AQ96))-AQ96)</f>
        <v/>
      </c>
    </row>
    <row r="97">
      <c r="A97" s="24" t="n"/>
      <c r="B97" s="29" t="n"/>
      <c r="C97" s="30" t="n"/>
      <c r="D97" s="31" t="n"/>
      <c r="E97" s="31" t="n"/>
      <c r="F97" s="31" t="n"/>
      <c r="G97" s="21" t="n"/>
      <c r="H97" s="31" t="n"/>
      <c r="I97" s="23" t="n"/>
      <c r="J97" s="31" t="n"/>
      <c r="K97" s="32" t="n"/>
      <c r="L97" s="32" t="n"/>
      <c r="M97" s="32" t="n"/>
      <c r="N97" s="33" t="str">
        <f>IF(AND(ISNUMBER(K97),ISNUMBER(L97),ISNUMBER(M97)),IF(OR(AND(F97="多",K97&gt;L97),AND(F97="空",K97&lt;L97)),ABS(M97-K97)/ABS(K97-L97),"止损方向不对"),"")</f>
        <v/>
      </c>
      <c r="O97" s="34" t="str">
        <f>IF(AND(ISNUMBER(K97),ISNUMBER(L97)),IF(K97=L97,"",IF(INT(ROUND('参数'!$C$7/(ABS(K97-L97)*1+2*K97*'参数'!$C$12)/IF(N(J97)&gt;0,J97,1),6))*IF(N(J97)&gt;0,J97,1)&gt;0,INT(ROUND('参数'!$C$7/(ABS(K97-L97)*1+2*K97*'参数'!$C$12)/IF(N(J97)&gt;0,J97,1),6))*IF(N(J97)&gt;0,J97,1),"预算不足，这笔不做")),"")</f>
        <v/>
      </c>
      <c r="P97" s="35" t="n"/>
      <c r="Q97" s="20" t="str">
        <f>IF(AND(ISNUMBER(K97),ISNUMBER(L97),ISNUMBER(P97)),IF(AND(K97&lt;&gt;L97,P97&gt;0),ABS(K97-L97)*P97*1,""),"")</f>
        <v/>
      </c>
      <c r="R97" s="20" t="str">
        <f>IF(AND(ISNUMBER(K97),ISNUMBER(P97)),K97*P97,"")</f>
        <v/>
      </c>
      <c r="S97" s="20" t="str">
        <f>IF(AND(D97="合约",ISNUMBER(R97),N(G97)&gt;0),R97/G97,"")</f>
        <v/>
      </c>
      <c r="T97" s="36" t="str">
        <f>IF(NOT(D97="合约"),"",IF(H97&lt;&gt;"逐仓","看平台",IF(AND(ISNUMBER(K97),N(G97)&gt;0),IF(F97="空",K97*(1+1/G97-IF(ISNUMBER(I97),I97,'参数'!$C$13)),K97*(1-1/G97+IF(ISNUMBER(I97),I97,'参数'!$C$13))),"")))</f>
        <v/>
      </c>
      <c r="U97" s="37" t="str">
        <f>IF(AND(ISNUMBER(T97),ISNUMBER(L97),ISNUMBER(K97)),IF(F97="空",T97-L97,L97-T97)/K97,"")</f>
        <v/>
      </c>
      <c r="V97" s="38" t="str">
        <f>IF(ISNUMBER(U97),IF(U97&lt;'参数'!$C$15,"先降杠杆或减量","在止损外"),"")</f>
        <v/>
      </c>
      <c r="W97" s="30" t="n"/>
      <c r="X97" s="31" t="n"/>
      <c r="Y97" s="39" t="str">
        <f>IF(N(AB97)&gt;0,SUMPRODUCT(LARGE(('成交明细'!$A$5:$A$804=A97)*('成交明细'!$D$5:$D$804=IF(F97="空","卖","买"))*'成交明细'!$B$5:$B$804,COUNTIFS('成交明细'!$A$5:$A$804,A97,'成交明细'!$D$5:$D$804,IF(F97="空","卖","买")))),"")</f>
        <v/>
      </c>
      <c r="Z97" s="39" t="str">
        <f>IF(AND(N(AB97)&gt;0,N(AD97)&gt;=N(AB97)),SUMPRODUCT(MAX(('成交明细'!$A$5:$A$804=A97)*('成交明细'!$D$5:$D$804=IF(F97="空","买","卖"))*'成交明细'!$B$5:$B$804)),"")</f>
        <v/>
      </c>
      <c r="AA97" s="40" t="str">
        <f>IF(N(AB97)=0,"",IF(SUMPRODUCT(('成交明细'!$A$5:$A$804=A97)*('成交明细'!$D$5:$D$804=IF(F97="空","卖","买"))*ISNUMBER('成交明细'!$C$5:$C$804))=0,"没填时间",IFERROR(VLOOKUP(MOD(SUMPRODUCT(LARGE(('成交明细'!$A$5:$A$804=A97)*('成交明细'!$D$5:$D$804=IF(F97="空","卖","买"))*('成交明细'!$B$5:$B$804+'成交明细'!$C$5:$C$804),COUNTIFS('成交明细'!$A$5:$A$804,A97,'成交明细'!$D$5:$D$804,IF(F97="空","卖","买")))),1),'参数'!$B$39:$C$48,2,TRUE),"")))</f>
        <v/>
      </c>
      <c r="AB97" s="34" t="str">
        <f>IF(A97="","",SUMIFS('成交明细'!$F$5:$F$804,'成交明细'!$A$5:$A$804,A97,'成交明细'!$D$5:$D$804,IF(F97="空","卖","买")))</f>
        <v/>
      </c>
      <c r="AC97" s="41" t="str">
        <f>IF(N(AB97)&gt;0,SUMIFS('成交明细'!$H$5:$H$804,'成交明细'!$A$5:$A$804,A97,'成交明细'!$D$5:$D$804,IF(F97="空","卖","买"))/AB97,"")</f>
        <v/>
      </c>
      <c r="AD97" s="34" t="str">
        <f>IF(A97="","",SUMIFS('成交明细'!$F$5:$F$804,'成交明细'!$A$5:$A$804,A97,'成交明细'!$D$5:$D$804,IF(F97="空","买","卖")))</f>
        <v/>
      </c>
      <c r="AE97" s="41" t="str">
        <f>IF(N(AD97)&gt;0,SUMIFS('成交明细'!$H$5:$H$804,'成交明细'!$A$5:$A$804,A97,'成交明细'!$D$5:$D$804,IF(F97="空","买","卖"))/AD97,"")</f>
        <v/>
      </c>
      <c r="AF97" s="38" t="str">
        <f>IF(A97="","",IF(X97&lt;&gt;"已执行",IF(X97="","未填执行情况",X97),IF(N(AB97)=0,"待录成交",IF(N(AD97)&gt;N(AB97),"平仓多于开仓",IF(N(AD97)&lt;N(AB97),"持仓中","已平仓")))))</f>
        <v/>
      </c>
      <c r="AG97" s="42" t="str">
        <f>IF(N(AB97)=0,"",SUMIFS('成交明细'!$L$5:$L$804,'成交明细'!$A$5:$A$804,A97))</f>
        <v/>
      </c>
      <c r="AH97" s="43" t="str">
        <f>IF(A97="","",SUMIFS('资金费流水'!$F$5:$F$604,'资金费流水'!$B$5:$B$604,A97))</f>
        <v/>
      </c>
      <c r="AI97" s="43" t="str">
        <f>IF(AF97&lt;&gt;"已平仓","",(SUMIFS('成交明细'!$H$5:$H$804,'成交明细'!$A$5:$A$804,A97,'成交明细'!$D$5:$D$804,"卖")-SUMIFS('成交明细'!$H$5:$H$804,'成交明细'!$A$5:$A$804,A97,'成交明细'!$D$5:$D$804,"买"))*1-AG97+N(AH97))</f>
        <v/>
      </c>
      <c r="AJ97" s="44" t="str">
        <f>IF(AND(AF97="已平仓",ISNUMBER(Q97)),(SUMIFS('成交明细'!$H$5:$H$804,'成交明细'!$A$5:$A$804,A97,'成交明细'!$D$5:$D$804,"卖")-SUMIFS('成交明细'!$H$5:$H$804,'成交明细'!$A$5:$A$804,A97,'成交明细'!$D$5:$D$804,"买"))*1/Q97,"")</f>
        <v/>
      </c>
      <c r="AK97" s="44" t="str">
        <f>IF(AND(AF97="已平仓",ISNUMBER(Q97)),AI97/Q97,"")</f>
        <v/>
      </c>
      <c r="AL97" s="45" t="str">
        <f>IF(AND(ISNUMBER(AC97),ISNUMBER(K97)),IF(F97="空",K97-AC97,AC97-K97),"")</f>
        <v/>
      </c>
      <c r="AM97" s="45" t="str">
        <f>IF(OR(NOT(ISNUMBER(AI97)),NOT(ISNUMBER(AE97))),"",IF(AI97&lt;0,IF(F97="空",AE97-L97,L97-AE97),IF(NOT(ISNUMBER(M97)),"",IF(F97="空",AE97-M97,M97-AE97))))</f>
        <v/>
      </c>
      <c r="AN97" s="31" t="n"/>
      <c r="AO97" s="31" t="n"/>
      <c r="AP97" s="30" t="n"/>
      <c r="AQ97" s="44" t="str">
        <f>IF(A97="","",SUM(AK$5:AK97))</f>
        <v/>
      </c>
      <c r="AR97" s="46" t="str">
        <f>IF(A97="","",MAX(0,MAX(AQ$5:AQ97))-AQ97)</f>
        <v/>
      </c>
    </row>
    <row r="98">
      <c r="A98" s="24" t="n"/>
      <c r="B98" s="29" t="n"/>
      <c r="C98" s="30" t="n"/>
      <c r="D98" s="31" t="n"/>
      <c r="E98" s="31" t="n"/>
      <c r="F98" s="31" t="n"/>
      <c r="G98" s="21" t="n"/>
      <c r="H98" s="31" t="n"/>
      <c r="I98" s="23" t="n"/>
      <c r="J98" s="31" t="n"/>
      <c r="K98" s="32" t="n"/>
      <c r="L98" s="32" t="n"/>
      <c r="M98" s="32" t="n"/>
      <c r="N98" s="33" t="str">
        <f>IF(AND(ISNUMBER(K98),ISNUMBER(L98),ISNUMBER(M98)),IF(OR(AND(F98="多",K98&gt;L98),AND(F98="空",K98&lt;L98)),ABS(M98-K98)/ABS(K98-L98),"止损方向不对"),"")</f>
        <v/>
      </c>
      <c r="O98" s="34" t="str">
        <f>IF(AND(ISNUMBER(K98),ISNUMBER(L98)),IF(K98=L98,"",IF(INT(ROUND('参数'!$C$7/(ABS(K98-L98)*1+2*K98*'参数'!$C$12)/IF(N(J98)&gt;0,J98,1),6))*IF(N(J98)&gt;0,J98,1)&gt;0,INT(ROUND('参数'!$C$7/(ABS(K98-L98)*1+2*K98*'参数'!$C$12)/IF(N(J98)&gt;0,J98,1),6))*IF(N(J98)&gt;0,J98,1),"预算不足，这笔不做")),"")</f>
        <v/>
      </c>
      <c r="P98" s="35" t="n"/>
      <c r="Q98" s="20" t="str">
        <f>IF(AND(ISNUMBER(K98),ISNUMBER(L98),ISNUMBER(P98)),IF(AND(K98&lt;&gt;L98,P98&gt;0),ABS(K98-L98)*P98*1,""),"")</f>
        <v/>
      </c>
      <c r="R98" s="20" t="str">
        <f>IF(AND(ISNUMBER(K98),ISNUMBER(P98)),K98*P98,"")</f>
        <v/>
      </c>
      <c r="S98" s="20" t="str">
        <f>IF(AND(D98="合约",ISNUMBER(R98),N(G98)&gt;0),R98/G98,"")</f>
        <v/>
      </c>
      <c r="T98" s="36" t="str">
        <f>IF(NOT(D98="合约"),"",IF(H98&lt;&gt;"逐仓","看平台",IF(AND(ISNUMBER(K98),N(G98)&gt;0),IF(F98="空",K98*(1+1/G98-IF(ISNUMBER(I98),I98,'参数'!$C$13)),K98*(1-1/G98+IF(ISNUMBER(I98),I98,'参数'!$C$13))),"")))</f>
        <v/>
      </c>
      <c r="U98" s="37" t="str">
        <f>IF(AND(ISNUMBER(T98),ISNUMBER(L98),ISNUMBER(K98)),IF(F98="空",T98-L98,L98-T98)/K98,"")</f>
        <v/>
      </c>
      <c r="V98" s="38" t="str">
        <f>IF(ISNUMBER(U98),IF(U98&lt;'参数'!$C$15,"先降杠杆或减量","在止损外"),"")</f>
        <v/>
      </c>
      <c r="W98" s="30" t="n"/>
      <c r="X98" s="31" t="n"/>
      <c r="Y98" s="39" t="str">
        <f>IF(N(AB98)&gt;0,SUMPRODUCT(LARGE(('成交明细'!$A$5:$A$804=A98)*('成交明细'!$D$5:$D$804=IF(F98="空","卖","买"))*'成交明细'!$B$5:$B$804,COUNTIFS('成交明细'!$A$5:$A$804,A98,'成交明细'!$D$5:$D$804,IF(F98="空","卖","买")))),"")</f>
        <v/>
      </c>
      <c r="Z98" s="39" t="str">
        <f>IF(AND(N(AB98)&gt;0,N(AD98)&gt;=N(AB98)),SUMPRODUCT(MAX(('成交明细'!$A$5:$A$804=A98)*('成交明细'!$D$5:$D$804=IF(F98="空","买","卖"))*'成交明细'!$B$5:$B$804)),"")</f>
        <v/>
      </c>
      <c r="AA98" s="40" t="str">
        <f>IF(N(AB98)=0,"",IF(SUMPRODUCT(('成交明细'!$A$5:$A$804=A98)*('成交明细'!$D$5:$D$804=IF(F98="空","卖","买"))*ISNUMBER('成交明细'!$C$5:$C$804))=0,"没填时间",IFERROR(VLOOKUP(MOD(SUMPRODUCT(LARGE(('成交明细'!$A$5:$A$804=A98)*('成交明细'!$D$5:$D$804=IF(F98="空","卖","买"))*('成交明细'!$B$5:$B$804+'成交明细'!$C$5:$C$804),COUNTIFS('成交明细'!$A$5:$A$804,A98,'成交明细'!$D$5:$D$804,IF(F98="空","卖","买")))),1),'参数'!$B$39:$C$48,2,TRUE),"")))</f>
        <v/>
      </c>
      <c r="AB98" s="34" t="str">
        <f>IF(A98="","",SUMIFS('成交明细'!$F$5:$F$804,'成交明细'!$A$5:$A$804,A98,'成交明细'!$D$5:$D$804,IF(F98="空","卖","买")))</f>
        <v/>
      </c>
      <c r="AC98" s="41" t="str">
        <f>IF(N(AB98)&gt;0,SUMIFS('成交明细'!$H$5:$H$804,'成交明细'!$A$5:$A$804,A98,'成交明细'!$D$5:$D$804,IF(F98="空","卖","买"))/AB98,"")</f>
        <v/>
      </c>
      <c r="AD98" s="34" t="str">
        <f>IF(A98="","",SUMIFS('成交明细'!$F$5:$F$804,'成交明细'!$A$5:$A$804,A98,'成交明细'!$D$5:$D$804,IF(F98="空","买","卖")))</f>
        <v/>
      </c>
      <c r="AE98" s="41" t="str">
        <f>IF(N(AD98)&gt;0,SUMIFS('成交明细'!$H$5:$H$804,'成交明细'!$A$5:$A$804,A98,'成交明细'!$D$5:$D$804,IF(F98="空","买","卖"))/AD98,"")</f>
        <v/>
      </c>
      <c r="AF98" s="38" t="str">
        <f>IF(A98="","",IF(X98&lt;&gt;"已执行",IF(X98="","未填执行情况",X98),IF(N(AB98)=0,"待录成交",IF(N(AD98)&gt;N(AB98),"平仓多于开仓",IF(N(AD98)&lt;N(AB98),"持仓中","已平仓")))))</f>
        <v/>
      </c>
      <c r="AG98" s="42" t="str">
        <f>IF(N(AB98)=0,"",SUMIFS('成交明细'!$L$5:$L$804,'成交明细'!$A$5:$A$804,A98))</f>
        <v/>
      </c>
      <c r="AH98" s="43" t="str">
        <f>IF(A98="","",SUMIFS('资金费流水'!$F$5:$F$604,'资金费流水'!$B$5:$B$604,A98))</f>
        <v/>
      </c>
      <c r="AI98" s="43" t="str">
        <f>IF(AF98&lt;&gt;"已平仓","",(SUMIFS('成交明细'!$H$5:$H$804,'成交明细'!$A$5:$A$804,A98,'成交明细'!$D$5:$D$804,"卖")-SUMIFS('成交明细'!$H$5:$H$804,'成交明细'!$A$5:$A$804,A98,'成交明细'!$D$5:$D$804,"买"))*1-AG98+N(AH98))</f>
        <v/>
      </c>
      <c r="AJ98" s="44" t="str">
        <f>IF(AND(AF98="已平仓",ISNUMBER(Q98)),(SUMIFS('成交明细'!$H$5:$H$804,'成交明细'!$A$5:$A$804,A98,'成交明细'!$D$5:$D$804,"卖")-SUMIFS('成交明细'!$H$5:$H$804,'成交明细'!$A$5:$A$804,A98,'成交明细'!$D$5:$D$804,"买"))*1/Q98,"")</f>
        <v/>
      </c>
      <c r="AK98" s="44" t="str">
        <f>IF(AND(AF98="已平仓",ISNUMBER(Q98)),AI98/Q98,"")</f>
        <v/>
      </c>
      <c r="AL98" s="45" t="str">
        <f>IF(AND(ISNUMBER(AC98),ISNUMBER(K98)),IF(F98="空",K98-AC98,AC98-K98),"")</f>
        <v/>
      </c>
      <c r="AM98" s="45" t="str">
        <f>IF(OR(NOT(ISNUMBER(AI98)),NOT(ISNUMBER(AE98))),"",IF(AI98&lt;0,IF(F98="空",AE98-L98,L98-AE98),IF(NOT(ISNUMBER(M98)),"",IF(F98="空",AE98-M98,M98-AE98))))</f>
        <v/>
      </c>
      <c r="AN98" s="31" t="n"/>
      <c r="AO98" s="31" t="n"/>
      <c r="AP98" s="30" t="n"/>
      <c r="AQ98" s="44" t="str">
        <f>IF(A98="","",SUM(AK$5:AK98))</f>
        <v/>
      </c>
      <c r="AR98" s="46" t="str">
        <f>IF(A98="","",MAX(0,MAX(AQ$5:AQ98))-AQ98)</f>
        <v/>
      </c>
    </row>
    <row r="99">
      <c r="A99" s="24" t="n"/>
      <c r="B99" s="29" t="n"/>
      <c r="C99" s="30" t="n"/>
      <c r="D99" s="31" t="n"/>
      <c r="E99" s="31" t="n"/>
      <c r="F99" s="31" t="n"/>
      <c r="G99" s="21" t="n"/>
      <c r="H99" s="31" t="n"/>
      <c r="I99" s="23" t="n"/>
      <c r="J99" s="31" t="n"/>
      <c r="K99" s="32" t="n"/>
      <c r="L99" s="32" t="n"/>
      <c r="M99" s="32" t="n"/>
      <c r="N99" s="33" t="str">
        <f>IF(AND(ISNUMBER(K99),ISNUMBER(L99),ISNUMBER(M99)),IF(OR(AND(F99="多",K99&gt;L99),AND(F99="空",K99&lt;L99)),ABS(M99-K99)/ABS(K99-L99),"止损方向不对"),"")</f>
        <v/>
      </c>
      <c r="O99" s="34" t="str">
        <f>IF(AND(ISNUMBER(K99),ISNUMBER(L99)),IF(K99=L99,"",IF(INT(ROUND('参数'!$C$7/(ABS(K99-L99)*1+2*K99*'参数'!$C$12)/IF(N(J99)&gt;0,J99,1),6))*IF(N(J99)&gt;0,J99,1)&gt;0,INT(ROUND('参数'!$C$7/(ABS(K99-L99)*1+2*K99*'参数'!$C$12)/IF(N(J99)&gt;0,J99,1),6))*IF(N(J99)&gt;0,J99,1),"预算不足，这笔不做")),"")</f>
        <v/>
      </c>
      <c r="P99" s="35" t="n"/>
      <c r="Q99" s="20" t="str">
        <f>IF(AND(ISNUMBER(K99),ISNUMBER(L99),ISNUMBER(P99)),IF(AND(K99&lt;&gt;L99,P99&gt;0),ABS(K99-L99)*P99*1,""),"")</f>
        <v/>
      </c>
      <c r="R99" s="20" t="str">
        <f>IF(AND(ISNUMBER(K99),ISNUMBER(P99)),K99*P99,"")</f>
        <v/>
      </c>
      <c r="S99" s="20" t="str">
        <f>IF(AND(D99="合约",ISNUMBER(R99),N(G99)&gt;0),R99/G99,"")</f>
        <v/>
      </c>
      <c r="T99" s="36" t="str">
        <f>IF(NOT(D99="合约"),"",IF(H99&lt;&gt;"逐仓","看平台",IF(AND(ISNUMBER(K99),N(G99)&gt;0),IF(F99="空",K99*(1+1/G99-IF(ISNUMBER(I99),I99,'参数'!$C$13)),K99*(1-1/G99+IF(ISNUMBER(I99),I99,'参数'!$C$13))),"")))</f>
        <v/>
      </c>
      <c r="U99" s="37" t="str">
        <f>IF(AND(ISNUMBER(T99),ISNUMBER(L99),ISNUMBER(K99)),IF(F99="空",T99-L99,L99-T99)/K99,"")</f>
        <v/>
      </c>
      <c r="V99" s="38" t="str">
        <f>IF(ISNUMBER(U99),IF(U99&lt;'参数'!$C$15,"先降杠杆或减量","在止损外"),"")</f>
        <v/>
      </c>
      <c r="W99" s="30" t="n"/>
      <c r="X99" s="31" t="n"/>
      <c r="Y99" s="39" t="str">
        <f>IF(N(AB99)&gt;0,SUMPRODUCT(LARGE(('成交明细'!$A$5:$A$804=A99)*('成交明细'!$D$5:$D$804=IF(F99="空","卖","买"))*'成交明细'!$B$5:$B$804,COUNTIFS('成交明细'!$A$5:$A$804,A99,'成交明细'!$D$5:$D$804,IF(F99="空","卖","买")))),"")</f>
        <v/>
      </c>
      <c r="Z99" s="39" t="str">
        <f>IF(AND(N(AB99)&gt;0,N(AD99)&gt;=N(AB99)),SUMPRODUCT(MAX(('成交明细'!$A$5:$A$804=A99)*('成交明细'!$D$5:$D$804=IF(F99="空","买","卖"))*'成交明细'!$B$5:$B$804)),"")</f>
        <v/>
      </c>
      <c r="AA99" s="40" t="str">
        <f>IF(N(AB99)=0,"",IF(SUMPRODUCT(('成交明细'!$A$5:$A$804=A99)*('成交明细'!$D$5:$D$804=IF(F99="空","卖","买"))*ISNUMBER('成交明细'!$C$5:$C$804))=0,"没填时间",IFERROR(VLOOKUP(MOD(SUMPRODUCT(LARGE(('成交明细'!$A$5:$A$804=A99)*('成交明细'!$D$5:$D$804=IF(F99="空","卖","买"))*('成交明细'!$B$5:$B$804+'成交明细'!$C$5:$C$804),COUNTIFS('成交明细'!$A$5:$A$804,A99,'成交明细'!$D$5:$D$804,IF(F99="空","卖","买")))),1),'参数'!$B$39:$C$48,2,TRUE),"")))</f>
        <v/>
      </c>
      <c r="AB99" s="34" t="str">
        <f>IF(A99="","",SUMIFS('成交明细'!$F$5:$F$804,'成交明细'!$A$5:$A$804,A99,'成交明细'!$D$5:$D$804,IF(F99="空","卖","买")))</f>
        <v/>
      </c>
      <c r="AC99" s="41" t="str">
        <f>IF(N(AB99)&gt;0,SUMIFS('成交明细'!$H$5:$H$804,'成交明细'!$A$5:$A$804,A99,'成交明细'!$D$5:$D$804,IF(F99="空","卖","买"))/AB99,"")</f>
        <v/>
      </c>
      <c r="AD99" s="34" t="str">
        <f>IF(A99="","",SUMIFS('成交明细'!$F$5:$F$804,'成交明细'!$A$5:$A$804,A99,'成交明细'!$D$5:$D$804,IF(F99="空","买","卖")))</f>
        <v/>
      </c>
      <c r="AE99" s="41" t="str">
        <f>IF(N(AD99)&gt;0,SUMIFS('成交明细'!$H$5:$H$804,'成交明细'!$A$5:$A$804,A99,'成交明细'!$D$5:$D$804,IF(F99="空","买","卖"))/AD99,"")</f>
        <v/>
      </c>
      <c r="AF99" s="38" t="str">
        <f>IF(A99="","",IF(X99&lt;&gt;"已执行",IF(X99="","未填执行情况",X99),IF(N(AB99)=0,"待录成交",IF(N(AD99)&gt;N(AB99),"平仓多于开仓",IF(N(AD99)&lt;N(AB99),"持仓中","已平仓")))))</f>
        <v/>
      </c>
      <c r="AG99" s="42" t="str">
        <f>IF(N(AB99)=0,"",SUMIFS('成交明细'!$L$5:$L$804,'成交明细'!$A$5:$A$804,A99))</f>
        <v/>
      </c>
      <c r="AH99" s="43" t="str">
        <f>IF(A99="","",SUMIFS('资金费流水'!$F$5:$F$604,'资金费流水'!$B$5:$B$604,A99))</f>
        <v/>
      </c>
      <c r="AI99" s="43" t="str">
        <f>IF(AF99&lt;&gt;"已平仓","",(SUMIFS('成交明细'!$H$5:$H$804,'成交明细'!$A$5:$A$804,A99,'成交明细'!$D$5:$D$804,"卖")-SUMIFS('成交明细'!$H$5:$H$804,'成交明细'!$A$5:$A$804,A99,'成交明细'!$D$5:$D$804,"买"))*1-AG99+N(AH99))</f>
        <v/>
      </c>
      <c r="AJ99" s="44" t="str">
        <f>IF(AND(AF99="已平仓",ISNUMBER(Q99)),(SUMIFS('成交明细'!$H$5:$H$804,'成交明细'!$A$5:$A$804,A99,'成交明细'!$D$5:$D$804,"卖")-SUMIFS('成交明细'!$H$5:$H$804,'成交明细'!$A$5:$A$804,A99,'成交明细'!$D$5:$D$804,"买"))*1/Q99,"")</f>
        <v/>
      </c>
      <c r="AK99" s="44" t="str">
        <f>IF(AND(AF99="已平仓",ISNUMBER(Q99)),AI99/Q99,"")</f>
        <v/>
      </c>
      <c r="AL99" s="45" t="str">
        <f>IF(AND(ISNUMBER(AC99),ISNUMBER(K99)),IF(F99="空",K99-AC99,AC99-K99),"")</f>
        <v/>
      </c>
      <c r="AM99" s="45" t="str">
        <f>IF(OR(NOT(ISNUMBER(AI99)),NOT(ISNUMBER(AE99))),"",IF(AI99&lt;0,IF(F99="空",AE99-L99,L99-AE99),IF(NOT(ISNUMBER(M99)),"",IF(F99="空",AE99-M99,M99-AE99))))</f>
        <v/>
      </c>
      <c r="AN99" s="31" t="n"/>
      <c r="AO99" s="31" t="n"/>
      <c r="AP99" s="30" t="n"/>
      <c r="AQ99" s="44" t="str">
        <f>IF(A99="","",SUM(AK$5:AK99))</f>
        <v/>
      </c>
      <c r="AR99" s="46" t="str">
        <f>IF(A99="","",MAX(0,MAX(AQ$5:AQ99))-AQ99)</f>
        <v/>
      </c>
    </row>
    <row r="100">
      <c r="A100" s="24" t="n"/>
      <c r="B100" s="29" t="n"/>
      <c r="C100" s="30" t="n"/>
      <c r="D100" s="31" t="n"/>
      <c r="E100" s="31" t="n"/>
      <c r="F100" s="31" t="n"/>
      <c r="G100" s="21" t="n"/>
      <c r="H100" s="31" t="n"/>
      <c r="I100" s="23" t="n"/>
      <c r="J100" s="31" t="n"/>
      <c r="K100" s="32" t="n"/>
      <c r="L100" s="32" t="n"/>
      <c r="M100" s="32" t="n"/>
      <c r="N100" s="33" t="str">
        <f>IF(AND(ISNUMBER(K100),ISNUMBER(L100),ISNUMBER(M100)),IF(OR(AND(F100="多",K100&gt;L100),AND(F100="空",K100&lt;L100)),ABS(M100-K100)/ABS(K100-L100),"止损方向不对"),"")</f>
        <v/>
      </c>
      <c r="O100" s="34" t="str">
        <f>IF(AND(ISNUMBER(K100),ISNUMBER(L100)),IF(K100=L100,"",IF(INT(ROUND('参数'!$C$7/(ABS(K100-L100)*1+2*K100*'参数'!$C$12)/IF(N(J100)&gt;0,J100,1),6))*IF(N(J100)&gt;0,J100,1)&gt;0,INT(ROUND('参数'!$C$7/(ABS(K100-L100)*1+2*K100*'参数'!$C$12)/IF(N(J100)&gt;0,J100,1),6))*IF(N(J100)&gt;0,J100,1),"预算不足，这笔不做")),"")</f>
        <v/>
      </c>
      <c r="P100" s="35" t="n"/>
      <c r="Q100" s="20" t="str">
        <f>IF(AND(ISNUMBER(K100),ISNUMBER(L100),ISNUMBER(P100)),IF(AND(K100&lt;&gt;L100,P100&gt;0),ABS(K100-L100)*P100*1,""),"")</f>
        <v/>
      </c>
      <c r="R100" s="20" t="str">
        <f>IF(AND(ISNUMBER(K100),ISNUMBER(P100)),K100*P100,"")</f>
        <v/>
      </c>
      <c r="S100" s="20" t="str">
        <f>IF(AND(D100="合约",ISNUMBER(R100),N(G100)&gt;0),R100/G100,"")</f>
        <v/>
      </c>
      <c r="T100" s="36" t="str">
        <f>IF(NOT(D100="合约"),"",IF(H100&lt;&gt;"逐仓","看平台",IF(AND(ISNUMBER(K100),N(G100)&gt;0),IF(F100="空",K100*(1+1/G100-IF(ISNUMBER(I100),I100,'参数'!$C$13)),K100*(1-1/G100+IF(ISNUMBER(I100),I100,'参数'!$C$13))),"")))</f>
        <v/>
      </c>
      <c r="U100" s="37" t="str">
        <f>IF(AND(ISNUMBER(T100),ISNUMBER(L100),ISNUMBER(K100)),IF(F100="空",T100-L100,L100-T100)/K100,"")</f>
        <v/>
      </c>
      <c r="V100" s="38" t="str">
        <f>IF(ISNUMBER(U100),IF(U100&lt;'参数'!$C$15,"先降杠杆或减量","在止损外"),"")</f>
        <v/>
      </c>
      <c r="W100" s="30" t="n"/>
      <c r="X100" s="31" t="n"/>
      <c r="Y100" s="39" t="str">
        <f>IF(N(AB100)&gt;0,SUMPRODUCT(LARGE(('成交明细'!$A$5:$A$804=A100)*('成交明细'!$D$5:$D$804=IF(F100="空","卖","买"))*'成交明细'!$B$5:$B$804,COUNTIFS('成交明细'!$A$5:$A$804,A100,'成交明细'!$D$5:$D$804,IF(F100="空","卖","买")))),"")</f>
        <v/>
      </c>
      <c r="Z100" s="39" t="str">
        <f>IF(AND(N(AB100)&gt;0,N(AD100)&gt;=N(AB100)),SUMPRODUCT(MAX(('成交明细'!$A$5:$A$804=A100)*('成交明细'!$D$5:$D$804=IF(F100="空","买","卖"))*'成交明细'!$B$5:$B$804)),"")</f>
        <v/>
      </c>
      <c r="AA100" s="40" t="str">
        <f>IF(N(AB100)=0,"",IF(SUMPRODUCT(('成交明细'!$A$5:$A$804=A100)*('成交明细'!$D$5:$D$804=IF(F100="空","卖","买"))*ISNUMBER('成交明细'!$C$5:$C$804))=0,"没填时间",IFERROR(VLOOKUP(MOD(SUMPRODUCT(LARGE(('成交明细'!$A$5:$A$804=A100)*('成交明细'!$D$5:$D$804=IF(F100="空","卖","买"))*('成交明细'!$B$5:$B$804+'成交明细'!$C$5:$C$804),COUNTIFS('成交明细'!$A$5:$A$804,A100,'成交明细'!$D$5:$D$804,IF(F100="空","卖","买")))),1),'参数'!$B$39:$C$48,2,TRUE),"")))</f>
        <v/>
      </c>
      <c r="AB100" s="34" t="str">
        <f>IF(A100="","",SUMIFS('成交明细'!$F$5:$F$804,'成交明细'!$A$5:$A$804,A100,'成交明细'!$D$5:$D$804,IF(F100="空","卖","买")))</f>
        <v/>
      </c>
      <c r="AC100" s="41" t="str">
        <f>IF(N(AB100)&gt;0,SUMIFS('成交明细'!$H$5:$H$804,'成交明细'!$A$5:$A$804,A100,'成交明细'!$D$5:$D$804,IF(F100="空","卖","买"))/AB100,"")</f>
        <v/>
      </c>
      <c r="AD100" s="34" t="str">
        <f>IF(A100="","",SUMIFS('成交明细'!$F$5:$F$804,'成交明细'!$A$5:$A$804,A100,'成交明细'!$D$5:$D$804,IF(F100="空","买","卖")))</f>
        <v/>
      </c>
      <c r="AE100" s="41" t="str">
        <f>IF(N(AD100)&gt;0,SUMIFS('成交明细'!$H$5:$H$804,'成交明细'!$A$5:$A$804,A100,'成交明细'!$D$5:$D$804,IF(F100="空","买","卖"))/AD100,"")</f>
        <v/>
      </c>
      <c r="AF100" s="38" t="str">
        <f>IF(A100="","",IF(X100&lt;&gt;"已执行",IF(X100="","未填执行情况",X100),IF(N(AB100)=0,"待录成交",IF(N(AD100)&gt;N(AB100),"平仓多于开仓",IF(N(AD100)&lt;N(AB100),"持仓中","已平仓")))))</f>
        <v/>
      </c>
      <c r="AG100" s="42" t="str">
        <f>IF(N(AB100)=0,"",SUMIFS('成交明细'!$L$5:$L$804,'成交明细'!$A$5:$A$804,A100))</f>
        <v/>
      </c>
      <c r="AH100" s="43" t="str">
        <f>IF(A100="","",SUMIFS('资金费流水'!$F$5:$F$604,'资金费流水'!$B$5:$B$604,A100))</f>
        <v/>
      </c>
      <c r="AI100" s="43" t="str">
        <f>IF(AF100&lt;&gt;"已平仓","",(SUMIFS('成交明细'!$H$5:$H$804,'成交明细'!$A$5:$A$804,A100,'成交明细'!$D$5:$D$804,"卖")-SUMIFS('成交明细'!$H$5:$H$804,'成交明细'!$A$5:$A$804,A100,'成交明细'!$D$5:$D$804,"买"))*1-AG100+N(AH100))</f>
        <v/>
      </c>
      <c r="AJ100" s="44" t="str">
        <f>IF(AND(AF100="已平仓",ISNUMBER(Q100)),(SUMIFS('成交明细'!$H$5:$H$804,'成交明细'!$A$5:$A$804,A100,'成交明细'!$D$5:$D$804,"卖")-SUMIFS('成交明细'!$H$5:$H$804,'成交明细'!$A$5:$A$804,A100,'成交明细'!$D$5:$D$804,"买"))*1/Q100,"")</f>
        <v/>
      </c>
      <c r="AK100" s="44" t="str">
        <f>IF(AND(AF100="已平仓",ISNUMBER(Q100)),AI100/Q100,"")</f>
        <v/>
      </c>
      <c r="AL100" s="45" t="str">
        <f>IF(AND(ISNUMBER(AC100),ISNUMBER(K100)),IF(F100="空",K100-AC100,AC100-K100),"")</f>
        <v/>
      </c>
      <c r="AM100" s="45" t="str">
        <f>IF(OR(NOT(ISNUMBER(AI100)),NOT(ISNUMBER(AE100))),"",IF(AI100&lt;0,IF(F100="空",AE100-L100,L100-AE100),IF(NOT(ISNUMBER(M100)),"",IF(F100="空",AE100-M100,M100-AE100))))</f>
        <v/>
      </c>
      <c r="AN100" s="31" t="n"/>
      <c r="AO100" s="31" t="n"/>
      <c r="AP100" s="30" t="n"/>
      <c r="AQ100" s="44" t="str">
        <f>IF(A100="","",SUM(AK$5:AK100))</f>
        <v/>
      </c>
      <c r="AR100" s="46" t="str">
        <f>IF(A100="","",MAX(0,MAX(AQ$5:AQ100))-AQ100)</f>
        <v/>
      </c>
    </row>
    <row r="101">
      <c r="A101" s="24" t="n"/>
      <c r="B101" s="29" t="n"/>
      <c r="C101" s="30" t="n"/>
      <c r="D101" s="31" t="n"/>
      <c r="E101" s="31" t="n"/>
      <c r="F101" s="31" t="n"/>
      <c r="G101" s="21" t="n"/>
      <c r="H101" s="31" t="n"/>
      <c r="I101" s="23" t="n"/>
      <c r="J101" s="31" t="n"/>
      <c r="K101" s="32" t="n"/>
      <c r="L101" s="32" t="n"/>
      <c r="M101" s="32" t="n"/>
      <c r="N101" s="33" t="str">
        <f>IF(AND(ISNUMBER(K101),ISNUMBER(L101),ISNUMBER(M101)),IF(OR(AND(F101="多",K101&gt;L101),AND(F101="空",K101&lt;L101)),ABS(M101-K101)/ABS(K101-L101),"止损方向不对"),"")</f>
        <v/>
      </c>
      <c r="O101" s="34" t="str">
        <f>IF(AND(ISNUMBER(K101),ISNUMBER(L101)),IF(K101=L101,"",IF(INT(ROUND('参数'!$C$7/(ABS(K101-L101)*1+2*K101*'参数'!$C$12)/IF(N(J101)&gt;0,J101,1),6))*IF(N(J101)&gt;0,J101,1)&gt;0,INT(ROUND('参数'!$C$7/(ABS(K101-L101)*1+2*K101*'参数'!$C$12)/IF(N(J101)&gt;0,J101,1),6))*IF(N(J101)&gt;0,J101,1),"预算不足，这笔不做")),"")</f>
        <v/>
      </c>
      <c r="P101" s="35" t="n"/>
      <c r="Q101" s="20" t="str">
        <f>IF(AND(ISNUMBER(K101),ISNUMBER(L101),ISNUMBER(P101)),IF(AND(K101&lt;&gt;L101,P101&gt;0),ABS(K101-L101)*P101*1,""),"")</f>
        <v/>
      </c>
      <c r="R101" s="20" t="str">
        <f>IF(AND(ISNUMBER(K101),ISNUMBER(P101)),K101*P101,"")</f>
        <v/>
      </c>
      <c r="S101" s="20" t="str">
        <f>IF(AND(D101="合约",ISNUMBER(R101),N(G101)&gt;0),R101/G101,"")</f>
        <v/>
      </c>
      <c r="T101" s="36" t="str">
        <f>IF(NOT(D101="合约"),"",IF(H101&lt;&gt;"逐仓","看平台",IF(AND(ISNUMBER(K101),N(G101)&gt;0),IF(F101="空",K101*(1+1/G101-IF(ISNUMBER(I101),I101,'参数'!$C$13)),K101*(1-1/G101+IF(ISNUMBER(I101),I101,'参数'!$C$13))),"")))</f>
        <v/>
      </c>
      <c r="U101" s="37" t="str">
        <f>IF(AND(ISNUMBER(T101),ISNUMBER(L101),ISNUMBER(K101)),IF(F101="空",T101-L101,L101-T101)/K101,"")</f>
        <v/>
      </c>
      <c r="V101" s="38" t="str">
        <f>IF(ISNUMBER(U101),IF(U101&lt;'参数'!$C$15,"先降杠杆或减量","在止损外"),"")</f>
        <v/>
      </c>
      <c r="W101" s="30" t="n"/>
      <c r="X101" s="31" t="n"/>
      <c r="Y101" s="39" t="str">
        <f>IF(N(AB101)&gt;0,SUMPRODUCT(LARGE(('成交明细'!$A$5:$A$804=A101)*('成交明细'!$D$5:$D$804=IF(F101="空","卖","买"))*'成交明细'!$B$5:$B$804,COUNTIFS('成交明细'!$A$5:$A$804,A101,'成交明细'!$D$5:$D$804,IF(F101="空","卖","买")))),"")</f>
        <v/>
      </c>
      <c r="Z101" s="39" t="str">
        <f>IF(AND(N(AB101)&gt;0,N(AD101)&gt;=N(AB101)),SUMPRODUCT(MAX(('成交明细'!$A$5:$A$804=A101)*('成交明细'!$D$5:$D$804=IF(F101="空","买","卖"))*'成交明细'!$B$5:$B$804)),"")</f>
        <v/>
      </c>
      <c r="AA101" s="40" t="str">
        <f>IF(N(AB101)=0,"",IF(SUMPRODUCT(('成交明细'!$A$5:$A$804=A101)*('成交明细'!$D$5:$D$804=IF(F101="空","卖","买"))*ISNUMBER('成交明细'!$C$5:$C$804))=0,"没填时间",IFERROR(VLOOKUP(MOD(SUMPRODUCT(LARGE(('成交明细'!$A$5:$A$804=A101)*('成交明细'!$D$5:$D$804=IF(F101="空","卖","买"))*('成交明细'!$B$5:$B$804+'成交明细'!$C$5:$C$804),COUNTIFS('成交明细'!$A$5:$A$804,A101,'成交明细'!$D$5:$D$804,IF(F101="空","卖","买")))),1),'参数'!$B$39:$C$48,2,TRUE),"")))</f>
        <v/>
      </c>
      <c r="AB101" s="34" t="str">
        <f>IF(A101="","",SUMIFS('成交明细'!$F$5:$F$804,'成交明细'!$A$5:$A$804,A101,'成交明细'!$D$5:$D$804,IF(F101="空","卖","买")))</f>
        <v/>
      </c>
      <c r="AC101" s="41" t="str">
        <f>IF(N(AB101)&gt;0,SUMIFS('成交明细'!$H$5:$H$804,'成交明细'!$A$5:$A$804,A101,'成交明细'!$D$5:$D$804,IF(F101="空","卖","买"))/AB101,"")</f>
        <v/>
      </c>
      <c r="AD101" s="34" t="str">
        <f>IF(A101="","",SUMIFS('成交明细'!$F$5:$F$804,'成交明细'!$A$5:$A$804,A101,'成交明细'!$D$5:$D$804,IF(F101="空","买","卖")))</f>
        <v/>
      </c>
      <c r="AE101" s="41" t="str">
        <f>IF(N(AD101)&gt;0,SUMIFS('成交明细'!$H$5:$H$804,'成交明细'!$A$5:$A$804,A101,'成交明细'!$D$5:$D$804,IF(F101="空","买","卖"))/AD101,"")</f>
        <v/>
      </c>
      <c r="AF101" s="38" t="str">
        <f>IF(A101="","",IF(X101&lt;&gt;"已执行",IF(X101="","未填执行情况",X101),IF(N(AB101)=0,"待录成交",IF(N(AD101)&gt;N(AB101),"平仓多于开仓",IF(N(AD101)&lt;N(AB101),"持仓中","已平仓")))))</f>
        <v/>
      </c>
      <c r="AG101" s="42" t="str">
        <f>IF(N(AB101)=0,"",SUMIFS('成交明细'!$L$5:$L$804,'成交明细'!$A$5:$A$804,A101))</f>
        <v/>
      </c>
      <c r="AH101" s="43" t="str">
        <f>IF(A101="","",SUMIFS('资金费流水'!$F$5:$F$604,'资金费流水'!$B$5:$B$604,A101))</f>
        <v/>
      </c>
      <c r="AI101" s="43" t="str">
        <f>IF(AF101&lt;&gt;"已平仓","",(SUMIFS('成交明细'!$H$5:$H$804,'成交明细'!$A$5:$A$804,A101,'成交明细'!$D$5:$D$804,"卖")-SUMIFS('成交明细'!$H$5:$H$804,'成交明细'!$A$5:$A$804,A101,'成交明细'!$D$5:$D$804,"买"))*1-AG101+N(AH101))</f>
        <v/>
      </c>
      <c r="AJ101" s="44" t="str">
        <f>IF(AND(AF101="已平仓",ISNUMBER(Q101)),(SUMIFS('成交明细'!$H$5:$H$804,'成交明细'!$A$5:$A$804,A101,'成交明细'!$D$5:$D$804,"卖")-SUMIFS('成交明细'!$H$5:$H$804,'成交明细'!$A$5:$A$804,A101,'成交明细'!$D$5:$D$804,"买"))*1/Q101,"")</f>
        <v/>
      </c>
      <c r="AK101" s="44" t="str">
        <f>IF(AND(AF101="已平仓",ISNUMBER(Q101)),AI101/Q101,"")</f>
        <v/>
      </c>
      <c r="AL101" s="45" t="str">
        <f>IF(AND(ISNUMBER(AC101),ISNUMBER(K101)),IF(F101="空",K101-AC101,AC101-K101),"")</f>
        <v/>
      </c>
      <c r="AM101" s="45" t="str">
        <f>IF(OR(NOT(ISNUMBER(AI101)),NOT(ISNUMBER(AE101))),"",IF(AI101&lt;0,IF(F101="空",AE101-L101,L101-AE101),IF(NOT(ISNUMBER(M101)),"",IF(F101="空",AE101-M101,M101-AE101))))</f>
        <v/>
      </c>
      <c r="AN101" s="31" t="n"/>
      <c r="AO101" s="31" t="n"/>
      <c r="AP101" s="30" t="n"/>
      <c r="AQ101" s="44" t="str">
        <f>IF(A101="","",SUM(AK$5:AK101))</f>
        <v/>
      </c>
      <c r="AR101" s="46" t="str">
        <f>IF(A101="","",MAX(0,MAX(AQ$5:AQ101))-AQ101)</f>
        <v/>
      </c>
    </row>
    <row r="102">
      <c r="A102" s="24" t="n"/>
      <c r="B102" s="29" t="n"/>
      <c r="C102" s="30" t="n"/>
      <c r="D102" s="31" t="n"/>
      <c r="E102" s="31" t="n"/>
      <c r="F102" s="31" t="n"/>
      <c r="G102" s="21" t="n"/>
      <c r="H102" s="31" t="n"/>
      <c r="I102" s="23" t="n"/>
      <c r="J102" s="31" t="n"/>
      <c r="K102" s="32" t="n"/>
      <c r="L102" s="32" t="n"/>
      <c r="M102" s="32" t="n"/>
      <c r="N102" s="33" t="str">
        <f>IF(AND(ISNUMBER(K102),ISNUMBER(L102),ISNUMBER(M102)),IF(OR(AND(F102="多",K102&gt;L102),AND(F102="空",K102&lt;L102)),ABS(M102-K102)/ABS(K102-L102),"止损方向不对"),"")</f>
        <v/>
      </c>
      <c r="O102" s="34" t="str">
        <f>IF(AND(ISNUMBER(K102),ISNUMBER(L102)),IF(K102=L102,"",IF(INT(ROUND('参数'!$C$7/(ABS(K102-L102)*1+2*K102*'参数'!$C$12)/IF(N(J102)&gt;0,J102,1),6))*IF(N(J102)&gt;0,J102,1)&gt;0,INT(ROUND('参数'!$C$7/(ABS(K102-L102)*1+2*K102*'参数'!$C$12)/IF(N(J102)&gt;0,J102,1),6))*IF(N(J102)&gt;0,J102,1),"预算不足，这笔不做")),"")</f>
        <v/>
      </c>
      <c r="P102" s="35" t="n"/>
      <c r="Q102" s="20" t="str">
        <f>IF(AND(ISNUMBER(K102),ISNUMBER(L102),ISNUMBER(P102)),IF(AND(K102&lt;&gt;L102,P102&gt;0),ABS(K102-L102)*P102*1,""),"")</f>
        <v/>
      </c>
      <c r="R102" s="20" t="str">
        <f>IF(AND(ISNUMBER(K102),ISNUMBER(P102)),K102*P102,"")</f>
        <v/>
      </c>
      <c r="S102" s="20" t="str">
        <f>IF(AND(D102="合约",ISNUMBER(R102),N(G102)&gt;0),R102/G102,"")</f>
        <v/>
      </c>
      <c r="T102" s="36" t="str">
        <f>IF(NOT(D102="合约"),"",IF(H102&lt;&gt;"逐仓","看平台",IF(AND(ISNUMBER(K102),N(G102)&gt;0),IF(F102="空",K102*(1+1/G102-IF(ISNUMBER(I102),I102,'参数'!$C$13)),K102*(1-1/G102+IF(ISNUMBER(I102),I102,'参数'!$C$13))),"")))</f>
        <v/>
      </c>
      <c r="U102" s="37" t="str">
        <f>IF(AND(ISNUMBER(T102),ISNUMBER(L102),ISNUMBER(K102)),IF(F102="空",T102-L102,L102-T102)/K102,"")</f>
        <v/>
      </c>
      <c r="V102" s="38" t="str">
        <f>IF(ISNUMBER(U102),IF(U102&lt;'参数'!$C$15,"先降杠杆或减量","在止损外"),"")</f>
        <v/>
      </c>
      <c r="W102" s="30" t="n"/>
      <c r="X102" s="31" t="n"/>
      <c r="Y102" s="39" t="str">
        <f>IF(N(AB102)&gt;0,SUMPRODUCT(LARGE(('成交明细'!$A$5:$A$804=A102)*('成交明细'!$D$5:$D$804=IF(F102="空","卖","买"))*'成交明细'!$B$5:$B$804,COUNTIFS('成交明细'!$A$5:$A$804,A102,'成交明细'!$D$5:$D$804,IF(F102="空","卖","买")))),"")</f>
        <v/>
      </c>
      <c r="Z102" s="39" t="str">
        <f>IF(AND(N(AB102)&gt;0,N(AD102)&gt;=N(AB102)),SUMPRODUCT(MAX(('成交明细'!$A$5:$A$804=A102)*('成交明细'!$D$5:$D$804=IF(F102="空","买","卖"))*'成交明细'!$B$5:$B$804)),"")</f>
        <v/>
      </c>
      <c r="AA102" s="40" t="str">
        <f>IF(N(AB102)=0,"",IF(SUMPRODUCT(('成交明细'!$A$5:$A$804=A102)*('成交明细'!$D$5:$D$804=IF(F102="空","卖","买"))*ISNUMBER('成交明细'!$C$5:$C$804))=0,"没填时间",IFERROR(VLOOKUP(MOD(SUMPRODUCT(LARGE(('成交明细'!$A$5:$A$804=A102)*('成交明细'!$D$5:$D$804=IF(F102="空","卖","买"))*('成交明细'!$B$5:$B$804+'成交明细'!$C$5:$C$804),COUNTIFS('成交明细'!$A$5:$A$804,A102,'成交明细'!$D$5:$D$804,IF(F102="空","卖","买")))),1),'参数'!$B$39:$C$48,2,TRUE),"")))</f>
        <v/>
      </c>
      <c r="AB102" s="34" t="str">
        <f>IF(A102="","",SUMIFS('成交明细'!$F$5:$F$804,'成交明细'!$A$5:$A$804,A102,'成交明细'!$D$5:$D$804,IF(F102="空","卖","买")))</f>
        <v/>
      </c>
      <c r="AC102" s="41" t="str">
        <f>IF(N(AB102)&gt;0,SUMIFS('成交明细'!$H$5:$H$804,'成交明细'!$A$5:$A$804,A102,'成交明细'!$D$5:$D$804,IF(F102="空","卖","买"))/AB102,"")</f>
        <v/>
      </c>
      <c r="AD102" s="34" t="str">
        <f>IF(A102="","",SUMIFS('成交明细'!$F$5:$F$804,'成交明细'!$A$5:$A$804,A102,'成交明细'!$D$5:$D$804,IF(F102="空","买","卖")))</f>
        <v/>
      </c>
      <c r="AE102" s="41" t="str">
        <f>IF(N(AD102)&gt;0,SUMIFS('成交明细'!$H$5:$H$804,'成交明细'!$A$5:$A$804,A102,'成交明细'!$D$5:$D$804,IF(F102="空","买","卖"))/AD102,"")</f>
        <v/>
      </c>
      <c r="AF102" s="38" t="str">
        <f>IF(A102="","",IF(X102&lt;&gt;"已执行",IF(X102="","未填执行情况",X102),IF(N(AB102)=0,"待录成交",IF(N(AD102)&gt;N(AB102),"平仓多于开仓",IF(N(AD102)&lt;N(AB102),"持仓中","已平仓")))))</f>
        <v/>
      </c>
      <c r="AG102" s="42" t="str">
        <f>IF(N(AB102)=0,"",SUMIFS('成交明细'!$L$5:$L$804,'成交明细'!$A$5:$A$804,A102))</f>
        <v/>
      </c>
      <c r="AH102" s="43" t="str">
        <f>IF(A102="","",SUMIFS('资金费流水'!$F$5:$F$604,'资金费流水'!$B$5:$B$604,A102))</f>
        <v/>
      </c>
      <c r="AI102" s="43" t="str">
        <f>IF(AF102&lt;&gt;"已平仓","",(SUMIFS('成交明细'!$H$5:$H$804,'成交明细'!$A$5:$A$804,A102,'成交明细'!$D$5:$D$804,"卖")-SUMIFS('成交明细'!$H$5:$H$804,'成交明细'!$A$5:$A$804,A102,'成交明细'!$D$5:$D$804,"买"))*1-AG102+N(AH102))</f>
        <v/>
      </c>
      <c r="AJ102" s="44" t="str">
        <f>IF(AND(AF102="已平仓",ISNUMBER(Q102)),(SUMIFS('成交明细'!$H$5:$H$804,'成交明细'!$A$5:$A$804,A102,'成交明细'!$D$5:$D$804,"卖")-SUMIFS('成交明细'!$H$5:$H$804,'成交明细'!$A$5:$A$804,A102,'成交明细'!$D$5:$D$804,"买"))*1/Q102,"")</f>
        <v/>
      </c>
      <c r="AK102" s="44" t="str">
        <f>IF(AND(AF102="已平仓",ISNUMBER(Q102)),AI102/Q102,"")</f>
        <v/>
      </c>
      <c r="AL102" s="45" t="str">
        <f>IF(AND(ISNUMBER(AC102),ISNUMBER(K102)),IF(F102="空",K102-AC102,AC102-K102),"")</f>
        <v/>
      </c>
      <c r="AM102" s="45" t="str">
        <f>IF(OR(NOT(ISNUMBER(AI102)),NOT(ISNUMBER(AE102))),"",IF(AI102&lt;0,IF(F102="空",AE102-L102,L102-AE102),IF(NOT(ISNUMBER(M102)),"",IF(F102="空",AE102-M102,M102-AE102))))</f>
        <v/>
      </c>
      <c r="AN102" s="31" t="n"/>
      <c r="AO102" s="31" t="n"/>
      <c r="AP102" s="30" t="n"/>
      <c r="AQ102" s="44" t="str">
        <f>IF(A102="","",SUM(AK$5:AK102))</f>
        <v/>
      </c>
      <c r="AR102" s="46" t="str">
        <f>IF(A102="","",MAX(0,MAX(AQ$5:AQ102))-AQ102)</f>
        <v/>
      </c>
    </row>
    <row r="103">
      <c r="A103" s="24" t="n"/>
      <c r="B103" s="29" t="n"/>
      <c r="C103" s="30" t="n"/>
      <c r="D103" s="31" t="n"/>
      <c r="E103" s="31" t="n"/>
      <c r="F103" s="31" t="n"/>
      <c r="G103" s="21" t="n"/>
      <c r="H103" s="31" t="n"/>
      <c r="I103" s="23" t="n"/>
      <c r="J103" s="31" t="n"/>
      <c r="K103" s="32" t="n"/>
      <c r="L103" s="32" t="n"/>
      <c r="M103" s="32" t="n"/>
      <c r="N103" s="33" t="str">
        <f>IF(AND(ISNUMBER(K103),ISNUMBER(L103),ISNUMBER(M103)),IF(OR(AND(F103="多",K103&gt;L103),AND(F103="空",K103&lt;L103)),ABS(M103-K103)/ABS(K103-L103),"止损方向不对"),"")</f>
        <v/>
      </c>
      <c r="O103" s="34" t="str">
        <f>IF(AND(ISNUMBER(K103),ISNUMBER(L103)),IF(K103=L103,"",IF(INT(ROUND('参数'!$C$7/(ABS(K103-L103)*1+2*K103*'参数'!$C$12)/IF(N(J103)&gt;0,J103,1),6))*IF(N(J103)&gt;0,J103,1)&gt;0,INT(ROUND('参数'!$C$7/(ABS(K103-L103)*1+2*K103*'参数'!$C$12)/IF(N(J103)&gt;0,J103,1),6))*IF(N(J103)&gt;0,J103,1),"预算不足，这笔不做")),"")</f>
        <v/>
      </c>
      <c r="P103" s="35" t="n"/>
      <c r="Q103" s="20" t="str">
        <f>IF(AND(ISNUMBER(K103),ISNUMBER(L103),ISNUMBER(P103)),IF(AND(K103&lt;&gt;L103,P103&gt;0),ABS(K103-L103)*P103*1,""),"")</f>
        <v/>
      </c>
      <c r="R103" s="20" t="str">
        <f>IF(AND(ISNUMBER(K103),ISNUMBER(P103)),K103*P103,"")</f>
        <v/>
      </c>
      <c r="S103" s="20" t="str">
        <f>IF(AND(D103="合约",ISNUMBER(R103),N(G103)&gt;0),R103/G103,"")</f>
        <v/>
      </c>
      <c r="T103" s="36" t="str">
        <f>IF(NOT(D103="合约"),"",IF(H103&lt;&gt;"逐仓","看平台",IF(AND(ISNUMBER(K103),N(G103)&gt;0),IF(F103="空",K103*(1+1/G103-IF(ISNUMBER(I103),I103,'参数'!$C$13)),K103*(1-1/G103+IF(ISNUMBER(I103),I103,'参数'!$C$13))),"")))</f>
        <v/>
      </c>
      <c r="U103" s="37" t="str">
        <f>IF(AND(ISNUMBER(T103),ISNUMBER(L103),ISNUMBER(K103)),IF(F103="空",T103-L103,L103-T103)/K103,"")</f>
        <v/>
      </c>
      <c r="V103" s="38" t="str">
        <f>IF(ISNUMBER(U103),IF(U103&lt;'参数'!$C$15,"先降杠杆或减量","在止损外"),"")</f>
        <v/>
      </c>
      <c r="W103" s="30" t="n"/>
      <c r="X103" s="31" t="n"/>
      <c r="Y103" s="39" t="str">
        <f>IF(N(AB103)&gt;0,SUMPRODUCT(LARGE(('成交明细'!$A$5:$A$804=A103)*('成交明细'!$D$5:$D$804=IF(F103="空","卖","买"))*'成交明细'!$B$5:$B$804,COUNTIFS('成交明细'!$A$5:$A$804,A103,'成交明细'!$D$5:$D$804,IF(F103="空","卖","买")))),"")</f>
        <v/>
      </c>
      <c r="Z103" s="39" t="str">
        <f>IF(AND(N(AB103)&gt;0,N(AD103)&gt;=N(AB103)),SUMPRODUCT(MAX(('成交明细'!$A$5:$A$804=A103)*('成交明细'!$D$5:$D$804=IF(F103="空","买","卖"))*'成交明细'!$B$5:$B$804)),"")</f>
        <v/>
      </c>
      <c r="AA103" s="40" t="str">
        <f>IF(N(AB103)=0,"",IF(SUMPRODUCT(('成交明细'!$A$5:$A$804=A103)*('成交明细'!$D$5:$D$804=IF(F103="空","卖","买"))*ISNUMBER('成交明细'!$C$5:$C$804))=0,"没填时间",IFERROR(VLOOKUP(MOD(SUMPRODUCT(LARGE(('成交明细'!$A$5:$A$804=A103)*('成交明细'!$D$5:$D$804=IF(F103="空","卖","买"))*('成交明细'!$B$5:$B$804+'成交明细'!$C$5:$C$804),COUNTIFS('成交明细'!$A$5:$A$804,A103,'成交明细'!$D$5:$D$804,IF(F103="空","卖","买")))),1),'参数'!$B$39:$C$48,2,TRUE),"")))</f>
        <v/>
      </c>
      <c r="AB103" s="34" t="str">
        <f>IF(A103="","",SUMIFS('成交明细'!$F$5:$F$804,'成交明细'!$A$5:$A$804,A103,'成交明细'!$D$5:$D$804,IF(F103="空","卖","买")))</f>
        <v/>
      </c>
      <c r="AC103" s="41" t="str">
        <f>IF(N(AB103)&gt;0,SUMIFS('成交明细'!$H$5:$H$804,'成交明细'!$A$5:$A$804,A103,'成交明细'!$D$5:$D$804,IF(F103="空","卖","买"))/AB103,"")</f>
        <v/>
      </c>
      <c r="AD103" s="34" t="str">
        <f>IF(A103="","",SUMIFS('成交明细'!$F$5:$F$804,'成交明细'!$A$5:$A$804,A103,'成交明细'!$D$5:$D$804,IF(F103="空","买","卖")))</f>
        <v/>
      </c>
      <c r="AE103" s="41" t="str">
        <f>IF(N(AD103)&gt;0,SUMIFS('成交明细'!$H$5:$H$804,'成交明细'!$A$5:$A$804,A103,'成交明细'!$D$5:$D$804,IF(F103="空","买","卖"))/AD103,"")</f>
        <v/>
      </c>
      <c r="AF103" s="38" t="str">
        <f>IF(A103="","",IF(X103&lt;&gt;"已执行",IF(X103="","未填执行情况",X103),IF(N(AB103)=0,"待录成交",IF(N(AD103)&gt;N(AB103),"平仓多于开仓",IF(N(AD103)&lt;N(AB103),"持仓中","已平仓")))))</f>
        <v/>
      </c>
      <c r="AG103" s="42" t="str">
        <f>IF(N(AB103)=0,"",SUMIFS('成交明细'!$L$5:$L$804,'成交明细'!$A$5:$A$804,A103))</f>
        <v/>
      </c>
      <c r="AH103" s="43" t="str">
        <f>IF(A103="","",SUMIFS('资金费流水'!$F$5:$F$604,'资金费流水'!$B$5:$B$604,A103))</f>
        <v/>
      </c>
      <c r="AI103" s="43" t="str">
        <f>IF(AF103&lt;&gt;"已平仓","",(SUMIFS('成交明细'!$H$5:$H$804,'成交明细'!$A$5:$A$804,A103,'成交明细'!$D$5:$D$804,"卖")-SUMIFS('成交明细'!$H$5:$H$804,'成交明细'!$A$5:$A$804,A103,'成交明细'!$D$5:$D$804,"买"))*1-AG103+N(AH103))</f>
        <v/>
      </c>
      <c r="AJ103" s="44" t="str">
        <f>IF(AND(AF103="已平仓",ISNUMBER(Q103)),(SUMIFS('成交明细'!$H$5:$H$804,'成交明细'!$A$5:$A$804,A103,'成交明细'!$D$5:$D$804,"卖")-SUMIFS('成交明细'!$H$5:$H$804,'成交明细'!$A$5:$A$804,A103,'成交明细'!$D$5:$D$804,"买"))*1/Q103,"")</f>
        <v/>
      </c>
      <c r="AK103" s="44" t="str">
        <f>IF(AND(AF103="已平仓",ISNUMBER(Q103)),AI103/Q103,"")</f>
        <v/>
      </c>
      <c r="AL103" s="45" t="str">
        <f>IF(AND(ISNUMBER(AC103),ISNUMBER(K103)),IF(F103="空",K103-AC103,AC103-K103),"")</f>
        <v/>
      </c>
      <c r="AM103" s="45" t="str">
        <f>IF(OR(NOT(ISNUMBER(AI103)),NOT(ISNUMBER(AE103))),"",IF(AI103&lt;0,IF(F103="空",AE103-L103,L103-AE103),IF(NOT(ISNUMBER(M103)),"",IF(F103="空",AE103-M103,M103-AE103))))</f>
        <v/>
      </c>
      <c r="AN103" s="31" t="n"/>
      <c r="AO103" s="31" t="n"/>
      <c r="AP103" s="30" t="n"/>
      <c r="AQ103" s="44" t="str">
        <f>IF(A103="","",SUM(AK$5:AK103))</f>
        <v/>
      </c>
      <c r="AR103" s="46" t="str">
        <f>IF(A103="","",MAX(0,MAX(AQ$5:AQ103))-AQ103)</f>
        <v/>
      </c>
    </row>
    <row r="104">
      <c r="A104" s="24" t="n"/>
      <c r="B104" s="29" t="n"/>
      <c r="C104" s="30" t="n"/>
      <c r="D104" s="31" t="n"/>
      <c r="E104" s="31" t="n"/>
      <c r="F104" s="31" t="n"/>
      <c r="G104" s="21" t="n"/>
      <c r="H104" s="31" t="n"/>
      <c r="I104" s="23" t="n"/>
      <c r="J104" s="31" t="n"/>
      <c r="K104" s="32" t="n"/>
      <c r="L104" s="32" t="n"/>
      <c r="M104" s="32" t="n"/>
      <c r="N104" s="33" t="str">
        <f>IF(AND(ISNUMBER(K104),ISNUMBER(L104),ISNUMBER(M104)),IF(OR(AND(F104="多",K104&gt;L104),AND(F104="空",K104&lt;L104)),ABS(M104-K104)/ABS(K104-L104),"止损方向不对"),"")</f>
        <v/>
      </c>
      <c r="O104" s="34" t="str">
        <f>IF(AND(ISNUMBER(K104),ISNUMBER(L104)),IF(K104=L104,"",IF(INT(ROUND('参数'!$C$7/(ABS(K104-L104)*1+2*K104*'参数'!$C$12)/IF(N(J104)&gt;0,J104,1),6))*IF(N(J104)&gt;0,J104,1)&gt;0,INT(ROUND('参数'!$C$7/(ABS(K104-L104)*1+2*K104*'参数'!$C$12)/IF(N(J104)&gt;0,J104,1),6))*IF(N(J104)&gt;0,J104,1),"预算不足，这笔不做")),"")</f>
        <v/>
      </c>
      <c r="P104" s="35" t="n"/>
      <c r="Q104" s="20" t="str">
        <f>IF(AND(ISNUMBER(K104),ISNUMBER(L104),ISNUMBER(P104)),IF(AND(K104&lt;&gt;L104,P104&gt;0),ABS(K104-L104)*P104*1,""),"")</f>
        <v/>
      </c>
      <c r="R104" s="20" t="str">
        <f>IF(AND(ISNUMBER(K104),ISNUMBER(P104)),K104*P104,"")</f>
        <v/>
      </c>
      <c r="S104" s="20" t="str">
        <f>IF(AND(D104="合约",ISNUMBER(R104),N(G104)&gt;0),R104/G104,"")</f>
        <v/>
      </c>
      <c r="T104" s="36" t="str">
        <f>IF(NOT(D104="合约"),"",IF(H104&lt;&gt;"逐仓","看平台",IF(AND(ISNUMBER(K104),N(G104)&gt;0),IF(F104="空",K104*(1+1/G104-IF(ISNUMBER(I104),I104,'参数'!$C$13)),K104*(1-1/G104+IF(ISNUMBER(I104),I104,'参数'!$C$13))),"")))</f>
        <v/>
      </c>
      <c r="U104" s="37" t="str">
        <f>IF(AND(ISNUMBER(T104),ISNUMBER(L104),ISNUMBER(K104)),IF(F104="空",T104-L104,L104-T104)/K104,"")</f>
        <v/>
      </c>
      <c r="V104" s="38" t="str">
        <f>IF(ISNUMBER(U104),IF(U104&lt;'参数'!$C$15,"先降杠杆或减量","在止损外"),"")</f>
        <v/>
      </c>
      <c r="W104" s="30" t="n"/>
      <c r="X104" s="31" t="n"/>
      <c r="Y104" s="39" t="str">
        <f>IF(N(AB104)&gt;0,SUMPRODUCT(LARGE(('成交明细'!$A$5:$A$804=A104)*('成交明细'!$D$5:$D$804=IF(F104="空","卖","买"))*'成交明细'!$B$5:$B$804,COUNTIFS('成交明细'!$A$5:$A$804,A104,'成交明细'!$D$5:$D$804,IF(F104="空","卖","买")))),"")</f>
        <v/>
      </c>
      <c r="Z104" s="39" t="str">
        <f>IF(AND(N(AB104)&gt;0,N(AD104)&gt;=N(AB104)),SUMPRODUCT(MAX(('成交明细'!$A$5:$A$804=A104)*('成交明细'!$D$5:$D$804=IF(F104="空","买","卖"))*'成交明细'!$B$5:$B$804)),"")</f>
        <v/>
      </c>
      <c r="AA104" s="40" t="str">
        <f>IF(N(AB104)=0,"",IF(SUMPRODUCT(('成交明细'!$A$5:$A$804=A104)*('成交明细'!$D$5:$D$804=IF(F104="空","卖","买"))*ISNUMBER('成交明细'!$C$5:$C$804))=0,"没填时间",IFERROR(VLOOKUP(MOD(SUMPRODUCT(LARGE(('成交明细'!$A$5:$A$804=A104)*('成交明细'!$D$5:$D$804=IF(F104="空","卖","买"))*('成交明细'!$B$5:$B$804+'成交明细'!$C$5:$C$804),COUNTIFS('成交明细'!$A$5:$A$804,A104,'成交明细'!$D$5:$D$804,IF(F104="空","卖","买")))),1),'参数'!$B$39:$C$48,2,TRUE),"")))</f>
        <v/>
      </c>
      <c r="AB104" s="34" t="str">
        <f>IF(A104="","",SUMIFS('成交明细'!$F$5:$F$804,'成交明细'!$A$5:$A$804,A104,'成交明细'!$D$5:$D$804,IF(F104="空","卖","买")))</f>
        <v/>
      </c>
      <c r="AC104" s="41" t="str">
        <f>IF(N(AB104)&gt;0,SUMIFS('成交明细'!$H$5:$H$804,'成交明细'!$A$5:$A$804,A104,'成交明细'!$D$5:$D$804,IF(F104="空","卖","买"))/AB104,"")</f>
        <v/>
      </c>
      <c r="AD104" s="34" t="str">
        <f>IF(A104="","",SUMIFS('成交明细'!$F$5:$F$804,'成交明细'!$A$5:$A$804,A104,'成交明细'!$D$5:$D$804,IF(F104="空","买","卖")))</f>
        <v/>
      </c>
      <c r="AE104" s="41" t="str">
        <f>IF(N(AD104)&gt;0,SUMIFS('成交明细'!$H$5:$H$804,'成交明细'!$A$5:$A$804,A104,'成交明细'!$D$5:$D$804,IF(F104="空","买","卖"))/AD104,"")</f>
        <v/>
      </c>
      <c r="AF104" s="38" t="str">
        <f>IF(A104="","",IF(X104&lt;&gt;"已执行",IF(X104="","未填执行情况",X104),IF(N(AB104)=0,"待录成交",IF(N(AD104)&gt;N(AB104),"平仓多于开仓",IF(N(AD104)&lt;N(AB104),"持仓中","已平仓")))))</f>
        <v/>
      </c>
      <c r="AG104" s="42" t="str">
        <f>IF(N(AB104)=0,"",SUMIFS('成交明细'!$L$5:$L$804,'成交明细'!$A$5:$A$804,A104))</f>
        <v/>
      </c>
      <c r="AH104" s="43" t="str">
        <f>IF(A104="","",SUMIFS('资金费流水'!$F$5:$F$604,'资金费流水'!$B$5:$B$604,A104))</f>
        <v/>
      </c>
      <c r="AI104" s="43" t="str">
        <f>IF(AF104&lt;&gt;"已平仓","",(SUMIFS('成交明细'!$H$5:$H$804,'成交明细'!$A$5:$A$804,A104,'成交明细'!$D$5:$D$804,"卖")-SUMIFS('成交明细'!$H$5:$H$804,'成交明细'!$A$5:$A$804,A104,'成交明细'!$D$5:$D$804,"买"))*1-AG104+N(AH104))</f>
        <v/>
      </c>
      <c r="AJ104" s="44" t="str">
        <f>IF(AND(AF104="已平仓",ISNUMBER(Q104)),(SUMIFS('成交明细'!$H$5:$H$804,'成交明细'!$A$5:$A$804,A104,'成交明细'!$D$5:$D$804,"卖")-SUMIFS('成交明细'!$H$5:$H$804,'成交明细'!$A$5:$A$804,A104,'成交明细'!$D$5:$D$804,"买"))*1/Q104,"")</f>
        <v/>
      </c>
      <c r="AK104" s="44" t="str">
        <f>IF(AND(AF104="已平仓",ISNUMBER(Q104)),AI104/Q104,"")</f>
        <v/>
      </c>
      <c r="AL104" s="45" t="str">
        <f>IF(AND(ISNUMBER(AC104),ISNUMBER(K104)),IF(F104="空",K104-AC104,AC104-K104),"")</f>
        <v/>
      </c>
      <c r="AM104" s="45" t="str">
        <f>IF(OR(NOT(ISNUMBER(AI104)),NOT(ISNUMBER(AE104))),"",IF(AI104&lt;0,IF(F104="空",AE104-L104,L104-AE104),IF(NOT(ISNUMBER(M104)),"",IF(F104="空",AE104-M104,M104-AE104))))</f>
        <v/>
      </c>
      <c r="AN104" s="31" t="n"/>
      <c r="AO104" s="31" t="n"/>
      <c r="AP104" s="30" t="n"/>
      <c r="AQ104" s="44" t="str">
        <f>IF(A104="","",SUM(AK$5:AK104))</f>
        <v/>
      </c>
      <c r="AR104" s="46" t="str">
        <f>IF(A104="","",MAX(0,MAX(AQ$5:AQ104))-AQ104)</f>
        <v/>
      </c>
    </row>
    <row r="105">
      <c r="A105" s="24" t="n"/>
      <c r="B105" s="29" t="n"/>
      <c r="C105" s="30" t="n"/>
      <c r="D105" s="31" t="n"/>
      <c r="E105" s="31" t="n"/>
      <c r="F105" s="31" t="n"/>
      <c r="G105" s="21" t="n"/>
      <c r="H105" s="31" t="n"/>
      <c r="I105" s="23" t="n"/>
      <c r="J105" s="31" t="n"/>
      <c r="K105" s="32" t="n"/>
      <c r="L105" s="32" t="n"/>
      <c r="M105" s="32" t="n"/>
      <c r="N105" s="33" t="str">
        <f>IF(AND(ISNUMBER(K105),ISNUMBER(L105),ISNUMBER(M105)),IF(OR(AND(F105="多",K105&gt;L105),AND(F105="空",K105&lt;L105)),ABS(M105-K105)/ABS(K105-L105),"止损方向不对"),"")</f>
        <v/>
      </c>
      <c r="O105" s="34" t="str">
        <f>IF(AND(ISNUMBER(K105),ISNUMBER(L105)),IF(K105=L105,"",IF(INT(ROUND('参数'!$C$7/(ABS(K105-L105)*1+2*K105*'参数'!$C$12)/IF(N(J105)&gt;0,J105,1),6))*IF(N(J105)&gt;0,J105,1)&gt;0,INT(ROUND('参数'!$C$7/(ABS(K105-L105)*1+2*K105*'参数'!$C$12)/IF(N(J105)&gt;0,J105,1),6))*IF(N(J105)&gt;0,J105,1),"预算不足，这笔不做")),"")</f>
        <v/>
      </c>
      <c r="P105" s="35" t="n"/>
      <c r="Q105" s="20" t="str">
        <f>IF(AND(ISNUMBER(K105),ISNUMBER(L105),ISNUMBER(P105)),IF(AND(K105&lt;&gt;L105,P105&gt;0),ABS(K105-L105)*P105*1,""),"")</f>
        <v/>
      </c>
      <c r="R105" s="20" t="str">
        <f>IF(AND(ISNUMBER(K105),ISNUMBER(P105)),K105*P105,"")</f>
        <v/>
      </c>
      <c r="S105" s="20" t="str">
        <f>IF(AND(D105="合约",ISNUMBER(R105),N(G105)&gt;0),R105/G105,"")</f>
        <v/>
      </c>
      <c r="T105" s="36" t="str">
        <f>IF(NOT(D105="合约"),"",IF(H105&lt;&gt;"逐仓","看平台",IF(AND(ISNUMBER(K105),N(G105)&gt;0),IF(F105="空",K105*(1+1/G105-IF(ISNUMBER(I105),I105,'参数'!$C$13)),K105*(1-1/G105+IF(ISNUMBER(I105),I105,'参数'!$C$13))),"")))</f>
        <v/>
      </c>
      <c r="U105" s="37" t="str">
        <f>IF(AND(ISNUMBER(T105),ISNUMBER(L105),ISNUMBER(K105)),IF(F105="空",T105-L105,L105-T105)/K105,"")</f>
        <v/>
      </c>
      <c r="V105" s="38" t="str">
        <f>IF(ISNUMBER(U105),IF(U105&lt;'参数'!$C$15,"先降杠杆或减量","在止损外"),"")</f>
        <v/>
      </c>
      <c r="W105" s="30" t="n"/>
      <c r="X105" s="31" t="n"/>
      <c r="Y105" s="39" t="str">
        <f>IF(N(AB105)&gt;0,SUMPRODUCT(LARGE(('成交明细'!$A$5:$A$804=A105)*('成交明细'!$D$5:$D$804=IF(F105="空","卖","买"))*'成交明细'!$B$5:$B$804,COUNTIFS('成交明细'!$A$5:$A$804,A105,'成交明细'!$D$5:$D$804,IF(F105="空","卖","买")))),"")</f>
        <v/>
      </c>
      <c r="Z105" s="39" t="str">
        <f>IF(AND(N(AB105)&gt;0,N(AD105)&gt;=N(AB105)),SUMPRODUCT(MAX(('成交明细'!$A$5:$A$804=A105)*('成交明细'!$D$5:$D$804=IF(F105="空","买","卖"))*'成交明细'!$B$5:$B$804)),"")</f>
        <v/>
      </c>
      <c r="AA105" s="40" t="str">
        <f>IF(N(AB105)=0,"",IF(SUMPRODUCT(('成交明细'!$A$5:$A$804=A105)*('成交明细'!$D$5:$D$804=IF(F105="空","卖","买"))*ISNUMBER('成交明细'!$C$5:$C$804))=0,"没填时间",IFERROR(VLOOKUP(MOD(SUMPRODUCT(LARGE(('成交明细'!$A$5:$A$804=A105)*('成交明细'!$D$5:$D$804=IF(F105="空","卖","买"))*('成交明细'!$B$5:$B$804+'成交明细'!$C$5:$C$804),COUNTIFS('成交明细'!$A$5:$A$804,A105,'成交明细'!$D$5:$D$804,IF(F105="空","卖","买")))),1),'参数'!$B$39:$C$48,2,TRUE),"")))</f>
        <v/>
      </c>
      <c r="AB105" s="34" t="str">
        <f>IF(A105="","",SUMIFS('成交明细'!$F$5:$F$804,'成交明细'!$A$5:$A$804,A105,'成交明细'!$D$5:$D$804,IF(F105="空","卖","买")))</f>
        <v/>
      </c>
      <c r="AC105" s="41" t="str">
        <f>IF(N(AB105)&gt;0,SUMIFS('成交明细'!$H$5:$H$804,'成交明细'!$A$5:$A$804,A105,'成交明细'!$D$5:$D$804,IF(F105="空","卖","买"))/AB105,"")</f>
        <v/>
      </c>
      <c r="AD105" s="34" t="str">
        <f>IF(A105="","",SUMIFS('成交明细'!$F$5:$F$804,'成交明细'!$A$5:$A$804,A105,'成交明细'!$D$5:$D$804,IF(F105="空","买","卖")))</f>
        <v/>
      </c>
      <c r="AE105" s="41" t="str">
        <f>IF(N(AD105)&gt;0,SUMIFS('成交明细'!$H$5:$H$804,'成交明细'!$A$5:$A$804,A105,'成交明细'!$D$5:$D$804,IF(F105="空","买","卖"))/AD105,"")</f>
        <v/>
      </c>
      <c r="AF105" s="38" t="str">
        <f>IF(A105="","",IF(X105&lt;&gt;"已执行",IF(X105="","未填执行情况",X105),IF(N(AB105)=0,"待录成交",IF(N(AD105)&gt;N(AB105),"平仓多于开仓",IF(N(AD105)&lt;N(AB105),"持仓中","已平仓")))))</f>
        <v/>
      </c>
      <c r="AG105" s="42" t="str">
        <f>IF(N(AB105)=0,"",SUMIFS('成交明细'!$L$5:$L$804,'成交明细'!$A$5:$A$804,A105))</f>
        <v/>
      </c>
      <c r="AH105" s="43" t="str">
        <f>IF(A105="","",SUMIFS('资金费流水'!$F$5:$F$604,'资金费流水'!$B$5:$B$604,A105))</f>
        <v/>
      </c>
      <c r="AI105" s="43" t="str">
        <f>IF(AF105&lt;&gt;"已平仓","",(SUMIFS('成交明细'!$H$5:$H$804,'成交明细'!$A$5:$A$804,A105,'成交明细'!$D$5:$D$804,"卖")-SUMIFS('成交明细'!$H$5:$H$804,'成交明细'!$A$5:$A$804,A105,'成交明细'!$D$5:$D$804,"买"))*1-AG105+N(AH105))</f>
        <v/>
      </c>
      <c r="AJ105" s="44" t="str">
        <f>IF(AND(AF105="已平仓",ISNUMBER(Q105)),(SUMIFS('成交明细'!$H$5:$H$804,'成交明细'!$A$5:$A$804,A105,'成交明细'!$D$5:$D$804,"卖")-SUMIFS('成交明细'!$H$5:$H$804,'成交明细'!$A$5:$A$804,A105,'成交明细'!$D$5:$D$804,"买"))*1/Q105,"")</f>
        <v/>
      </c>
      <c r="AK105" s="44" t="str">
        <f>IF(AND(AF105="已平仓",ISNUMBER(Q105)),AI105/Q105,"")</f>
        <v/>
      </c>
      <c r="AL105" s="45" t="str">
        <f>IF(AND(ISNUMBER(AC105),ISNUMBER(K105)),IF(F105="空",K105-AC105,AC105-K105),"")</f>
        <v/>
      </c>
      <c r="AM105" s="45" t="str">
        <f>IF(OR(NOT(ISNUMBER(AI105)),NOT(ISNUMBER(AE105))),"",IF(AI105&lt;0,IF(F105="空",AE105-L105,L105-AE105),IF(NOT(ISNUMBER(M105)),"",IF(F105="空",AE105-M105,M105-AE105))))</f>
        <v/>
      </c>
      <c r="AN105" s="31" t="n"/>
      <c r="AO105" s="31" t="n"/>
      <c r="AP105" s="30" t="n"/>
      <c r="AQ105" s="44" t="str">
        <f>IF(A105="","",SUM(AK$5:AK105))</f>
        <v/>
      </c>
      <c r="AR105" s="46" t="str">
        <f>IF(A105="","",MAX(0,MAX(AQ$5:AQ105))-AQ105)</f>
        <v/>
      </c>
    </row>
    <row r="106">
      <c r="A106" s="24" t="n"/>
      <c r="B106" s="29" t="n"/>
      <c r="C106" s="30" t="n"/>
      <c r="D106" s="31" t="n"/>
      <c r="E106" s="31" t="n"/>
      <c r="F106" s="31" t="n"/>
      <c r="G106" s="21" t="n"/>
      <c r="H106" s="31" t="n"/>
      <c r="I106" s="23" t="n"/>
      <c r="J106" s="31" t="n"/>
      <c r="K106" s="32" t="n"/>
      <c r="L106" s="32" t="n"/>
      <c r="M106" s="32" t="n"/>
      <c r="N106" s="33" t="str">
        <f>IF(AND(ISNUMBER(K106),ISNUMBER(L106),ISNUMBER(M106)),IF(OR(AND(F106="多",K106&gt;L106),AND(F106="空",K106&lt;L106)),ABS(M106-K106)/ABS(K106-L106),"止损方向不对"),"")</f>
        <v/>
      </c>
      <c r="O106" s="34" t="str">
        <f>IF(AND(ISNUMBER(K106),ISNUMBER(L106)),IF(K106=L106,"",IF(INT(ROUND('参数'!$C$7/(ABS(K106-L106)*1+2*K106*'参数'!$C$12)/IF(N(J106)&gt;0,J106,1),6))*IF(N(J106)&gt;0,J106,1)&gt;0,INT(ROUND('参数'!$C$7/(ABS(K106-L106)*1+2*K106*'参数'!$C$12)/IF(N(J106)&gt;0,J106,1),6))*IF(N(J106)&gt;0,J106,1),"预算不足，这笔不做")),"")</f>
        <v/>
      </c>
      <c r="P106" s="35" t="n"/>
      <c r="Q106" s="20" t="str">
        <f>IF(AND(ISNUMBER(K106),ISNUMBER(L106),ISNUMBER(P106)),IF(AND(K106&lt;&gt;L106,P106&gt;0),ABS(K106-L106)*P106*1,""),"")</f>
        <v/>
      </c>
      <c r="R106" s="20" t="str">
        <f>IF(AND(ISNUMBER(K106),ISNUMBER(P106)),K106*P106,"")</f>
        <v/>
      </c>
      <c r="S106" s="20" t="str">
        <f>IF(AND(D106="合约",ISNUMBER(R106),N(G106)&gt;0),R106/G106,"")</f>
        <v/>
      </c>
      <c r="T106" s="36" t="str">
        <f>IF(NOT(D106="合约"),"",IF(H106&lt;&gt;"逐仓","看平台",IF(AND(ISNUMBER(K106),N(G106)&gt;0),IF(F106="空",K106*(1+1/G106-IF(ISNUMBER(I106),I106,'参数'!$C$13)),K106*(1-1/G106+IF(ISNUMBER(I106),I106,'参数'!$C$13))),"")))</f>
        <v/>
      </c>
      <c r="U106" s="37" t="str">
        <f>IF(AND(ISNUMBER(T106),ISNUMBER(L106),ISNUMBER(K106)),IF(F106="空",T106-L106,L106-T106)/K106,"")</f>
        <v/>
      </c>
      <c r="V106" s="38" t="str">
        <f>IF(ISNUMBER(U106),IF(U106&lt;'参数'!$C$15,"先降杠杆或减量","在止损外"),"")</f>
        <v/>
      </c>
      <c r="W106" s="30" t="n"/>
      <c r="X106" s="31" t="n"/>
      <c r="Y106" s="39" t="str">
        <f>IF(N(AB106)&gt;0,SUMPRODUCT(LARGE(('成交明细'!$A$5:$A$804=A106)*('成交明细'!$D$5:$D$804=IF(F106="空","卖","买"))*'成交明细'!$B$5:$B$804,COUNTIFS('成交明细'!$A$5:$A$804,A106,'成交明细'!$D$5:$D$804,IF(F106="空","卖","买")))),"")</f>
        <v/>
      </c>
      <c r="Z106" s="39" t="str">
        <f>IF(AND(N(AB106)&gt;0,N(AD106)&gt;=N(AB106)),SUMPRODUCT(MAX(('成交明细'!$A$5:$A$804=A106)*('成交明细'!$D$5:$D$804=IF(F106="空","买","卖"))*'成交明细'!$B$5:$B$804)),"")</f>
        <v/>
      </c>
      <c r="AA106" s="40" t="str">
        <f>IF(N(AB106)=0,"",IF(SUMPRODUCT(('成交明细'!$A$5:$A$804=A106)*('成交明细'!$D$5:$D$804=IF(F106="空","卖","买"))*ISNUMBER('成交明细'!$C$5:$C$804))=0,"没填时间",IFERROR(VLOOKUP(MOD(SUMPRODUCT(LARGE(('成交明细'!$A$5:$A$804=A106)*('成交明细'!$D$5:$D$804=IF(F106="空","卖","买"))*('成交明细'!$B$5:$B$804+'成交明细'!$C$5:$C$804),COUNTIFS('成交明细'!$A$5:$A$804,A106,'成交明细'!$D$5:$D$804,IF(F106="空","卖","买")))),1),'参数'!$B$39:$C$48,2,TRUE),"")))</f>
        <v/>
      </c>
      <c r="AB106" s="34" t="str">
        <f>IF(A106="","",SUMIFS('成交明细'!$F$5:$F$804,'成交明细'!$A$5:$A$804,A106,'成交明细'!$D$5:$D$804,IF(F106="空","卖","买")))</f>
        <v/>
      </c>
      <c r="AC106" s="41" t="str">
        <f>IF(N(AB106)&gt;0,SUMIFS('成交明细'!$H$5:$H$804,'成交明细'!$A$5:$A$804,A106,'成交明细'!$D$5:$D$804,IF(F106="空","卖","买"))/AB106,"")</f>
        <v/>
      </c>
      <c r="AD106" s="34" t="str">
        <f>IF(A106="","",SUMIFS('成交明细'!$F$5:$F$804,'成交明细'!$A$5:$A$804,A106,'成交明细'!$D$5:$D$804,IF(F106="空","买","卖")))</f>
        <v/>
      </c>
      <c r="AE106" s="41" t="str">
        <f>IF(N(AD106)&gt;0,SUMIFS('成交明细'!$H$5:$H$804,'成交明细'!$A$5:$A$804,A106,'成交明细'!$D$5:$D$804,IF(F106="空","买","卖"))/AD106,"")</f>
        <v/>
      </c>
      <c r="AF106" s="38" t="str">
        <f>IF(A106="","",IF(X106&lt;&gt;"已执行",IF(X106="","未填执行情况",X106),IF(N(AB106)=0,"待录成交",IF(N(AD106)&gt;N(AB106),"平仓多于开仓",IF(N(AD106)&lt;N(AB106),"持仓中","已平仓")))))</f>
        <v/>
      </c>
      <c r="AG106" s="42" t="str">
        <f>IF(N(AB106)=0,"",SUMIFS('成交明细'!$L$5:$L$804,'成交明细'!$A$5:$A$804,A106))</f>
        <v/>
      </c>
      <c r="AH106" s="43" t="str">
        <f>IF(A106="","",SUMIFS('资金费流水'!$F$5:$F$604,'资金费流水'!$B$5:$B$604,A106))</f>
        <v/>
      </c>
      <c r="AI106" s="43" t="str">
        <f>IF(AF106&lt;&gt;"已平仓","",(SUMIFS('成交明细'!$H$5:$H$804,'成交明细'!$A$5:$A$804,A106,'成交明细'!$D$5:$D$804,"卖")-SUMIFS('成交明细'!$H$5:$H$804,'成交明细'!$A$5:$A$804,A106,'成交明细'!$D$5:$D$804,"买"))*1-AG106+N(AH106))</f>
        <v/>
      </c>
      <c r="AJ106" s="44" t="str">
        <f>IF(AND(AF106="已平仓",ISNUMBER(Q106)),(SUMIFS('成交明细'!$H$5:$H$804,'成交明细'!$A$5:$A$804,A106,'成交明细'!$D$5:$D$804,"卖")-SUMIFS('成交明细'!$H$5:$H$804,'成交明细'!$A$5:$A$804,A106,'成交明细'!$D$5:$D$804,"买"))*1/Q106,"")</f>
        <v/>
      </c>
      <c r="AK106" s="44" t="str">
        <f>IF(AND(AF106="已平仓",ISNUMBER(Q106)),AI106/Q106,"")</f>
        <v/>
      </c>
      <c r="AL106" s="45" t="str">
        <f>IF(AND(ISNUMBER(AC106),ISNUMBER(K106)),IF(F106="空",K106-AC106,AC106-K106),"")</f>
        <v/>
      </c>
      <c r="AM106" s="45" t="str">
        <f>IF(OR(NOT(ISNUMBER(AI106)),NOT(ISNUMBER(AE106))),"",IF(AI106&lt;0,IF(F106="空",AE106-L106,L106-AE106),IF(NOT(ISNUMBER(M106)),"",IF(F106="空",AE106-M106,M106-AE106))))</f>
        <v/>
      </c>
      <c r="AN106" s="31" t="n"/>
      <c r="AO106" s="31" t="n"/>
      <c r="AP106" s="30" t="n"/>
      <c r="AQ106" s="44" t="str">
        <f>IF(A106="","",SUM(AK$5:AK106))</f>
        <v/>
      </c>
      <c r="AR106" s="46" t="str">
        <f>IF(A106="","",MAX(0,MAX(AQ$5:AQ106))-AQ106)</f>
        <v/>
      </c>
    </row>
    <row r="107">
      <c r="A107" s="24" t="n"/>
      <c r="B107" s="29" t="n"/>
      <c r="C107" s="30" t="n"/>
      <c r="D107" s="31" t="n"/>
      <c r="E107" s="31" t="n"/>
      <c r="F107" s="31" t="n"/>
      <c r="G107" s="21" t="n"/>
      <c r="H107" s="31" t="n"/>
      <c r="I107" s="23" t="n"/>
      <c r="J107" s="31" t="n"/>
      <c r="K107" s="32" t="n"/>
      <c r="L107" s="32" t="n"/>
      <c r="M107" s="32" t="n"/>
      <c r="N107" s="33" t="str">
        <f>IF(AND(ISNUMBER(K107),ISNUMBER(L107),ISNUMBER(M107)),IF(OR(AND(F107="多",K107&gt;L107),AND(F107="空",K107&lt;L107)),ABS(M107-K107)/ABS(K107-L107),"止损方向不对"),"")</f>
        <v/>
      </c>
      <c r="O107" s="34" t="str">
        <f>IF(AND(ISNUMBER(K107),ISNUMBER(L107)),IF(K107=L107,"",IF(INT(ROUND('参数'!$C$7/(ABS(K107-L107)*1+2*K107*'参数'!$C$12)/IF(N(J107)&gt;0,J107,1),6))*IF(N(J107)&gt;0,J107,1)&gt;0,INT(ROUND('参数'!$C$7/(ABS(K107-L107)*1+2*K107*'参数'!$C$12)/IF(N(J107)&gt;0,J107,1),6))*IF(N(J107)&gt;0,J107,1),"预算不足，这笔不做")),"")</f>
        <v/>
      </c>
      <c r="P107" s="35" t="n"/>
      <c r="Q107" s="20" t="str">
        <f>IF(AND(ISNUMBER(K107),ISNUMBER(L107),ISNUMBER(P107)),IF(AND(K107&lt;&gt;L107,P107&gt;0),ABS(K107-L107)*P107*1,""),"")</f>
        <v/>
      </c>
      <c r="R107" s="20" t="str">
        <f>IF(AND(ISNUMBER(K107),ISNUMBER(P107)),K107*P107,"")</f>
        <v/>
      </c>
      <c r="S107" s="20" t="str">
        <f>IF(AND(D107="合约",ISNUMBER(R107),N(G107)&gt;0),R107/G107,"")</f>
        <v/>
      </c>
      <c r="T107" s="36" t="str">
        <f>IF(NOT(D107="合约"),"",IF(H107&lt;&gt;"逐仓","看平台",IF(AND(ISNUMBER(K107),N(G107)&gt;0),IF(F107="空",K107*(1+1/G107-IF(ISNUMBER(I107),I107,'参数'!$C$13)),K107*(1-1/G107+IF(ISNUMBER(I107),I107,'参数'!$C$13))),"")))</f>
        <v/>
      </c>
      <c r="U107" s="37" t="str">
        <f>IF(AND(ISNUMBER(T107),ISNUMBER(L107),ISNUMBER(K107)),IF(F107="空",T107-L107,L107-T107)/K107,"")</f>
        <v/>
      </c>
      <c r="V107" s="38" t="str">
        <f>IF(ISNUMBER(U107),IF(U107&lt;'参数'!$C$15,"先降杠杆或减量","在止损外"),"")</f>
        <v/>
      </c>
      <c r="W107" s="30" t="n"/>
      <c r="X107" s="31" t="n"/>
      <c r="Y107" s="39" t="str">
        <f>IF(N(AB107)&gt;0,SUMPRODUCT(LARGE(('成交明细'!$A$5:$A$804=A107)*('成交明细'!$D$5:$D$804=IF(F107="空","卖","买"))*'成交明细'!$B$5:$B$804,COUNTIFS('成交明细'!$A$5:$A$804,A107,'成交明细'!$D$5:$D$804,IF(F107="空","卖","买")))),"")</f>
        <v/>
      </c>
      <c r="Z107" s="39" t="str">
        <f>IF(AND(N(AB107)&gt;0,N(AD107)&gt;=N(AB107)),SUMPRODUCT(MAX(('成交明细'!$A$5:$A$804=A107)*('成交明细'!$D$5:$D$804=IF(F107="空","买","卖"))*'成交明细'!$B$5:$B$804)),"")</f>
        <v/>
      </c>
      <c r="AA107" s="40" t="str">
        <f>IF(N(AB107)=0,"",IF(SUMPRODUCT(('成交明细'!$A$5:$A$804=A107)*('成交明细'!$D$5:$D$804=IF(F107="空","卖","买"))*ISNUMBER('成交明细'!$C$5:$C$804))=0,"没填时间",IFERROR(VLOOKUP(MOD(SUMPRODUCT(LARGE(('成交明细'!$A$5:$A$804=A107)*('成交明细'!$D$5:$D$804=IF(F107="空","卖","买"))*('成交明细'!$B$5:$B$804+'成交明细'!$C$5:$C$804),COUNTIFS('成交明细'!$A$5:$A$804,A107,'成交明细'!$D$5:$D$804,IF(F107="空","卖","买")))),1),'参数'!$B$39:$C$48,2,TRUE),"")))</f>
        <v/>
      </c>
      <c r="AB107" s="34" t="str">
        <f>IF(A107="","",SUMIFS('成交明细'!$F$5:$F$804,'成交明细'!$A$5:$A$804,A107,'成交明细'!$D$5:$D$804,IF(F107="空","卖","买")))</f>
        <v/>
      </c>
      <c r="AC107" s="41" t="str">
        <f>IF(N(AB107)&gt;0,SUMIFS('成交明细'!$H$5:$H$804,'成交明细'!$A$5:$A$804,A107,'成交明细'!$D$5:$D$804,IF(F107="空","卖","买"))/AB107,"")</f>
        <v/>
      </c>
      <c r="AD107" s="34" t="str">
        <f>IF(A107="","",SUMIFS('成交明细'!$F$5:$F$804,'成交明细'!$A$5:$A$804,A107,'成交明细'!$D$5:$D$804,IF(F107="空","买","卖")))</f>
        <v/>
      </c>
      <c r="AE107" s="41" t="str">
        <f>IF(N(AD107)&gt;0,SUMIFS('成交明细'!$H$5:$H$804,'成交明细'!$A$5:$A$804,A107,'成交明细'!$D$5:$D$804,IF(F107="空","买","卖"))/AD107,"")</f>
        <v/>
      </c>
      <c r="AF107" s="38" t="str">
        <f>IF(A107="","",IF(X107&lt;&gt;"已执行",IF(X107="","未填执行情况",X107),IF(N(AB107)=0,"待录成交",IF(N(AD107)&gt;N(AB107),"平仓多于开仓",IF(N(AD107)&lt;N(AB107),"持仓中","已平仓")))))</f>
        <v/>
      </c>
      <c r="AG107" s="42" t="str">
        <f>IF(N(AB107)=0,"",SUMIFS('成交明细'!$L$5:$L$804,'成交明细'!$A$5:$A$804,A107))</f>
        <v/>
      </c>
      <c r="AH107" s="43" t="str">
        <f>IF(A107="","",SUMIFS('资金费流水'!$F$5:$F$604,'资金费流水'!$B$5:$B$604,A107))</f>
        <v/>
      </c>
      <c r="AI107" s="43" t="str">
        <f>IF(AF107&lt;&gt;"已平仓","",(SUMIFS('成交明细'!$H$5:$H$804,'成交明细'!$A$5:$A$804,A107,'成交明细'!$D$5:$D$804,"卖")-SUMIFS('成交明细'!$H$5:$H$804,'成交明细'!$A$5:$A$804,A107,'成交明细'!$D$5:$D$804,"买"))*1-AG107+N(AH107))</f>
        <v/>
      </c>
      <c r="AJ107" s="44" t="str">
        <f>IF(AND(AF107="已平仓",ISNUMBER(Q107)),(SUMIFS('成交明细'!$H$5:$H$804,'成交明细'!$A$5:$A$804,A107,'成交明细'!$D$5:$D$804,"卖")-SUMIFS('成交明细'!$H$5:$H$804,'成交明细'!$A$5:$A$804,A107,'成交明细'!$D$5:$D$804,"买"))*1/Q107,"")</f>
        <v/>
      </c>
      <c r="AK107" s="44" t="str">
        <f>IF(AND(AF107="已平仓",ISNUMBER(Q107)),AI107/Q107,"")</f>
        <v/>
      </c>
      <c r="AL107" s="45" t="str">
        <f>IF(AND(ISNUMBER(AC107),ISNUMBER(K107)),IF(F107="空",K107-AC107,AC107-K107),"")</f>
        <v/>
      </c>
      <c r="AM107" s="45" t="str">
        <f>IF(OR(NOT(ISNUMBER(AI107)),NOT(ISNUMBER(AE107))),"",IF(AI107&lt;0,IF(F107="空",AE107-L107,L107-AE107),IF(NOT(ISNUMBER(M107)),"",IF(F107="空",AE107-M107,M107-AE107))))</f>
        <v/>
      </c>
      <c r="AN107" s="31" t="n"/>
      <c r="AO107" s="31" t="n"/>
      <c r="AP107" s="30" t="n"/>
      <c r="AQ107" s="44" t="str">
        <f>IF(A107="","",SUM(AK$5:AK107))</f>
        <v/>
      </c>
      <c r="AR107" s="46" t="str">
        <f>IF(A107="","",MAX(0,MAX(AQ$5:AQ107))-AQ107)</f>
        <v/>
      </c>
    </row>
    <row r="108">
      <c r="A108" s="24" t="n"/>
      <c r="B108" s="29" t="n"/>
      <c r="C108" s="30" t="n"/>
      <c r="D108" s="31" t="n"/>
      <c r="E108" s="31" t="n"/>
      <c r="F108" s="31" t="n"/>
      <c r="G108" s="21" t="n"/>
      <c r="H108" s="31" t="n"/>
      <c r="I108" s="23" t="n"/>
      <c r="J108" s="31" t="n"/>
      <c r="K108" s="32" t="n"/>
      <c r="L108" s="32" t="n"/>
      <c r="M108" s="32" t="n"/>
      <c r="N108" s="33" t="str">
        <f>IF(AND(ISNUMBER(K108),ISNUMBER(L108),ISNUMBER(M108)),IF(OR(AND(F108="多",K108&gt;L108),AND(F108="空",K108&lt;L108)),ABS(M108-K108)/ABS(K108-L108),"止损方向不对"),"")</f>
        <v/>
      </c>
      <c r="O108" s="34" t="str">
        <f>IF(AND(ISNUMBER(K108),ISNUMBER(L108)),IF(K108=L108,"",IF(INT(ROUND('参数'!$C$7/(ABS(K108-L108)*1+2*K108*'参数'!$C$12)/IF(N(J108)&gt;0,J108,1),6))*IF(N(J108)&gt;0,J108,1)&gt;0,INT(ROUND('参数'!$C$7/(ABS(K108-L108)*1+2*K108*'参数'!$C$12)/IF(N(J108)&gt;0,J108,1),6))*IF(N(J108)&gt;0,J108,1),"预算不足，这笔不做")),"")</f>
        <v/>
      </c>
      <c r="P108" s="35" t="n"/>
      <c r="Q108" s="20" t="str">
        <f>IF(AND(ISNUMBER(K108),ISNUMBER(L108),ISNUMBER(P108)),IF(AND(K108&lt;&gt;L108,P108&gt;0),ABS(K108-L108)*P108*1,""),"")</f>
        <v/>
      </c>
      <c r="R108" s="20" t="str">
        <f>IF(AND(ISNUMBER(K108),ISNUMBER(P108)),K108*P108,"")</f>
        <v/>
      </c>
      <c r="S108" s="20" t="str">
        <f>IF(AND(D108="合约",ISNUMBER(R108),N(G108)&gt;0),R108/G108,"")</f>
        <v/>
      </c>
      <c r="T108" s="36" t="str">
        <f>IF(NOT(D108="合约"),"",IF(H108&lt;&gt;"逐仓","看平台",IF(AND(ISNUMBER(K108),N(G108)&gt;0),IF(F108="空",K108*(1+1/G108-IF(ISNUMBER(I108),I108,'参数'!$C$13)),K108*(1-1/G108+IF(ISNUMBER(I108),I108,'参数'!$C$13))),"")))</f>
        <v/>
      </c>
      <c r="U108" s="37" t="str">
        <f>IF(AND(ISNUMBER(T108),ISNUMBER(L108),ISNUMBER(K108)),IF(F108="空",T108-L108,L108-T108)/K108,"")</f>
        <v/>
      </c>
      <c r="V108" s="38" t="str">
        <f>IF(ISNUMBER(U108),IF(U108&lt;'参数'!$C$15,"先降杠杆或减量","在止损外"),"")</f>
        <v/>
      </c>
      <c r="W108" s="30" t="n"/>
      <c r="X108" s="31" t="n"/>
      <c r="Y108" s="39" t="str">
        <f>IF(N(AB108)&gt;0,SUMPRODUCT(LARGE(('成交明细'!$A$5:$A$804=A108)*('成交明细'!$D$5:$D$804=IF(F108="空","卖","买"))*'成交明细'!$B$5:$B$804,COUNTIFS('成交明细'!$A$5:$A$804,A108,'成交明细'!$D$5:$D$804,IF(F108="空","卖","买")))),"")</f>
        <v/>
      </c>
      <c r="Z108" s="39" t="str">
        <f>IF(AND(N(AB108)&gt;0,N(AD108)&gt;=N(AB108)),SUMPRODUCT(MAX(('成交明细'!$A$5:$A$804=A108)*('成交明细'!$D$5:$D$804=IF(F108="空","买","卖"))*'成交明细'!$B$5:$B$804)),"")</f>
        <v/>
      </c>
      <c r="AA108" s="40" t="str">
        <f>IF(N(AB108)=0,"",IF(SUMPRODUCT(('成交明细'!$A$5:$A$804=A108)*('成交明细'!$D$5:$D$804=IF(F108="空","卖","买"))*ISNUMBER('成交明细'!$C$5:$C$804))=0,"没填时间",IFERROR(VLOOKUP(MOD(SUMPRODUCT(LARGE(('成交明细'!$A$5:$A$804=A108)*('成交明细'!$D$5:$D$804=IF(F108="空","卖","买"))*('成交明细'!$B$5:$B$804+'成交明细'!$C$5:$C$804),COUNTIFS('成交明细'!$A$5:$A$804,A108,'成交明细'!$D$5:$D$804,IF(F108="空","卖","买")))),1),'参数'!$B$39:$C$48,2,TRUE),"")))</f>
        <v/>
      </c>
      <c r="AB108" s="34" t="str">
        <f>IF(A108="","",SUMIFS('成交明细'!$F$5:$F$804,'成交明细'!$A$5:$A$804,A108,'成交明细'!$D$5:$D$804,IF(F108="空","卖","买")))</f>
        <v/>
      </c>
      <c r="AC108" s="41" t="str">
        <f>IF(N(AB108)&gt;0,SUMIFS('成交明细'!$H$5:$H$804,'成交明细'!$A$5:$A$804,A108,'成交明细'!$D$5:$D$804,IF(F108="空","卖","买"))/AB108,"")</f>
        <v/>
      </c>
      <c r="AD108" s="34" t="str">
        <f>IF(A108="","",SUMIFS('成交明细'!$F$5:$F$804,'成交明细'!$A$5:$A$804,A108,'成交明细'!$D$5:$D$804,IF(F108="空","买","卖")))</f>
        <v/>
      </c>
      <c r="AE108" s="41" t="str">
        <f>IF(N(AD108)&gt;0,SUMIFS('成交明细'!$H$5:$H$804,'成交明细'!$A$5:$A$804,A108,'成交明细'!$D$5:$D$804,IF(F108="空","买","卖"))/AD108,"")</f>
        <v/>
      </c>
      <c r="AF108" s="38" t="str">
        <f>IF(A108="","",IF(X108&lt;&gt;"已执行",IF(X108="","未填执行情况",X108),IF(N(AB108)=0,"待录成交",IF(N(AD108)&gt;N(AB108),"平仓多于开仓",IF(N(AD108)&lt;N(AB108),"持仓中","已平仓")))))</f>
        <v/>
      </c>
      <c r="AG108" s="42" t="str">
        <f>IF(N(AB108)=0,"",SUMIFS('成交明细'!$L$5:$L$804,'成交明细'!$A$5:$A$804,A108))</f>
        <v/>
      </c>
      <c r="AH108" s="43" t="str">
        <f>IF(A108="","",SUMIFS('资金费流水'!$F$5:$F$604,'资金费流水'!$B$5:$B$604,A108))</f>
        <v/>
      </c>
      <c r="AI108" s="43" t="str">
        <f>IF(AF108&lt;&gt;"已平仓","",(SUMIFS('成交明细'!$H$5:$H$804,'成交明细'!$A$5:$A$804,A108,'成交明细'!$D$5:$D$804,"卖")-SUMIFS('成交明细'!$H$5:$H$804,'成交明细'!$A$5:$A$804,A108,'成交明细'!$D$5:$D$804,"买"))*1-AG108+N(AH108))</f>
        <v/>
      </c>
      <c r="AJ108" s="44" t="str">
        <f>IF(AND(AF108="已平仓",ISNUMBER(Q108)),(SUMIFS('成交明细'!$H$5:$H$804,'成交明细'!$A$5:$A$804,A108,'成交明细'!$D$5:$D$804,"卖")-SUMIFS('成交明细'!$H$5:$H$804,'成交明细'!$A$5:$A$804,A108,'成交明细'!$D$5:$D$804,"买"))*1/Q108,"")</f>
        <v/>
      </c>
      <c r="AK108" s="44" t="str">
        <f>IF(AND(AF108="已平仓",ISNUMBER(Q108)),AI108/Q108,"")</f>
        <v/>
      </c>
      <c r="AL108" s="45" t="str">
        <f>IF(AND(ISNUMBER(AC108),ISNUMBER(K108)),IF(F108="空",K108-AC108,AC108-K108),"")</f>
        <v/>
      </c>
      <c r="AM108" s="45" t="str">
        <f>IF(OR(NOT(ISNUMBER(AI108)),NOT(ISNUMBER(AE108))),"",IF(AI108&lt;0,IF(F108="空",AE108-L108,L108-AE108),IF(NOT(ISNUMBER(M108)),"",IF(F108="空",AE108-M108,M108-AE108))))</f>
        <v/>
      </c>
      <c r="AN108" s="31" t="n"/>
      <c r="AO108" s="31" t="n"/>
      <c r="AP108" s="30" t="n"/>
      <c r="AQ108" s="44" t="str">
        <f>IF(A108="","",SUM(AK$5:AK108))</f>
        <v/>
      </c>
      <c r="AR108" s="46" t="str">
        <f>IF(A108="","",MAX(0,MAX(AQ$5:AQ108))-AQ108)</f>
        <v/>
      </c>
    </row>
    <row r="109">
      <c r="A109" s="24" t="n"/>
      <c r="B109" s="29" t="n"/>
      <c r="C109" s="30" t="n"/>
      <c r="D109" s="31" t="n"/>
      <c r="E109" s="31" t="n"/>
      <c r="F109" s="31" t="n"/>
      <c r="G109" s="21" t="n"/>
      <c r="H109" s="31" t="n"/>
      <c r="I109" s="23" t="n"/>
      <c r="J109" s="31" t="n"/>
      <c r="K109" s="32" t="n"/>
      <c r="L109" s="32" t="n"/>
      <c r="M109" s="32" t="n"/>
      <c r="N109" s="33" t="str">
        <f>IF(AND(ISNUMBER(K109),ISNUMBER(L109),ISNUMBER(M109)),IF(OR(AND(F109="多",K109&gt;L109),AND(F109="空",K109&lt;L109)),ABS(M109-K109)/ABS(K109-L109),"止损方向不对"),"")</f>
        <v/>
      </c>
      <c r="O109" s="34" t="str">
        <f>IF(AND(ISNUMBER(K109),ISNUMBER(L109)),IF(K109=L109,"",IF(INT(ROUND('参数'!$C$7/(ABS(K109-L109)*1+2*K109*'参数'!$C$12)/IF(N(J109)&gt;0,J109,1),6))*IF(N(J109)&gt;0,J109,1)&gt;0,INT(ROUND('参数'!$C$7/(ABS(K109-L109)*1+2*K109*'参数'!$C$12)/IF(N(J109)&gt;0,J109,1),6))*IF(N(J109)&gt;0,J109,1),"预算不足，这笔不做")),"")</f>
        <v/>
      </c>
      <c r="P109" s="35" t="n"/>
      <c r="Q109" s="20" t="str">
        <f>IF(AND(ISNUMBER(K109),ISNUMBER(L109),ISNUMBER(P109)),IF(AND(K109&lt;&gt;L109,P109&gt;0),ABS(K109-L109)*P109*1,""),"")</f>
        <v/>
      </c>
      <c r="R109" s="20" t="str">
        <f>IF(AND(ISNUMBER(K109),ISNUMBER(P109)),K109*P109,"")</f>
        <v/>
      </c>
      <c r="S109" s="20" t="str">
        <f>IF(AND(D109="合约",ISNUMBER(R109),N(G109)&gt;0),R109/G109,"")</f>
        <v/>
      </c>
      <c r="T109" s="36" t="str">
        <f>IF(NOT(D109="合约"),"",IF(H109&lt;&gt;"逐仓","看平台",IF(AND(ISNUMBER(K109),N(G109)&gt;0),IF(F109="空",K109*(1+1/G109-IF(ISNUMBER(I109),I109,'参数'!$C$13)),K109*(1-1/G109+IF(ISNUMBER(I109),I109,'参数'!$C$13))),"")))</f>
        <v/>
      </c>
      <c r="U109" s="37" t="str">
        <f>IF(AND(ISNUMBER(T109),ISNUMBER(L109),ISNUMBER(K109)),IF(F109="空",T109-L109,L109-T109)/K109,"")</f>
        <v/>
      </c>
      <c r="V109" s="38" t="str">
        <f>IF(ISNUMBER(U109),IF(U109&lt;'参数'!$C$15,"先降杠杆或减量","在止损外"),"")</f>
        <v/>
      </c>
      <c r="W109" s="30" t="n"/>
      <c r="X109" s="31" t="n"/>
      <c r="Y109" s="39" t="str">
        <f>IF(N(AB109)&gt;0,SUMPRODUCT(LARGE(('成交明细'!$A$5:$A$804=A109)*('成交明细'!$D$5:$D$804=IF(F109="空","卖","买"))*'成交明细'!$B$5:$B$804,COUNTIFS('成交明细'!$A$5:$A$804,A109,'成交明细'!$D$5:$D$804,IF(F109="空","卖","买")))),"")</f>
        <v/>
      </c>
      <c r="Z109" s="39" t="str">
        <f>IF(AND(N(AB109)&gt;0,N(AD109)&gt;=N(AB109)),SUMPRODUCT(MAX(('成交明细'!$A$5:$A$804=A109)*('成交明细'!$D$5:$D$804=IF(F109="空","买","卖"))*'成交明细'!$B$5:$B$804)),"")</f>
        <v/>
      </c>
      <c r="AA109" s="40" t="str">
        <f>IF(N(AB109)=0,"",IF(SUMPRODUCT(('成交明细'!$A$5:$A$804=A109)*('成交明细'!$D$5:$D$804=IF(F109="空","卖","买"))*ISNUMBER('成交明细'!$C$5:$C$804))=0,"没填时间",IFERROR(VLOOKUP(MOD(SUMPRODUCT(LARGE(('成交明细'!$A$5:$A$804=A109)*('成交明细'!$D$5:$D$804=IF(F109="空","卖","买"))*('成交明细'!$B$5:$B$804+'成交明细'!$C$5:$C$804),COUNTIFS('成交明细'!$A$5:$A$804,A109,'成交明细'!$D$5:$D$804,IF(F109="空","卖","买")))),1),'参数'!$B$39:$C$48,2,TRUE),"")))</f>
        <v/>
      </c>
      <c r="AB109" s="34" t="str">
        <f>IF(A109="","",SUMIFS('成交明细'!$F$5:$F$804,'成交明细'!$A$5:$A$804,A109,'成交明细'!$D$5:$D$804,IF(F109="空","卖","买")))</f>
        <v/>
      </c>
      <c r="AC109" s="41" t="str">
        <f>IF(N(AB109)&gt;0,SUMIFS('成交明细'!$H$5:$H$804,'成交明细'!$A$5:$A$804,A109,'成交明细'!$D$5:$D$804,IF(F109="空","卖","买"))/AB109,"")</f>
        <v/>
      </c>
      <c r="AD109" s="34" t="str">
        <f>IF(A109="","",SUMIFS('成交明细'!$F$5:$F$804,'成交明细'!$A$5:$A$804,A109,'成交明细'!$D$5:$D$804,IF(F109="空","买","卖")))</f>
        <v/>
      </c>
      <c r="AE109" s="41" t="str">
        <f>IF(N(AD109)&gt;0,SUMIFS('成交明细'!$H$5:$H$804,'成交明细'!$A$5:$A$804,A109,'成交明细'!$D$5:$D$804,IF(F109="空","买","卖"))/AD109,"")</f>
        <v/>
      </c>
      <c r="AF109" s="38" t="str">
        <f>IF(A109="","",IF(X109&lt;&gt;"已执行",IF(X109="","未填执行情况",X109),IF(N(AB109)=0,"待录成交",IF(N(AD109)&gt;N(AB109),"平仓多于开仓",IF(N(AD109)&lt;N(AB109),"持仓中","已平仓")))))</f>
        <v/>
      </c>
      <c r="AG109" s="42" t="str">
        <f>IF(N(AB109)=0,"",SUMIFS('成交明细'!$L$5:$L$804,'成交明细'!$A$5:$A$804,A109))</f>
        <v/>
      </c>
      <c r="AH109" s="43" t="str">
        <f>IF(A109="","",SUMIFS('资金费流水'!$F$5:$F$604,'资金费流水'!$B$5:$B$604,A109))</f>
        <v/>
      </c>
      <c r="AI109" s="43" t="str">
        <f>IF(AF109&lt;&gt;"已平仓","",(SUMIFS('成交明细'!$H$5:$H$804,'成交明细'!$A$5:$A$804,A109,'成交明细'!$D$5:$D$804,"卖")-SUMIFS('成交明细'!$H$5:$H$804,'成交明细'!$A$5:$A$804,A109,'成交明细'!$D$5:$D$804,"买"))*1-AG109+N(AH109))</f>
        <v/>
      </c>
      <c r="AJ109" s="44" t="str">
        <f>IF(AND(AF109="已平仓",ISNUMBER(Q109)),(SUMIFS('成交明细'!$H$5:$H$804,'成交明细'!$A$5:$A$804,A109,'成交明细'!$D$5:$D$804,"卖")-SUMIFS('成交明细'!$H$5:$H$804,'成交明细'!$A$5:$A$804,A109,'成交明细'!$D$5:$D$804,"买"))*1/Q109,"")</f>
        <v/>
      </c>
      <c r="AK109" s="44" t="str">
        <f>IF(AND(AF109="已平仓",ISNUMBER(Q109)),AI109/Q109,"")</f>
        <v/>
      </c>
      <c r="AL109" s="45" t="str">
        <f>IF(AND(ISNUMBER(AC109),ISNUMBER(K109)),IF(F109="空",K109-AC109,AC109-K109),"")</f>
        <v/>
      </c>
      <c r="AM109" s="45" t="str">
        <f>IF(OR(NOT(ISNUMBER(AI109)),NOT(ISNUMBER(AE109))),"",IF(AI109&lt;0,IF(F109="空",AE109-L109,L109-AE109),IF(NOT(ISNUMBER(M109)),"",IF(F109="空",AE109-M109,M109-AE109))))</f>
        <v/>
      </c>
      <c r="AN109" s="31" t="n"/>
      <c r="AO109" s="31" t="n"/>
      <c r="AP109" s="30" t="n"/>
      <c r="AQ109" s="44" t="str">
        <f>IF(A109="","",SUM(AK$5:AK109))</f>
        <v/>
      </c>
      <c r="AR109" s="46" t="str">
        <f>IF(A109="","",MAX(0,MAX(AQ$5:AQ109))-AQ109)</f>
        <v/>
      </c>
    </row>
    <row r="110">
      <c r="A110" s="24" t="n"/>
      <c r="B110" s="29" t="n"/>
      <c r="C110" s="30" t="n"/>
      <c r="D110" s="31" t="n"/>
      <c r="E110" s="31" t="n"/>
      <c r="F110" s="31" t="n"/>
      <c r="G110" s="21" t="n"/>
      <c r="H110" s="31" t="n"/>
      <c r="I110" s="23" t="n"/>
      <c r="J110" s="31" t="n"/>
      <c r="K110" s="32" t="n"/>
      <c r="L110" s="32" t="n"/>
      <c r="M110" s="32" t="n"/>
      <c r="N110" s="33" t="str">
        <f>IF(AND(ISNUMBER(K110),ISNUMBER(L110),ISNUMBER(M110)),IF(OR(AND(F110="多",K110&gt;L110),AND(F110="空",K110&lt;L110)),ABS(M110-K110)/ABS(K110-L110),"止损方向不对"),"")</f>
        <v/>
      </c>
      <c r="O110" s="34" t="str">
        <f>IF(AND(ISNUMBER(K110),ISNUMBER(L110)),IF(K110=L110,"",IF(INT(ROUND('参数'!$C$7/(ABS(K110-L110)*1+2*K110*'参数'!$C$12)/IF(N(J110)&gt;0,J110,1),6))*IF(N(J110)&gt;0,J110,1)&gt;0,INT(ROUND('参数'!$C$7/(ABS(K110-L110)*1+2*K110*'参数'!$C$12)/IF(N(J110)&gt;0,J110,1),6))*IF(N(J110)&gt;0,J110,1),"预算不足，这笔不做")),"")</f>
        <v/>
      </c>
      <c r="P110" s="35" t="n"/>
      <c r="Q110" s="20" t="str">
        <f>IF(AND(ISNUMBER(K110),ISNUMBER(L110),ISNUMBER(P110)),IF(AND(K110&lt;&gt;L110,P110&gt;0),ABS(K110-L110)*P110*1,""),"")</f>
        <v/>
      </c>
      <c r="R110" s="20" t="str">
        <f>IF(AND(ISNUMBER(K110),ISNUMBER(P110)),K110*P110,"")</f>
        <v/>
      </c>
      <c r="S110" s="20" t="str">
        <f>IF(AND(D110="合约",ISNUMBER(R110),N(G110)&gt;0),R110/G110,"")</f>
        <v/>
      </c>
      <c r="T110" s="36" t="str">
        <f>IF(NOT(D110="合约"),"",IF(H110&lt;&gt;"逐仓","看平台",IF(AND(ISNUMBER(K110),N(G110)&gt;0),IF(F110="空",K110*(1+1/G110-IF(ISNUMBER(I110),I110,'参数'!$C$13)),K110*(1-1/G110+IF(ISNUMBER(I110),I110,'参数'!$C$13))),"")))</f>
        <v/>
      </c>
      <c r="U110" s="37" t="str">
        <f>IF(AND(ISNUMBER(T110),ISNUMBER(L110),ISNUMBER(K110)),IF(F110="空",T110-L110,L110-T110)/K110,"")</f>
        <v/>
      </c>
      <c r="V110" s="38" t="str">
        <f>IF(ISNUMBER(U110),IF(U110&lt;'参数'!$C$15,"先降杠杆或减量","在止损外"),"")</f>
        <v/>
      </c>
      <c r="W110" s="30" t="n"/>
      <c r="X110" s="31" t="n"/>
      <c r="Y110" s="39" t="str">
        <f>IF(N(AB110)&gt;0,SUMPRODUCT(LARGE(('成交明细'!$A$5:$A$804=A110)*('成交明细'!$D$5:$D$804=IF(F110="空","卖","买"))*'成交明细'!$B$5:$B$804,COUNTIFS('成交明细'!$A$5:$A$804,A110,'成交明细'!$D$5:$D$804,IF(F110="空","卖","买")))),"")</f>
        <v/>
      </c>
      <c r="Z110" s="39" t="str">
        <f>IF(AND(N(AB110)&gt;0,N(AD110)&gt;=N(AB110)),SUMPRODUCT(MAX(('成交明细'!$A$5:$A$804=A110)*('成交明细'!$D$5:$D$804=IF(F110="空","买","卖"))*'成交明细'!$B$5:$B$804)),"")</f>
        <v/>
      </c>
      <c r="AA110" s="40" t="str">
        <f>IF(N(AB110)=0,"",IF(SUMPRODUCT(('成交明细'!$A$5:$A$804=A110)*('成交明细'!$D$5:$D$804=IF(F110="空","卖","买"))*ISNUMBER('成交明细'!$C$5:$C$804))=0,"没填时间",IFERROR(VLOOKUP(MOD(SUMPRODUCT(LARGE(('成交明细'!$A$5:$A$804=A110)*('成交明细'!$D$5:$D$804=IF(F110="空","卖","买"))*('成交明细'!$B$5:$B$804+'成交明细'!$C$5:$C$804),COUNTIFS('成交明细'!$A$5:$A$804,A110,'成交明细'!$D$5:$D$804,IF(F110="空","卖","买")))),1),'参数'!$B$39:$C$48,2,TRUE),"")))</f>
        <v/>
      </c>
      <c r="AB110" s="34" t="str">
        <f>IF(A110="","",SUMIFS('成交明细'!$F$5:$F$804,'成交明细'!$A$5:$A$804,A110,'成交明细'!$D$5:$D$804,IF(F110="空","卖","买")))</f>
        <v/>
      </c>
      <c r="AC110" s="41" t="str">
        <f>IF(N(AB110)&gt;0,SUMIFS('成交明细'!$H$5:$H$804,'成交明细'!$A$5:$A$804,A110,'成交明细'!$D$5:$D$804,IF(F110="空","卖","买"))/AB110,"")</f>
        <v/>
      </c>
      <c r="AD110" s="34" t="str">
        <f>IF(A110="","",SUMIFS('成交明细'!$F$5:$F$804,'成交明细'!$A$5:$A$804,A110,'成交明细'!$D$5:$D$804,IF(F110="空","买","卖")))</f>
        <v/>
      </c>
      <c r="AE110" s="41" t="str">
        <f>IF(N(AD110)&gt;0,SUMIFS('成交明细'!$H$5:$H$804,'成交明细'!$A$5:$A$804,A110,'成交明细'!$D$5:$D$804,IF(F110="空","买","卖"))/AD110,"")</f>
        <v/>
      </c>
      <c r="AF110" s="38" t="str">
        <f>IF(A110="","",IF(X110&lt;&gt;"已执行",IF(X110="","未填执行情况",X110),IF(N(AB110)=0,"待录成交",IF(N(AD110)&gt;N(AB110),"平仓多于开仓",IF(N(AD110)&lt;N(AB110),"持仓中","已平仓")))))</f>
        <v/>
      </c>
      <c r="AG110" s="42" t="str">
        <f>IF(N(AB110)=0,"",SUMIFS('成交明细'!$L$5:$L$804,'成交明细'!$A$5:$A$804,A110))</f>
        <v/>
      </c>
      <c r="AH110" s="43" t="str">
        <f>IF(A110="","",SUMIFS('资金费流水'!$F$5:$F$604,'资金费流水'!$B$5:$B$604,A110))</f>
        <v/>
      </c>
      <c r="AI110" s="43" t="str">
        <f>IF(AF110&lt;&gt;"已平仓","",(SUMIFS('成交明细'!$H$5:$H$804,'成交明细'!$A$5:$A$804,A110,'成交明细'!$D$5:$D$804,"卖")-SUMIFS('成交明细'!$H$5:$H$804,'成交明细'!$A$5:$A$804,A110,'成交明细'!$D$5:$D$804,"买"))*1-AG110+N(AH110))</f>
        <v/>
      </c>
      <c r="AJ110" s="44" t="str">
        <f>IF(AND(AF110="已平仓",ISNUMBER(Q110)),(SUMIFS('成交明细'!$H$5:$H$804,'成交明细'!$A$5:$A$804,A110,'成交明细'!$D$5:$D$804,"卖")-SUMIFS('成交明细'!$H$5:$H$804,'成交明细'!$A$5:$A$804,A110,'成交明细'!$D$5:$D$804,"买"))*1/Q110,"")</f>
        <v/>
      </c>
      <c r="AK110" s="44" t="str">
        <f>IF(AND(AF110="已平仓",ISNUMBER(Q110)),AI110/Q110,"")</f>
        <v/>
      </c>
      <c r="AL110" s="45" t="str">
        <f>IF(AND(ISNUMBER(AC110),ISNUMBER(K110)),IF(F110="空",K110-AC110,AC110-K110),"")</f>
        <v/>
      </c>
      <c r="AM110" s="45" t="str">
        <f>IF(OR(NOT(ISNUMBER(AI110)),NOT(ISNUMBER(AE110))),"",IF(AI110&lt;0,IF(F110="空",AE110-L110,L110-AE110),IF(NOT(ISNUMBER(M110)),"",IF(F110="空",AE110-M110,M110-AE110))))</f>
        <v/>
      </c>
      <c r="AN110" s="31" t="n"/>
      <c r="AO110" s="31" t="n"/>
      <c r="AP110" s="30" t="n"/>
      <c r="AQ110" s="44" t="str">
        <f>IF(A110="","",SUM(AK$5:AK110))</f>
        <v/>
      </c>
      <c r="AR110" s="46" t="str">
        <f>IF(A110="","",MAX(0,MAX(AQ$5:AQ110))-AQ110)</f>
        <v/>
      </c>
    </row>
    <row r="111">
      <c r="A111" s="24" t="n"/>
      <c r="B111" s="29" t="n"/>
      <c r="C111" s="30" t="n"/>
      <c r="D111" s="31" t="n"/>
      <c r="E111" s="31" t="n"/>
      <c r="F111" s="31" t="n"/>
      <c r="G111" s="21" t="n"/>
      <c r="H111" s="31" t="n"/>
      <c r="I111" s="23" t="n"/>
      <c r="J111" s="31" t="n"/>
      <c r="K111" s="32" t="n"/>
      <c r="L111" s="32" t="n"/>
      <c r="M111" s="32" t="n"/>
      <c r="N111" s="33" t="str">
        <f>IF(AND(ISNUMBER(K111),ISNUMBER(L111),ISNUMBER(M111)),IF(OR(AND(F111="多",K111&gt;L111),AND(F111="空",K111&lt;L111)),ABS(M111-K111)/ABS(K111-L111),"止损方向不对"),"")</f>
        <v/>
      </c>
      <c r="O111" s="34" t="str">
        <f>IF(AND(ISNUMBER(K111),ISNUMBER(L111)),IF(K111=L111,"",IF(INT(ROUND('参数'!$C$7/(ABS(K111-L111)*1+2*K111*'参数'!$C$12)/IF(N(J111)&gt;0,J111,1),6))*IF(N(J111)&gt;0,J111,1)&gt;0,INT(ROUND('参数'!$C$7/(ABS(K111-L111)*1+2*K111*'参数'!$C$12)/IF(N(J111)&gt;0,J111,1),6))*IF(N(J111)&gt;0,J111,1),"预算不足，这笔不做")),"")</f>
        <v/>
      </c>
      <c r="P111" s="35" t="n"/>
      <c r="Q111" s="20" t="str">
        <f>IF(AND(ISNUMBER(K111),ISNUMBER(L111),ISNUMBER(P111)),IF(AND(K111&lt;&gt;L111,P111&gt;0),ABS(K111-L111)*P111*1,""),"")</f>
        <v/>
      </c>
      <c r="R111" s="20" t="str">
        <f>IF(AND(ISNUMBER(K111),ISNUMBER(P111)),K111*P111,"")</f>
        <v/>
      </c>
      <c r="S111" s="20" t="str">
        <f>IF(AND(D111="合约",ISNUMBER(R111),N(G111)&gt;0),R111/G111,"")</f>
        <v/>
      </c>
      <c r="T111" s="36" t="str">
        <f>IF(NOT(D111="合约"),"",IF(H111&lt;&gt;"逐仓","看平台",IF(AND(ISNUMBER(K111),N(G111)&gt;0),IF(F111="空",K111*(1+1/G111-IF(ISNUMBER(I111),I111,'参数'!$C$13)),K111*(1-1/G111+IF(ISNUMBER(I111),I111,'参数'!$C$13))),"")))</f>
        <v/>
      </c>
      <c r="U111" s="37" t="str">
        <f>IF(AND(ISNUMBER(T111),ISNUMBER(L111),ISNUMBER(K111)),IF(F111="空",T111-L111,L111-T111)/K111,"")</f>
        <v/>
      </c>
      <c r="V111" s="38" t="str">
        <f>IF(ISNUMBER(U111),IF(U111&lt;'参数'!$C$15,"先降杠杆或减量","在止损外"),"")</f>
        <v/>
      </c>
      <c r="W111" s="30" t="n"/>
      <c r="X111" s="31" t="n"/>
      <c r="Y111" s="39" t="str">
        <f>IF(N(AB111)&gt;0,SUMPRODUCT(LARGE(('成交明细'!$A$5:$A$804=A111)*('成交明细'!$D$5:$D$804=IF(F111="空","卖","买"))*'成交明细'!$B$5:$B$804,COUNTIFS('成交明细'!$A$5:$A$804,A111,'成交明细'!$D$5:$D$804,IF(F111="空","卖","买")))),"")</f>
        <v/>
      </c>
      <c r="Z111" s="39" t="str">
        <f>IF(AND(N(AB111)&gt;0,N(AD111)&gt;=N(AB111)),SUMPRODUCT(MAX(('成交明细'!$A$5:$A$804=A111)*('成交明细'!$D$5:$D$804=IF(F111="空","买","卖"))*'成交明细'!$B$5:$B$804)),"")</f>
        <v/>
      </c>
      <c r="AA111" s="40" t="str">
        <f>IF(N(AB111)=0,"",IF(SUMPRODUCT(('成交明细'!$A$5:$A$804=A111)*('成交明细'!$D$5:$D$804=IF(F111="空","卖","买"))*ISNUMBER('成交明细'!$C$5:$C$804))=0,"没填时间",IFERROR(VLOOKUP(MOD(SUMPRODUCT(LARGE(('成交明细'!$A$5:$A$804=A111)*('成交明细'!$D$5:$D$804=IF(F111="空","卖","买"))*('成交明细'!$B$5:$B$804+'成交明细'!$C$5:$C$804),COUNTIFS('成交明细'!$A$5:$A$804,A111,'成交明细'!$D$5:$D$804,IF(F111="空","卖","买")))),1),'参数'!$B$39:$C$48,2,TRUE),"")))</f>
        <v/>
      </c>
      <c r="AB111" s="34" t="str">
        <f>IF(A111="","",SUMIFS('成交明细'!$F$5:$F$804,'成交明细'!$A$5:$A$804,A111,'成交明细'!$D$5:$D$804,IF(F111="空","卖","买")))</f>
        <v/>
      </c>
      <c r="AC111" s="41" t="str">
        <f>IF(N(AB111)&gt;0,SUMIFS('成交明细'!$H$5:$H$804,'成交明细'!$A$5:$A$804,A111,'成交明细'!$D$5:$D$804,IF(F111="空","卖","买"))/AB111,"")</f>
        <v/>
      </c>
      <c r="AD111" s="34" t="str">
        <f>IF(A111="","",SUMIFS('成交明细'!$F$5:$F$804,'成交明细'!$A$5:$A$804,A111,'成交明细'!$D$5:$D$804,IF(F111="空","买","卖")))</f>
        <v/>
      </c>
      <c r="AE111" s="41" t="str">
        <f>IF(N(AD111)&gt;0,SUMIFS('成交明细'!$H$5:$H$804,'成交明细'!$A$5:$A$804,A111,'成交明细'!$D$5:$D$804,IF(F111="空","买","卖"))/AD111,"")</f>
        <v/>
      </c>
      <c r="AF111" s="38" t="str">
        <f>IF(A111="","",IF(X111&lt;&gt;"已执行",IF(X111="","未填执行情况",X111),IF(N(AB111)=0,"待录成交",IF(N(AD111)&gt;N(AB111),"平仓多于开仓",IF(N(AD111)&lt;N(AB111),"持仓中","已平仓")))))</f>
        <v/>
      </c>
      <c r="AG111" s="42" t="str">
        <f>IF(N(AB111)=0,"",SUMIFS('成交明细'!$L$5:$L$804,'成交明细'!$A$5:$A$804,A111))</f>
        <v/>
      </c>
      <c r="AH111" s="43" t="str">
        <f>IF(A111="","",SUMIFS('资金费流水'!$F$5:$F$604,'资金费流水'!$B$5:$B$604,A111))</f>
        <v/>
      </c>
      <c r="AI111" s="43" t="str">
        <f>IF(AF111&lt;&gt;"已平仓","",(SUMIFS('成交明细'!$H$5:$H$804,'成交明细'!$A$5:$A$804,A111,'成交明细'!$D$5:$D$804,"卖")-SUMIFS('成交明细'!$H$5:$H$804,'成交明细'!$A$5:$A$804,A111,'成交明细'!$D$5:$D$804,"买"))*1-AG111+N(AH111))</f>
        <v/>
      </c>
      <c r="AJ111" s="44" t="str">
        <f>IF(AND(AF111="已平仓",ISNUMBER(Q111)),(SUMIFS('成交明细'!$H$5:$H$804,'成交明细'!$A$5:$A$804,A111,'成交明细'!$D$5:$D$804,"卖")-SUMIFS('成交明细'!$H$5:$H$804,'成交明细'!$A$5:$A$804,A111,'成交明细'!$D$5:$D$804,"买"))*1/Q111,"")</f>
        <v/>
      </c>
      <c r="AK111" s="44" t="str">
        <f>IF(AND(AF111="已平仓",ISNUMBER(Q111)),AI111/Q111,"")</f>
        <v/>
      </c>
      <c r="AL111" s="45" t="str">
        <f>IF(AND(ISNUMBER(AC111),ISNUMBER(K111)),IF(F111="空",K111-AC111,AC111-K111),"")</f>
        <v/>
      </c>
      <c r="AM111" s="45" t="str">
        <f>IF(OR(NOT(ISNUMBER(AI111)),NOT(ISNUMBER(AE111))),"",IF(AI111&lt;0,IF(F111="空",AE111-L111,L111-AE111),IF(NOT(ISNUMBER(M111)),"",IF(F111="空",AE111-M111,M111-AE111))))</f>
        <v/>
      </c>
      <c r="AN111" s="31" t="n"/>
      <c r="AO111" s="31" t="n"/>
      <c r="AP111" s="30" t="n"/>
      <c r="AQ111" s="44" t="str">
        <f>IF(A111="","",SUM(AK$5:AK111))</f>
        <v/>
      </c>
      <c r="AR111" s="46" t="str">
        <f>IF(A111="","",MAX(0,MAX(AQ$5:AQ111))-AQ111)</f>
        <v/>
      </c>
    </row>
    <row r="112">
      <c r="A112" s="24" t="n"/>
      <c r="B112" s="29" t="n"/>
      <c r="C112" s="30" t="n"/>
      <c r="D112" s="31" t="n"/>
      <c r="E112" s="31" t="n"/>
      <c r="F112" s="31" t="n"/>
      <c r="G112" s="21" t="n"/>
      <c r="H112" s="31" t="n"/>
      <c r="I112" s="23" t="n"/>
      <c r="J112" s="31" t="n"/>
      <c r="K112" s="32" t="n"/>
      <c r="L112" s="32" t="n"/>
      <c r="M112" s="32" t="n"/>
      <c r="N112" s="33" t="str">
        <f>IF(AND(ISNUMBER(K112),ISNUMBER(L112),ISNUMBER(M112)),IF(OR(AND(F112="多",K112&gt;L112),AND(F112="空",K112&lt;L112)),ABS(M112-K112)/ABS(K112-L112),"止损方向不对"),"")</f>
        <v/>
      </c>
      <c r="O112" s="34" t="str">
        <f>IF(AND(ISNUMBER(K112),ISNUMBER(L112)),IF(K112=L112,"",IF(INT(ROUND('参数'!$C$7/(ABS(K112-L112)*1+2*K112*'参数'!$C$12)/IF(N(J112)&gt;0,J112,1),6))*IF(N(J112)&gt;0,J112,1)&gt;0,INT(ROUND('参数'!$C$7/(ABS(K112-L112)*1+2*K112*'参数'!$C$12)/IF(N(J112)&gt;0,J112,1),6))*IF(N(J112)&gt;0,J112,1),"预算不足，这笔不做")),"")</f>
        <v/>
      </c>
      <c r="P112" s="35" t="n"/>
      <c r="Q112" s="20" t="str">
        <f>IF(AND(ISNUMBER(K112),ISNUMBER(L112),ISNUMBER(P112)),IF(AND(K112&lt;&gt;L112,P112&gt;0),ABS(K112-L112)*P112*1,""),"")</f>
        <v/>
      </c>
      <c r="R112" s="20" t="str">
        <f>IF(AND(ISNUMBER(K112),ISNUMBER(P112)),K112*P112,"")</f>
        <v/>
      </c>
      <c r="S112" s="20" t="str">
        <f>IF(AND(D112="合约",ISNUMBER(R112),N(G112)&gt;0),R112/G112,"")</f>
        <v/>
      </c>
      <c r="T112" s="36" t="str">
        <f>IF(NOT(D112="合约"),"",IF(H112&lt;&gt;"逐仓","看平台",IF(AND(ISNUMBER(K112),N(G112)&gt;0),IF(F112="空",K112*(1+1/G112-IF(ISNUMBER(I112),I112,'参数'!$C$13)),K112*(1-1/G112+IF(ISNUMBER(I112),I112,'参数'!$C$13))),"")))</f>
        <v/>
      </c>
      <c r="U112" s="37" t="str">
        <f>IF(AND(ISNUMBER(T112),ISNUMBER(L112),ISNUMBER(K112)),IF(F112="空",T112-L112,L112-T112)/K112,"")</f>
        <v/>
      </c>
      <c r="V112" s="38" t="str">
        <f>IF(ISNUMBER(U112),IF(U112&lt;'参数'!$C$15,"先降杠杆或减量","在止损外"),"")</f>
        <v/>
      </c>
      <c r="W112" s="30" t="n"/>
      <c r="X112" s="31" t="n"/>
      <c r="Y112" s="39" t="str">
        <f>IF(N(AB112)&gt;0,SUMPRODUCT(LARGE(('成交明细'!$A$5:$A$804=A112)*('成交明细'!$D$5:$D$804=IF(F112="空","卖","买"))*'成交明细'!$B$5:$B$804,COUNTIFS('成交明细'!$A$5:$A$804,A112,'成交明细'!$D$5:$D$804,IF(F112="空","卖","买")))),"")</f>
        <v/>
      </c>
      <c r="Z112" s="39" t="str">
        <f>IF(AND(N(AB112)&gt;0,N(AD112)&gt;=N(AB112)),SUMPRODUCT(MAX(('成交明细'!$A$5:$A$804=A112)*('成交明细'!$D$5:$D$804=IF(F112="空","买","卖"))*'成交明细'!$B$5:$B$804)),"")</f>
        <v/>
      </c>
      <c r="AA112" s="40" t="str">
        <f>IF(N(AB112)=0,"",IF(SUMPRODUCT(('成交明细'!$A$5:$A$804=A112)*('成交明细'!$D$5:$D$804=IF(F112="空","卖","买"))*ISNUMBER('成交明细'!$C$5:$C$804))=0,"没填时间",IFERROR(VLOOKUP(MOD(SUMPRODUCT(LARGE(('成交明细'!$A$5:$A$804=A112)*('成交明细'!$D$5:$D$804=IF(F112="空","卖","买"))*('成交明细'!$B$5:$B$804+'成交明细'!$C$5:$C$804),COUNTIFS('成交明细'!$A$5:$A$804,A112,'成交明细'!$D$5:$D$804,IF(F112="空","卖","买")))),1),'参数'!$B$39:$C$48,2,TRUE),"")))</f>
        <v/>
      </c>
      <c r="AB112" s="34" t="str">
        <f>IF(A112="","",SUMIFS('成交明细'!$F$5:$F$804,'成交明细'!$A$5:$A$804,A112,'成交明细'!$D$5:$D$804,IF(F112="空","卖","买")))</f>
        <v/>
      </c>
      <c r="AC112" s="41" t="str">
        <f>IF(N(AB112)&gt;0,SUMIFS('成交明细'!$H$5:$H$804,'成交明细'!$A$5:$A$804,A112,'成交明细'!$D$5:$D$804,IF(F112="空","卖","买"))/AB112,"")</f>
        <v/>
      </c>
      <c r="AD112" s="34" t="str">
        <f>IF(A112="","",SUMIFS('成交明细'!$F$5:$F$804,'成交明细'!$A$5:$A$804,A112,'成交明细'!$D$5:$D$804,IF(F112="空","买","卖")))</f>
        <v/>
      </c>
      <c r="AE112" s="41" t="str">
        <f>IF(N(AD112)&gt;0,SUMIFS('成交明细'!$H$5:$H$804,'成交明细'!$A$5:$A$804,A112,'成交明细'!$D$5:$D$804,IF(F112="空","买","卖"))/AD112,"")</f>
        <v/>
      </c>
      <c r="AF112" s="38" t="str">
        <f>IF(A112="","",IF(X112&lt;&gt;"已执行",IF(X112="","未填执行情况",X112),IF(N(AB112)=0,"待录成交",IF(N(AD112)&gt;N(AB112),"平仓多于开仓",IF(N(AD112)&lt;N(AB112),"持仓中","已平仓")))))</f>
        <v/>
      </c>
      <c r="AG112" s="42" t="str">
        <f>IF(N(AB112)=0,"",SUMIFS('成交明细'!$L$5:$L$804,'成交明细'!$A$5:$A$804,A112))</f>
        <v/>
      </c>
      <c r="AH112" s="43" t="str">
        <f>IF(A112="","",SUMIFS('资金费流水'!$F$5:$F$604,'资金费流水'!$B$5:$B$604,A112))</f>
        <v/>
      </c>
      <c r="AI112" s="43" t="str">
        <f>IF(AF112&lt;&gt;"已平仓","",(SUMIFS('成交明细'!$H$5:$H$804,'成交明细'!$A$5:$A$804,A112,'成交明细'!$D$5:$D$804,"卖")-SUMIFS('成交明细'!$H$5:$H$804,'成交明细'!$A$5:$A$804,A112,'成交明细'!$D$5:$D$804,"买"))*1-AG112+N(AH112))</f>
        <v/>
      </c>
      <c r="AJ112" s="44" t="str">
        <f>IF(AND(AF112="已平仓",ISNUMBER(Q112)),(SUMIFS('成交明细'!$H$5:$H$804,'成交明细'!$A$5:$A$804,A112,'成交明细'!$D$5:$D$804,"卖")-SUMIFS('成交明细'!$H$5:$H$804,'成交明细'!$A$5:$A$804,A112,'成交明细'!$D$5:$D$804,"买"))*1/Q112,"")</f>
        <v/>
      </c>
      <c r="AK112" s="44" t="str">
        <f>IF(AND(AF112="已平仓",ISNUMBER(Q112)),AI112/Q112,"")</f>
        <v/>
      </c>
      <c r="AL112" s="45" t="str">
        <f>IF(AND(ISNUMBER(AC112),ISNUMBER(K112)),IF(F112="空",K112-AC112,AC112-K112),"")</f>
        <v/>
      </c>
      <c r="AM112" s="45" t="str">
        <f>IF(OR(NOT(ISNUMBER(AI112)),NOT(ISNUMBER(AE112))),"",IF(AI112&lt;0,IF(F112="空",AE112-L112,L112-AE112),IF(NOT(ISNUMBER(M112)),"",IF(F112="空",AE112-M112,M112-AE112))))</f>
        <v/>
      </c>
      <c r="AN112" s="31" t="n"/>
      <c r="AO112" s="31" t="n"/>
      <c r="AP112" s="30" t="n"/>
      <c r="AQ112" s="44" t="str">
        <f>IF(A112="","",SUM(AK$5:AK112))</f>
        <v/>
      </c>
      <c r="AR112" s="46" t="str">
        <f>IF(A112="","",MAX(0,MAX(AQ$5:AQ112))-AQ112)</f>
        <v/>
      </c>
    </row>
    <row r="113">
      <c r="A113" s="24" t="n"/>
      <c r="B113" s="29" t="n"/>
      <c r="C113" s="30" t="n"/>
      <c r="D113" s="31" t="n"/>
      <c r="E113" s="31" t="n"/>
      <c r="F113" s="31" t="n"/>
      <c r="G113" s="21" t="n"/>
      <c r="H113" s="31" t="n"/>
      <c r="I113" s="23" t="n"/>
      <c r="J113" s="31" t="n"/>
      <c r="K113" s="32" t="n"/>
      <c r="L113" s="32" t="n"/>
      <c r="M113" s="32" t="n"/>
      <c r="N113" s="33" t="str">
        <f>IF(AND(ISNUMBER(K113),ISNUMBER(L113),ISNUMBER(M113)),IF(OR(AND(F113="多",K113&gt;L113),AND(F113="空",K113&lt;L113)),ABS(M113-K113)/ABS(K113-L113),"止损方向不对"),"")</f>
        <v/>
      </c>
      <c r="O113" s="34" t="str">
        <f>IF(AND(ISNUMBER(K113),ISNUMBER(L113)),IF(K113=L113,"",IF(INT(ROUND('参数'!$C$7/(ABS(K113-L113)*1+2*K113*'参数'!$C$12)/IF(N(J113)&gt;0,J113,1),6))*IF(N(J113)&gt;0,J113,1)&gt;0,INT(ROUND('参数'!$C$7/(ABS(K113-L113)*1+2*K113*'参数'!$C$12)/IF(N(J113)&gt;0,J113,1),6))*IF(N(J113)&gt;0,J113,1),"预算不足，这笔不做")),"")</f>
        <v/>
      </c>
      <c r="P113" s="35" t="n"/>
      <c r="Q113" s="20" t="str">
        <f>IF(AND(ISNUMBER(K113),ISNUMBER(L113),ISNUMBER(P113)),IF(AND(K113&lt;&gt;L113,P113&gt;0),ABS(K113-L113)*P113*1,""),"")</f>
        <v/>
      </c>
      <c r="R113" s="20" t="str">
        <f>IF(AND(ISNUMBER(K113),ISNUMBER(P113)),K113*P113,"")</f>
        <v/>
      </c>
      <c r="S113" s="20" t="str">
        <f>IF(AND(D113="合约",ISNUMBER(R113),N(G113)&gt;0),R113/G113,"")</f>
        <v/>
      </c>
      <c r="T113" s="36" t="str">
        <f>IF(NOT(D113="合约"),"",IF(H113&lt;&gt;"逐仓","看平台",IF(AND(ISNUMBER(K113),N(G113)&gt;0),IF(F113="空",K113*(1+1/G113-IF(ISNUMBER(I113),I113,'参数'!$C$13)),K113*(1-1/G113+IF(ISNUMBER(I113),I113,'参数'!$C$13))),"")))</f>
        <v/>
      </c>
      <c r="U113" s="37" t="str">
        <f>IF(AND(ISNUMBER(T113),ISNUMBER(L113),ISNUMBER(K113)),IF(F113="空",T113-L113,L113-T113)/K113,"")</f>
        <v/>
      </c>
      <c r="V113" s="38" t="str">
        <f>IF(ISNUMBER(U113),IF(U113&lt;'参数'!$C$15,"先降杠杆或减量","在止损外"),"")</f>
        <v/>
      </c>
      <c r="W113" s="30" t="n"/>
      <c r="X113" s="31" t="n"/>
      <c r="Y113" s="39" t="str">
        <f>IF(N(AB113)&gt;0,SUMPRODUCT(LARGE(('成交明细'!$A$5:$A$804=A113)*('成交明细'!$D$5:$D$804=IF(F113="空","卖","买"))*'成交明细'!$B$5:$B$804,COUNTIFS('成交明细'!$A$5:$A$804,A113,'成交明细'!$D$5:$D$804,IF(F113="空","卖","买")))),"")</f>
        <v/>
      </c>
      <c r="Z113" s="39" t="str">
        <f>IF(AND(N(AB113)&gt;0,N(AD113)&gt;=N(AB113)),SUMPRODUCT(MAX(('成交明细'!$A$5:$A$804=A113)*('成交明细'!$D$5:$D$804=IF(F113="空","买","卖"))*'成交明细'!$B$5:$B$804)),"")</f>
        <v/>
      </c>
      <c r="AA113" s="40" t="str">
        <f>IF(N(AB113)=0,"",IF(SUMPRODUCT(('成交明细'!$A$5:$A$804=A113)*('成交明细'!$D$5:$D$804=IF(F113="空","卖","买"))*ISNUMBER('成交明细'!$C$5:$C$804))=0,"没填时间",IFERROR(VLOOKUP(MOD(SUMPRODUCT(LARGE(('成交明细'!$A$5:$A$804=A113)*('成交明细'!$D$5:$D$804=IF(F113="空","卖","买"))*('成交明细'!$B$5:$B$804+'成交明细'!$C$5:$C$804),COUNTIFS('成交明细'!$A$5:$A$804,A113,'成交明细'!$D$5:$D$804,IF(F113="空","卖","买")))),1),'参数'!$B$39:$C$48,2,TRUE),"")))</f>
        <v/>
      </c>
      <c r="AB113" s="34" t="str">
        <f>IF(A113="","",SUMIFS('成交明细'!$F$5:$F$804,'成交明细'!$A$5:$A$804,A113,'成交明细'!$D$5:$D$804,IF(F113="空","卖","买")))</f>
        <v/>
      </c>
      <c r="AC113" s="41" t="str">
        <f>IF(N(AB113)&gt;0,SUMIFS('成交明细'!$H$5:$H$804,'成交明细'!$A$5:$A$804,A113,'成交明细'!$D$5:$D$804,IF(F113="空","卖","买"))/AB113,"")</f>
        <v/>
      </c>
      <c r="AD113" s="34" t="str">
        <f>IF(A113="","",SUMIFS('成交明细'!$F$5:$F$804,'成交明细'!$A$5:$A$804,A113,'成交明细'!$D$5:$D$804,IF(F113="空","买","卖")))</f>
        <v/>
      </c>
      <c r="AE113" s="41" t="str">
        <f>IF(N(AD113)&gt;0,SUMIFS('成交明细'!$H$5:$H$804,'成交明细'!$A$5:$A$804,A113,'成交明细'!$D$5:$D$804,IF(F113="空","买","卖"))/AD113,"")</f>
        <v/>
      </c>
      <c r="AF113" s="38" t="str">
        <f>IF(A113="","",IF(X113&lt;&gt;"已执行",IF(X113="","未填执行情况",X113),IF(N(AB113)=0,"待录成交",IF(N(AD113)&gt;N(AB113),"平仓多于开仓",IF(N(AD113)&lt;N(AB113),"持仓中","已平仓")))))</f>
        <v/>
      </c>
      <c r="AG113" s="42" t="str">
        <f>IF(N(AB113)=0,"",SUMIFS('成交明细'!$L$5:$L$804,'成交明细'!$A$5:$A$804,A113))</f>
        <v/>
      </c>
      <c r="AH113" s="43" t="str">
        <f>IF(A113="","",SUMIFS('资金费流水'!$F$5:$F$604,'资金费流水'!$B$5:$B$604,A113))</f>
        <v/>
      </c>
      <c r="AI113" s="43" t="str">
        <f>IF(AF113&lt;&gt;"已平仓","",(SUMIFS('成交明细'!$H$5:$H$804,'成交明细'!$A$5:$A$804,A113,'成交明细'!$D$5:$D$804,"卖")-SUMIFS('成交明细'!$H$5:$H$804,'成交明细'!$A$5:$A$804,A113,'成交明细'!$D$5:$D$804,"买"))*1-AG113+N(AH113))</f>
        <v/>
      </c>
      <c r="AJ113" s="44" t="str">
        <f>IF(AND(AF113="已平仓",ISNUMBER(Q113)),(SUMIFS('成交明细'!$H$5:$H$804,'成交明细'!$A$5:$A$804,A113,'成交明细'!$D$5:$D$804,"卖")-SUMIFS('成交明细'!$H$5:$H$804,'成交明细'!$A$5:$A$804,A113,'成交明细'!$D$5:$D$804,"买"))*1/Q113,"")</f>
        <v/>
      </c>
      <c r="AK113" s="44" t="str">
        <f>IF(AND(AF113="已平仓",ISNUMBER(Q113)),AI113/Q113,"")</f>
        <v/>
      </c>
      <c r="AL113" s="45" t="str">
        <f>IF(AND(ISNUMBER(AC113),ISNUMBER(K113)),IF(F113="空",K113-AC113,AC113-K113),"")</f>
        <v/>
      </c>
      <c r="AM113" s="45" t="str">
        <f>IF(OR(NOT(ISNUMBER(AI113)),NOT(ISNUMBER(AE113))),"",IF(AI113&lt;0,IF(F113="空",AE113-L113,L113-AE113),IF(NOT(ISNUMBER(M113)),"",IF(F113="空",AE113-M113,M113-AE113))))</f>
        <v/>
      </c>
      <c r="AN113" s="31" t="n"/>
      <c r="AO113" s="31" t="n"/>
      <c r="AP113" s="30" t="n"/>
      <c r="AQ113" s="44" t="str">
        <f>IF(A113="","",SUM(AK$5:AK113))</f>
        <v/>
      </c>
      <c r="AR113" s="46" t="str">
        <f>IF(A113="","",MAX(0,MAX(AQ$5:AQ113))-AQ113)</f>
        <v/>
      </c>
    </row>
    <row r="114">
      <c r="A114" s="24" t="n"/>
      <c r="B114" s="29" t="n"/>
      <c r="C114" s="30" t="n"/>
      <c r="D114" s="31" t="n"/>
      <c r="E114" s="31" t="n"/>
      <c r="F114" s="31" t="n"/>
      <c r="G114" s="21" t="n"/>
      <c r="H114" s="31" t="n"/>
      <c r="I114" s="23" t="n"/>
      <c r="J114" s="31" t="n"/>
      <c r="K114" s="32" t="n"/>
      <c r="L114" s="32" t="n"/>
      <c r="M114" s="32" t="n"/>
      <c r="N114" s="33" t="str">
        <f>IF(AND(ISNUMBER(K114),ISNUMBER(L114),ISNUMBER(M114)),IF(OR(AND(F114="多",K114&gt;L114),AND(F114="空",K114&lt;L114)),ABS(M114-K114)/ABS(K114-L114),"止损方向不对"),"")</f>
        <v/>
      </c>
      <c r="O114" s="34" t="str">
        <f>IF(AND(ISNUMBER(K114),ISNUMBER(L114)),IF(K114=L114,"",IF(INT(ROUND('参数'!$C$7/(ABS(K114-L114)*1+2*K114*'参数'!$C$12)/IF(N(J114)&gt;0,J114,1),6))*IF(N(J114)&gt;0,J114,1)&gt;0,INT(ROUND('参数'!$C$7/(ABS(K114-L114)*1+2*K114*'参数'!$C$12)/IF(N(J114)&gt;0,J114,1),6))*IF(N(J114)&gt;0,J114,1),"预算不足，这笔不做")),"")</f>
        <v/>
      </c>
      <c r="P114" s="35" t="n"/>
      <c r="Q114" s="20" t="str">
        <f>IF(AND(ISNUMBER(K114),ISNUMBER(L114),ISNUMBER(P114)),IF(AND(K114&lt;&gt;L114,P114&gt;0),ABS(K114-L114)*P114*1,""),"")</f>
        <v/>
      </c>
      <c r="R114" s="20" t="str">
        <f>IF(AND(ISNUMBER(K114),ISNUMBER(P114)),K114*P114,"")</f>
        <v/>
      </c>
      <c r="S114" s="20" t="str">
        <f>IF(AND(D114="合约",ISNUMBER(R114),N(G114)&gt;0),R114/G114,"")</f>
        <v/>
      </c>
      <c r="T114" s="36" t="str">
        <f>IF(NOT(D114="合约"),"",IF(H114&lt;&gt;"逐仓","看平台",IF(AND(ISNUMBER(K114),N(G114)&gt;0),IF(F114="空",K114*(1+1/G114-IF(ISNUMBER(I114),I114,'参数'!$C$13)),K114*(1-1/G114+IF(ISNUMBER(I114),I114,'参数'!$C$13))),"")))</f>
        <v/>
      </c>
      <c r="U114" s="37" t="str">
        <f>IF(AND(ISNUMBER(T114),ISNUMBER(L114),ISNUMBER(K114)),IF(F114="空",T114-L114,L114-T114)/K114,"")</f>
        <v/>
      </c>
      <c r="V114" s="38" t="str">
        <f>IF(ISNUMBER(U114),IF(U114&lt;'参数'!$C$15,"先降杠杆或减量","在止损外"),"")</f>
        <v/>
      </c>
      <c r="W114" s="30" t="n"/>
      <c r="X114" s="31" t="n"/>
      <c r="Y114" s="39" t="str">
        <f>IF(N(AB114)&gt;0,SUMPRODUCT(LARGE(('成交明细'!$A$5:$A$804=A114)*('成交明细'!$D$5:$D$804=IF(F114="空","卖","买"))*'成交明细'!$B$5:$B$804,COUNTIFS('成交明细'!$A$5:$A$804,A114,'成交明细'!$D$5:$D$804,IF(F114="空","卖","买")))),"")</f>
        <v/>
      </c>
      <c r="Z114" s="39" t="str">
        <f>IF(AND(N(AB114)&gt;0,N(AD114)&gt;=N(AB114)),SUMPRODUCT(MAX(('成交明细'!$A$5:$A$804=A114)*('成交明细'!$D$5:$D$804=IF(F114="空","买","卖"))*'成交明细'!$B$5:$B$804)),"")</f>
        <v/>
      </c>
      <c r="AA114" s="40" t="str">
        <f>IF(N(AB114)=0,"",IF(SUMPRODUCT(('成交明细'!$A$5:$A$804=A114)*('成交明细'!$D$5:$D$804=IF(F114="空","卖","买"))*ISNUMBER('成交明细'!$C$5:$C$804))=0,"没填时间",IFERROR(VLOOKUP(MOD(SUMPRODUCT(LARGE(('成交明细'!$A$5:$A$804=A114)*('成交明细'!$D$5:$D$804=IF(F114="空","卖","买"))*('成交明细'!$B$5:$B$804+'成交明细'!$C$5:$C$804),COUNTIFS('成交明细'!$A$5:$A$804,A114,'成交明细'!$D$5:$D$804,IF(F114="空","卖","买")))),1),'参数'!$B$39:$C$48,2,TRUE),"")))</f>
        <v/>
      </c>
      <c r="AB114" s="34" t="str">
        <f>IF(A114="","",SUMIFS('成交明细'!$F$5:$F$804,'成交明细'!$A$5:$A$804,A114,'成交明细'!$D$5:$D$804,IF(F114="空","卖","买")))</f>
        <v/>
      </c>
      <c r="AC114" s="41" t="str">
        <f>IF(N(AB114)&gt;0,SUMIFS('成交明细'!$H$5:$H$804,'成交明细'!$A$5:$A$804,A114,'成交明细'!$D$5:$D$804,IF(F114="空","卖","买"))/AB114,"")</f>
        <v/>
      </c>
      <c r="AD114" s="34" t="str">
        <f>IF(A114="","",SUMIFS('成交明细'!$F$5:$F$804,'成交明细'!$A$5:$A$804,A114,'成交明细'!$D$5:$D$804,IF(F114="空","买","卖")))</f>
        <v/>
      </c>
      <c r="AE114" s="41" t="str">
        <f>IF(N(AD114)&gt;0,SUMIFS('成交明细'!$H$5:$H$804,'成交明细'!$A$5:$A$804,A114,'成交明细'!$D$5:$D$804,IF(F114="空","买","卖"))/AD114,"")</f>
        <v/>
      </c>
      <c r="AF114" s="38" t="str">
        <f>IF(A114="","",IF(X114&lt;&gt;"已执行",IF(X114="","未填执行情况",X114),IF(N(AB114)=0,"待录成交",IF(N(AD114)&gt;N(AB114),"平仓多于开仓",IF(N(AD114)&lt;N(AB114),"持仓中","已平仓")))))</f>
        <v/>
      </c>
      <c r="AG114" s="42" t="str">
        <f>IF(N(AB114)=0,"",SUMIFS('成交明细'!$L$5:$L$804,'成交明细'!$A$5:$A$804,A114))</f>
        <v/>
      </c>
      <c r="AH114" s="43" t="str">
        <f>IF(A114="","",SUMIFS('资金费流水'!$F$5:$F$604,'资金费流水'!$B$5:$B$604,A114))</f>
        <v/>
      </c>
      <c r="AI114" s="43" t="str">
        <f>IF(AF114&lt;&gt;"已平仓","",(SUMIFS('成交明细'!$H$5:$H$804,'成交明细'!$A$5:$A$804,A114,'成交明细'!$D$5:$D$804,"卖")-SUMIFS('成交明细'!$H$5:$H$804,'成交明细'!$A$5:$A$804,A114,'成交明细'!$D$5:$D$804,"买"))*1-AG114+N(AH114))</f>
        <v/>
      </c>
      <c r="AJ114" s="44" t="str">
        <f>IF(AND(AF114="已平仓",ISNUMBER(Q114)),(SUMIFS('成交明细'!$H$5:$H$804,'成交明细'!$A$5:$A$804,A114,'成交明细'!$D$5:$D$804,"卖")-SUMIFS('成交明细'!$H$5:$H$804,'成交明细'!$A$5:$A$804,A114,'成交明细'!$D$5:$D$804,"买"))*1/Q114,"")</f>
        <v/>
      </c>
      <c r="AK114" s="44" t="str">
        <f>IF(AND(AF114="已平仓",ISNUMBER(Q114)),AI114/Q114,"")</f>
        <v/>
      </c>
      <c r="AL114" s="45" t="str">
        <f>IF(AND(ISNUMBER(AC114),ISNUMBER(K114)),IF(F114="空",K114-AC114,AC114-K114),"")</f>
        <v/>
      </c>
      <c r="AM114" s="45" t="str">
        <f>IF(OR(NOT(ISNUMBER(AI114)),NOT(ISNUMBER(AE114))),"",IF(AI114&lt;0,IF(F114="空",AE114-L114,L114-AE114),IF(NOT(ISNUMBER(M114)),"",IF(F114="空",AE114-M114,M114-AE114))))</f>
        <v/>
      </c>
      <c r="AN114" s="31" t="n"/>
      <c r="AO114" s="31" t="n"/>
      <c r="AP114" s="30" t="n"/>
      <c r="AQ114" s="44" t="str">
        <f>IF(A114="","",SUM(AK$5:AK114))</f>
        <v/>
      </c>
      <c r="AR114" s="46" t="str">
        <f>IF(A114="","",MAX(0,MAX(AQ$5:AQ114))-AQ114)</f>
        <v/>
      </c>
    </row>
    <row r="115">
      <c r="A115" s="24" t="n"/>
      <c r="B115" s="29" t="n"/>
      <c r="C115" s="30" t="n"/>
      <c r="D115" s="31" t="n"/>
      <c r="E115" s="31" t="n"/>
      <c r="F115" s="31" t="n"/>
      <c r="G115" s="21" t="n"/>
      <c r="H115" s="31" t="n"/>
      <c r="I115" s="23" t="n"/>
      <c r="J115" s="31" t="n"/>
      <c r="K115" s="32" t="n"/>
      <c r="L115" s="32" t="n"/>
      <c r="M115" s="32" t="n"/>
      <c r="N115" s="33" t="str">
        <f>IF(AND(ISNUMBER(K115),ISNUMBER(L115),ISNUMBER(M115)),IF(OR(AND(F115="多",K115&gt;L115),AND(F115="空",K115&lt;L115)),ABS(M115-K115)/ABS(K115-L115),"止损方向不对"),"")</f>
        <v/>
      </c>
      <c r="O115" s="34" t="str">
        <f>IF(AND(ISNUMBER(K115),ISNUMBER(L115)),IF(K115=L115,"",IF(INT(ROUND('参数'!$C$7/(ABS(K115-L115)*1+2*K115*'参数'!$C$12)/IF(N(J115)&gt;0,J115,1),6))*IF(N(J115)&gt;0,J115,1)&gt;0,INT(ROUND('参数'!$C$7/(ABS(K115-L115)*1+2*K115*'参数'!$C$12)/IF(N(J115)&gt;0,J115,1),6))*IF(N(J115)&gt;0,J115,1),"预算不足，这笔不做")),"")</f>
        <v/>
      </c>
      <c r="P115" s="35" t="n"/>
      <c r="Q115" s="20" t="str">
        <f>IF(AND(ISNUMBER(K115),ISNUMBER(L115),ISNUMBER(P115)),IF(AND(K115&lt;&gt;L115,P115&gt;0),ABS(K115-L115)*P115*1,""),"")</f>
        <v/>
      </c>
      <c r="R115" s="20" t="str">
        <f>IF(AND(ISNUMBER(K115),ISNUMBER(P115)),K115*P115,"")</f>
        <v/>
      </c>
      <c r="S115" s="20" t="str">
        <f>IF(AND(D115="合约",ISNUMBER(R115),N(G115)&gt;0),R115/G115,"")</f>
        <v/>
      </c>
      <c r="T115" s="36" t="str">
        <f>IF(NOT(D115="合约"),"",IF(H115&lt;&gt;"逐仓","看平台",IF(AND(ISNUMBER(K115),N(G115)&gt;0),IF(F115="空",K115*(1+1/G115-IF(ISNUMBER(I115),I115,'参数'!$C$13)),K115*(1-1/G115+IF(ISNUMBER(I115),I115,'参数'!$C$13))),"")))</f>
        <v/>
      </c>
      <c r="U115" s="37" t="str">
        <f>IF(AND(ISNUMBER(T115),ISNUMBER(L115),ISNUMBER(K115)),IF(F115="空",T115-L115,L115-T115)/K115,"")</f>
        <v/>
      </c>
      <c r="V115" s="38" t="str">
        <f>IF(ISNUMBER(U115),IF(U115&lt;'参数'!$C$15,"先降杠杆或减量","在止损外"),"")</f>
        <v/>
      </c>
      <c r="W115" s="30" t="n"/>
      <c r="X115" s="31" t="n"/>
      <c r="Y115" s="39" t="str">
        <f>IF(N(AB115)&gt;0,SUMPRODUCT(LARGE(('成交明细'!$A$5:$A$804=A115)*('成交明细'!$D$5:$D$804=IF(F115="空","卖","买"))*'成交明细'!$B$5:$B$804,COUNTIFS('成交明细'!$A$5:$A$804,A115,'成交明细'!$D$5:$D$804,IF(F115="空","卖","买")))),"")</f>
        <v/>
      </c>
      <c r="Z115" s="39" t="str">
        <f>IF(AND(N(AB115)&gt;0,N(AD115)&gt;=N(AB115)),SUMPRODUCT(MAX(('成交明细'!$A$5:$A$804=A115)*('成交明细'!$D$5:$D$804=IF(F115="空","买","卖"))*'成交明细'!$B$5:$B$804)),"")</f>
        <v/>
      </c>
      <c r="AA115" s="40" t="str">
        <f>IF(N(AB115)=0,"",IF(SUMPRODUCT(('成交明细'!$A$5:$A$804=A115)*('成交明细'!$D$5:$D$804=IF(F115="空","卖","买"))*ISNUMBER('成交明细'!$C$5:$C$804))=0,"没填时间",IFERROR(VLOOKUP(MOD(SUMPRODUCT(LARGE(('成交明细'!$A$5:$A$804=A115)*('成交明细'!$D$5:$D$804=IF(F115="空","卖","买"))*('成交明细'!$B$5:$B$804+'成交明细'!$C$5:$C$804),COUNTIFS('成交明细'!$A$5:$A$804,A115,'成交明细'!$D$5:$D$804,IF(F115="空","卖","买")))),1),'参数'!$B$39:$C$48,2,TRUE),"")))</f>
        <v/>
      </c>
      <c r="AB115" s="34" t="str">
        <f>IF(A115="","",SUMIFS('成交明细'!$F$5:$F$804,'成交明细'!$A$5:$A$804,A115,'成交明细'!$D$5:$D$804,IF(F115="空","卖","买")))</f>
        <v/>
      </c>
      <c r="AC115" s="41" t="str">
        <f>IF(N(AB115)&gt;0,SUMIFS('成交明细'!$H$5:$H$804,'成交明细'!$A$5:$A$804,A115,'成交明细'!$D$5:$D$804,IF(F115="空","卖","买"))/AB115,"")</f>
        <v/>
      </c>
      <c r="AD115" s="34" t="str">
        <f>IF(A115="","",SUMIFS('成交明细'!$F$5:$F$804,'成交明细'!$A$5:$A$804,A115,'成交明细'!$D$5:$D$804,IF(F115="空","买","卖")))</f>
        <v/>
      </c>
      <c r="AE115" s="41" t="str">
        <f>IF(N(AD115)&gt;0,SUMIFS('成交明细'!$H$5:$H$804,'成交明细'!$A$5:$A$804,A115,'成交明细'!$D$5:$D$804,IF(F115="空","买","卖"))/AD115,"")</f>
        <v/>
      </c>
      <c r="AF115" s="38" t="str">
        <f>IF(A115="","",IF(X115&lt;&gt;"已执行",IF(X115="","未填执行情况",X115),IF(N(AB115)=0,"待录成交",IF(N(AD115)&gt;N(AB115),"平仓多于开仓",IF(N(AD115)&lt;N(AB115),"持仓中","已平仓")))))</f>
        <v/>
      </c>
      <c r="AG115" s="42" t="str">
        <f>IF(N(AB115)=0,"",SUMIFS('成交明细'!$L$5:$L$804,'成交明细'!$A$5:$A$804,A115))</f>
        <v/>
      </c>
      <c r="AH115" s="43" t="str">
        <f>IF(A115="","",SUMIFS('资金费流水'!$F$5:$F$604,'资金费流水'!$B$5:$B$604,A115))</f>
        <v/>
      </c>
      <c r="AI115" s="43" t="str">
        <f>IF(AF115&lt;&gt;"已平仓","",(SUMIFS('成交明细'!$H$5:$H$804,'成交明细'!$A$5:$A$804,A115,'成交明细'!$D$5:$D$804,"卖")-SUMIFS('成交明细'!$H$5:$H$804,'成交明细'!$A$5:$A$804,A115,'成交明细'!$D$5:$D$804,"买"))*1-AG115+N(AH115))</f>
        <v/>
      </c>
      <c r="AJ115" s="44" t="str">
        <f>IF(AND(AF115="已平仓",ISNUMBER(Q115)),(SUMIFS('成交明细'!$H$5:$H$804,'成交明细'!$A$5:$A$804,A115,'成交明细'!$D$5:$D$804,"卖")-SUMIFS('成交明细'!$H$5:$H$804,'成交明细'!$A$5:$A$804,A115,'成交明细'!$D$5:$D$804,"买"))*1/Q115,"")</f>
        <v/>
      </c>
      <c r="AK115" s="44" t="str">
        <f>IF(AND(AF115="已平仓",ISNUMBER(Q115)),AI115/Q115,"")</f>
        <v/>
      </c>
      <c r="AL115" s="45" t="str">
        <f>IF(AND(ISNUMBER(AC115),ISNUMBER(K115)),IF(F115="空",K115-AC115,AC115-K115),"")</f>
        <v/>
      </c>
      <c r="AM115" s="45" t="str">
        <f>IF(OR(NOT(ISNUMBER(AI115)),NOT(ISNUMBER(AE115))),"",IF(AI115&lt;0,IF(F115="空",AE115-L115,L115-AE115),IF(NOT(ISNUMBER(M115)),"",IF(F115="空",AE115-M115,M115-AE115))))</f>
        <v/>
      </c>
      <c r="AN115" s="31" t="n"/>
      <c r="AO115" s="31" t="n"/>
      <c r="AP115" s="30" t="n"/>
      <c r="AQ115" s="44" t="str">
        <f>IF(A115="","",SUM(AK$5:AK115))</f>
        <v/>
      </c>
      <c r="AR115" s="46" t="str">
        <f>IF(A115="","",MAX(0,MAX(AQ$5:AQ115))-AQ115)</f>
        <v/>
      </c>
    </row>
    <row r="116">
      <c r="A116" s="24" t="n"/>
      <c r="B116" s="29" t="n"/>
      <c r="C116" s="30" t="n"/>
      <c r="D116" s="31" t="n"/>
      <c r="E116" s="31" t="n"/>
      <c r="F116" s="31" t="n"/>
      <c r="G116" s="21" t="n"/>
      <c r="H116" s="31" t="n"/>
      <c r="I116" s="23" t="n"/>
      <c r="J116" s="31" t="n"/>
      <c r="K116" s="32" t="n"/>
      <c r="L116" s="32" t="n"/>
      <c r="M116" s="32" t="n"/>
      <c r="N116" s="33" t="str">
        <f>IF(AND(ISNUMBER(K116),ISNUMBER(L116),ISNUMBER(M116)),IF(OR(AND(F116="多",K116&gt;L116),AND(F116="空",K116&lt;L116)),ABS(M116-K116)/ABS(K116-L116),"止损方向不对"),"")</f>
        <v/>
      </c>
      <c r="O116" s="34" t="str">
        <f>IF(AND(ISNUMBER(K116),ISNUMBER(L116)),IF(K116=L116,"",IF(INT(ROUND('参数'!$C$7/(ABS(K116-L116)*1+2*K116*'参数'!$C$12)/IF(N(J116)&gt;0,J116,1),6))*IF(N(J116)&gt;0,J116,1)&gt;0,INT(ROUND('参数'!$C$7/(ABS(K116-L116)*1+2*K116*'参数'!$C$12)/IF(N(J116)&gt;0,J116,1),6))*IF(N(J116)&gt;0,J116,1),"预算不足，这笔不做")),"")</f>
        <v/>
      </c>
      <c r="P116" s="35" t="n"/>
      <c r="Q116" s="20" t="str">
        <f>IF(AND(ISNUMBER(K116),ISNUMBER(L116),ISNUMBER(P116)),IF(AND(K116&lt;&gt;L116,P116&gt;0),ABS(K116-L116)*P116*1,""),"")</f>
        <v/>
      </c>
      <c r="R116" s="20" t="str">
        <f>IF(AND(ISNUMBER(K116),ISNUMBER(P116)),K116*P116,"")</f>
        <v/>
      </c>
      <c r="S116" s="20" t="str">
        <f>IF(AND(D116="合约",ISNUMBER(R116),N(G116)&gt;0),R116/G116,"")</f>
        <v/>
      </c>
      <c r="T116" s="36" t="str">
        <f>IF(NOT(D116="合约"),"",IF(H116&lt;&gt;"逐仓","看平台",IF(AND(ISNUMBER(K116),N(G116)&gt;0),IF(F116="空",K116*(1+1/G116-IF(ISNUMBER(I116),I116,'参数'!$C$13)),K116*(1-1/G116+IF(ISNUMBER(I116),I116,'参数'!$C$13))),"")))</f>
        <v/>
      </c>
      <c r="U116" s="37" t="str">
        <f>IF(AND(ISNUMBER(T116),ISNUMBER(L116),ISNUMBER(K116)),IF(F116="空",T116-L116,L116-T116)/K116,"")</f>
        <v/>
      </c>
      <c r="V116" s="38" t="str">
        <f>IF(ISNUMBER(U116),IF(U116&lt;'参数'!$C$15,"先降杠杆或减量","在止损外"),"")</f>
        <v/>
      </c>
      <c r="W116" s="30" t="n"/>
      <c r="X116" s="31" t="n"/>
      <c r="Y116" s="39" t="str">
        <f>IF(N(AB116)&gt;0,SUMPRODUCT(LARGE(('成交明细'!$A$5:$A$804=A116)*('成交明细'!$D$5:$D$804=IF(F116="空","卖","买"))*'成交明细'!$B$5:$B$804,COUNTIFS('成交明细'!$A$5:$A$804,A116,'成交明细'!$D$5:$D$804,IF(F116="空","卖","买")))),"")</f>
        <v/>
      </c>
      <c r="Z116" s="39" t="str">
        <f>IF(AND(N(AB116)&gt;0,N(AD116)&gt;=N(AB116)),SUMPRODUCT(MAX(('成交明细'!$A$5:$A$804=A116)*('成交明细'!$D$5:$D$804=IF(F116="空","买","卖"))*'成交明细'!$B$5:$B$804)),"")</f>
        <v/>
      </c>
      <c r="AA116" s="40" t="str">
        <f>IF(N(AB116)=0,"",IF(SUMPRODUCT(('成交明细'!$A$5:$A$804=A116)*('成交明细'!$D$5:$D$804=IF(F116="空","卖","买"))*ISNUMBER('成交明细'!$C$5:$C$804))=0,"没填时间",IFERROR(VLOOKUP(MOD(SUMPRODUCT(LARGE(('成交明细'!$A$5:$A$804=A116)*('成交明细'!$D$5:$D$804=IF(F116="空","卖","买"))*('成交明细'!$B$5:$B$804+'成交明细'!$C$5:$C$804),COUNTIFS('成交明细'!$A$5:$A$804,A116,'成交明细'!$D$5:$D$804,IF(F116="空","卖","买")))),1),'参数'!$B$39:$C$48,2,TRUE),"")))</f>
        <v/>
      </c>
      <c r="AB116" s="34" t="str">
        <f>IF(A116="","",SUMIFS('成交明细'!$F$5:$F$804,'成交明细'!$A$5:$A$804,A116,'成交明细'!$D$5:$D$804,IF(F116="空","卖","买")))</f>
        <v/>
      </c>
      <c r="AC116" s="41" t="str">
        <f>IF(N(AB116)&gt;0,SUMIFS('成交明细'!$H$5:$H$804,'成交明细'!$A$5:$A$804,A116,'成交明细'!$D$5:$D$804,IF(F116="空","卖","买"))/AB116,"")</f>
        <v/>
      </c>
      <c r="AD116" s="34" t="str">
        <f>IF(A116="","",SUMIFS('成交明细'!$F$5:$F$804,'成交明细'!$A$5:$A$804,A116,'成交明细'!$D$5:$D$804,IF(F116="空","买","卖")))</f>
        <v/>
      </c>
      <c r="AE116" s="41" t="str">
        <f>IF(N(AD116)&gt;0,SUMIFS('成交明细'!$H$5:$H$804,'成交明细'!$A$5:$A$804,A116,'成交明细'!$D$5:$D$804,IF(F116="空","买","卖"))/AD116,"")</f>
        <v/>
      </c>
      <c r="AF116" s="38" t="str">
        <f>IF(A116="","",IF(X116&lt;&gt;"已执行",IF(X116="","未填执行情况",X116),IF(N(AB116)=0,"待录成交",IF(N(AD116)&gt;N(AB116),"平仓多于开仓",IF(N(AD116)&lt;N(AB116),"持仓中","已平仓")))))</f>
        <v/>
      </c>
      <c r="AG116" s="42" t="str">
        <f>IF(N(AB116)=0,"",SUMIFS('成交明细'!$L$5:$L$804,'成交明细'!$A$5:$A$804,A116))</f>
        <v/>
      </c>
      <c r="AH116" s="43" t="str">
        <f>IF(A116="","",SUMIFS('资金费流水'!$F$5:$F$604,'资金费流水'!$B$5:$B$604,A116))</f>
        <v/>
      </c>
      <c r="AI116" s="43" t="str">
        <f>IF(AF116&lt;&gt;"已平仓","",(SUMIFS('成交明细'!$H$5:$H$804,'成交明细'!$A$5:$A$804,A116,'成交明细'!$D$5:$D$804,"卖")-SUMIFS('成交明细'!$H$5:$H$804,'成交明细'!$A$5:$A$804,A116,'成交明细'!$D$5:$D$804,"买"))*1-AG116+N(AH116))</f>
        <v/>
      </c>
      <c r="AJ116" s="44" t="str">
        <f>IF(AND(AF116="已平仓",ISNUMBER(Q116)),(SUMIFS('成交明细'!$H$5:$H$804,'成交明细'!$A$5:$A$804,A116,'成交明细'!$D$5:$D$804,"卖")-SUMIFS('成交明细'!$H$5:$H$804,'成交明细'!$A$5:$A$804,A116,'成交明细'!$D$5:$D$804,"买"))*1/Q116,"")</f>
        <v/>
      </c>
      <c r="AK116" s="44" t="str">
        <f>IF(AND(AF116="已平仓",ISNUMBER(Q116)),AI116/Q116,"")</f>
        <v/>
      </c>
      <c r="AL116" s="45" t="str">
        <f>IF(AND(ISNUMBER(AC116),ISNUMBER(K116)),IF(F116="空",K116-AC116,AC116-K116),"")</f>
        <v/>
      </c>
      <c r="AM116" s="45" t="str">
        <f>IF(OR(NOT(ISNUMBER(AI116)),NOT(ISNUMBER(AE116))),"",IF(AI116&lt;0,IF(F116="空",AE116-L116,L116-AE116),IF(NOT(ISNUMBER(M116)),"",IF(F116="空",AE116-M116,M116-AE116))))</f>
        <v/>
      </c>
      <c r="AN116" s="31" t="n"/>
      <c r="AO116" s="31" t="n"/>
      <c r="AP116" s="30" t="n"/>
      <c r="AQ116" s="44" t="str">
        <f>IF(A116="","",SUM(AK$5:AK116))</f>
        <v/>
      </c>
      <c r="AR116" s="46" t="str">
        <f>IF(A116="","",MAX(0,MAX(AQ$5:AQ116))-AQ116)</f>
        <v/>
      </c>
    </row>
    <row r="117">
      <c r="A117" s="24" t="n"/>
      <c r="B117" s="29" t="n"/>
      <c r="C117" s="30" t="n"/>
      <c r="D117" s="31" t="n"/>
      <c r="E117" s="31" t="n"/>
      <c r="F117" s="31" t="n"/>
      <c r="G117" s="21" t="n"/>
      <c r="H117" s="31" t="n"/>
      <c r="I117" s="23" t="n"/>
      <c r="J117" s="31" t="n"/>
      <c r="K117" s="32" t="n"/>
      <c r="L117" s="32" t="n"/>
      <c r="M117" s="32" t="n"/>
      <c r="N117" s="33" t="str">
        <f>IF(AND(ISNUMBER(K117),ISNUMBER(L117),ISNUMBER(M117)),IF(OR(AND(F117="多",K117&gt;L117),AND(F117="空",K117&lt;L117)),ABS(M117-K117)/ABS(K117-L117),"止损方向不对"),"")</f>
        <v/>
      </c>
      <c r="O117" s="34" t="str">
        <f>IF(AND(ISNUMBER(K117),ISNUMBER(L117)),IF(K117=L117,"",IF(INT(ROUND('参数'!$C$7/(ABS(K117-L117)*1+2*K117*'参数'!$C$12)/IF(N(J117)&gt;0,J117,1),6))*IF(N(J117)&gt;0,J117,1)&gt;0,INT(ROUND('参数'!$C$7/(ABS(K117-L117)*1+2*K117*'参数'!$C$12)/IF(N(J117)&gt;0,J117,1),6))*IF(N(J117)&gt;0,J117,1),"预算不足，这笔不做")),"")</f>
        <v/>
      </c>
      <c r="P117" s="35" t="n"/>
      <c r="Q117" s="20" t="str">
        <f>IF(AND(ISNUMBER(K117),ISNUMBER(L117),ISNUMBER(P117)),IF(AND(K117&lt;&gt;L117,P117&gt;0),ABS(K117-L117)*P117*1,""),"")</f>
        <v/>
      </c>
      <c r="R117" s="20" t="str">
        <f>IF(AND(ISNUMBER(K117),ISNUMBER(P117)),K117*P117,"")</f>
        <v/>
      </c>
      <c r="S117" s="20" t="str">
        <f>IF(AND(D117="合约",ISNUMBER(R117),N(G117)&gt;0),R117/G117,"")</f>
        <v/>
      </c>
      <c r="T117" s="36" t="str">
        <f>IF(NOT(D117="合约"),"",IF(H117&lt;&gt;"逐仓","看平台",IF(AND(ISNUMBER(K117),N(G117)&gt;0),IF(F117="空",K117*(1+1/G117-IF(ISNUMBER(I117),I117,'参数'!$C$13)),K117*(1-1/G117+IF(ISNUMBER(I117),I117,'参数'!$C$13))),"")))</f>
        <v/>
      </c>
      <c r="U117" s="37" t="str">
        <f>IF(AND(ISNUMBER(T117),ISNUMBER(L117),ISNUMBER(K117)),IF(F117="空",T117-L117,L117-T117)/K117,"")</f>
        <v/>
      </c>
      <c r="V117" s="38" t="str">
        <f>IF(ISNUMBER(U117),IF(U117&lt;'参数'!$C$15,"先降杠杆或减量","在止损外"),"")</f>
        <v/>
      </c>
      <c r="W117" s="30" t="n"/>
      <c r="X117" s="31" t="n"/>
      <c r="Y117" s="39" t="str">
        <f>IF(N(AB117)&gt;0,SUMPRODUCT(LARGE(('成交明细'!$A$5:$A$804=A117)*('成交明细'!$D$5:$D$804=IF(F117="空","卖","买"))*'成交明细'!$B$5:$B$804,COUNTIFS('成交明细'!$A$5:$A$804,A117,'成交明细'!$D$5:$D$804,IF(F117="空","卖","买")))),"")</f>
        <v/>
      </c>
      <c r="Z117" s="39" t="str">
        <f>IF(AND(N(AB117)&gt;0,N(AD117)&gt;=N(AB117)),SUMPRODUCT(MAX(('成交明细'!$A$5:$A$804=A117)*('成交明细'!$D$5:$D$804=IF(F117="空","买","卖"))*'成交明细'!$B$5:$B$804)),"")</f>
        <v/>
      </c>
      <c r="AA117" s="40" t="str">
        <f>IF(N(AB117)=0,"",IF(SUMPRODUCT(('成交明细'!$A$5:$A$804=A117)*('成交明细'!$D$5:$D$804=IF(F117="空","卖","买"))*ISNUMBER('成交明细'!$C$5:$C$804))=0,"没填时间",IFERROR(VLOOKUP(MOD(SUMPRODUCT(LARGE(('成交明细'!$A$5:$A$804=A117)*('成交明细'!$D$5:$D$804=IF(F117="空","卖","买"))*('成交明细'!$B$5:$B$804+'成交明细'!$C$5:$C$804),COUNTIFS('成交明细'!$A$5:$A$804,A117,'成交明细'!$D$5:$D$804,IF(F117="空","卖","买")))),1),'参数'!$B$39:$C$48,2,TRUE),"")))</f>
        <v/>
      </c>
      <c r="AB117" s="34" t="str">
        <f>IF(A117="","",SUMIFS('成交明细'!$F$5:$F$804,'成交明细'!$A$5:$A$804,A117,'成交明细'!$D$5:$D$804,IF(F117="空","卖","买")))</f>
        <v/>
      </c>
      <c r="AC117" s="41" t="str">
        <f>IF(N(AB117)&gt;0,SUMIFS('成交明细'!$H$5:$H$804,'成交明细'!$A$5:$A$804,A117,'成交明细'!$D$5:$D$804,IF(F117="空","卖","买"))/AB117,"")</f>
        <v/>
      </c>
      <c r="AD117" s="34" t="str">
        <f>IF(A117="","",SUMIFS('成交明细'!$F$5:$F$804,'成交明细'!$A$5:$A$804,A117,'成交明细'!$D$5:$D$804,IF(F117="空","买","卖")))</f>
        <v/>
      </c>
      <c r="AE117" s="41" t="str">
        <f>IF(N(AD117)&gt;0,SUMIFS('成交明细'!$H$5:$H$804,'成交明细'!$A$5:$A$804,A117,'成交明细'!$D$5:$D$804,IF(F117="空","买","卖"))/AD117,"")</f>
        <v/>
      </c>
      <c r="AF117" s="38" t="str">
        <f>IF(A117="","",IF(X117&lt;&gt;"已执行",IF(X117="","未填执行情况",X117),IF(N(AB117)=0,"待录成交",IF(N(AD117)&gt;N(AB117),"平仓多于开仓",IF(N(AD117)&lt;N(AB117),"持仓中","已平仓")))))</f>
        <v/>
      </c>
      <c r="AG117" s="42" t="str">
        <f>IF(N(AB117)=0,"",SUMIFS('成交明细'!$L$5:$L$804,'成交明细'!$A$5:$A$804,A117))</f>
        <v/>
      </c>
      <c r="AH117" s="43" t="str">
        <f>IF(A117="","",SUMIFS('资金费流水'!$F$5:$F$604,'资金费流水'!$B$5:$B$604,A117))</f>
        <v/>
      </c>
      <c r="AI117" s="43" t="str">
        <f>IF(AF117&lt;&gt;"已平仓","",(SUMIFS('成交明细'!$H$5:$H$804,'成交明细'!$A$5:$A$804,A117,'成交明细'!$D$5:$D$804,"卖")-SUMIFS('成交明细'!$H$5:$H$804,'成交明细'!$A$5:$A$804,A117,'成交明细'!$D$5:$D$804,"买"))*1-AG117+N(AH117))</f>
        <v/>
      </c>
      <c r="AJ117" s="44" t="str">
        <f>IF(AND(AF117="已平仓",ISNUMBER(Q117)),(SUMIFS('成交明细'!$H$5:$H$804,'成交明细'!$A$5:$A$804,A117,'成交明细'!$D$5:$D$804,"卖")-SUMIFS('成交明细'!$H$5:$H$804,'成交明细'!$A$5:$A$804,A117,'成交明细'!$D$5:$D$804,"买"))*1/Q117,"")</f>
        <v/>
      </c>
      <c r="AK117" s="44" t="str">
        <f>IF(AND(AF117="已平仓",ISNUMBER(Q117)),AI117/Q117,"")</f>
        <v/>
      </c>
      <c r="AL117" s="45" t="str">
        <f>IF(AND(ISNUMBER(AC117),ISNUMBER(K117)),IF(F117="空",K117-AC117,AC117-K117),"")</f>
        <v/>
      </c>
      <c r="AM117" s="45" t="str">
        <f>IF(OR(NOT(ISNUMBER(AI117)),NOT(ISNUMBER(AE117))),"",IF(AI117&lt;0,IF(F117="空",AE117-L117,L117-AE117),IF(NOT(ISNUMBER(M117)),"",IF(F117="空",AE117-M117,M117-AE117))))</f>
        <v/>
      </c>
      <c r="AN117" s="31" t="n"/>
      <c r="AO117" s="31" t="n"/>
      <c r="AP117" s="30" t="n"/>
      <c r="AQ117" s="44" t="str">
        <f>IF(A117="","",SUM(AK$5:AK117))</f>
        <v/>
      </c>
      <c r="AR117" s="46" t="str">
        <f>IF(A117="","",MAX(0,MAX(AQ$5:AQ117))-AQ117)</f>
        <v/>
      </c>
    </row>
    <row r="118">
      <c r="A118" s="24" t="n"/>
      <c r="B118" s="29" t="n"/>
      <c r="C118" s="30" t="n"/>
      <c r="D118" s="31" t="n"/>
      <c r="E118" s="31" t="n"/>
      <c r="F118" s="31" t="n"/>
      <c r="G118" s="21" t="n"/>
      <c r="H118" s="31" t="n"/>
      <c r="I118" s="23" t="n"/>
      <c r="J118" s="31" t="n"/>
      <c r="K118" s="32" t="n"/>
      <c r="L118" s="32" t="n"/>
      <c r="M118" s="32" t="n"/>
      <c r="N118" s="33" t="str">
        <f>IF(AND(ISNUMBER(K118),ISNUMBER(L118),ISNUMBER(M118)),IF(OR(AND(F118="多",K118&gt;L118),AND(F118="空",K118&lt;L118)),ABS(M118-K118)/ABS(K118-L118),"止损方向不对"),"")</f>
        <v/>
      </c>
      <c r="O118" s="34" t="str">
        <f>IF(AND(ISNUMBER(K118),ISNUMBER(L118)),IF(K118=L118,"",IF(INT(ROUND('参数'!$C$7/(ABS(K118-L118)*1+2*K118*'参数'!$C$12)/IF(N(J118)&gt;0,J118,1),6))*IF(N(J118)&gt;0,J118,1)&gt;0,INT(ROUND('参数'!$C$7/(ABS(K118-L118)*1+2*K118*'参数'!$C$12)/IF(N(J118)&gt;0,J118,1),6))*IF(N(J118)&gt;0,J118,1),"预算不足，这笔不做")),"")</f>
        <v/>
      </c>
      <c r="P118" s="35" t="n"/>
      <c r="Q118" s="20" t="str">
        <f>IF(AND(ISNUMBER(K118),ISNUMBER(L118),ISNUMBER(P118)),IF(AND(K118&lt;&gt;L118,P118&gt;0),ABS(K118-L118)*P118*1,""),"")</f>
        <v/>
      </c>
      <c r="R118" s="20" t="str">
        <f>IF(AND(ISNUMBER(K118),ISNUMBER(P118)),K118*P118,"")</f>
        <v/>
      </c>
      <c r="S118" s="20" t="str">
        <f>IF(AND(D118="合约",ISNUMBER(R118),N(G118)&gt;0),R118/G118,"")</f>
        <v/>
      </c>
      <c r="T118" s="36" t="str">
        <f>IF(NOT(D118="合约"),"",IF(H118&lt;&gt;"逐仓","看平台",IF(AND(ISNUMBER(K118),N(G118)&gt;0),IF(F118="空",K118*(1+1/G118-IF(ISNUMBER(I118),I118,'参数'!$C$13)),K118*(1-1/G118+IF(ISNUMBER(I118),I118,'参数'!$C$13))),"")))</f>
        <v/>
      </c>
      <c r="U118" s="37" t="str">
        <f>IF(AND(ISNUMBER(T118),ISNUMBER(L118),ISNUMBER(K118)),IF(F118="空",T118-L118,L118-T118)/K118,"")</f>
        <v/>
      </c>
      <c r="V118" s="38" t="str">
        <f>IF(ISNUMBER(U118),IF(U118&lt;'参数'!$C$15,"先降杠杆或减量","在止损外"),"")</f>
        <v/>
      </c>
      <c r="W118" s="30" t="n"/>
      <c r="X118" s="31" t="n"/>
      <c r="Y118" s="39" t="str">
        <f>IF(N(AB118)&gt;0,SUMPRODUCT(LARGE(('成交明细'!$A$5:$A$804=A118)*('成交明细'!$D$5:$D$804=IF(F118="空","卖","买"))*'成交明细'!$B$5:$B$804,COUNTIFS('成交明细'!$A$5:$A$804,A118,'成交明细'!$D$5:$D$804,IF(F118="空","卖","买")))),"")</f>
        <v/>
      </c>
      <c r="Z118" s="39" t="str">
        <f>IF(AND(N(AB118)&gt;0,N(AD118)&gt;=N(AB118)),SUMPRODUCT(MAX(('成交明细'!$A$5:$A$804=A118)*('成交明细'!$D$5:$D$804=IF(F118="空","买","卖"))*'成交明细'!$B$5:$B$804)),"")</f>
        <v/>
      </c>
      <c r="AA118" s="40" t="str">
        <f>IF(N(AB118)=0,"",IF(SUMPRODUCT(('成交明细'!$A$5:$A$804=A118)*('成交明细'!$D$5:$D$804=IF(F118="空","卖","买"))*ISNUMBER('成交明细'!$C$5:$C$804))=0,"没填时间",IFERROR(VLOOKUP(MOD(SUMPRODUCT(LARGE(('成交明细'!$A$5:$A$804=A118)*('成交明细'!$D$5:$D$804=IF(F118="空","卖","买"))*('成交明细'!$B$5:$B$804+'成交明细'!$C$5:$C$804),COUNTIFS('成交明细'!$A$5:$A$804,A118,'成交明细'!$D$5:$D$804,IF(F118="空","卖","买")))),1),'参数'!$B$39:$C$48,2,TRUE),"")))</f>
        <v/>
      </c>
      <c r="AB118" s="34" t="str">
        <f>IF(A118="","",SUMIFS('成交明细'!$F$5:$F$804,'成交明细'!$A$5:$A$804,A118,'成交明细'!$D$5:$D$804,IF(F118="空","卖","买")))</f>
        <v/>
      </c>
      <c r="AC118" s="41" t="str">
        <f>IF(N(AB118)&gt;0,SUMIFS('成交明细'!$H$5:$H$804,'成交明细'!$A$5:$A$804,A118,'成交明细'!$D$5:$D$804,IF(F118="空","卖","买"))/AB118,"")</f>
        <v/>
      </c>
      <c r="AD118" s="34" t="str">
        <f>IF(A118="","",SUMIFS('成交明细'!$F$5:$F$804,'成交明细'!$A$5:$A$804,A118,'成交明细'!$D$5:$D$804,IF(F118="空","买","卖")))</f>
        <v/>
      </c>
      <c r="AE118" s="41" t="str">
        <f>IF(N(AD118)&gt;0,SUMIFS('成交明细'!$H$5:$H$804,'成交明细'!$A$5:$A$804,A118,'成交明细'!$D$5:$D$804,IF(F118="空","买","卖"))/AD118,"")</f>
        <v/>
      </c>
      <c r="AF118" s="38" t="str">
        <f>IF(A118="","",IF(X118&lt;&gt;"已执行",IF(X118="","未填执行情况",X118),IF(N(AB118)=0,"待录成交",IF(N(AD118)&gt;N(AB118),"平仓多于开仓",IF(N(AD118)&lt;N(AB118),"持仓中","已平仓")))))</f>
        <v/>
      </c>
      <c r="AG118" s="42" t="str">
        <f>IF(N(AB118)=0,"",SUMIFS('成交明细'!$L$5:$L$804,'成交明细'!$A$5:$A$804,A118))</f>
        <v/>
      </c>
      <c r="AH118" s="43" t="str">
        <f>IF(A118="","",SUMIFS('资金费流水'!$F$5:$F$604,'资金费流水'!$B$5:$B$604,A118))</f>
        <v/>
      </c>
      <c r="AI118" s="43" t="str">
        <f>IF(AF118&lt;&gt;"已平仓","",(SUMIFS('成交明细'!$H$5:$H$804,'成交明细'!$A$5:$A$804,A118,'成交明细'!$D$5:$D$804,"卖")-SUMIFS('成交明细'!$H$5:$H$804,'成交明细'!$A$5:$A$804,A118,'成交明细'!$D$5:$D$804,"买"))*1-AG118+N(AH118))</f>
        <v/>
      </c>
      <c r="AJ118" s="44" t="str">
        <f>IF(AND(AF118="已平仓",ISNUMBER(Q118)),(SUMIFS('成交明细'!$H$5:$H$804,'成交明细'!$A$5:$A$804,A118,'成交明细'!$D$5:$D$804,"卖")-SUMIFS('成交明细'!$H$5:$H$804,'成交明细'!$A$5:$A$804,A118,'成交明细'!$D$5:$D$804,"买"))*1/Q118,"")</f>
        <v/>
      </c>
      <c r="AK118" s="44" t="str">
        <f>IF(AND(AF118="已平仓",ISNUMBER(Q118)),AI118/Q118,"")</f>
        <v/>
      </c>
      <c r="AL118" s="45" t="str">
        <f>IF(AND(ISNUMBER(AC118),ISNUMBER(K118)),IF(F118="空",K118-AC118,AC118-K118),"")</f>
        <v/>
      </c>
      <c r="AM118" s="45" t="str">
        <f>IF(OR(NOT(ISNUMBER(AI118)),NOT(ISNUMBER(AE118))),"",IF(AI118&lt;0,IF(F118="空",AE118-L118,L118-AE118),IF(NOT(ISNUMBER(M118)),"",IF(F118="空",AE118-M118,M118-AE118))))</f>
        <v/>
      </c>
      <c r="AN118" s="31" t="n"/>
      <c r="AO118" s="31" t="n"/>
      <c r="AP118" s="30" t="n"/>
      <c r="AQ118" s="44" t="str">
        <f>IF(A118="","",SUM(AK$5:AK118))</f>
        <v/>
      </c>
      <c r="AR118" s="46" t="str">
        <f>IF(A118="","",MAX(0,MAX(AQ$5:AQ118))-AQ118)</f>
        <v/>
      </c>
    </row>
    <row r="119">
      <c r="A119" s="24" t="n"/>
      <c r="B119" s="29" t="n"/>
      <c r="C119" s="30" t="n"/>
      <c r="D119" s="31" t="n"/>
      <c r="E119" s="31" t="n"/>
      <c r="F119" s="31" t="n"/>
      <c r="G119" s="21" t="n"/>
      <c r="H119" s="31" t="n"/>
      <c r="I119" s="23" t="n"/>
      <c r="J119" s="31" t="n"/>
      <c r="K119" s="32" t="n"/>
      <c r="L119" s="32" t="n"/>
      <c r="M119" s="32" t="n"/>
      <c r="N119" s="33" t="str">
        <f>IF(AND(ISNUMBER(K119),ISNUMBER(L119),ISNUMBER(M119)),IF(OR(AND(F119="多",K119&gt;L119),AND(F119="空",K119&lt;L119)),ABS(M119-K119)/ABS(K119-L119),"止损方向不对"),"")</f>
        <v/>
      </c>
      <c r="O119" s="34" t="str">
        <f>IF(AND(ISNUMBER(K119),ISNUMBER(L119)),IF(K119=L119,"",IF(INT(ROUND('参数'!$C$7/(ABS(K119-L119)*1+2*K119*'参数'!$C$12)/IF(N(J119)&gt;0,J119,1),6))*IF(N(J119)&gt;0,J119,1)&gt;0,INT(ROUND('参数'!$C$7/(ABS(K119-L119)*1+2*K119*'参数'!$C$12)/IF(N(J119)&gt;0,J119,1),6))*IF(N(J119)&gt;0,J119,1),"预算不足，这笔不做")),"")</f>
        <v/>
      </c>
      <c r="P119" s="35" t="n"/>
      <c r="Q119" s="20" t="str">
        <f>IF(AND(ISNUMBER(K119),ISNUMBER(L119),ISNUMBER(P119)),IF(AND(K119&lt;&gt;L119,P119&gt;0),ABS(K119-L119)*P119*1,""),"")</f>
        <v/>
      </c>
      <c r="R119" s="20" t="str">
        <f>IF(AND(ISNUMBER(K119),ISNUMBER(P119)),K119*P119,"")</f>
        <v/>
      </c>
      <c r="S119" s="20" t="str">
        <f>IF(AND(D119="合约",ISNUMBER(R119),N(G119)&gt;0),R119/G119,"")</f>
        <v/>
      </c>
      <c r="T119" s="36" t="str">
        <f>IF(NOT(D119="合约"),"",IF(H119&lt;&gt;"逐仓","看平台",IF(AND(ISNUMBER(K119),N(G119)&gt;0),IF(F119="空",K119*(1+1/G119-IF(ISNUMBER(I119),I119,'参数'!$C$13)),K119*(1-1/G119+IF(ISNUMBER(I119),I119,'参数'!$C$13))),"")))</f>
        <v/>
      </c>
      <c r="U119" s="37" t="str">
        <f>IF(AND(ISNUMBER(T119),ISNUMBER(L119),ISNUMBER(K119)),IF(F119="空",T119-L119,L119-T119)/K119,"")</f>
        <v/>
      </c>
      <c r="V119" s="38" t="str">
        <f>IF(ISNUMBER(U119),IF(U119&lt;'参数'!$C$15,"先降杠杆或减量","在止损外"),"")</f>
        <v/>
      </c>
      <c r="W119" s="30" t="n"/>
      <c r="X119" s="31" t="n"/>
      <c r="Y119" s="39" t="str">
        <f>IF(N(AB119)&gt;0,SUMPRODUCT(LARGE(('成交明细'!$A$5:$A$804=A119)*('成交明细'!$D$5:$D$804=IF(F119="空","卖","买"))*'成交明细'!$B$5:$B$804,COUNTIFS('成交明细'!$A$5:$A$804,A119,'成交明细'!$D$5:$D$804,IF(F119="空","卖","买")))),"")</f>
        <v/>
      </c>
      <c r="Z119" s="39" t="str">
        <f>IF(AND(N(AB119)&gt;0,N(AD119)&gt;=N(AB119)),SUMPRODUCT(MAX(('成交明细'!$A$5:$A$804=A119)*('成交明细'!$D$5:$D$804=IF(F119="空","买","卖"))*'成交明细'!$B$5:$B$804)),"")</f>
        <v/>
      </c>
      <c r="AA119" s="40" t="str">
        <f>IF(N(AB119)=0,"",IF(SUMPRODUCT(('成交明细'!$A$5:$A$804=A119)*('成交明细'!$D$5:$D$804=IF(F119="空","卖","买"))*ISNUMBER('成交明细'!$C$5:$C$804))=0,"没填时间",IFERROR(VLOOKUP(MOD(SUMPRODUCT(LARGE(('成交明细'!$A$5:$A$804=A119)*('成交明细'!$D$5:$D$804=IF(F119="空","卖","买"))*('成交明细'!$B$5:$B$804+'成交明细'!$C$5:$C$804),COUNTIFS('成交明细'!$A$5:$A$804,A119,'成交明细'!$D$5:$D$804,IF(F119="空","卖","买")))),1),'参数'!$B$39:$C$48,2,TRUE),"")))</f>
        <v/>
      </c>
      <c r="AB119" s="34" t="str">
        <f>IF(A119="","",SUMIFS('成交明细'!$F$5:$F$804,'成交明细'!$A$5:$A$804,A119,'成交明细'!$D$5:$D$804,IF(F119="空","卖","买")))</f>
        <v/>
      </c>
      <c r="AC119" s="41" t="str">
        <f>IF(N(AB119)&gt;0,SUMIFS('成交明细'!$H$5:$H$804,'成交明细'!$A$5:$A$804,A119,'成交明细'!$D$5:$D$804,IF(F119="空","卖","买"))/AB119,"")</f>
        <v/>
      </c>
      <c r="AD119" s="34" t="str">
        <f>IF(A119="","",SUMIFS('成交明细'!$F$5:$F$804,'成交明细'!$A$5:$A$804,A119,'成交明细'!$D$5:$D$804,IF(F119="空","买","卖")))</f>
        <v/>
      </c>
      <c r="AE119" s="41" t="str">
        <f>IF(N(AD119)&gt;0,SUMIFS('成交明细'!$H$5:$H$804,'成交明细'!$A$5:$A$804,A119,'成交明细'!$D$5:$D$804,IF(F119="空","买","卖"))/AD119,"")</f>
        <v/>
      </c>
      <c r="AF119" s="38" t="str">
        <f>IF(A119="","",IF(X119&lt;&gt;"已执行",IF(X119="","未填执行情况",X119),IF(N(AB119)=0,"待录成交",IF(N(AD119)&gt;N(AB119),"平仓多于开仓",IF(N(AD119)&lt;N(AB119),"持仓中","已平仓")))))</f>
        <v/>
      </c>
      <c r="AG119" s="42" t="str">
        <f>IF(N(AB119)=0,"",SUMIFS('成交明细'!$L$5:$L$804,'成交明细'!$A$5:$A$804,A119))</f>
        <v/>
      </c>
      <c r="AH119" s="43" t="str">
        <f>IF(A119="","",SUMIFS('资金费流水'!$F$5:$F$604,'资金费流水'!$B$5:$B$604,A119))</f>
        <v/>
      </c>
      <c r="AI119" s="43" t="str">
        <f>IF(AF119&lt;&gt;"已平仓","",(SUMIFS('成交明细'!$H$5:$H$804,'成交明细'!$A$5:$A$804,A119,'成交明细'!$D$5:$D$804,"卖")-SUMIFS('成交明细'!$H$5:$H$804,'成交明细'!$A$5:$A$804,A119,'成交明细'!$D$5:$D$804,"买"))*1-AG119+N(AH119))</f>
        <v/>
      </c>
      <c r="AJ119" s="44" t="str">
        <f>IF(AND(AF119="已平仓",ISNUMBER(Q119)),(SUMIFS('成交明细'!$H$5:$H$804,'成交明细'!$A$5:$A$804,A119,'成交明细'!$D$5:$D$804,"卖")-SUMIFS('成交明细'!$H$5:$H$804,'成交明细'!$A$5:$A$804,A119,'成交明细'!$D$5:$D$804,"买"))*1/Q119,"")</f>
        <v/>
      </c>
      <c r="AK119" s="44" t="str">
        <f>IF(AND(AF119="已平仓",ISNUMBER(Q119)),AI119/Q119,"")</f>
        <v/>
      </c>
      <c r="AL119" s="45" t="str">
        <f>IF(AND(ISNUMBER(AC119),ISNUMBER(K119)),IF(F119="空",K119-AC119,AC119-K119),"")</f>
        <v/>
      </c>
      <c r="AM119" s="45" t="str">
        <f>IF(OR(NOT(ISNUMBER(AI119)),NOT(ISNUMBER(AE119))),"",IF(AI119&lt;0,IF(F119="空",AE119-L119,L119-AE119),IF(NOT(ISNUMBER(M119)),"",IF(F119="空",AE119-M119,M119-AE119))))</f>
        <v/>
      </c>
      <c r="AN119" s="31" t="n"/>
      <c r="AO119" s="31" t="n"/>
      <c r="AP119" s="30" t="n"/>
      <c r="AQ119" s="44" t="str">
        <f>IF(A119="","",SUM(AK$5:AK119))</f>
        <v/>
      </c>
      <c r="AR119" s="46" t="str">
        <f>IF(A119="","",MAX(0,MAX(AQ$5:AQ119))-AQ119)</f>
        <v/>
      </c>
    </row>
    <row r="120">
      <c r="A120" s="24" t="n"/>
      <c r="B120" s="29" t="n"/>
      <c r="C120" s="30" t="n"/>
      <c r="D120" s="31" t="n"/>
      <c r="E120" s="31" t="n"/>
      <c r="F120" s="31" t="n"/>
      <c r="G120" s="21" t="n"/>
      <c r="H120" s="31" t="n"/>
      <c r="I120" s="23" t="n"/>
      <c r="J120" s="31" t="n"/>
      <c r="K120" s="32" t="n"/>
      <c r="L120" s="32" t="n"/>
      <c r="M120" s="32" t="n"/>
      <c r="N120" s="33" t="str">
        <f>IF(AND(ISNUMBER(K120),ISNUMBER(L120),ISNUMBER(M120)),IF(OR(AND(F120="多",K120&gt;L120),AND(F120="空",K120&lt;L120)),ABS(M120-K120)/ABS(K120-L120),"止损方向不对"),"")</f>
        <v/>
      </c>
      <c r="O120" s="34" t="str">
        <f>IF(AND(ISNUMBER(K120),ISNUMBER(L120)),IF(K120=L120,"",IF(INT(ROUND('参数'!$C$7/(ABS(K120-L120)*1+2*K120*'参数'!$C$12)/IF(N(J120)&gt;0,J120,1),6))*IF(N(J120)&gt;0,J120,1)&gt;0,INT(ROUND('参数'!$C$7/(ABS(K120-L120)*1+2*K120*'参数'!$C$12)/IF(N(J120)&gt;0,J120,1),6))*IF(N(J120)&gt;0,J120,1),"预算不足，这笔不做")),"")</f>
        <v/>
      </c>
      <c r="P120" s="35" t="n"/>
      <c r="Q120" s="20" t="str">
        <f>IF(AND(ISNUMBER(K120),ISNUMBER(L120),ISNUMBER(P120)),IF(AND(K120&lt;&gt;L120,P120&gt;0),ABS(K120-L120)*P120*1,""),"")</f>
        <v/>
      </c>
      <c r="R120" s="20" t="str">
        <f>IF(AND(ISNUMBER(K120),ISNUMBER(P120)),K120*P120,"")</f>
        <v/>
      </c>
      <c r="S120" s="20" t="str">
        <f>IF(AND(D120="合约",ISNUMBER(R120),N(G120)&gt;0),R120/G120,"")</f>
        <v/>
      </c>
      <c r="T120" s="36" t="str">
        <f>IF(NOT(D120="合约"),"",IF(H120&lt;&gt;"逐仓","看平台",IF(AND(ISNUMBER(K120),N(G120)&gt;0),IF(F120="空",K120*(1+1/G120-IF(ISNUMBER(I120),I120,'参数'!$C$13)),K120*(1-1/G120+IF(ISNUMBER(I120),I120,'参数'!$C$13))),"")))</f>
        <v/>
      </c>
      <c r="U120" s="37" t="str">
        <f>IF(AND(ISNUMBER(T120),ISNUMBER(L120),ISNUMBER(K120)),IF(F120="空",T120-L120,L120-T120)/K120,"")</f>
        <v/>
      </c>
      <c r="V120" s="38" t="str">
        <f>IF(ISNUMBER(U120),IF(U120&lt;'参数'!$C$15,"先降杠杆或减量","在止损外"),"")</f>
        <v/>
      </c>
      <c r="W120" s="30" t="n"/>
      <c r="X120" s="31" t="n"/>
      <c r="Y120" s="39" t="str">
        <f>IF(N(AB120)&gt;0,SUMPRODUCT(LARGE(('成交明细'!$A$5:$A$804=A120)*('成交明细'!$D$5:$D$804=IF(F120="空","卖","买"))*'成交明细'!$B$5:$B$804,COUNTIFS('成交明细'!$A$5:$A$804,A120,'成交明细'!$D$5:$D$804,IF(F120="空","卖","买")))),"")</f>
        <v/>
      </c>
      <c r="Z120" s="39" t="str">
        <f>IF(AND(N(AB120)&gt;0,N(AD120)&gt;=N(AB120)),SUMPRODUCT(MAX(('成交明细'!$A$5:$A$804=A120)*('成交明细'!$D$5:$D$804=IF(F120="空","买","卖"))*'成交明细'!$B$5:$B$804)),"")</f>
        <v/>
      </c>
      <c r="AA120" s="40" t="str">
        <f>IF(N(AB120)=0,"",IF(SUMPRODUCT(('成交明细'!$A$5:$A$804=A120)*('成交明细'!$D$5:$D$804=IF(F120="空","卖","买"))*ISNUMBER('成交明细'!$C$5:$C$804))=0,"没填时间",IFERROR(VLOOKUP(MOD(SUMPRODUCT(LARGE(('成交明细'!$A$5:$A$804=A120)*('成交明细'!$D$5:$D$804=IF(F120="空","卖","买"))*('成交明细'!$B$5:$B$804+'成交明细'!$C$5:$C$804),COUNTIFS('成交明细'!$A$5:$A$804,A120,'成交明细'!$D$5:$D$804,IF(F120="空","卖","买")))),1),'参数'!$B$39:$C$48,2,TRUE),"")))</f>
        <v/>
      </c>
      <c r="AB120" s="34" t="str">
        <f>IF(A120="","",SUMIFS('成交明细'!$F$5:$F$804,'成交明细'!$A$5:$A$804,A120,'成交明细'!$D$5:$D$804,IF(F120="空","卖","买")))</f>
        <v/>
      </c>
      <c r="AC120" s="41" t="str">
        <f>IF(N(AB120)&gt;0,SUMIFS('成交明细'!$H$5:$H$804,'成交明细'!$A$5:$A$804,A120,'成交明细'!$D$5:$D$804,IF(F120="空","卖","买"))/AB120,"")</f>
        <v/>
      </c>
      <c r="AD120" s="34" t="str">
        <f>IF(A120="","",SUMIFS('成交明细'!$F$5:$F$804,'成交明细'!$A$5:$A$804,A120,'成交明细'!$D$5:$D$804,IF(F120="空","买","卖")))</f>
        <v/>
      </c>
      <c r="AE120" s="41" t="str">
        <f>IF(N(AD120)&gt;0,SUMIFS('成交明细'!$H$5:$H$804,'成交明细'!$A$5:$A$804,A120,'成交明细'!$D$5:$D$804,IF(F120="空","买","卖"))/AD120,"")</f>
        <v/>
      </c>
      <c r="AF120" s="38" t="str">
        <f>IF(A120="","",IF(X120&lt;&gt;"已执行",IF(X120="","未填执行情况",X120),IF(N(AB120)=0,"待录成交",IF(N(AD120)&gt;N(AB120),"平仓多于开仓",IF(N(AD120)&lt;N(AB120),"持仓中","已平仓")))))</f>
        <v/>
      </c>
      <c r="AG120" s="42" t="str">
        <f>IF(N(AB120)=0,"",SUMIFS('成交明细'!$L$5:$L$804,'成交明细'!$A$5:$A$804,A120))</f>
        <v/>
      </c>
      <c r="AH120" s="43" t="str">
        <f>IF(A120="","",SUMIFS('资金费流水'!$F$5:$F$604,'资金费流水'!$B$5:$B$604,A120))</f>
        <v/>
      </c>
      <c r="AI120" s="43" t="str">
        <f>IF(AF120&lt;&gt;"已平仓","",(SUMIFS('成交明细'!$H$5:$H$804,'成交明细'!$A$5:$A$804,A120,'成交明细'!$D$5:$D$804,"卖")-SUMIFS('成交明细'!$H$5:$H$804,'成交明细'!$A$5:$A$804,A120,'成交明细'!$D$5:$D$804,"买"))*1-AG120+N(AH120))</f>
        <v/>
      </c>
      <c r="AJ120" s="44" t="str">
        <f>IF(AND(AF120="已平仓",ISNUMBER(Q120)),(SUMIFS('成交明细'!$H$5:$H$804,'成交明细'!$A$5:$A$804,A120,'成交明细'!$D$5:$D$804,"卖")-SUMIFS('成交明细'!$H$5:$H$804,'成交明细'!$A$5:$A$804,A120,'成交明细'!$D$5:$D$804,"买"))*1/Q120,"")</f>
        <v/>
      </c>
      <c r="AK120" s="44" t="str">
        <f>IF(AND(AF120="已平仓",ISNUMBER(Q120)),AI120/Q120,"")</f>
        <v/>
      </c>
      <c r="AL120" s="45" t="str">
        <f>IF(AND(ISNUMBER(AC120),ISNUMBER(K120)),IF(F120="空",K120-AC120,AC120-K120),"")</f>
        <v/>
      </c>
      <c r="AM120" s="45" t="str">
        <f>IF(OR(NOT(ISNUMBER(AI120)),NOT(ISNUMBER(AE120))),"",IF(AI120&lt;0,IF(F120="空",AE120-L120,L120-AE120),IF(NOT(ISNUMBER(M120)),"",IF(F120="空",AE120-M120,M120-AE120))))</f>
        <v/>
      </c>
      <c r="AN120" s="31" t="n"/>
      <c r="AO120" s="31" t="n"/>
      <c r="AP120" s="30" t="n"/>
      <c r="AQ120" s="44" t="str">
        <f>IF(A120="","",SUM(AK$5:AK120))</f>
        <v/>
      </c>
      <c r="AR120" s="46" t="str">
        <f>IF(A120="","",MAX(0,MAX(AQ$5:AQ120))-AQ120)</f>
        <v/>
      </c>
    </row>
    <row r="121">
      <c r="A121" s="24" t="n"/>
      <c r="B121" s="29" t="n"/>
      <c r="C121" s="30" t="n"/>
      <c r="D121" s="31" t="n"/>
      <c r="E121" s="31" t="n"/>
      <c r="F121" s="31" t="n"/>
      <c r="G121" s="21" t="n"/>
      <c r="H121" s="31" t="n"/>
      <c r="I121" s="23" t="n"/>
      <c r="J121" s="31" t="n"/>
      <c r="K121" s="32" t="n"/>
      <c r="L121" s="32" t="n"/>
      <c r="M121" s="32" t="n"/>
      <c r="N121" s="33" t="str">
        <f>IF(AND(ISNUMBER(K121),ISNUMBER(L121),ISNUMBER(M121)),IF(OR(AND(F121="多",K121&gt;L121),AND(F121="空",K121&lt;L121)),ABS(M121-K121)/ABS(K121-L121),"止损方向不对"),"")</f>
        <v/>
      </c>
      <c r="O121" s="34" t="str">
        <f>IF(AND(ISNUMBER(K121),ISNUMBER(L121)),IF(K121=L121,"",IF(INT(ROUND('参数'!$C$7/(ABS(K121-L121)*1+2*K121*'参数'!$C$12)/IF(N(J121)&gt;0,J121,1),6))*IF(N(J121)&gt;0,J121,1)&gt;0,INT(ROUND('参数'!$C$7/(ABS(K121-L121)*1+2*K121*'参数'!$C$12)/IF(N(J121)&gt;0,J121,1),6))*IF(N(J121)&gt;0,J121,1),"预算不足，这笔不做")),"")</f>
        <v/>
      </c>
      <c r="P121" s="35" t="n"/>
      <c r="Q121" s="20" t="str">
        <f>IF(AND(ISNUMBER(K121),ISNUMBER(L121),ISNUMBER(P121)),IF(AND(K121&lt;&gt;L121,P121&gt;0),ABS(K121-L121)*P121*1,""),"")</f>
        <v/>
      </c>
      <c r="R121" s="20" t="str">
        <f>IF(AND(ISNUMBER(K121),ISNUMBER(P121)),K121*P121,"")</f>
        <v/>
      </c>
      <c r="S121" s="20" t="str">
        <f>IF(AND(D121="合约",ISNUMBER(R121),N(G121)&gt;0),R121/G121,"")</f>
        <v/>
      </c>
      <c r="T121" s="36" t="str">
        <f>IF(NOT(D121="合约"),"",IF(H121&lt;&gt;"逐仓","看平台",IF(AND(ISNUMBER(K121),N(G121)&gt;0),IF(F121="空",K121*(1+1/G121-IF(ISNUMBER(I121),I121,'参数'!$C$13)),K121*(1-1/G121+IF(ISNUMBER(I121),I121,'参数'!$C$13))),"")))</f>
        <v/>
      </c>
      <c r="U121" s="37" t="str">
        <f>IF(AND(ISNUMBER(T121),ISNUMBER(L121),ISNUMBER(K121)),IF(F121="空",T121-L121,L121-T121)/K121,"")</f>
        <v/>
      </c>
      <c r="V121" s="38" t="str">
        <f>IF(ISNUMBER(U121),IF(U121&lt;'参数'!$C$15,"先降杠杆或减量","在止损外"),"")</f>
        <v/>
      </c>
      <c r="W121" s="30" t="n"/>
      <c r="X121" s="31" t="n"/>
      <c r="Y121" s="39" t="str">
        <f>IF(N(AB121)&gt;0,SUMPRODUCT(LARGE(('成交明细'!$A$5:$A$804=A121)*('成交明细'!$D$5:$D$804=IF(F121="空","卖","买"))*'成交明细'!$B$5:$B$804,COUNTIFS('成交明细'!$A$5:$A$804,A121,'成交明细'!$D$5:$D$804,IF(F121="空","卖","买")))),"")</f>
        <v/>
      </c>
      <c r="Z121" s="39" t="str">
        <f>IF(AND(N(AB121)&gt;0,N(AD121)&gt;=N(AB121)),SUMPRODUCT(MAX(('成交明细'!$A$5:$A$804=A121)*('成交明细'!$D$5:$D$804=IF(F121="空","买","卖"))*'成交明细'!$B$5:$B$804)),"")</f>
        <v/>
      </c>
      <c r="AA121" s="40" t="str">
        <f>IF(N(AB121)=0,"",IF(SUMPRODUCT(('成交明细'!$A$5:$A$804=A121)*('成交明细'!$D$5:$D$804=IF(F121="空","卖","买"))*ISNUMBER('成交明细'!$C$5:$C$804))=0,"没填时间",IFERROR(VLOOKUP(MOD(SUMPRODUCT(LARGE(('成交明细'!$A$5:$A$804=A121)*('成交明细'!$D$5:$D$804=IF(F121="空","卖","买"))*('成交明细'!$B$5:$B$804+'成交明细'!$C$5:$C$804),COUNTIFS('成交明细'!$A$5:$A$804,A121,'成交明细'!$D$5:$D$804,IF(F121="空","卖","买")))),1),'参数'!$B$39:$C$48,2,TRUE),"")))</f>
        <v/>
      </c>
      <c r="AB121" s="34" t="str">
        <f>IF(A121="","",SUMIFS('成交明细'!$F$5:$F$804,'成交明细'!$A$5:$A$804,A121,'成交明细'!$D$5:$D$804,IF(F121="空","卖","买")))</f>
        <v/>
      </c>
      <c r="AC121" s="41" t="str">
        <f>IF(N(AB121)&gt;0,SUMIFS('成交明细'!$H$5:$H$804,'成交明细'!$A$5:$A$804,A121,'成交明细'!$D$5:$D$804,IF(F121="空","卖","买"))/AB121,"")</f>
        <v/>
      </c>
      <c r="AD121" s="34" t="str">
        <f>IF(A121="","",SUMIFS('成交明细'!$F$5:$F$804,'成交明细'!$A$5:$A$804,A121,'成交明细'!$D$5:$D$804,IF(F121="空","买","卖")))</f>
        <v/>
      </c>
      <c r="AE121" s="41" t="str">
        <f>IF(N(AD121)&gt;0,SUMIFS('成交明细'!$H$5:$H$804,'成交明细'!$A$5:$A$804,A121,'成交明细'!$D$5:$D$804,IF(F121="空","买","卖"))/AD121,"")</f>
        <v/>
      </c>
      <c r="AF121" s="38" t="str">
        <f>IF(A121="","",IF(X121&lt;&gt;"已执行",IF(X121="","未填执行情况",X121),IF(N(AB121)=0,"待录成交",IF(N(AD121)&gt;N(AB121),"平仓多于开仓",IF(N(AD121)&lt;N(AB121),"持仓中","已平仓")))))</f>
        <v/>
      </c>
      <c r="AG121" s="42" t="str">
        <f>IF(N(AB121)=0,"",SUMIFS('成交明细'!$L$5:$L$804,'成交明细'!$A$5:$A$804,A121))</f>
        <v/>
      </c>
      <c r="AH121" s="43" t="str">
        <f>IF(A121="","",SUMIFS('资金费流水'!$F$5:$F$604,'资金费流水'!$B$5:$B$604,A121))</f>
        <v/>
      </c>
      <c r="AI121" s="43" t="str">
        <f>IF(AF121&lt;&gt;"已平仓","",(SUMIFS('成交明细'!$H$5:$H$804,'成交明细'!$A$5:$A$804,A121,'成交明细'!$D$5:$D$804,"卖")-SUMIFS('成交明细'!$H$5:$H$804,'成交明细'!$A$5:$A$804,A121,'成交明细'!$D$5:$D$804,"买"))*1-AG121+N(AH121))</f>
        <v/>
      </c>
      <c r="AJ121" s="44" t="str">
        <f>IF(AND(AF121="已平仓",ISNUMBER(Q121)),(SUMIFS('成交明细'!$H$5:$H$804,'成交明细'!$A$5:$A$804,A121,'成交明细'!$D$5:$D$804,"卖")-SUMIFS('成交明细'!$H$5:$H$804,'成交明细'!$A$5:$A$804,A121,'成交明细'!$D$5:$D$804,"买"))*1/Q121,"")</f>
        <v/>
      </c>
      <c r="AK121" s="44" t="str">
        <f>IF(AND(AF121="已平仓",ISNUMBER(Q121)),AI121/Q121,"")</f>
        <v/>
      </c>
      <c r="AL121" s="45" t="str">
        <f>IF(AND(ISNUMBER(AC121),ISNUMBER(K121)),IF(F121="空",K121-AC121,AC121-K121),"")</f>
        <v/>
      </c>
      <c r="AM121" s="45" t="str">
        <f>IF(OR(NOT(ISNUMBER(AI121)),NOT(ISNUMBER(AE121))),"",IF(AI121&lt;0,IF(F121="空",AE121-L121,L121-AE121),IF(NOT(ISNUMBER(M121)),"",IF(F121="空",AE121-M121,M121-AE121))))</f>
        <v/>
      </c>
      <c r="AN121" s="31" t="n"/>
      <c r="AO121" s="31" t="n"/>
      <c r="AP121" s="30" t="n"/>
      <c r="AQ121" s="44" t="str">
        <f>IF(A121="","",SUM(AK$5:AK121))</f>
        <v/>
      </c>
      <c r="AR121" s="46" t="str">
        <f>IF(A121="","",MAX(0,MAX(AQ$5:AQ121))-AQ121)</f>
        <v/>
      </c>
    </row>
    <row r="122">
      <c r="A122" s="24" t="n"/>
      <c r="B122" s="29" t="n"/>
      <c r="C122" s="30" t="n"/>
      <c r="D122" s="31" t="n"/>
      <c r="E122" s="31" t="n"/>
      <c r="F122" s="31" t="n"/>
      <c r="G122" s="21" t="n"/>
      <c r="H122" s="31" t="n"/>
      <c r="I122" s="23" t="n"/>
      <c r="J122" s="31" t="n"/>
      <c r="K122" s="32" t="n"/>
      <c r="L122" s="32" t="n"/>
      <c r="M122" s="32" t="n"/>
      <c r="N122" s="33" t="str">
        <f>IF(AND(ISNUMBER(K122),ISNUMBER(L122),ISNUMBER(M122)),IF(OR(AND(F122="多",K122&gt;L122),AND(F122="空",K122&lt;L122)),ABS(M122-K122)/ABS(K122-L122),"止损方向不对"),"")</f>
        <v/>
      </c>
      <c r="O122" s="34" t="str">
        <f>IF(AND(ISNUMBER(K122),ISNUMBER(L122)),IF(K122=L122,"",IF(INT(ROUND('参数'!$C$7/(ABS(K122-L122)*1+2*K122*'参数'!$C$12)/IF(N(J122)&gt;0,J122,1),6))*IF(N(J122)&gt;0,J122,1)&gt;0,INT(ROUND('参数'!$C$7/(ABS(K122-L122)*1+2*K122*'参数'!$C$12)/IF(N(J122)&gt;0,J122,1),6))*IF(N(J122)&gt;0,J122,1),"预算不足，这笔不做")),"")</f>
        <v/>
      </c>
      <c r="P122" s="35" t="n"/>
      <c r="Q122" s="20" t="str">
        <f>IF(AND(ISNUMBER(K122),ISNUMBER(L122),ISNUMBER(P122)),IF(AND(K122&lt;&gt;L122,P122&gt;0),ABS(K122-L122)*P122*1,""),"")</f>
        <v/>
      </c>
      <c r="R122" s="20" t="str">
        <f>IF(AND(ISNUMBER(K122),ISNUMBER(P122)),K122*P122,"")</f>
        <v/>
      </c>
      <c r="S122" s="20" t="str">
        <f>IF(AND(D122="合约",ISNUMBER(R122),N(G122)&gt;0),R122/G122,"")</f>
        <v/>
      </c>
      <c r="T122" s="36" t="str">
        <f>IF(NOT(D122="合约"),"",IF(H122&lt;&gt;"逐仓","看平台",IF(AND(ISNUMBER(K122),N(G122)&gt;0),IF(F122="空",K122*(1+1/G122-IF(ISNUMBER(I122),I122,'参数'!$C$13)),K122*(1-1/G122+IF(ISNUMBER(I122),I122,'参数'!$C$13))),"")))</f>
        <v/>
      </c>
      <c r="U122" s="37" t="str">
        <f>IF(AND(ISNUMBER(T122),ISNUMBER(L122),ISNUMBER(K122)),IF(F122="空",T122-L122,L122-T122)/K122,"")</f>
        <v/>
      </c>
      <c r="V122" s="38" t="str">
        <f>IF(ISNUMBER(U122),IF(U122&lt;'参数'!$C$15,"先降杠杆或减量","在止损外"),"")</f>
        <v/>
      </c>
      <c r="W122" s="30" t="n"/>
      <c r="X122" s="31" t="n"/>
      <c r="Y122" s="39" t="str">
        <f>IF(N(AB122)&gt;0,SUMPRODUCT(LARGE(('成交明细'!$A$5:$A$804=A122)*('成交明细'!$D$5:$D$804=IF(F122="空","卖","买"))*'成交明细'!$B$5:$B$804,COUNTIFS('成交明细'!$A$5:$A$804,A122,'成交明细'!$D$5:$D$804,IF(F122="空","卖","买")))),"")</f>
        <v/>
      </c>
      <c r="Z122" s="39" t="str">
        <f>IF(AND(N(AB122)&gt;0,N(AD122)&gt;=N(AB122)),SUMPRODUCT(MAX(('成交明细'!$A$5:$A$804=A122)*('成交明细'!$D$5:$D$804=IF(F122="空","买","卖"))*'成交明细'!$B$5:$B$804)),"")</f>
        <v/>
      </c>
      <c r="AA122" s="40" t="str">
        <f>IF(N(AB122)=0,"",IF(SUMPRODUCT(('成交明细'!$A$5:$A$804=A122)*('成交明细'!$D$5:$D$804=IF(F122="空","卖","买"))*ISNUMBER('成交明细'!$C$5:$C$804))=0,"没填时间",IFERROR(VLOOKUP(MOD(SUMPRODUCT(LARGE(('成交明细'!$A$5:$A$804=A122)*('成交明细'!$D$5:$D$804=IF(F122="空","卖","买"))*('成交明细'!$B$5:$B$804+'成交明细'!$C$5:$C$804),COUNTIFS('成交明细'!$A$5:$A$804,A122,'成交明细'!$D$5:$D$804,IF(F122="空","卖","买")))),1),'参数'!$B$39:$C$48,2,TRUE),"")))</f>
        <v/>
      </c>
      <c r="AB122" s="34" t="str">
        <f>IF(A122="","",SUMIFS('成交明细'!$F$5:$F$804,'成交明细'!$A$5:$A$804,A122,'成交明细'!$D$5:$D$804,IF(F122="空","卖","买")))</f>
        <v/>
      </c>
      <c r="AC122" s="41" t="str">
        <f>IF(N(AB122)&gt;0,SUMIFS('成交明细'!$H$5:$H$804,'成交明细'!$A$5:$A$804,A122,'成交明细'!$D$5:$D$804,IF(F122="空","卖","买"))/AB122,"")</f>
        <v/>
      </c>
      <c r="AD122" s="34" t="str">
        <f>IF(A122="","",SUMIFS('成交明细'!$F$5:$F$804,'成交明细'!$A$5:$A$804,A122,'成交明细'!$D$5:$D$804,IF(F122="空","买","卖")))</f>
        <v/>
      </c>
      <c r="AE122" s="41" t="str">
        <f>IF(N(AD122)&gt;0,SUMIFS('成交明细'!$H$5:$H$804,'成交明细'!$A$5:$A$804,A122,'成交明细'!$D$5:$D$804,IF(F122="空","买","卖"))/AD122,"")</f>
        <v/>
      </c>
      <c r="AF122" s="38" t="str">
        <f>IF(A122="","",IF(X122&lt;&gt;"已执行",IF(X122="","未填执行情况",X122),IF(N(AB122)=0,"待录成交",IF(N(AD122)&gt;N(AB122),"平仓多于开仓",IF(N(AD122)&lt;N(AB122),"持仓中","已平仓")))))</f>
        <v/>
      </c>
      <c r="AG122" s="42" t="str">
        <f>IF(N(AB122)=0,"",SUMIFS('成交明细'!$L$5:$L$804,'成交明细'!$A$5:$A$804,A122))</f>
        <v/>
      </c>
      <c r="AH122" s="43" t="str">
        <f>IF(A122="","",SUMIFS('资金费流水'!$F$5:$F$604,'资金费流水'!$B$5:$B$604,A122))</f>
        <v/>
      </c>
      <c r="AI122" s="43" t="str">
        <f>IF(AF122&lt;&gt;"已平仓","",(SUMIFS('成交明细'!$H$5:$H$804,'成交明细'!$A$5:$A$804,A122,'成交明细'!$D$5:$D$804,"卖")-SUMIFS('成交明细'!$H$5:$H$804,'成交明细'!$A$5:$A$804,A122,'成交明细'!$D$5:$D$804,"买"))*1-AG122+N(AH122))</f>
        <v/>
      </c>
      <c r="AJ122" s="44" t="str">
        <f>IF(AND(AF122="已平仓",ISNUMBER(Q122)),(SUMIFS('成交明细'!$H$5:$H$804,'成交明细'!$A$5:$A$804,A122,'成交明细'!$D$5:$D$804,"卖")-SUMIFS('成交明细'!$H$5:$H$804,'成交明细'!$A$5:$A$804,A122,'成交明细'!$D$5:$D$804,"买"))*1/Q122,"")</f>
        <v/>
      </c>
      <c r="AK122" s="44" t="str">
        <f>IF(AND(AF122="已平仓",ISNUMBER(Q122)),AI122/Q122,"")</f>
        <v/>
      </c>
      <c r="AL122" s="45" t="str">
        <f>IF(AND(ISNUMBER(AC122),ISNUMBER(K122)),IF(F122="空",K122-AC122,AC122-K122),"")</f>
        <v/>
      </c>
      <c r="AM122" s="45" t="str">
        <f>IF(OR(NOT(ISNUMBER(AI122)),NOT(ISNUMBER(AE122))),"",IF(AI122&lt;0,IF(F122="空",AE122-L122,L122-AE122),IF(NOT(ISNUMBER(M122)),"",IF(F122="空",AE122-M122,M122-AE122))))</f>
        <v/>
      </c>
      <c r="AN122" s="31" t="n"/>
      <c r="AO122" s="31" t="n"/>
      <c r="AP122" s="30" t="n"/>
      <c r="AQ122" s="44" t="str">
        <f>IF(A122="","",SUM(AK$5:AK122))</f>
        <v/>
      </c>
      <c r="AR122" s="46" t="str">
        <f>IF(A122="","",MAX(0,MAX(AQ$5:AQ122))-AQ122)</f>
        <v/>
      </c>
    </row>
    <row r="123">
      <c r="A123" s="24" t="n"/>
      <c r="B123" s="29" t="n"/>
      <c r="C123" s="30" t="n"/>
      <c r="D123" s="31" t="n"/>
      <c r="E123" s="31" t="n"/>
      <c r="F123" s="31" t="n"/>
      <c r="G123" s="21" t="n"/>
      <c r="H123" s="31" t="n"/>
      <c r="I123" s="23" t="n"/>
      <c r="J123" s="31" t="n"/>
      <c r="K123" s="32" t="n"/>
      <c r="L123" s="32" t="n"/>
      <c r="M123" s="32" t="n"/>
      <c r="N123" s="33" t="str">
        <f>IF(AND(ISNUMBER(K123),ISNUMBER(L123),ISNUMBER(M123)),IF(OR(AND(F123="多",K123&gt;L123),AND(F123="空",K123&lt;L123)),ABS(M123-K123)/ABS(K123-L123),"止损方向不对"),"")</f>
        <v/>
      </c>
      <c r="O123" s="34" t="str">
        <f>IF(AND(ISNUMBER(K123),ISNUMBER(L123)),IF(K123=L123,"",IF(INT(ROUND('参数'!$C$7/(ABS(K123-L123)*1+2*K123*'参数'!$C$12)/IF(N(J123)&gt;0,J123,1),6))*IF(N(J123)&gt;0,J123,1)&gt;0,INT(ROUND('参数'!$C$7/(ABS(K123-L123)*1+2*K123*'参数'!$C$12)/IF(N(J123)&gt;0,J123,1),6))*IF(N(J123)&gt;0,J123,1),"预算不足，这笔不做")),"")</f>
        <v/>
      </c>
      <c r="P123" s="35" t="n"/>
      <c r="Q123" s="20" t="str">
        <f>IF(AND(ISNUMBER(K123),ISNUMBER(L123),ISNUMBER(P123)),IF(AND(K123&lt;&gt;L123,P123&gt;0),ABS(K123-L123)*P123*1,""),"")</f>
        <v/>
      </c>
      <c r="R123" s="20" t="str">
        <f>IF(AND(ISNUMBER(K123),ISNUMBER(P123)),K123*P123,"")</f>
        <v/>
      </c>
      <c r="S123" s="20" t="str">
        <f>IF(AND(D123="合约",ISNUMBER(R123),N(G123)&gt;0),R123/G123,"")</f>
        <v/>
      </c>
      <c r="T123" s="36" t="str">
        <f>IF(NOT(D123="合约"),"",IF(H123&lt;&gt;"逐仓","看平台",IF(AND(ISNUMBER(K123),N(G123)&gt;0),IF(F123="空",K123*(1+1/G123-IF(ISNUMBER(I123),I123,'参数'!$C$13)),K123*(1-1/G123+IF(ISNUMBER(I123),I123,'参数'!$C$13))),"")))</f>
        <v/>
      </c>
      <c r="U123" s="37" t="str">
        <f>IF(AND(ISNUMBER(T123),ISNUMBER(L123),ISNUMBER(K123)),IF(F123="空",T123-L123,L123-T123)/K123,"")</f>
        <v/>
      </c>
      <c r="V123" s="38" t="str">
        <f>IF(ISNUMBER(U123),IF(U123&lt;'参数'!$C$15,"先降杠杆或减量","在止损外"),"")</f>
        <v/>
      </c>
      <c r="W123" s="30" t="n"/>
      <c r="X123" s="31" t="n"/>
      <c r="Y123" s="39" t="str">
        <f>IF(N(AB123)&gt;0,SUMPRODUCT(LARGE(('成交明细'!$A$5:$A$804=A123)*('成交明细'!$D$5:$D$804=IF(F123="空","卖","买"))*'成交明细'!$B$5:$B$804,COUNTIFS('成交明细'!$A$5:$A$804,A123,'成交明细'!$D$5:$D$804,IF(F123="空","卖","买")))),"")</f>
        <v/>
      </c>
      <c r="Z123" s="39" t="str">
        <f>IF(AND(N(AB123)&gt;0,N(AD123)&gt;=N(AB123)),SUMPRODUCT(MAX(('成交明细'!$A$5:$A$804=A123)*('成交明细'!$D$5:$D$804=IF(F123="空","买","卖"))*'成交明细'!$B$5:$B$804)),"")</f>
        <v/>
      </c>
      <c r="AA123" s="40" t="str">
        <f>IF(N(AB123)=0,"",IF(SUMPRODUCT(('成交明细'!$A$5:$A$804=A123)*('成交明细'!$D$5:$D$804=IF(F123="空","卖","买"))*ISNUMBER('成交明细'!$C$5:$C$804))=0,"没填时间",IFERROR(VLOOKUP(MOD(SUMPRODUCT(LARGE(('成交明细'!$A$5:$A$804=A123)*('成交明细'!$D$5:$D$804=IF(F123="空","卖","买"))*('成交明细'!$B$5:$B$804+'成交明细'!$C$5:$C$804),COUNTIFS('成交明细'!$A$5:$A$804,A123,'成交明细'!$D$5:$D$804,IF(F123="空","卖","买")))),1),'参数'!$B$39:$C$48,2,TRUE),"")))</f>
        <v/>
      </c>
      <c r="AB123" s="34" t="str">
        <f>IF(A123="","",SUMIFS('成交明细'!$F$5:$F$804,'成交明细'!$A$5:$A$804,A123,'成交明细'!$D$5:$D$804,IF(F123="空","卖","买")))</f>
        <v/>
      </c>
      <c r="AC123" s="41" t="str">
        <f>IF(N(AB123)&gt;0,SUMIFS('成交明细'!$H$5:$H$804,'成交明细'!$A$5:$A$804,A123,'成交明细'!$D$5:$D$804,IF(F123="空","卖","买"))/AB123,"")</f>
        <v/>
      </c>
      <c r="AD123" s="34" t="str">
        <f>IF(A123="","",SUMIFS('成交明细'!$F$5:$F$804,'成交明细'!$A$5:$A$804,A123,'成交明细'!$D$5:$D$804,IF(F123="空","买","卖")))</f>
        <v/>
      </c>
      <c r="AE123" s="41" t="str">
        <f>IF(N(AD123)&gt;0,SUMIFS('成交明细'!$H$5:$H$804,'成交明细'!$A$5:$A$804,A123,'成交明细'!$D$5:$D$804,IF(F123="空","买","卖"))/AD123,"")</f>
        <v/>
      </c>
      <c r="AF123" s="38" t="str">
        <f>IF(A123="","",IF(X123&lt;&gt;"已执行",IF(X123="","未填执行情况",X123),IF(N(AB123)=0,"待录成交",IF(N(AD123)&gt;N(AB123),"平仓多于开仓",IF(N(AD123)&lt;N(AB123),"持仓中","已平仓")))))</f>
        <v/>
      </c>
      <c r="AG123" s="42" t="str">
        <f>IF(N(AB123)=0,"",SUMIFS('成交明细'!$L$5:$L$804,'成交明细'!$A$5:$A$804,A123))</f>
        <v/>
      </c>
      <c r="AH123" s="43" t="str">
        <f>IF(A123="","",SUMIFS('资金费流水'!$F$5:$F$604,'资金费流水'!$B$5:$B$604,A123))</f>
        <v/>
      </c>
      <c r="AI123" s="43" t="str">
        <f>IF(AF123&lt;&gt;"已平仓","",(SUMIFS('成交明细'!$H$5:$H$804,'成交明细'!$A$5:$A$804,A123,'成交明细'!$D$5:$D$804,"卖")-SUMIFS('成交明细'!$H$5:$H$804,'成交明细'!$A$5:$A$804,A123,'成交明细'!$D$5:$D$804,"买"))*1-AG123+N(AH123))</f>
        <v/>
      </c>
      <c r="AJ123" s="44" t="str">
        <f>IF(AND(AF123="已平仓",ISNUMBER(Q123)),(SUMIFS('成交明细'!$H$5:$H$804,'成交明细'!$A$5:$A$804,A123,'成交明细'!$D$5:$D$804,"卖")-SUMIFS('成交明细'!$H$5:$H$804,'成交明细'!$A$5:$A$804,A123,'成交明细'!$D$5:$D$804,"买"))*1/Q123,"")</f>
        <v/>
      </c>
      <c r="AK123" s="44" t="str">
        <f>IF(AND(AF123="已平仓",ISNUMBER(Q123)),AI123/Q123,"")</f>
        <v/>
      </c>
      <c r="AL123" s="45" t="str">
        <f>IF(AND(ISNUMBER(AC123),ISNUMBER(K123)),IF(F123="空",K123-AC123,AC123-K123),"")</f>
        <v/>
      </c>
      <c r="AM123" s="45" t="str">
        <f>IF(OR(NOT(ISNUMBER(AI123)),NOT(ISNUMBER(AE123))),"",IF(AI123&lt;0,IF(F123="空",AE123-L123,L123-AE123),IF(NOT(ISNUMBER(M123)),"",IF(F123="空",AE123-M123,M123-AE123))))</f>
        <v/>
      </c>
      <c r="AN123" s="31" t="n"/>
      <c r="AO123" s="31" t="n"/>
      <c r="AP123" s="30" t="n"/>
      <c r="AQ123" s="44" t="str">
        <f>IF(A123="","",SUM(AK$5:AK123))</f>
        <v/>
      </c>
      <c r="AR123" s="46" t="str">
        <f>IF(A123="","",MAX(0,MAX(AQ$5:AQ123))-AQ123)</f>
        <v/>
      </c>
    </row>
    <row r="124">
      <c r="A124" s="24" t="n"/>
      <c r="B124" s="29" t="n"/>
      <c r="C124" s="30" t="n"/>
      <c r="D124" s="31" t="n"/>
      <c r="E124" s="31" t="n"/>
      <c r="F124" s="31" t="n"/>
      <c r="G124" s="21" t="n"/>
      <c r="H124" s="31" t="n"/>
      <c r="I124" s="23" t="n"/>
      <c r="J124" s="31" t="n"/>
      <c r="K124" s="32" t="n"/>
      <c r="L124" s="32" t="n"/>
      <c r="M124" s="32" t="n"/>
      <c r="N124" s="33" t="str">
        <f>IF(AND(ISNUMBER(K124),ISNUMBER(L124),ISNUMBER(M124)),IF(OR(AND(F124="多",K124&gt;L124),AND(F124="空",K124&lt;L124)),ABS(M124-K124)/ABS(K124-L124),"止损方向不对"),"")</f>
        <v/>
      </c>
      <c r="O124" s="34" t="str">
        <f>IF(AND(ISNUMBER(K124),ISNUMBER(L124)),IF(K124=L124,"",IF(INT(ROUND('参数'!$C$7/(ABS(K124-L124)*1+2*K124*'参数'!$C$12)/IF(N(J124)&gt;0,J124,1),6))*IF(N(J124)&gt;0,J124,1)&gt;0,INT(ROUND('参数'!$C$7/(ABS(K124-L124)*1+2*K124*'参数'!$C$12)/IF(N(J124)&gt;0,J124,1),6))*IF(N(J124)&gt;0,J124,1),"预算不足，这笔不做")),"")</f>
        <v/>
      </c>
      <c r="P124" s="35" t="n"/>
      <c r="Q124" s="20" t="str">
        <f>IF(AND(ISNUMBER(K124),ISNUMBER(L124),ISNUMBER(P124)),IF(AND(K124&lt;&gt;L124,P124&gt;0),ABS(K124-L124)*P124*1,""),"")</f>
        <v/>
      </c>
      <c r="R124" s="20" t="str">
        <f>IF(AND(ISNUMBER(K124),ISNUMBER(P124)),K124*P124,"")</f>
        <v/>
      </c>
      <c r="S124" s="20" t="str">
        <f>IF(AND(D124="合约",ISNUMBER(R124),N(G124)&gt;0),R124/G124,"")</f>
        <v/>
      </c>
      <c r="T124" s="36" t="str">
        <f>IF(NOT(D124="合约"),"",IF(H124&lt;&gt;"逐仓","看平台",IF(AND(ISNUMBER(K124),N(G124)&gt;0),IF(F124="空",K124*(1+1/G124-IF(ISNUMBER(I124),I124,'参数'!$C$13)),K124*(1-1/G124+IF(ISNUMBER(I124),I124,'参数'!$C$13))),"")))</f>
        <v/>
      </c>
      <c r="U124" s="37" t="str">
        <f>IF(AND(ISNUMBER(T124),ISNUMBER(L124),ISNUMBER(K124)),IF(F124="空",T124-L124,L124-T124)/K124,"")</f>
        <v/>
      </c>
      <c r="V124" s="38" t="str">
        <f>IF(ISNUMBER(U124),IF(U124&lt;'参数'!$C$15,"先降杠杆或减量","在止损外"),"")</f>
        <v/>
      </c>
      <c r="W124" s="30" t="n"/>
      <c r="X124" s="31" t="n"/>
      <c r="Y124" s="39" t="str">
        <f>IF(N(AB124)&gt;0,SUMPRODUCT(LARGE(('成交明细'!$A$5:$A$804=A124)*('成交明细'!$D$5:$D$804=IF(F124="空","卖","买"))*'成交明细'!$B$5:$B$804,COUNTIFS('成交明细'!$A$5:$A$804,A124,'成交明细'!$D$5:$D$804,IF(F124="空","卖","买")))),"")</f>
        <v/>
      </c>
      <c r="Z124" s="39" t="str">
        <f>IF(AND(N(AB124)&gt;0,N(AD124)&gt;=N(AB124)),SUMPRODUCT(MAX(('成交明细'!$A$5:$A$804=A124)*('成交明细'!$D$5:$D$804=IF(F124="空","买","卖"))*'成交明细'!$B$5:$B$804)),"")</f>
        <v/>
      </c>
      <c r="AA124" s="40" t="str">
        <f>IF(N(AB124)=0,"",IF(SUMPRODUCT(('成交明细'!$A$5:$A$804=A124)*('成交明细'!$D$5:$D$804=IF(F124="空","卖","买"))*ISNUMBER('成交明细'!$C$5:$C$804))=0,"没填时间",IFERROR(VLOOKUP(MOD(SUMPRODUCT(LARGE(('成交明细'!$A$5:$A$804=A124)*('成交明细'!$D$5:$D$804=IF(F124="空","卖","买"))*('成交明细'!$B$5:$B$804+'成交明细'!$C$5:$C$804),COUNTIFS('成交明细'!$A$5:$A$804,A124,'成交明细'!$D$5:$D$804,IF(F124="空","卖","买")))),1),'参数'!$B$39:$C$48,2,TRUE),"")))</f>
        <v/>
      </c>
      <c r="AB124" s="34" t="str">
        <f>IF(A124="","",SUMIFS('成交明细'!$F$5:$F$804,'成交明细'!$A$5:$A$804,A124,'成交明细'!$D$5:$D$804,IF(F124="空","卖","买")))</f>
        <v/>
      </c>
      <c r="AC124" s="41" t="str">
        <f>IF(N(AB124)&gt;0,SUMIFS('成交明细'!$H$5:$H$804,'成交明细'!$A$5:$A$804,A124,'成交明细'!$D$5:$D$804,IF(F124="空","卖","买"))/AB124,"")</f>
        <v/>
      </c>
      <c r="AD124" s="34" t="str">
        <f>IF(A124="","",SUMIFS('成交明细'!$F$5:$F$804,'成交明细'!$A$5:$A$804,A124,'成交明细'!$D$5:$D$804,IF(F124="空","买","卖")))</f>
        <v/>
      </c>
      <c r="AE124" s="41" t="str">
        <f>IF(N(AD124)&gt;0,SUMIFS('成交明细'!$H$5:$H$804,'成交明细'!$A$5:$A$804,A124,'成交明细'!$D$5:$D$804,IF(F124="空","买","卖"))/AD124,"")</f>
        <v/>
      </c>
      <c r="AF124" s="38" t="str">
        <f>IF(A124="","",IF(X124&lt;&gt;"已执行",IF(X124="","未填执行情况",X124),IF(N(AB124)=0,"待录成交",IF(N(AD124)&gt;N(AB124),"平仓多于开仓",IF(N(AD124)&lt;N(AB124),"持仓中","已平仓")))))</f>
        <v/>
      </c>
      <c r="AG124" s="42" t="str">
        <f>IF(N(AB124)=0,"",SUMIFS('成交明细'!$L$5:$L$804,'成交明细'!$A$5:$A$804,A124))</f>
        <v/>
      </c>
      <c r="AH124" s="43" t="str">
        <f>IF(A124="","",SUMIFS('资金费流水'!$F$5:$F$604,'资金费流水'!$B$5:$B$604,A124))</f>
        <v/>
      </c>
      <c r="AI124" s="43" t="str">
        <f>IF(AF124&lt;&gt;"已平仓","",(SUMIFS('成交明细'!$H$5:$H$804,'成交明细'!$A$5:$A$804,A124,'成交明细'!$D$5:$D$804,"卖")-SUMIFS('成交明细'!$H$5:$H$804,'成交明细'!$A$5:$A$804,A124,'成交明细'!$D$5:$D$804,"买"))*1-AG124+N(AH124))</f>
        <v/>
      </c>
      <c r="AJ124" s="44" t="str">
        <f>IF(AND(AF124="已平仓",ISNUMBER(Q124)),(SUMIFS('成交明细'!$H$5:$H$804,'成交明细'!$A$5:$A$804,A124,'成交明细'!$D$5:$D$804,"卖")-SUMIFS('成交明细'!$H$5:$H$804,'成交明细'!$A$5:$A$804,A124,'成交明细'!$D$5:$D$804,"买"))*1/Q124,"")</f>
        <v/>
      </c>
      <c r="AK124" s="44" t="str">
        <f>IF(AND(AF124="已平仓",ISNUMBER(Q124)),AI124/Q124,"")</f>
        <v/>
      </c>
      <c r="AL124" s="45" t="str">
        <f>IF(AND(ISNUMBER(AC124),ISNUMBER(K124)),IF(F124="空",K124-AC124,AC124-K124),"")</f>
        <v/>
      </c>
      <c r="AM124" s="45" t="str">
        <f>IF(OR(NOT(ISNUMBER(AI124)),NOT(ISNUMBER(AE124))),"",IF(AI124&lt;0,IF(F124="空",AE124-L124,L124-AE124),IF(NOT(ISNUMBER(M124)),"",IF(F124="空",AE124-M124,M124-AE124))))</f>
        <v/>
      </c>
      <c r="AN124" s="31" t="n"/>
      <c r="AO124" s="31" t="n"/>
      <c r="AP124" s="30" t="n"/>
      <c r="AQ124" s="44" t="str">
        <f>IF(A124="","",SUM(AK$5:AK124))</f>
        <v/>
      </c>
      <c r="AR124" s="46" t="str">
        <f>IF(A124="","",MAX(0,MAX(AQ$5:AQ124))-AQ124)</f>
        <v/>
      </c>
    </row>
    <row r="125">
      <c r="A125" s="24" t="n"/>
      <c r="B125" s="29" t="n"/>
      <c r="C125" s="30" t="n"/>
      <c r="D125" s="31" t="n"/>
      <c r="E125" s="31" t="n"/>
      <c r="F125" s="31" t="n"/>
      <c r="G125" s="21" t="n"/>
      <c r="H125" s="31" t="n"/>
      <c r="I125" s="23" t="n"/>
      <c r="J125" s="31" t="n"/>
      <c r="K125" s="32" t="n"/>
      <c r="L125" s="32" t="n"/>
      <c r="M125" s="32" t="n"/>
      <c r="N125" s="33" t="str">
        <f>IF(AND(ISNUMBER(K125),ISNUMBER(L125),ISNUMBER(M125)),IF(OR(AND(F125="多",K125&gt;L125),AND(F125="空",K125&lt;L125)),ABS(M125-K125)/ABS(K125-L125),"止损方向不对"),"")</f>
        <v/>
      </c>
      <c r="O125" s="34" t="str">
        <f>IF(AND(ISNUMBER(K125),ISNUMBER(L125)),IF(K125=L125,"",IF(INT(ROUND('参数'!$C$7/(ABS(K125-L125)*1+2*K125*'参数'!$C$12)/IF(N(J125)&gt;0,J125,1),6))*IF(N(J125)&gt;0,J125,1)&gt;0,INT(ROUND('参数'!$C$7/(ABS(K125-L125)*1+2*K125*'参数'!$C$12)/IF(N(J125)&gt;0,J125,1),6))*IF(N(J125)&gt;0,J125,1),"预算不足，这笔不做")),"")</f>
        <v/>
      </c>
      <c r="P125" s="35" t="n"/>
      <c r="Q125" s="20" t="str">
        <f>IF(AND(ISNUMBER(K125),ISNUMBER(L125),ISNUMBER(P125)),IF(AND(K125&lt;&gt;L125,P125&gt;0),ABS(K125-L125)*P125*1,""),"")</f>
        <v/>
      </c>
      <c r="R125" s="20" t="str">
        <f>IF(AND(ISNUMBER(K125),ISNUMBER(P125)),K125*P125,"")</f>
        <v/>
      </c>
      <c r="S125" s="20" t="str">
        <f>IF(AND(D125="合约",ISNUMBER(R125),N(G125)&gt;0),R125/G125,"")</f>
        <v/>
      </c>
      <c r="T125" s="36" t="str">
        <f>IF(NOT(D125="合约"),"",IF(H125&lt;&gt;"逐仓","看平台",IF(AND(ISNUMBER(K125),N(G125)&gt;0),IF(F125="空",K125*(1+1/G125-IF(ISNUMBER(I125),I125,'参数'!$C$13)),K125*(1-1/G125+IF(ISNUMBER(I125),I125,'参数'!$C$13))),"")))</f>
        <v/>
      </c>
      <c r="U125" s="37" t="str">
        <f>IF(AND(ISNUMBER(T125),ISNUMBER(L125),ISNUMBER(K125)),IF(F125="空",T125-L125,L125-T125)/K125,"")</f>
        <v/>
      </c>
      <c r="V125" s="38" t="str">
        <f>IF(ISNUMBER(U125),IF(U125&lt;'参数'!$C$15,"先降杠杆或减量","在止损外"),"")</f>
        <v/>
      </c>
      <c r="W125" s="30" t="n"/>
      <c r="X125" s="31" t="n"/>
      <c r="Y125" s="39" t="str">
        <f>IF(N(AB125)&gt;0,SUMPRODUCT(LARGE(('成交明细'!$A$5:$A$804=A125)*('成交明细'!$D$5:$D$804=IF(F125="空","卖","买"))*'成交明细'!$B$5:$B$804,COUNTIFS('成交明细'!$A$5:$A$804,A125,'成交明细'!$D$5:$D$804,IF(F125="空","卖","买")))),"")</f>
        <v/>
      </c>
      <c r="Z125" s="39" t="str">
        <f>IF(AND(N(AB125)&gt;0,N(AD125)&gt;=N(AB125)),SUMPRODUCT(MAX(('成交明细'!$A$5:$A$804=A125)*('成交明细'!$D$5:$D$804=IF(F125="空","买","卖"))*'成交明细'!$B$5:$B$804)),"")</f>
        <v/>
      </c>
      <c r="AA125" s="40" t="str">
        <f>IF(N(AB125)=0,"",IF(SUMPRODUCT(('成交明细'!$A$5:$A$804=A125)*('成交明细'!$D$5:$D$804=IF(F125="空","卖","买"))*ISNUMBER('成交明细'!$C$5:$C$804))=0,"没填时间",IFERROR(VLOOKUP(MOD(SUMPRODUCT(LARGE(('成交明细'!$A$5:$A$804=A125)*('成交明细'!$D$5:$D$804=IF(F125="空","卖","买"))*('成交明细'!$B$5:$B$804+'成交明细'!$C$5:$C$804),COUNTIFS('成交明细'!$A$5:$A$804,A125,'成交明细'!$D$5:$D$804,IF(F125="空","卖","买")))),1),'参数'!$B$39:$C$48,2,TRUE),"")))</f>
        <v/>
      </c>
      <c r="AB125" s="34" t="str">
        <f>IF(A125="","",SUMIFS('成交明细'!$F$5:$F$804,'成交明细'!$A$5:$A$804,A125,'成交明细'!$D$5:$D$804,IF(F125="空","卖","买")))</f>
        <v/>
      </c>
      <c r="AC125" s="41" t="str">
        <f>IF(N(AB125)&gt;0,SUMIFS('成交明细'!$H$5:$H$804,'成交明细'!$A$5:$A$804,A125,'成交明细'!$D$5:$D$804,IF(F125="空","卖","买"))/AB125,"")</f>
        <v/>
      </c>
      <c r="AD125" s="34" t="str">
        <f>IF(A125="","",SUMIFS('成交明细'!$F$5:$F$804,'成交明细'!$A$5:$A$804,A125,'成交明细'!$D$5:$D$804,IF(F125="空","买","卖")))</f>
        <v/>
      </c>
      <c r="AE125" s="41" t="str">
        <f>IF(N(AD125)&gt;0,SUMIFS('成交明细'!$H$5:$H$804,'成交明细'!$A$5:$A$804,A125,'成交明细'!$D$5:$D$804,IF(F125="空","买","卖"))/AD125,"")</f>
        <v/>
      </c>
      <c r="AF125" s="38" t="str">
        <f>IF(A125="","",IF(X125&lt;&gt;"已执行",IF(X125="","未填执行情况",X125),IF(N(AB125)=0,"待录成交",IF(N(AD125)&gt;N(AB125),"平仓多于开仓",IF(N(AD125)&lt;N(AB125),"持仓中","已平仓")))))</f>
        <v/>
      </c>
      <c r="AG125" s="42" t="str">
        <f>IF(N(AB125)=0,"",SUMIFS('成交明细'!$L$5:$L$804,'成交明细'!$A$5:$A$804,A125))</f>
        <v/>
      </c>
      <c r="AH125" s="43" t="str">
        <f>IF(A125="","",SUMIFS('资金费流水'!$F$5:$F$604,'资金费流水'!$B$5:$B$604,A125))</f>
        <v/>
      </c>
      <c r="AI125" s="43" t="str">
        <f>IF(AF125&lt;&gt;"已平仓","",(SUMIFS('成交明细'!$H$5:$H$804,'成交明细'!$A$5:$A$804,A125,'成交明细'!$D$5:$D$804,"卖")-SUMIFS('成交明细'!$H$5:$H$804,'成交明细'!$A$5:$A$804,A125,'成交明细'!$D$5:$D$804,"买"))*1-AG125+N(AH125))</f>
        <v/>
      </c>
      <c r="AJ125" s="44" t="str">
        <f>IF(AND(AF125="已平仓",ISNUMBER(Q125)),(SUMIFS('成交明细'!$H$5:$H$804,'成交明细'!$A$5:$A$804,A125,'成交明细'!$D$5:$D$804,"卖")-SUMIFS('成交明细'!$H$5:$H$804,'成交明细'!$A$5:$A$804,A125,'成交明细'!$D$5:$D$804,"买"))*1/Q125,"")</f>
        <v/>
      </c>
      <c r="AK125" s="44" t="str">
        <f>IF(AND(AF125="已平仓",ISNUMBER(Q125)),AI125/Q125,"")</f>
        <v/>
      </c>
      <c r="AL125" s="45" t="str">
        <f>IF(AND(ISNUMBER(AC125),ISNUMBER(K125)),IF(F125="空",K125-AC125,AC125-K125),"")</f>
        <v/>
      </c>
      <c r="AM125" s="45" t="str">
        <f>IF(OR(NOT(ISNUMBER(AI125)),NOT(ISNUMBER(AE125))),"",IF(AI125&lt;0,IF(F125="空",AE125-L125,L125-AE125),IF(NOT(ISNUMBER(M125)),"",IF(F125="空",AE125-M125,M125-AE125))))</f>
        <v/>
      </c>
      <c r="AN125" s="31" t="n"/>
      <c r="AO125" s="31" t="n"/>
      <c r="AP125" s="30" t="n"/>
      <c r="AQ125" s="44" t="str">
        <f>IF(A125="","",SUM(AK$5:AK125))</f>
        <v/>
      </c>
      <c r="AR125" s="46" t="str">
        <f>IF(A125="","",MAX(0,MAX(AQ$5:AQ125))-AQ125)</f>
        <v/>
      </c>
    </row>
    <row r="126">
      <c r="A126" s="24" t="n"/>
      <c r="B126" s="29" t="n"/>
      <c r="C126" s="30" t="n"/>
      <c r="D126" s="31" t="n"/>
      <c r="E126" s="31" t="n"/>
      <c r="F126" s="31" t="n"/>
      <c r="G126" s="21" t="n"/>
      <c r="H126" s="31" t="n"/>
      <c r="I126" s="23" t="n"/>
      <c r="J126" s="31" t="n"/>
      <c r="K126" s="32" t="n"/>
      <c r="L126" s="32" t="n"/>
      <c r="M126" s="32" t="n"/>
      <c r="N126" s="33" t="str">
        <f>IF(AND(ISNUMBER(K126),ISNUMBER(L126),ISNUMBER(M126)),IF(OR(AND(F126="多",K126&gt;L126),AND(F126="空",K126&lt;L126)),ABS(M126-K126)/ABS(K126-L126),"止损方向不对"),"")</f>
        <v/>
      </c>
      <c r="O126" s="34" t="str">
        <f>IF(AND(ISNUMBER(K126),ISNUMBER(L126)),IF(K126=L126,"",IF(INT(ROUND('参数'!$C$7/(ABS(K126-L126)*1+2*K126*'参数'!$C$12)/IF(N(J126)&gt;0,J126,1),6))*IF(N(J126)&gt;0,J126,1)&gt;0,INT(ROUND('参数'!$C$7/(ABS(K126-L126)*1+2*K126*'参数'!$C$12)/IF(N(J126)&gt;0,J126,1),6))*IF(N(J126)&gt;0,J126,1),"预算不足，这笔不做")),"")</f>
        <v/>
      </c>
      <c r="P126" s="35" t="n"/>
      <c r="Q126" s="20" t="str">
        <f>IF(AND(ISNUMBER(K126),ISNUMBER(L126),ISNUMBER(P126)),IF(AND(K126&lt;&gt;L126,P126&gt;0),ABS(K126-L126)*P126*1,""),"")</f>
        <v/>
      </c>
      <c r="R126" s="20" t="str">
        <f>IF(AND(ISNUMBER(K126),ISNUMBER(P126)),K126*P126,"")</f>
        <v/>
      </c>
      <c r="S126" s="20" t="str">
        <f>IF(AND(D126="合约",ISNUMBER(R126),N(G126)&gt;0),R126/G126,"")</f>
        <v/>
      </c>
      <c r="T126" s="36" t="str">
        <f>IF(NOT(D126="合约"),"",IF(H126&lt;&gt;"逐仓","看平台",IF(AND(ISNUMBER(K126),N(G126)&gt;0),IF(F126="空",K126*(1+1/G126-IF(ISNUMBER(I126),I126,'参数'!$C$13)),K126*(1-1/G126+IF(ISNUMBER(I126),I126,'参数'!$C$13))),"")))</f>
        <v/>
      </c>
      <c r="U126" s="37" t="str">
        <f>IF(AND(ISNUMBER(T126),ISNUMBER(L126),ISNUMBER(K126)),IF(F126="空",T126-L126,L126-T126)/K126,"")</f>
        <v/>
      </c>
      <c r="V126" s="38" t="str">
        <f>IF(ISNUMBER(U126),IF(U126&lt;'参数'!$C$15,"先降杠杆或减量","在止损外"),"")</f>
        <v/>
      </c>
      <c r="W126" s="30" t="n"/>
      <c r="X126" s="31" t="n"/>
      <c r="Y126" s="39" t="str">
        <f>IF(N(AB126)&gt;0,SUMPRODUCT(LARGE(('成交明细'!$A$5:$A$804=A126)*('成交明细'!$D$5:$D$804=IF(F126="空","卖","买"))*'成交明细'!$B$5:$B$804,COUNTIFS('成交明细'!$A$5:$A$804,A126,'成交明细'!$D$5:$D$804,IF(F126="空","卖","买")))),"")</f>
        <v/>
      </c>
      <c r="Z126" s="39" t="str">
        <f>IF(AND(N(AB126)&gt;0,N(AD126)&gt;=N(AB126)),SUMPRODUCT(MAX(('成交明细'!$A$5:$A$804=A126)*('成交明细'!$D$5:$D$804=IF(F126="空","买","卖"))*'成交明细'!$B$5:$B$804)),"")</f>
        <v/>
      </c>
      <c r="AA126" s="40" t="str">
        <f>IF(N(AB126)=0,"",IF(SUMPRODUCT(('成交明细'!$A$5:$A$804=A126)*('成交明细'!$D$5:$D$804=IF(F126="空","卖","买"))*ISNUMBER('成交明细'!$C$5:$C$804))=0,"没填时间",IFERROR(VLOOKUP(MOD(SUMPRODUCT(LARGE(('成交明细'!$A$5:$A$804=A126)*('成交明细'!$D$5:$D$804=IF(F126="空","卖","买"))*('成交明细'!$B$5:$B$804+'成交明细'!$C$5:$C$804),COUNTIFS('成交明细'!$A$5:$A$804,A126,'成交明细'!$D$5:$D$804,IF(F126="空","卖","买")))),1),'参数'!$B$39:$C$48,2,TRUE),"")))</f>
        <v/>
      </c>
      <c r="AB126" s="34" t="str">
        <f>IF(A126="","",SUMIFS('成交明细'!$F$5:$F$804,'成交明细'!$A$5:$A$804,A126,'成交明细'!$D$5:$D$804,IF(F126="空","卖","买")))</f>
        <v/>
      </c>
      <c r="AC126" s="41" t="str">
        <f>IF(N(AB126)&gt;0,SUMIFS('成交明细'!$H$5:$H$804,'成交明细'!$A$5:$A$804,A126,'成交明细'!$D$5:$D$804,IF(F126="空","卖","买"))/AB126,"")</f>
        <v/>
      </c>
      <c r="AD126" s="34" t="str">
        <f>IF(A126="","",SUMIFS('成交明细'!$F$5:$F$804,'成交明细'!$A$5:$A$804,A126,'成交明细'!$D$5:$D$804,IF(F126="空","买","卖")))</f>
        <v/>
      </c>
      <c r="AE126" s="41" t="str">
        <f>IF(N(AD126)&gt;0,SUMIFS('成交明细'!$H$5:$H$804,'成交明细'!$A$5:$A$804,A126,'成交明细'!$D$5:$D$804,IF(F126="空","买","卖"))/AD126,"")</f>
        <v/>
      </c>
      <c r="AF126" s="38" t="str">
        <f>IF(A126="","",IF(X126&lt;&gt;"已执行",IF(X126="","未填执行情况",X126),IF(N(AB126)=0,"待录成交",IF(N(AD126)&gt;N(AB126),"平仓多于开仓",IF(N(AD126)&lt;N(AB126),"持仓中","已平仓")))))</f>
        <v/>
      </c>
      <c r="AG126" s="42" t="str">
        <f>IF(N(AB126)=0,"",SUMIFS('成交明细'!$L$5:$L$804,'成交明细'!$A$5:$A$804,A126))</f>
        <v/>
      </c>
      <c r="AH126" s="43" t="str">
        <f>IF(A126="","",SUMIFS('资金费流水'!$F$5:$F$604,'资金费流水'!$B$5:$B$604,A126))</f>
        <v/>
      </c>
      <c r="AI126" s="43" t="str">
        <f>IF(AF126&lt;&gt;"已平仓","",(SUMIFS('成交明细'!$H$5:$H$804,'成交明细'!$A$5:$A$804,A126,'成交明细'!$D$5:$D$804,"卖")-SUMIFS('成交明细'!$H$5:$H$804,'成交明细'!$A$5:$A$804,A126,'成交明细'!$D$5:$D$804,"买"))*1-AG126+N(AH126))</f>
        <v/>
      </c>
      <c r="AJ126" s="44" t="str">
        <f>IF(AND(AF126="已平仓",ISNUMBER(Q126)),(SUMIFS('成交明细'!$H$5:$H$804,'成交明细'!$A$5:$A$804,A126,'成交明细'!$D$5:$D$804,"卖")-SUMIFS('成交明细'!$H$5:$H$804,'成交明细'!$A$5:$A$804,A126,'成交明细'!$D$5:$D$804,"买"))*1/Q126,"")</f>
        <v/>
      </c>
      <c r="AK126" s="44" t="str">
        <f>IF(AND(AF126="已平仓",ISNUMBER(Q126)),AI126/Q126,"")</f>
        <v/>
      </c>
      <c r="AL126" s="45" t="str">
        <f>IF(AND(ISNUMBER(AC126),ISNUMBER(K126)),IF(F126="空",K126-AC126,AC126-K126),"")</f>
        <v/>
      </c>
      <c r="AM126" s="45" t="str">
        <f>IF(OR(NOT(ISNUMBER(AI126)),NOT(ISNUMBER(AE126))),"",IF(AI126&lt;0,IF(F126="空",AE126-L126,L126-AE126),IF(NOT(ISNUMBER(M126)),"",IF(F126="空",AE126-M126,M126-AE126))))</f>
        <v/>
      </c>
      <c r="AN126" s="31" t="n"/>
      <c r="AO126" s="31" t="n"/>
      <c r="AP126" s="30" t="n"/>
      <c r="AQ126" s="44" t="str">
        <f>IF(A126="","",SUM(AK$5:AK126))</f>
        <v/>
      </c>
      <c r="AR126" s="46" t="str">
        <f>IF(A126="","",MAX(0,MAX(AQ$5:AQ126))-AQ126)</f>
        <v/>
      </c>
    </row>
    <row r="127">
      <c r="A127" s="24" t="n"/>
      <c r="B127" s="29" t="n"/>
      <c r="C127" s="30" t="n"/>
      <c r="D127" s="31" t="n"/>
      <c r="E127" s="31" t="n"/>
      <c r="F127" s="31" t="n"/>
      <c r="G127" s="21" t="n"/>
      <c r="H127" s="31" t="n"/>
      <c r="I127" s="23" t="n"/>
      <c r="J127" s="31" t="n"/>
      <c r="K127" s="32" t="n"/>
      <c r="L127" s="32" t="n"/>
      <c r="M127" s="32" t="n"/>
      <c r="N127" s="33" t="str">
        <f>IF(AND(ISNUMBER(K127),ISNUMBER(L127),ISNUMBER(M127)),IF(OR(AND(F127="多",K127&gt;L127),AND(F127="空",K127&lt;L127)),ABS(M127-K127)/ABS(K127-L127),"止损方向不对"),"")</f>
        <v/>
      </c>
      <c r="O127" s="34" t="str">
        <f>IF(AND(ISNUMBER(K127),ISNUMBER(L127)),IF(K127=L127,"",IF(INT(ROUND('参数'!$C$7/(ABS(K127-L127)*1+2*K127*'参数'!$C$12)/IF(N(J127)&gt;0,J127,1),6))*IF(N(J127)&gt;0,J127,1)&gt;0,INT(ROUND('参数'!$C$7/(ABS(K127-L127)*1+2*K127*'参数'!$C$12)/IF(N(J127)&gt;0,J127,1),6))*IF(N(J127)&gt;0,J127,1),"预算不足，这笔不做")),"")</f>
        <v/>
      </c>
      <c r="P127" s="35" t="n"/>
      <c r="Q127" s="20" t="str">
        <f>IF(AND(ISNUMBER(K127),ISNUMBER(L127),ISNUMBER(P127)),IF(AND(K127&lt;&gt;L127,P127&gt;0),ABS(K127-L127)*P127*1,""),"")</f>
        <v/>
      </c>
      <c r="R127" s="20" t="str">
        <f>IF(AND(ISNUMBER(K127),ISNUMBER(P127)),K127*P127,"")</f>
        <v/>
      </c>
      <c r="S127" s="20" t="str">
        <f>IF(AND(D127="合约",ISNUMBER(R127),N(G127)&gt;0),R127/G127,"")</f>
        <v/>
      </c>
      <c r="T127" s="36" t="str">
        <f>IF(NOT(D127="合约"),"",IF(H127&lt;&gt;"逐仓","看平台",IF(AND(ISNUMBER(K127),N(G127)&gt;0),IF(F127="空",K127*(1+1/G127-IF(ISNUMBER(I127),I127,'参数'!$C$13)),K127*(1-1/G127+IF(ISNUMBER(I127),I127,'参数'!$C$13))),"")))</f>
        <v/>
      </c>
      <c r="U127" s="37" t="str">
        <f>IF(AND(ISNUMBER(T127),ISNUMBER(L127),ISNUMBER(K127)),IF(F127="空",T127-L127,L127-T127)/K127,"")</f>
        <v/>
      </c>
      <c r="V127" s="38" t="str">
        <f>IF(ISNUMBER(U127),IF(U127&lt;'参数'!$C$15,"先降杠杆或减量","在止损外"),"")</f>
        <v/>
      </c>
      <c r="W127" s="30" t="n"/>
      <c r="X127" s="31" t="n"/>
      <c r="Y127" s="39" t="str">
        <f>IF(N(AB127)&gt;0,SUMPRODUCT(LARGE(('成交明细'!$A$5:$A$804=A127)*('成交明细'!$D$5:$D$804=IF(F127="空","卖","买"))*'成交明细'!$B$5:$B$804,COUNTIFS('成交明细'!$A$5:$A$804,A127,'成交明细'!$D$5:$D$804,IF(F127="空","卖","买")))),"")</f>
        <v/>
      </c>
      <c r="Z127" s="39" t="str">
        <f>IF(AND(N(AB127)&gt;0,N(AD127)&gt;=N(AB127)),SUMPRODUCT(MAX(('成交明细'!$A$5:$A$804=A127)*('成交明细'!$D$5:$D$804=IF(F127="空","买","卖"))*'成交明细'!$B$5:$B$804)),"")</f>
        <v/>
      </c>
      <c r="AA127" s="40" t="str">
        <f>IF(N(AB127)=0,"",IF(SUMPRODUCT(('成交明细'!$A$5:$A$804=A127)*('成交明细'!$D$5:$D$804=IF(F127="空","卖","买"))*ISNUMBER('成交明细'!$C$5:$C$804))=0,"没填时间",IFERROR(VLOOKUP(MOD(SUMPRODUCT(LARGE(('成交明细'!$A$5:$A$804=A127)*('成交明细'!$D$5:$D$804=IF(F127="空","卖","买"))*('成交明细'!$B$5:$B$804+'成交明细'!$C$5:$C$804),COUNTIFS('成交明细'!$A$5:$A$804,A127,'成交明细'!$D$5:$D$804,IF(F127="空","卖","买")))),1),'参数'!$B$39:$C$48,2,TRUE),"")))</f>
        <v/>
      </c>
      <c r="AB127" s="34" t="str">
        <f>IF(A127="","",SUMIFS('成交明细'!$F$5:$F$804,'成交明细'!$A$5:$A$804,A127,'成交明细'!$D$5:$D$804,IF(F127="空","卖","买")))</f>
        <v/>
      </c>
      <c r="AC127" s="41" t="str">
        <f>IF(N(AB127)&gt;0,SUMIFS('成交明细'!$H$5:$H$804,'成交明细'!$A$5:$A$804,A127,'成交明细'!$D$5:$D$804,IF(F127="空","卖","买"))/AB127,"")</f>
        <v/>
      </c>
      <c r="AD127" s="34" t="str">
        <f>IF(A127="","",SUMIFS('成交明细'!$F$5:$F$804,'成交明细'!$A$5:$A$804,A127,'成交明细'!$D$5:$D$804,IF(F127="空","买","卖")))</f>
        <v/>
      </c>
      <c r="AE127" s="41" t="str">
        <f>IF(N(AD127)&gt;0,SUMIFS('成交明细'!$H$5:$H$804,'成交明细'!$A$5:$A$804,A127,'成交明细'!$D$5:$D$804,IF(F127="空","买","卖"))/AD127,"")</f>
        <v/>
      </c>
      <c r="AF127" s="38" t="str">
        <f>IF(A127="","",IF(X127&lt;&gt;"已执行",IF(X127="","未填执行情况",X127),IF(N(AB127)=0,"待录成交",IF(N(AD127)&gt;N(AB127),"平仓多于开仓",IF(N(AD127)&lt;N(AB127),"持仓中","已平仓")))))</f>
        <v/>
      </c>
      <c r="AG127" s="42" t="str">
        <f>IF(N(AB127)=0,"",SUMIFS('成交明细'!$L$5:$L$804,'成交明细'!$A$5:$A$804,A127))</f>
        <v/>
      </c>
      <c r="AH127" s="43" t="str">
        <f>IF(A127="","",SUMIFS('资金费流水'!$F$5:$F$604,'资金费流水'!$B$5:$B$604,A127))</f>
        <v/>
      </c>
      <c r="AI127" s="43" t="str">
        <f>IF(AF127&lt;&gt;"已平仓","",(SUMIFS('成交明细'!$H$5:$H$804,'成交明细'!$A$5:$A$804,A127,'成交明细'!$D$5:$D$804,"卖")-SUMIFS('成交明细'!$H$5:$H$804,'成交明细'!$A$5:$A$804,A127,'成交明细'!$D$5:$D$804,"买"))*1-AG127+N(AH127))</f>
        <v/>
      </c>
      <c r="AJ127" s="44" t="str">
        <f>IF(AND(AF127="已平仓",ISNUMBER(Q127)),(SUMIFS('成交明细'!$H$5:$H$804,'成交明细'!$A$5:$A$804,A127,'成交明细'!$D$5:$D$804,"卖")-SUMIFS('成交明细'!$H$5:$H$804,'成交明细'!$A$5:$A$804,A127,'成交明细'!$D$5:$D$804,"买"))*1/Q127,"")</f>
        <v/>
      </c>
      <c r="AK127" s="44" t="str">
        <f>IF(AND(AF127="已平仓",ISNUMBER(Q127)),AI127/Q127,"")</f>
        <v/>
      </c>
      <c r="AL127" s="45" t="str">
        <f>IF(AND(ISNUMBER(AC127),ISNUMBER(K127)),IF(F127="空",K127-AC127,AC127-K127),"")</f>
        <v/>
      </c>
      <c r="AM127" s="45" t="str">
        <f>IF(OR(NOT(ISNUMBER(AI127)),NOT(ISNUMBER(AE127))),"",IF(AI127&lt;0,IF(F127="空",AE127-L127,L127-AE127),IF(NOT(ISNUMBER(M127)),"",IF(F127="空",AE127-M127,M127-AE127))))</f>
        <v/>
      </c>
      <c r="AN127" s="31" t="n"/>
      <c r="AO127" s="31" t="n"/>
      <c r="AP127" s="30" t="n"/>
      <c r="AQ127" s="44" t="str">
        <f>IF(A127="","",SUM(AK$5:AK127))</f>
        <v/>
      </c>
      <c r="AR127" s="46" t="str">
        <f>IF(A127="","",MAX(0,MAX(AQ$5:AQ127))-AQ127)</f>
        <v/>
      </c>
    </row>
    <row r="128">
      <c r="A128" s="24" t="n"/>
      <c r="B128" s="29" t="n"/>
      <c r="C128" s="30" t="n"/>
      <c r="D128" s="31" t="n"/>
      <c r="E128" s="31" t="n"/>
      <c r="F128" s="31" t="n"/>
      <c r="G128" s="21" t="n"/>
      <c r="H128" s="31" t="n"/>
      <c r="I128" s="23" t="n"/>
      <c r="J128" s="31" t="n"/>
      <c r="K128" s="32" t="n"/>
      <c r="L128" s="32" t="n"/>
      <c r="M128" s="32" t="n"/>
      <c r="N128" s="33" t="str">
        <f>IF(AND(ISNUMBER(K128),ISNUMBER(L128),ISNUMBER(M128)),IF(OR(AND(F128="多",K128&gt;L128),AND(F128="空",K128&lt;L128)),ABS(M128-K128)/ABS(K128-L128),"止损方向不对"),"")</f>
        <v/>
      </c>
      <c r="O128" s="34" t="str">
        <f>IF(AND(ISNUMBER(K128),ISNUMBER(L128)),IF(K128=L128,"",IF(INT(ROUND('参数'!$C$7/(ABS(K128-L128)*1+2*K128*'参数'!$C$12)/IF(N(J128)&gt;0,J128,1),6))*IF(N(J128)&gt;0,J128,1)&gt;0,INT(ROUND('参数'!$C$7/(ABS(K128-L128)*1+2*K128*'参数'!$C$12)/IF(N(J128)&gt;0,J128,1),6))*IF(N(J128)&gt;0,J128,1),"预算不足，这笔不做")),"")</f>
        <v/>
      </c>
      <c r="P128" s="35" t="n"/>
      <c r="Q128" s="20" t="str">
        <f>IF(AND(ISNUMBER(K128),ISNUMBER(L128),ISNUMBER(P128)),IF(AND(K128&lt;&gt;L128,P128&gt;0),ABS(K128-L128)*P128*1,""),"")</f>
        <v/>
      </c>
      <c r="R128" s="20" t="str">
        <f>IF(AND(ISNUMBER(K128),ISNUMBER(P128)),K128*P128,"")</f>
        <v/>
      </c>
      <c r="S128" s="20" t="str">
        <f>IF(AND(D128="合约",ISNUMBER(R128),N(G128)&gt;0),R128/G128,"")</f>
        <v/>
      </c>
      <c r="T128" s="36" t="str">
        <f>IF(NOT(D128="合约"),"",IF(H128&lt;&gt;"逐仓","看平台",IF(AND(ISNUMBER(K128),N(G128)&gt;0),IF(F128="空",K128*(1+1/G128-IF(ISNUMBER(I128),I128,'参数'!$C$13)),K128*(1-1/G128+IF(ISNUMBER(I128),I128,'参数'!$C$13))),"")))</f>
        <v/>
      </c>
      <c r="U128" s="37" t="str">
        <f>IF(AND(ISNUMBER(T128),ISNUMBER(L128),ISNUMBER(K128)),IF(F128="空",T128-L128,L128-T128)/K128,"")</f>
        <v/>
      </c>
      <c r="V128" s="38" t="str">
        <f>IF(ISNUMBER(U128),IF(U128&lt;'参数'!$C$15,"先降杠杆或减量","在止损外"),"")</f>
        <v/>
      </c>
      <c r="W128" s="30" t="n"/>
      <c r="X128" s="31" t="n"/>
      <c r="Y128" s="39" t="str">
        <f>IF(N(AB128)&gt;0,SUMPRODUCT(LARGE(('成交明细'!$A$5:$A$804=A128)*('成交明细'!$D$5:$D$804=IF(F128="空","卖","买"))*'成交明细'!$B$5:$B$804,COUNTIFS('成交明细'!$A$5:$A$804,A128,'成交明细'!$D$5:$D$804,IF(F128="空","卖","买")))),"")</f>
        <v/>
      </c>
      <c r="Z128" s="39" t="str">
        <f>IF(AND(N(AB128)&gt;0,N(AD128)&gt;=N(AB128)),SUMPRODUCT(MAX(('成交明细'!$A$5:$A$804=A128)*('成交明细'!$D$5:$D$804=IF(F128="空","买","卖"))*'成交明细'!$B$5:$B$804)),"")</f>
        <v/>
      </c>
      <c r="AA128" s="40" t="str">
        <f>IF(N(AB128)=0,"",IF(SUMPRODUCT(('成交明细'!$A$5:$A$804=A128)*('成交明细'!$D$5:$D$804=IF(F128="空","卖","买"))*ISNUMBER('成交明细'!$C$5:$C$804))=0,"没填时间",IFERROR(VLOOKUP(MOD(SUMPRODUCT(LARGE(('成交明细'!$A$5:$A$804=A128)*('成交明细'!$D$5:$D$804=IF(F128="空","卖","买"))*('成交明细'!$B$5:$B$804+'成交明细'!$C$5:$C$804),COUNTIFS('成交明细'!$A$5:$A$804,A128,'成交明细'!$D$5:$D$804,IF(F128="空","卖","买")))),1),'参数'!$B$39:$C$48,2,TRUE),"")))</f>
        <v/>
      </c>
      <c r="AB128" s="34" t="str">
        <f>IF(A128="","",SUMIFS('成交明细'!$F$5:$F$804,'成交明细'!$A$5:$A$804,A128,'成交明细'!$D$5:$D$804,IF(F128="空","卖","买")))</f>
        <v/>
      </c>
      <c r="AC128" s="41" t="str">
        <f>IF(N(AB128)&gt;0,SUMIFS('成交明细'!$H$5:$H$804,'成交明细'!$A$5:$A$804,A128,'成交明细'!$D$5:$D$804,IF(F128="空","卖","买"))/AB128,"")</f>
        <v/>
      </c>
      <c r="AD128" s="34" t="str">
        <f>IF(A128="","",SUMIFS('成交明细'!$F$5:$F$804,'成交明细'!$A$5:$A$804,A128,'成交明细'!$D$5:$D$804,IF(F128="空","买","卖")))</f>
        <v/>
      </c>
      <c r="AE128" s="41" t="str">
        <f>IF(N(AD128)&gt;0,SUMIFS('成交明细'!$H$5:$H$804,'成交明细'!$A$5:$A$804,A128,'成交明细'!$D$5:$D$804,IF(F128="空","买","卖"))/AD128,"")</f>
        <v/>
      </c>
      <c r="AF128" s="38" t="str">
        <f>IF(A128="","",IF(X128&lt;&gt;"已执行",IF(X128="","未填执行情况",X128),IF(N(AB128)=0,"待录成交",IF(N(AD128)&gt;N(AB128),"平仓多于开仓",IF(N(AD128)&lt;N(AB128),"持仓中","已平仓")))))</f>
        <v/>
      </c>
      <c r="AG128" s="42" t="str">
        <f>IF(N(AB128)=0,"",SUMIFS('成交明细'!$L$5:$L$804,'成交明细'!$A$5:$A$804,A128))</f>
        <v/>
      </c>
      <c r="AH128" s="43" t="str">
        <f>IF(A128="","",SUMIFS('资金费流水'!$F$5:$F$604,'资金费流水'!$B$5:$B$604,A128))</f>
        <v/>
      </c>
      <c r="AI128" s="43" t="str">
        <f>IF(AF128&lt;&gt;"已平仓","",(SUMIFS('成交明细'!$H$5:$H$804,'成交明细'!$A$5:$A$804,A128,'成交明细'!$D$5:$D$804,"卖")-SUMIFS('成交明细'!$H$5:$H$804,'成交明细'!$A$5:$A$804,A128,'成交明细'!$D$5:$D$804,"买"))*1-AG128+N(AH128))</f>
        <v/>
      </c>
      <c r="AJ128" s="44" t="str">
        <f>IF(AND(AF128="已平仓",ISNUMBER(Q128)),(SUMIFS('成交明细'!$H$5:$H$804,'成交明细'!$A$5:$A$804,A128,'成交明细'!$D$5:$D$804,"卖")-SUMIFS('成交明细'!$H$5:$H$804,'成交明细'!$A$5:$A$804,A128,'成交明细'!$D$5:$D$804,"买"))*1/Q128,"")</f>
        <v/>
      </c>
      <c r="AK128" s="44" t="str">
        <f>IF(AND(AF128="已平仓",ISNUMBER(Q128)),AI128/Q128,"")</f>
        <v/>
      </c>
      <c r="AL128" s="45" t="str">
        <f>IF(AND(ISNUMBER(AC128),ISNUMBER(K128)),IF(F128="空",K128-AC128,AC128-K128),"")</f>
        <v/>
      </c>
      <c r="AM128" s="45" t="str">
        <f>IF(OR(NOT(ISNUMBER(AI128)),NOT(ISNUMBER(AE128))),"",IF(AI128&lt;0,IF(F128="空",AE128-L128,L128-AE128),IF(NOT(ISNUMBER(M128)),"",IF(F128="空",AE128-M128,M128-AE128))))</f>
        <v/>
      </c>
      <c r="AN128" s="31" t="n"/>
      <c r="AO128" s="31" t="n"/>
      <c r="AP128" s="30" t="n"/>
      <c r="AQ128" s="44" t="str">
        <f>IF(A128="","",SUM(AK$5:AK128))</f>
        <v/>
      </c>
      <c r="AR128" s="46" t="str">
        <f>IF(A128="","",MAX(0,MAX(AQ$5:AQ128))-AQ128)</f>
        <v/>
      </c>
    </row>
    <row r="129">
      <c r="A129" s="24" t="n"/>
      <c r="B129" s="29" t="n"/>
      <c r="C129" s="30" t="n"/>
      <c r="D129" s="31" t="n"/>
      <c r="E129" s="31" t="n"/>
      <c r="F129" s="31" t="n"/>
      <c r="G129" s="21" t="n"/>
      <c r="H129" s="31" t="n"/>
      <c r="I129" s="23" t="n"/>
      <c r="J129" s="31" t="n"/>
      <c r="K129" s="32" t="n"/>
      <c r="L129" s="32" t="n"/>
      <c r="M129" s="32" t="n"/>
      <c r="N129" s="33" t="str">
        <f>IF(AND(ISNUMBER(K129),ISNUMBER(L129),ISNUMBER(M129)),IF(OR(AND(F129="多",K129&gt;L129),AND(F129="空",K129&lt;L129)),ABS(M129-K129)/ABS(K129-L129),"止损方向不对"),"")</f>
        <v/>
      </c>
      <c r="O129" s="34" t="str">
        <f>IF(AND(ISNUMBER(K129),ISNUMBER(L129)),IF(K129=L129,"",IF(INT(ROUND('参数'!$C$7/(ABS(K129-L129)*1+2*K129*'参数'!$C$12)/IF(N(J129)&gt;0,J129,1),6))*IF(N(J129)&gt;0,J129,1)&gt;0,INT(ROUND('参数'!$C$7/(ABS(K129-L129)*1+2*K129*'参数'!$C$12)/IF(N(J129)&gt;0,J129,1),6))*IF(N(J129)&gt;0,J129,1),"预算不足，这笔不做")),"")</f>
        <v/>
      </c>
      <c r="P129" s="35" t="n"/>
      <c r="Q129" s="20" t="str">
        <f>IF(AND(ISNUMBER(K129),ISNUMBER(L129),ISNUMBER(P129)),IF(AND(K129&lt;&gt;L129,P129&gt;0),ABS(K129-L129)*P129*1,""),"")</f>
        <v/>
      </c>
      <c r="R129" s="20" t="str">
        <f>IF(AND(ISNUMBER(K129),ISNUMBER(P129)),K129*P129,"")</f>
        <v/>
      </c>
      <c r="S129" s="20" t="str">
        <f>IF(AND(D129="合约",ISNUMBER(R129),N(G129)&gt;0),R129/G129,"")</f>
        <v/>
      </c>
      <c r="T129" s="36" t="str">
        <f>IF(NOT(D129="合约"),"",IF(H129&lt;&gt;"逐仓","看平台",IF(AND(ISNUMBER(K129),N(G129)&gt;0),IF(F129="空",K129*(1+1/G129-IF(ISNUMBER(I129),I129,'参数'!$C$13)),K129*(1-1/G129+IF(ISNUMBER(I129),I129,'参数'!$C$13))),"")))</f>
        <v/>
      </c>
      <c r="U129" s="37" t="str">
        <f>IF(AND(ISNUMBER(T129),ISNUMBER(L129),ISNUMBER(K129)),IF(F129="空",T129-L129,L129-T129)/K129,"")</f>
        <v/>
      </c>
      <c r="V129" s="38" t="str">
        <f>IF(ISNUMBER(U129),IF(U129&lt;'参数'!$C$15,"先降杠杆或减量","在止损外"),"")</f>
        <v/>
      </c>
      <c r="W129" s="30" t="n"/>
      <c r="X129" s="31" t="n"/>
      <c r="Y129" s="39" t="str">
        <f>IF(N(AB129)&gt;0,SUMPRODUCT(LARGE(('成交明细'!$A$5:$A$804=A129)*('成交明细'!$D$5:$D$804=IF(F129="空","卖","买"))*'成交明细'!$B$5:$B$804,COUNTIFS('成交明细'!$A$5:$A$804,A129,'成交明细'!$D$5:$D$804,IF(F129="空","卖","买")))),"")</f>
        <v/>
      </c>
      <c r="Z129" s="39" t="str">
        <f>IF(AND(N(AB129)&gt;0,N(AD129)&gt;=N(AB129)),SUMPRODUCT(MAX(('成交明细'!$A$5:$A$804=A129)*('成交明细'!$D$5:$D$804=IF(F129="空","买","卖"))*'成交明细'!$B$5:$B$804)),"")</f>
        <v/>
      </c>
      <c r="AA129" s="40" t="str">
        <f>IF(N(AB129)=0,"",IF(SUMPRODUCT(('成交明细'!$A$5:$A$804=A129)*('成交明细'!$D$5:$D$804=IF(F129="空","卖","买"))*ISNUMBER('成交明细'!$C$5:$C$804))=0,"没填时间",IFERROR(VLOOKUP(MOD(SUMPRODUCT(LARGE(('成交明细'!$A$5:$A$804=A129)*('成交明细'!$D$5:$D$804=IF(F129="空","卖","买"))*('成交明细'!$B$5:$B$804+'成交明细'!$C$5:$C$804),COUNTIFS('成交明细'!$A$5:$A$804,A129,'成交明细'!$D$5:$D$804,IF(F129="空","卖","买")))),1),'参数'!$B$39:$C$48,2,TRUE),"")))</f>
        <v/>
      </c>
      <c r="AB129" s="34" t="str">
        <f>IF(A129="","",SUMIFS('成交明细'!$F$5:$F$804,'成交明细'!$A$5:$A$804,A129,'成交明细'!$D$5:$D$804,IF(F129="空","卖","买")))</f>
        <v/>
      </c>
      <c r="AC129" s="41" t="str">
        <f>IF(N(AB129)&gt;0,SUMIFS('成交明细'!$H$5:$H$804,'成交明细'!$A$5:$A$804,A129,'成交明细'!$D$5:$D$804,IF(F129="空","卖","买"))/AB129,"")</f>
        <v/>
      </c>
      <c r="AD129" s="34" t="str">
        <f>IF(A129="","",SUMIFS('成交明细'!$F$5:$F$804,'成交明细'!$A$5:$A$804,A129,'成交明细'!$D$5:$D$804,IF(F129="空","买","卖")))</f>
        <v/>
      </c>
      <c r="AE129" s="41" t="str">
        <f>IF(N(AD129)&gt;0,SUMIFS('成交明细'!$H$5:$H$804,'成交明细'!$A$5:$A$804,A129,'成交明细'!$D$5:$D$804,IF(F129="空","买","卖"))/AD129,"")</f>
        <v/>
      </c>
      <c r="AF129" s="38" t="str">
        <f>IF(A129="","",IF(X129&lt;&gt;"已执行",IF(X129="","未填执行情况",X129),IF(N(AB129)=0,"待录成交",IF(N(AD129)&gt;N(AB129),"平仓多于开仓",IF(N(AD129)&lt;N(AB129),"持仓中","已平仓")))))</f>
        <v/>
      </c>
      <c r="AG129" s="42" t="str">
        <f>IF(N(AB129)=0,"",SUMIFS('成交明细'!$L$5:$L$804,'成交明细'!$A$5:$A$804,A129))</f>
        <v/>
      </c>
      <c r="AH129" s="43" t="str">
        <f>IF(A129="","",SUMIFS('资金费流水'!$F$5:$F$604,'资金费流水'!$B$5:$B$604,A129))</f>
        <v/>
      </c>
      <c r="AI129" s="43" t="str">
        <f>IF(AF129&lt;&gt;"已平仓","",(SUMIFS('成交明细'!$H$5:$H$804,'成交明细'!$A$5:$A$804,A129,'成交明细'!$D$5:$D$804,"卖")-SUMIFS('成交明细'!$H$5:$H$804,'成交明细'!$A$5:$A$804,A129,'成交明细'!$D$5:$D$804,"买"))*1-AG129+N(AH129))</f>
        <v/>
      </c>
      <c r="AJ129" s="44" t="str">
        <f>IF(AND(AF129="已平仓",ISNUMBER(Q129)),(SUMIFS('成交明细'!$H$5:$H$804,'成交明细'!$A$5:$A$804,A129,'成交明细'!$D$5:$D$804,"卖")-SUMIFS('成交明细'!$H$5:$H$804,'成交明细'!$A$5:$A$804,A129,'成交明细'!$D$5:$D$804,"买"))*1/Q129,"")</f>
        <v/>
      </c>
      <c r="AK129" s="44" t="str">
        <f>IF(AND(AF129="已平仓",ISNUMBER(Q129)),AI129/Q129,"")</f>
        <v/>
      </c>
      <c r="AL129" s="45" t="str">
        <f>IF(AND(ISNUMBER(AC129),ISNUMBER(K129)),IF(F129="空",K129-AC129,AC129-K129),"")</f>
        <v/>
      </c>
      <c r="AM129" s="45" t="str">
        <f>IF(OR(NOT(ISNUMBER(AI129)),NOT(ISNUMBER(AE129))),"",IF(AI129&lt;0,IF(F129="空",AE129-L129,L129-AE129),IF(NOT(ISNUMBER(M129)),"",IF(F129="空",AE129-M129,M129-AE129))))</f>
        <v/>
      </c>
      <c r="AN129" s="31" t="n"/>
      <c r="AO129" s="31" t="n"/>
      <c r="AP129" s="30" t="n"/>
      <c r="AQ129" s="44" t="str">
        <f>IF(A129="","",SUM(AK$5:AK129))</f>
        <v/>
      </c>
      <c r="AR129" s="46" t="str">
        <f>IF(A129="","",MAX(0,MAX(AQ$5:AQ129))-AQ129)</f>
        <v/>
      </c>
    </row>
    <row r="130">
      <c r="A130" s="24" t="n"/>
      <c r="B130" s="29" t="n"/>
      <c r="C130" s="30" t="n"/>
      <c r="D130" s="31" t="n"/>
      <c r="E130" s="31" t="n"/>
      <c r="F130" s="31" t="n"/>
      <c r="G130" s="21" t="n"/>
      <c r="H130" s="31" t="n"/>
      <c r="I130" s="23" t="n"/>
      <c r="J130" s="31" t="n"/>
      <c r="K130" s="32" t="n"/>
      <c r="L130" s="32" t="n"/>
      <c r="M130" s="32" t="n"/>
      <c r="N130" s="33" t="str">
        <f>IF(AND(ISNUMBER(K130),ISNUMBER(L130),ISNUMBER(M130)),IF(OR(AND(F130="多",K130&gt;L130),AND(F130="空",K130&lt;L130)),ABS(M130-K130)/ABS(K130-L130),"止损方向不对"),"")</f>
        <v/>
      </c>
      <c r="O130" s="34" t="str">
        <f>IF(AND(ISNUMBER(K130),ISNUMBER(L130)),IF(K130=L130,"",IF(INT(ROUND('参数'!$C$7/(ABS(K130-L130)*1+2*K130*'参数'!$C$12)/IF(N(J130)&gt;0,J130,1),6))*IF(N(J130)&gt;0,J130,1)&gt;0,INT(ROUND('参数'!$C$7/(ABS(K130-L130)*1+2*K130*'参数'!$C$12)/IF(N(J130)&gt;0,J130,1),6))*IF(N(J130)&gt;0,J130,1),"预算不足，这笔不做")),"")</f>
        <v/>
      </c>
      <c r="P130" s="35" t="n"/>
      <c r="Q130" s="20" t="str">
        <f>IF(AND(ISNUMBER(K130),ISNUMBER(L130),ISNUMBER(P130)),IF(AND(K130&lt;&gt;L130,P130&gt;0),ABS(K130-L130)*P130*1,""),"")</f>
        <v/>
      </c>
      <c r="R130" s="20" t="str">
        <f>IF(AND(ISNUMBER(K130),ISNUMBER(P130)),K130*P130,"")</f>
        <v/>
      </c>
      <c r="S130" s="20" t="str">
        <f>IF(AND(D130="合约",ISNUMBER(R130),N(G130)&gt;0),R130/G130,"")</f>
        <v/>
      </c>
      <c r="T130" s="36" t="str">
        <f>IF(NOT(D130="合约"),"",IF(H130&lt;&gt;"逐仓","看平台",IF(AND(ISNUMBER(K130),N(G130)&gt;0),IF(F130="空",K130*(1+1/G130-IF(ISNUMBER(I130),I130,'参数'!$C$13)),K130*(1-1/G130+IF(ISNUMBER(I130),I130,'参数'!$C$13))),"")))</f>
        <v/>
      </c>
      <c r="U130" s="37" t="str">
        <f>IF(AND(ISNUMBER(T130),ISNUMBER(L130),ISNUMBER(K130)),IF(F130="空",T130-L130,L130-T130)/K130,"")</f>
        <v/>
      </c>
      <c r="V130" s="38" t="str">
        <f>IF(ISNUMBER(U130),IF(U130&lt;'参数'!$C$15,"先降杠杆或减量","在止损外"),"")</f>
        <v/>
      </c>
      <c r="W130" s="30" t="n"/>
      <c r="X130" s="31" t="n"/>
      <c r="Y130" s="39" t="str">
        <f>IF(N(AB130)&gt;0,SUMPRODUCT(LARGE(('成交明细'!$A$5:$A$804=A130)*('成交明细'!$D$5:$D$804=IF(F130="空","卖","买"))*'成交明细'!$B$5:$B$804,COUNTIFS('成交明细'!$A$5:$A$804,A130,'成交明细'!$D$5:$D$804,IF(F130="空","卖","买")))),"")</f>
        <v/>
      </c>
      <c r="Z130" s="39" t="str">
        <f>IF(AND(N(AB130)&gt;0,N(AD130)&gt;=N(AB130)),SUMPRODUCT(MAX(('成交明细'!$A$5:$A$804=A130)*('成交明细'!$D$5:$D$804=IF(F130="空","买","卖"))*'成交明细'!$B$5:$B$804)),"")</f>
        <v/>
      </c>
      <c r="AA130" s="40" t="str">
        <f>IF(N(AB130)=0,"",IF(SUMPRODUCT(('成交明细'!$A$5:$A$804=A130)*('成交明细'!$D$5:$D$804=IF(F130="空","卖","买"))*ISNUMBER('成交明细'!$C$5:$C$804))=0,"没填时间",IFERROR(VLOOKUP(MOD(SUMPRODUCT(LARGE(('成交明细'!$A$5:$A$804=A130)*('成交明细'!$D$5:$D$804=IF(F130="空","卖","买"))*('成交明细'!$B$5:$B$804+'成交明细'!$C$5:$C$804),COUNTIFS('成交明细'!$A$5:$A$804,A130,'成交明细'!$D$5:$D$804,IF(F130="空","卖","买")))),1),'参数'!$B$39:$C$48,2,TRUE),"")))</f>
        <v/>
      </c>
      <c r="AB130" s="34" t="str">
        <f>IF(A130="","",SUMIFS('成交明细'!$F$5:$F$804,'成交明细'!$A$5:$A$804,A130,'成交明细'!$D$5:$D$804,IF(F130="空","卖","买")))</f>
        <v/>
      </c>
      <c r="AC130" s="41" t="str">
        <f>IF(N(AB130)&gt;0,SUMIFS('成交明细'!$H$5:$H$804,'成交明细'!$A$5:$A$804,A130,'成交明细'!$D$5:$D$804,IF(F130="空","卖","买"))/AB130,"")</f>
        <v/>
      </c>
      <c r="AD130" s="34" t="str">
        <f>IF(A130="","",SUMIFS('成交明细'!$F$5:$F$804,'成交明细'!$A$5:$A$804,A130,'成交明细'!$D$5:$D$804,IF(F130="空","买","卖")))</f>
        <v/>
      </c>
      <c r="AE130" s="41" t="str">
        <f>IF(N(AD130)&gt;0,SUMIFS('成交明细'!$H$5:$H$804,'成交明细'!$A$5:$A$804,A130,'成交明细'!$D$5:$D$804,IF(F130="空","买","卖"))/AD130,"")</f>
        <v/>
      </c>
      <c r="AF130" s="38" t="str">
        <f>IF(A130="","",IF(X130&lt;&gt;"已执行",IF(X130="","未填执行情况",X130),IF(N(AB130)=0,"待录成交",IF(N(AD130)&gt;N(AB130),"平仓多于开仓",IF(N(AD130)&lt;N(AB130),"持仓中","已平仓")))))</f>
        <v/>
      </c>
      <c r="AG130" s="42" t="str">
        <f>IF(N(AB130)=0,"",SUMIFS('成交明细'!$L$5:$L$804,'成交明细'!$A$5:$A$804,A130))</f>
        <v/>
      </c>
      <c r="AH130" s="43" t="str">
        <f>IF(A130="","",SUMIFS('资金费流水'!$F$5:$F$604,'资金费流水'!$B$5:$B$604,A130))</f>
        <v/>
      </c>
      <c r="AI130" s="43" t="str">
        <f>IF(AF130&lt;&gt;"已平仓","",(SUMIFS('成交明细'!$H$5:$H$804,'成交明细'!$A$5:$A$804,A130,'成交明细'!$D$5:$D$804,"卖")-SUMIFS('成交明细'!$H$5:$H$804,'成交明细'!$A$5:$A$804,A130,'成交明细'!$D$5:$D$804,"买"))*1-AG130+N(AH130))</f>
        <v/>
      </c>
      <c r="AJ130" s="44" t="str">
        <f>IF(AND(AF130="已平仓",ISNUMBER(Q130)),(SUMIFS('成交明细'!$H$5:$H$804,'成交明细'!$A$5:$A$804,A130,'成交明细'!$D$5:$D$804,"卖")-SUMIFS('成交明细'!$H$5:$H$804,'成交明细'!$A$5:$A$804,A130,'成交明细'!$D$5:$D$804,"买"))*1/Q130,"")</f>
        <v/>
      </c>
      <c r="AK130" s="44" t="str">
        <f>IF(AND(AF130="已平仓",ISNUMBER(Q130)),AI130/Q130,"")</f>
        <v/>
      </c>
      <c r="AL130" s="45" t="str">
        <f>IF(AND(ISNUMBER(AC130),ISNUMBER(K130)),IF(F130="空",K130-AC130,AC130-K130),"")</f>
        <v/>
      </c>
      <c r="AM130" s="45" t="str">
        <f>IF(OR(NOT(ISNUMBER(AI130)),NOT(ISNUMBER(AE130))),"",IF(AI130&lt;0,IF(F130="空",AE130-L130,L130-AE130),IF(NOT(ISNUMBER(M130)),"",IF(F130="空",AE130-M130,M130-AE130))))</f>
        <v/>
      </c>
      <c r="AN130" s="31" t="n"/>
      <c r="AO130" s="31" t="n"/>
      <c r="AP130" s="30" t="n"/>
      <c r="AQ130" s="44" t="str">
        <f>IF(A130="","",SUM(AK$5:AK130))</f>
        <v/>
      </c>
      <c r="AR130" s="46" t="str">
        <f>IF(A130="","",MAX(0,MAX(AQ$5:AQ130))-AQ130)</f>
        <v/>
      </c>
    </row>
    <row r="131">
      <c r="A131" s="24" t="n"/>
      <c r="B131" s="29" t="n"/>
      <c r="C131" s="30" t="n"/>
      <c r="D131" s="31" t="n"/>
      <c r="E131" s="31" t="n"/>
      <c r="F131" s="31" t="n"/>
      <c r="G131" s="21" t="n"/>
      <c r="H131" s="31" t="n"/>
      <c r="I131" s="23" t="n"/>
      <c r="J131" s="31" t="n"/>
      <c r="K131" s="32" t="n"/>
      <c r="L131" s="32" t="n"/>
      <c r="M131" s="32" t="n"/>
      <c r="N131" s="33" t="str">
        <f>IF(AND(ISNUMBER(K131),ISNUMBER(L131),ISNUMBER(M131)),IF(OR(AND(F131="多",K131&gt;L131),AND(F131="空",K131&lt;L131)),ABS(M131-K131)/ABS(K131-L131),"止损方向不对"),"")</f>
        <v/>
      </c>
      <c r="O131" s="34" t="str">
        <f>IF(AND(ISNUMBER(K131),ISNUMBER(L131)),IF(K131=L131,"",IF(INT(ROUND('参数'!$C$7/(ABS(K131-L131)*1+2*K131*'参数'!$C$12)/IF(N(J131)&gt;0,J131,1),6))*IF(N(J131)&gt;0,J131,1)&gt;0,INT(ROUND('参数'!$C$7/(ABS(K131-L131)*1+2*K131*'参数'!$C$12)/IF(N(J131)&gt;0,J131,1),6))*IF(N(J131)&gt;0,J131,1),"预算不足，这笔不做")),"")</f>
        <v/>
      </c>
      <c r="P131" s="35" t="n"/>
      <c r="Q131" s="20" t="str">
        <f>IF(AND(ISNUMBER(K131),ISNUMBER(L131),ISNUMBER(P131)),IF(AND(K131&lt;&gt;L131,P131&gt;0),ABS(K131-L131)*P131*1,""),"")</f>
        <v/>
      </c>
      <c r="R131" s="20" t="str">
        <f>IF(AND(ISNUMBER(K131),ISNUMBER(P131)),K131*P131,"")</f>
        <v/>
      </c>
      <c r="S131" s="20" t="str">
        <f>IF(AND(D131="合约",ISNUMBER(R131),N(G131)&gt;0),R131/G131,"")</f>
        <v/>
      </c>
      <c r="T131" s="36" t="str">
        <f>IF(NOT(D131="合约"),"",IF(H131&lt;&gt;"逐仓","看平台",IF(AND(ISNUMBER(K131),N(G131)&gt;0),IF(F131="空",K131*(1+1/G131-IF(ISNUMBER(I131),I131,'参数'!$C$13)),K131*(1-1/G131+IF(ISNUMBER(I131),I131,'参数'!$C$13))),"")))</f>
        <v/>
      </c>
      <c r="U131" s="37" t="str">
        <f>IF(AND(ISNUMBER(T131),ISNUMBER(L131),ISNUMBER(K131)),IF(F131="空",T131-L131,L131-T131)/K131,"")</f>
        <v/>
      </c>
      <c r="V131" s="38" t="str">
        <f>IF(ISNUMBER(U131),IF(U131&lt;'参数'!$C$15,"先降杠杆或减量","在止损外"),"")</f>
        <v/>
      </c>
      <c r="W131" s="30" t="n"/>
      <c r="X131" s="31" t="n"/>
      <c r="Y131" s="39" t="str">
        <f>IF(N(AB131)&gt;0,SUMPRODUCT(LARGE(('成交明细'!$A$5:$A$804=A131)*('成交明细'!$D$5:$D$804=IF(F131="空","卖","买"))*'成交明细'!$B$5:$B$804,COUNTIFS('成交明细'!$A$5:$A$804,A131,'成交明细'!$D$5:$D$804,IF(F131="空","卖","买")))),"")</f>
        <v/>
      </c>
      <c r="Z131" s="39" t="str">
        <f>IF(AND(N(AB131)&gt;0,N(AD131)&gt;=N(AB131)),SUMPRODUCT(MAX(('成交明细'!$A$5:$A$804=A131)*('成交明细'!$D$5:$D$804=IF(F131="空","买","卖"))*'成交明细'!$B$5:$B$804)),"")</f>
        <v/>
      </c>
      <c r="AA131" s="40" t="str">
        <f>IF(N(AB131)=0,"",IF(SUMPRODUCT(('成交明细'!$A$5:$A$804=A131)*('成交明细'!$D$5:$D$804=IF(F131="空","卖","买"))*ISNUMBER('成交明细'!$C$5:$C$804))=0,"没填时间",IFERROR(VLOOKUP(MOD(SUMPRODUCT(LARGE(('成交明细'!$A$5:$A$804=A131)*('成交明细'!$D$5:$D$804=IF(F131="空","卖","买"))*('成交明细'!$B$5:$B$804+'成交明细'!$C$5:$C$804),COUNTIFS('成交明细'!$A$5:$A$804,A131,'成交明细'!$D$5:$D$804,IF(F131="空","卖","买")))),1),'参数'!$B$39:$C$48,2,TRUE),"")))</f>
        <v/>
      </c>
      <c r="AB131" s="34" t="str">
        <f>IF(A131="","",SUMIFS('成交明细'!$F$5:$F$804,'成交明细'!$A$5:$A$804,A131,'成交明细'!$D$5:$D$804,IF(F131="空","卖","买")))</f>
        <v/>
      </c>
      <c r="AC131" s="41" t="str">
        <f>IF(N(AB131)&gt;0,SUMIFS('成交明细'!$H$5:$H$804,'成交明细'!$A$5:$A$804,A131,'成交明细'!$D$5:$D$804,IF(F131="空","卖","买"))/AB131,"")</f>
        <v/>
      </c>
      <c r="AD131" s="34" t="str">
        <f>IF(A131="","",SUMIFS('成交明细'!$F$5:$F$804,'成交明细'!$A$5:$A$804,A131,'成交明细'!$D$5:$D$804,IF(F131="空","买","卖")))</f>
        <v/>
      </c>
      <c r="AE131" s="41" t="str">
        <f>IF(N(AD131)&gt;0,SUMIFS('成交明细'!$H$5:$H$804,'成交明细'!$A$5:$A$804,A131,'成交明细'!$D$5:$D$804,IF(F131="空","买","卖"))/AD131,"")</f>
        <v/>
      </c>
      <c r="AF131" s="38" t="str">
        <f>IF(A131="","",IF(X131&lt;&gt;"已执行",IF(X131="","未填执行情况",X131),IF(N(AB131)=0,"待录成交",IF(N(AD131)&gt;N(AB131),"平仓多于开仓",IF(N(AD131)&lt;N(AB131),"持仓中","已平仓")))))</f>
        <v/>
      </c>
      <c r="AG131" s="42" t="str">
        <f>IF(N(AB131)=0,"",SUMIFS('成交明细'!$L$5:$L$804,'成交明细'!$A$5:$A$804,A131))</f>
        <v/>
      </c>
      <c r="AH131" s="43" t="str">
        <f>IF(A131="","",SUMIFS('资金费流水'!$F$5:$F$604,'资金费流水'!$B$5:$B$604,A131))</f>
        <v/>
      </c>
      <c r="AI131" s="43" t="str">
        <f>IF(AF131&lt;&gt;"已平仓","",(SUMIFS('成交明细'!$H$5:$H$804,'成交明细'!$A$5:$A$804,A131,'成交明细'!$D$5:$D$804,"卖")-SUMIFS('成交明细'!$H$5:$H$804,'成交明细'!$A$5:$A$804,A131,'成交明细'!$D$5:$D$804,"买"))*1-AG131+N(AH131))</f>
        <v/>
      </c>
      <c r="AJ131" s="44" t="str">
        <f>IF(AND(AF131="已平仓",ISNUMBER(Q131)),(SUMIFS('成交明细'!$H$5:$H$804,'成交明细'!$A$5:$A$804,A131,'成交明细'!$D$5:$D$804,"卖")-SUMIFS('成交明细'!$H$5:$H$804,'成交明细'!$A$5:$A$804,A131,'成交明细'!$D$5:$D$804,"买"))*1/Q131,"")</f>
        <v/>
      </c>
      <c r="AK131" s="44" t="str">
        <f>IF(AND(AF131="已平仓",ISNUMBER(Q131)),AI131/Q131,"")</f>
        <v/>
      </c>
      <c r="AL131" s="45" t="str">
        <f>IF(AND(ISNUMBER(AC131),ISNUMBER(K131)),IF(F131="空",K131-AC131,AC131-K131),"")</f>
        <v/>
      </c>
      <c r="AM131" s="45" t="str">
        <f>IF(OR(NOT(ISNUMBER(AI131)),NOT(ISNUMBER(AE131))),"",IF(AI131&lt;0,IF(F131="空",AE131-L131,L131-AE131),IF(NOT(ISNUMBER(M131)),"",IF(F131="空",AE131-M131,M131-AE131))))</f>
        <v/>
      </c>
      <c r="AN131" s="31" t="n"/>
      <c r="AO131" s="31" t="n"/>
      <c r="AP131" s="30" t="n"/>
      <c r="AQ131" s="44" t="str">
        <f>IF(A131="","",SUM(AK$5:AK131))</f>
        <v/>
      </c>
      <c r="AR131" s="46" t="str">
        <f>IF(A131="","",MAX(0,MAX(AQ$5:AQ131))-AQ131)</f>
        <v/>
      </c>
    </row>
    <row r="132">
      <c r="A132" s="24" t="n"/>
      <c r="B132" s="29" t="n"/>
      <c r="C132" s="30" t="n"/>
      <c r="D132" s="31" t="n"/>
      <c r="E132" s="31" t="n"/>
      <c r="F132" s="31" t="n"/>
      <c r="G132" s="21" t="n"/>
      <c r="H132" s="31" t="n"/>
      <c r="I132" s="23" t="n"/>
      <c r="J132" s="31" t="n"/>
      <c r="K132" s="32" t="n"/>
      <c r="L132" s="32" t="n"/>
      <c r="M132" s="32" t="n"/>
      <c r="N132" s="33" t="str">
        <f>IF(AND(ISNUMBER(K132),ISNUMBER(L132),ISNUMBER(M132)),IF(OR(AND(F132="多",K132&gt;L132),AND(F132="空",K132&lt;L132)),ABS(M132-K132)/ABS(K132-L132),"止损方向不对"),"")</f>
        <v/>
      </c>
      <c r="O132" s="34" t="str">
        <f>IF(AND(ISNUMBER(K132),ISNUMBER(L132)),IF(K132=L132,"",IF(INT(ROUND('参数'!$C$7/(ABS(K132-L132)*1+2*K132*'参数'!$C$12)/IF(N(J132)&gt;0,J132,1),6))*IF(N(J132)&gt;0,J132,1)&gt;0,INT(ROUND('参数'!$C$7/(ABS(K132-L132)*1+2*K132*'参数'!$C$12)/IF(N(J132)&gt;0,J132,1),6))*IF(N(J132)&gt;0,J132,1),"预算不足，这笔不做")),"")</f>
        <v/>
      </c>
      <c r="P132" s="35" t="n"/>
      <c r="Q132" s="20" t="str">
        <f>IF(AND(ISNUMBER(K132),ISNUMBER(L132),ISNUMBER(P132)),IF(AND(K132&lt;&gt;L132,P132&gt;0),ABS(K132-L132)*P132*1,""),"")</f>
        <v/>
      </c>
      <c r="R132" s="20" t="str">
        <f>IF(AND(ISNUMBER(K132),ISNUMBER(P132)),K132*P132,"")</f>
        <v/>
      </c>
      <c r="S132" s="20" t="str">
        <f>IF(AND(D132="合约",ISNUMBER(R132),N(G132)&gt;0),R132/G132,"")</f>
        <v/>
      </c>
      <c r="T132" s="36" t="str">
        <f>IF(NOT(D132="合约"),"",IF(H132&lt;&gt;"逐仓","看平台",IF(AND(ISNUMBER(K132),N(G132)&gt;0),IF(F132="空",K132*(1+1/G132-IF(ISNUMBER(I132),I132,'参数'!$C$13)),K132*(1-1/G132+IF(ISNUMBER(I132),I132,'参数'!$C$13))),"")))</f>
        <v/>
      </c>
      <c r="U132" s="37" t="str">
        <f>IF(AND(ISNUMBER(T132),ISNUMBER(L132),ISNUMBER(K132)),IF(F132="空",T132-L132,L132-T132)/K132,"")</f>
        <v/>
      </c>
      <c r="V132" s="38" t="str">
        <f>IF(ISNUMBER(U132),IF(U132&lt;'参数'!$C$15,"先降杠杆或减量","在止损外"),"")</f>
        <v/>
      </c>
      <c r="W132" s="30" t="n"/>
      <c r="X132" s="31" t="n"/>
      <c r="Y132" s="39" t="str">
        <f>IF(N(AB132)&gt;0,SUMPRODUCT(LARGE(('成交明细'!$A$5:$A$804=A132)*('成交明细'!$D$5:$D$804=IF(F132="空","卖","买"))*'成交明细'!$B$5:$B$804,COUNTIFS('成交明细'!$A$5:$A$804,A132,'成交明细'!$D$5:$D$804,IF(F132="空","卖","买")))),"")</f>
        <v/>
      </c>
      <c r="Z132" s="39" t="str">
        <f>IF(AND(N(AB132)&gt;0,N(AD132)&gt;=N(AB132)),SUMPRODUCT(MAX(('成交明细'!$A$5:$A$804=A132)*('成交明细'!$D$5:$D$804=IF(F132="空","买","卖"))*'成交明细'!$B$5:$B$804)),"")</f>
        <v/>
      </c>
      <c r="AA132" s="40" t="str">
        <f>IF(N(AB132)=0,"",IF(SUMPRODUCT(('成交明细'!$A$5:$A$804=A132)*('成交明细'!$D$5:$D$804=IF(F132="空","卖","买"))*ISNUMBER('成交明细'!$C$5:$C$804))=0,"没填时间",IFERROR(VLOOKUP(MOD(SUMPRODUCT(LARGE(('成交明细'!$A$5:$A$804=A132)*('成交明细'!$D$5:$D$804=IF(F132="空","卖","买"))*('成交明细'!$B$5:$B$804+'成交明细'!$C$5:$C$804),COUNTIFS('成交明细'!$A$5:$A$804,A132,'成交明细'!$D$5:$D$804,IF(F132="空","卖","买")))),1),'参数'!$B$39:$C$48,2,TRUE),"")))</f>
        <v/>
      </c>
      <c r="AB132" s="34" t="str">
        <f>IF(A132="","",SUMIFS('成交明细'!$F$5:$F$804,'成交明细'!$A$5:$A$804,A132,'成交明细'!$D$5:$D$804,IF(F132="空","卖","买")))</f>
        <v/>
      </c>
      <c r="AC132" s="41" t="str">
        <f>IF(N(AB132)&gt;0,SUMIFS('成交明细'!$H$5:$H$804,'成交明细'!$A$5:$A$804,A132,'成交明细'!$D$5:$D$804,IF(F132="空","卖","买"))/AB132,"")</f>
        <v/>
      </c>
      <c r="AD132" s="34" t="str">
        <f>IF(A132="","",SUMIFS('成交明细'!$F$5:$F$804,'成交明细'!$A$5:$A$804,A132,'成交明细'!$D$5:$D$804,IF(F132="空","买","卖")))</f>
        <v/>
      </c>
      <c r="AE132" s="41" t="str">
        <f>IF(N(AD132)&gt;0,SUMIFS('成交明细'!$H$5:$H$804,'成交明细'!$A$5:$A$804,A132,'成交明细'!$D$5:$D$804,IF(F132="空","买","卖"))/AD132,"")</f>
        <v/>
      </c>
      <c r="AF132" s="38" t="str">
        <f>IF(A132="","",IF(X132&lt;&gt;"已执行",IF(X132="","未填执行情况",X132),IF(N(AB132)=0,"待录成交",IF(N(AD132)&gt;N(AB132),"平仓多于开仓",IF(N(AD132)&lt;N(AB132),"持仓中","已平仓")))))</f>
        <v/>
      </c>
      <c r="AG132" s="42" t="str">
        <f>IF(N(AB132)=0,"",SUMIFS('成交明细'!$L$5:$L$804,'成交明细'!$A$5:$A$804,A132))</f>
        <v/>
      </c>
      <c r="AH132" s="43" t="str">
        <f>IF(A132="","",SUMIFS('资金费流水'!$F$5:$F$604,'资金费流水'!$B$5:$B$604,A132))</f>
        <v/>
      </c>
      <c r="AI132" s="43" t="str">
        <f>IF(AF132&lt;&gt;"已平仓","",(SUMIFS('成交明细'!$H$5:$H$804,'成交明细'!$A$5:$A$804,A132,'成交明细'!$D$5:$D$804,"卖")-SUMIFS('成交明细'!$H$5:$H$804,'成交明细'!$A$5:$A$804,A132,'成交明细'!$D$5:$D$804,"买"))*1-AG132+N(AH132))</f>
        <v/>
      </c>
      <c r="AJ132" s="44" t="str">
        <f>IF(AND(AF132="已平仓",ISNUMBER(Q132)),(SUMIFS('成交明细'!$H$5:$H$804,'成交明细'!$A$5:$A$804,A132,'成交明细'!$D$5:$D$804,"卖")-SUMIFS('成交明细'!$H$5:$H$804,'成交明细'!$A$5:$A$804,A132,'成交明细'!$D$5:$D$804,"买"))*1/Q132,"")</f>
        <v/>
      </c>
      <c r="AK132" s="44" t="str">
        <f>IF(AND(AF132="已平仓",ISNUMBER(Q132)),AI132/Q132,"")</f>
        <v/>
      </c>
      <c r="AL132" s="45" t="str">
        <f>IF(AND(ISNUMBER(AC132),ISNUMBER(K132)),IF(F132="空",K132-AC132,AC132-K132),"")</f>
        <v/>
      </c>
      <c r="AM132" s="45" t="str">
        <f>IF(OR(NOT(ISNUMBER(AI132)),NOT(ISNUMBER(AE132))),"",IF(AI132&lt;0,IF(F132="空",AE132-L132,L132-AE132),IF(NOT(ISNUMBER(M132)),"",IF(F132="空",AE132-M132,M132-AE132))))</f>
        <v/>
      </c>
      <c r="AN132" s="31" t="n"/>
      <c r="AO132" s="31" t="n"/>
      <c r="AP132" s="30" t="n"/>
      <c r="AQ132" s="44" t="str">
        <f>IF(A132="","",SUM(AK$5:AK132))</f>
        <v/>
      </c>
      <c r="AR132" s="46" t="str">
        <f>IF(A132="","",MAX(0,MAX(AQ$5:AQ132))-AQ132)</f>
        <v/>
      </c>
    </row>
    <row r="133">
      <c r="A133" s="24" t="n"/>
      <c r="B133" s="29" t="n"/>
      <c r="C133" s="30" t="n"/>
      <c r="D133" s="31" t="n"/>
      <c r="E133" s="31" t="n"/>
      <c r="F133" s="31" t="n"/>
      <c r="G133" s="21" t="n"/>
      <c r="H133" s="31" t="n"/>
      <c r="I133" s="23" t="n"/>
      <c r="J133" s="31" t="n"/>
      <c r="K133" s="32" t="n"/>
      <c r="L133" s="32" t="n"/>
      <c r="M133" s="32" t="n"/>
      <c r="N133" s="33" t="str">
        <f>IF(AND(ISNUMBER(K133),ISNUMBER(L133),ISNUMBER(M133)),IF(OR(AND(F133="多",K133&gt;L133),AND(F133="空",K133&lt;L133)),ABS(M133-K133)/ABS(K133-L133),"止损方向不对"),"")</f>
        <v/>
      </c>
      <c r="O133" s="34" t="str">
        <f>IF(AND(ISNUMBER(K133),ISNUMBER(L133)),IF(K133=L133,"",IF(INT(ROUND('参数'!$C$7/(ABS(K133-L133)*1+2*K133*'参数'!$C$12)/IF(N(J133)&gt;0,J133,1),6))*IF(N(J133)&gt;0,J133,1)&gt;0,INT(ROUND('参数'!$C$7/(ABS(K133-L133)*1+2*K133*'参数'!$C$12)/IF(N(J133)&gt;0,J133,1),6))*IF(N(J133)&gt;0,J133,1),"预算不足，这笔不做")),"")</f>
        <v/>
      </c>
      <c r="P133" s="35" t="n"/>
      <c r="Q133" s="20" t="str">
        <f>IF(AND(ISNUMBER(K133),ISNUMBER(L133),ISNUMBER(P133)),IF(AND(K133&lt;&gt;L133,P133&gt;0),ABS(K133-L133)*P133*1,""),"")</f>
        <v/>
      </c>
      <c r="R133" s="20" t="str">
        <f>IF(AND(ISNUMBER(K133),ISNUMBER(P133)),K133*P133,"")</f>
        <v/>
      </c>
      <c r="S133" s="20" t="str">
        <f>IF(AND(D133="合约",ISNUMBER(R133),N(G133)&gt;0),R133/G133,"")</f>
        <v/>
      </c>
      <c r="T133" s="36" t="str">
        <f>IF(NOT(D133="合约"),"",IF(H133&lt;&gt;"逐仓","看平台",IF(AND(ISNUMBER(K133),N(G133)&gt;0),IF(F133="空",K133*(1+1/G133-IF(ISNUMBER(I133),I133,'参数'!$C$13)),K133*(1-1/G133+IF(ISNUMBER(I133),I133,'参数'!$C$13))),"")))</f>
        <v/>
      </c>
      <c r="U133" s="37" t="str">
        <f>IF(AND(ISNUMBER(T133),ISNUMBER(L133),ISNUMBER(K133)),IF(F133="空",T133-L133,L133-T133)/K133,"")</f>
        <v/>
      </c>
      <c r="V133" s="38" t="str">
        <f>IF(ISNUMBER(U133),IF(U133&lt;'参数'!$C$15,"先降杠杆或减量","在止损外"),"")</f>
        <v/>
      </c>
      <c r="W133" s="30" t="n"/>
      <c r="X133" s="31" t="n"/>
      <c r="Y133" s="39" t="str">
        <f>IF(N(AB133)&gt;0,SUMPRODUCT(LARGE(('成交明细'!$A$5:$A$804=A133)*('成交明细'!$D$5:$D$804=IF(F133="空","卖","买"))*'成交明细'!$B$5:$B$804,COUNTIFS('成交明细'!$A$5:$A$804,A133,'成交明细'!$D$5:$D$804,IF(F133="空","卖","买")))),"")</f>
        <v/>
      </c>
      <c r="Z133" s="39" t="str">
        <f>IF(AND(N(AB133)&gt;0,N(AD133)&gt;=N(AB133)),SUMPRODUCT(MAX(('成交明细'!$A$5:$A$804=A133)*('成交明细'!$D$5:$D$804=IF(F133="空","买","卖"))*'成交明细'!$B$5:$B$804)),"")</f>
        <v/>
      </c>
      <c r="AA133" s="40" t="str">
        <f>IF(N(AB133)=0,"",IF(SUMPRODUCT(('成交明细'!$A$5:$A$804=A133)*('成交明细'!$D$5:$D$804=IF(F133="空","卖","买"))*ISNUMBER('成交明细'!$C$5:$C$804))=0,"没填时间",IFERROR(VLOOKUP(MOD(SUMPRODUCT(LARGE(('成交明细'!$A$5:$A$804=A133)*('成交明细'!$D$5:$D$804=IF(F133="空","卖","买"))*('成交明细'!$B$5:$B$804+'成交明细'!$C$5:$C$804),COUNTIFS('成交明细'!$A$5:$A$804,A133,'成交明细'!$D$5:$D$804,IF(F133="空","卖","买")))),1),'参数'!$B$39:$C$48,2,TRUE),"")))</f>
        <v/>
      </c>
      <c r="AB133" s="34" t="str">
        <f>IF(A133="","",SUMIFS('成交明细'!$F$5:$F$804,'成交明细'!$A$5:$A$804,A133,'成交明细'!$D$5:$D$804,IF(F133="空","卖","买")))</f>
        <v/>
      </c>
      <c r="AC133" s="41" t="str">
        <f>IF(N(AB133)&gt;0,SUMIFS('成交明细'!$H$5:$H$804,'成交明细'!$A$5:$A$804,A133,'成交明细'!$D$5:$D$804,IF(F133="空","卖","买"))/AB133,"")</f>
        <v/>
      </c>
      <c r="AD133" s="34" t="str">
        <f>IF(A133="","",SUMIFS('成交明细'!$F$5:$F$804,'成交明细'!$A$5:$A$804,A133,'成交明细'!$D$5:$D$804,IF(F133="空","买","卖")))</f>
        <v/>
      </c>
      <c r="AE133" s="41" t="str">
        <f>IF(N(AD133)&gt;0,SUMIFS('成交明细'!$H$5:$H$804,'成交明细'!$A$5:$A$804,A133,'成交明细'!$D$5:$D$804,IF(F133="空","买","卖"))/AD133,"")</f>
        <v/>
      </c>
      <c r="AF133" s="38" t="str">
        <f>IF(A133="","",IF(X133&lt;&gt;"已执行",IF(X133="","未填执行情况",X133),IF(N(AB133)=0,"待录成交",IF(N(AD133)&gt;N(AB133),"平仓多于开仓",IF(N(AD133)&lt;N(AB133),"持仓中","已平仓")))))</f>
        <v/>
      </c>
      <c r="AG133" s="42" t="str">
        <f>IF(N(AB133)=0,"",SUMIFS('成交明细'!$L$5:$L$804,'成交明细'!$A$5:$A$804,A133))</f>
        <v/>
      </c>
      <c r="AH133" s="43" t="str">
        <f>IF(A133="","",SUMIFS('资金费流水'!$F$5:$F$604,'资金费流水'!$B$5:$B$604,A133))</f>
        <v/>
      </c>
      <c r="AI133" s="43" t="str">
        <f>IF(AF133&lt;&gt;"已平仓","",(SUMIFS('成交明细'!$H$5:$H$804,'成交明细'!$A$5:$A$804,A133,'成交明细'!$D$5:$D$804,"卖")-SUMIFS('成交明细'!$H$5:$H$804,'成交明细'!$A$5:$A$804,A133,'成交明细'!$D$5:$D$804,"买"))*1-AG133+N(AH133))</f>
        <v/>
      </c>
      <c r="AJ133" s="44" t="str">
        <f>IF(AND(AF133="已平仓",ISNUMBER(Q133)),(SUMIFS('成交明细'!$H$5:$H$804,'成交明细'!$A$5:$A$804,A133,'成交明细'!$D$5:$D$804,"卖")-SUMIFS('成交明细'!$H$5:$H$804,'成交明细'!$A$5:$A$804,A133,'成交明细'!$D$5:$D$804,"买"))*1/Q133,"")</f>
        <v/>
      </c>
      <c r="AK133" s="44" t="str">
        <f>IF(AND(AF133="已平仓",ISNUMBER(Q133)),AI133/Q133,"")</f>
        <v/>
      </c>
      <c r="AL133" s="45" t="str">
        <f>IF(AND(ISNUMBER(AC133),ISNUMBER(K133)),IF(F133="空",K133-AC133,AC133-K133),"")</f>
        <v/>
      </c>
      <c r="AM133" s="45" t="str">
        <f>IF(OR(NOT(ISNUMBER(AI133)),NOT(ISNUMBER(AE133))),"",IF(AI133&lt;0,IF(F133="空",AE133-L133,L133-AE133),IF(NOT(ISNUMBER(M133)),"",IF(F133="空",AE133-M133,M133-AE133))))</f>
        <v/>
      </c>
      <c r="AN133" s="31" t="n"/>
      <c r="AO133" s="31" t="n"/>
      <c r="AP133" s="30" t="n"/>
      <c r="AQ133" s="44" t="str">
        <f>IF(A133="","",SUM(AK$5:AK133))</f>
        <v/>
      </c>
      <c r="AR133" s="46" t="str">
        <f>IF(A133="","",MAX(0,MAX(AQ$5:AQ133))-AQ133)</f>
        <v/>
      </c>
    </row>
    <row r="134">
      <c r="A134" s="24" t="n"/>
      <c r="B134" s="29" t="n"/>
      <c r="C134" s="30" t="n"/>
      <c r="D134" s="31" t="n"/>
      <c r="E134" s="31" t="n"/>
      <c r="F134" s="31" t="n"/>
      <c r="G134" s="21" t="n"/>
      <c r="H134" s="31" t="n"/>
      <c r="I134" s="23" t="n"/>
      <c r="J134" s="31" t="n"/>
      <c r="K134" s="32" t="n"/>
      <c r="L134" s="32" t="n"/>
      <c r="M134" s="32" t="n"/>
      <c r="N134" s="33" t="str">
        <f>IF(AND(ISNUMBER(K134),ISNUMBER(L134),ISNUMBER(M134)),IF(OR(AND(F134="多",K134&gt;L134),AND(F134="空",K134&lt;L134)),ABS(M134-K134)/ABS(K134-L134),"止损方向不对"),"")</f>
        <v/>
      </c>
      <c r="O134" s="34" t="str">
        <f>IF(AND(ISNUMBER(K134),ISNUMBER(L134)),IF(K134=L134,"",IF(INT(ROUND('参数'!$C$7/(ABS(K134-L134)*1+2*K134*'参数'!$C$12)/IF(N(J134)&gt;0,J134,1),6))*IF(N(J134)&gt;0,J134,1)&gt;0,INT(ROUND('参数'!$C$7/(ABS(K134-L134)*1+2*K134*'参数'!$C$12)/IF(N(J134)&gt;0,J134,1),6))*IF(N(J134)&gt;0,J134,1),"预算不足，这笔不做")),"")</f>
        <v/>
      </c>
      <c r="P134" s="35" t="n"/>
      <c r="Q134" s="20" t="str">
        <f>IF(AND(ISNUMBER(K134),ISNUMBER(L134),ISNUMBER(P134)),IF(AND(K134&lt;&gt;L134,P134&gt;0),ABS(K134-L134)*P134*1,""),"")</f>
        <v/>
      </c>
      <c r="R134" s="20" t="str">
        <f>IF(AND(ISNUMBER(K134),ISNUMBER(P134)),K134*P134,"")</f>
        <v/>
      </c>
      <c r="S134" s="20" t="str">
        <f>IF(AND(D134="合约",ISNUMBER(R134),N(G134)&gt;0),R134/G134,"")</f>
        <v/>
      </c>
      <c r="T134" s="36" t="str">
        <f>IF(NOT(D134="合约"),"",IF(H134&lt;&gt;"逐仓","看平台",IF(AND(ISNUMBER(K134),N(G134)&gt;0),IF(F134="空",K134*(1+1/G134-IF(ISNUMBER(I134),I134,'参数'!$C$13)),K134*(1-1/G134+IF(ISNUMBER(I134),I134,'参数'!$C$13))),"")))</f>
        <v/>
      </c>
      <c r="U134" s="37" t="str">
        <f>IF(AND(ISNUMBER(T134),ISNUMBER(L134),ISNUMBER(K134)),IF(F134="空",T134-L134,L134-T134)/K134,"")</f>
        <v/>
      </c>
      <c r="V134" s="38" t="str">
        <f>IF(ISNUMBER(U134),IF(U134&lt;'参数'!$C$15,"先降杠杆或减量","在止损外"),"")</f>
        <v/>
      </c>
      <c r="W134" s="30" t="n"/>
      <c r="X134" s="31" t="n"/>
      <c r="Y134" s="39" t="str">
        <f>IF(N(AB134)&gt;0,SUMPRODUCT(LARGE(('成交明细'!$A$5:$A$804=A134)*('成交明细'!$D$5:$D$804=IF(F134="空","卖","买"))*'成交明细'!$B$5:$B$804,COUNTIFS('成交明细'!$A$5:$A$804,A134,'成交明细'!$D$5:$D$804,IF(F134="空","卖","买")))),"")</f>
        <v/>
      </c>
      <c r="Z134" s="39" t="str">
        <f>IF(AND(N(AB134)&gt;0,N(AD134)&gt;=N(AB134)),SUMPRODUCT(MAX(('成交明细'!$A$5:$A$804=A134)*('成交明细'!$D$5:$D$804=IF(F134="空","买","卖"))*'成交明细'!$B$5:$B$804)),"")</f>
        <v/>
      </c>
      <c r="AA134" s="40" t="str">
        <f>IF(N(AB134)=0,"",IF(SUMPRODUCT(('成交明细'!$A$5:$A$804=A134)*('成交明细'!$D$5:$D$804=IF(F134="空","卖","买"))*ISNUMBER('成交明细'!$C$5:$C$804))=0,"没填时间",IFERROR(VLOOKUP(MOD(SUMPRODUCT(LARGE(('成交明细'!$A$5:$A$804=A134)*('成交明细'!$D$5:$D$804=IF(F134="空","卖","买"))*('成交明细'!$B$5:$B$804+'成交明细'!$C$5:$C$804),COUNTIFS('成交明细'!$A$5:$A$804,A134,'成交明细'!$D$5:$D$804,IF(F134="空","卖","买")))),1),'参数'!$B$39:$C$48,2,TRUE),"")))</f>
        <v/>
      </c>
      <c r="AB134" s="34" t="str">
        <f>IF(A134="","",SUMIFS('成交明细'!$F$5:$F$804,'成交明细'!$A$5:$A$804,A134,'成交明细'!$D$5:$D$804,IF(F134="空","卖","买")))</f>
        <v/>
      </c>
      <c r="AC134" s="41" t="str">
        <f>IF(N(AB134)&gt;0,SUMIFS('成交明细'!$H$5:$H$804,'成交明细'!$A$5:$A$804,A134,'成交明细'!$D$5:$D$804,IF(F134="空","卖","买"))/AB134,"")</f>
        <v/>
      </c>
      <c r="AD134" s="34" t="str">
        <f>IF(A134="","",SUMIFS('成交明细'!$F$5:$F$804,'成交明细'!$A$5:$A$804,A134,'成交明细'!$D$5:$D$804,IF(F134="空","买","卖")))</f>
        <v/>
      </c>
      <c r="AE134" s="41" t="str">
        <f>IF(N(AD134)&gt;0,SUMIFS('成交明细'!$H$5:$H$804,'成交明细'!$A$5:$A$804,A134,'成交明细'!$D$5:$D$804,IF(F134="空","买","卖"))/AD134,"")</f>
        <v/>
      </c>
      <c r="AF134" s="38" t="str">
        <f>IF(A134="","",IF(X134&lt;&gt;"已执行",IF(X134="","未填执行情况",X134),IF(N(AB134)=0,"待录成交",IF(N(AD134)&gt;N(AB134),"平仓多于开仓",IF(N(AD134)&lt;N(AB134),"持仓中","已平仓")))))</f>
        <v/>
      </c>
      <c r="AG134" s="42" t="str">
        <f>IF(N(AB134)=0,"",SUMIFS('成交明细'!$L$5:$L$804,'成交明细'!$A$5:$A$804,A134))</f>
        <v/>
      </c>
      <c r="AH134" s="43" t="str">
        <f>IF(A134="","",SUMIFS('资金费流水'!$F$5:$F$604,'资金费流水'!$B$5:$B$604,A134))</f>
        <v/>
      </c>
      <c r="AI134" s="43" t="str">
        <f>IF(AF134&lt;&gt;"已平仓","",(SUMIFS('成交明细'!$H$5:$H$804,'成交明细'!$A$5:$A$804,A134,'成交明细'!$D$5:$D$804,"卖")-SUMIFS('成交明细'!$H$5:$H$804,'成交明细'!$A$5:$A$804,A134,'成交明细'!$D$5:$D$804,"买"))*1-AG134+N(AH134))</f>
        <v/>
      </c>
      <c r="AJ134" s="44" t="str">
        <f>IF(AND(AF134="已平仓",ISNUMBER(Q134)),(SUMIFS('成交明细'!$H$5:$H$804,'成交明细'!$A$5:$A$804,A134,'成交明细'!$D$5:$D$804,"卖")-SUMIFS('成交明细'!$H$5:$H$804,'成交明细'!$A$5:$A$804,A134,'成交明细'!$D$5:$D$804,"买"))*1/Q134,"")</f>
        <v/>
      </c>
      <c r="AK134" s="44" t="str">
        <f>IF(AND(AF134="已平仓",ISNUMBER(Q134)),AI134/Q134,"")</f>
        <v/>
      </c>
      <c r="AL134" s="45" t="str">
        <f>IF(AND(ISNUMBER(AC134),ISNUMBER(K134)),IF(F134="空",K134-AC134,AC134-K134),"")</f>
        <v/>
      </c>
      <c r="AM134" s="45" t="str">
        <f>IF(OR(NOT(ISNUMBER(AI134)),NOT(ISNUMBER(AE134))),"",IF(AI134&lt;0,IF(F134="空",AE134-L134,L134-AE134),IF(NOT(ISNUMBER(M134)),"",IF(F134="空",AE134-M134,M134-AE134))))</f>
        <v/>
      </c>
      <c r="AN134" s="31" t="n"/>
      <c r="AO134" s="31" t="n"/>
      <c r="AP134" s="30" t="n"/>
      <c r="AQ134" s="44" t="str">
        <f>IF(A134="","",SUM(AK$5:AK134))</f>
        <v/>
      </c>
      <c r="AR134" s="46" t="str">
        <f>IF(A134="","",MAX(0,MAX(AQ$5:AQ134))-AQ134)</f>
        <v/>
      </c>
    </row>
    <row r="135">
      <c r="A135" s="24" t="n"/>
      <c r="B135" s="29" t="n"/>
      <c r="C135" s="30" t="n"/>
      <c r="D135" s="31" t="n"/>
      <c r="E135" s="31" t="n"/>
      <c r="F135" s="31" t="n"/>
      <c r="G135" s="21" t="n"/>
      <c r="H135" s="31" t="n"/>
      <c r="I135" s="23" t="n"/>
      <c r="J135" s="31" t="n"/>
      <c r="K135" s="32" t="n"/>
      <c r="L135" s="32" t="n"/>
      <c r="M135" s="32" t="n"/>
      <c r="N135" s="33" t="str">
        <f>IF(AND(ISNUMBER(K135),ISNUMBER(L135),ISNUMBER(M135)),IF(OR(AND(F135="多",K135&gt;L135),AND(F135="空",K135&lt;L135)),ABS(M135-K135)/ABS(K135-L135),"止损方向不对"),"")</f>
        <v/>
      </c>
      <c r="O135" s="34" t="str">
        <f>IF(AND(ISNUMBER(K135),ISNUMBER(L135)),IF(K135=L135,"",IF(INT(ROUND('参数'!$C$7/(ABS(K135-L135)*1+2*K135*'参数'!$C$12)/IF(N(J135)&gt;0,J135,1),6))*IF(N(J135)&gt;0,J135,1)&gt;0,INT(ROUND('参数'!$C$7/(ABS(K135-L135)*1+2*K135*'参数'!$C$12)/IF(N(J135)&gt;0,J135,1),6))*IF(N(J135)&gt;0,J135,1),"预算不足，这笔不做")),"")</f>
        <v/>
      </c>
      <c r="P135" s="35" t="n"/>
      <c r="Q135" s="20" t="str">
        <f>IF(AND(ISNUMBER(K135),ISNUMBER(L135),ISNUMBER(P135)),IF(AND(K135&lt;&gt;L135,P135&gt;0),ABS(K135-L135)*P135*1,""),"")</f>
        <v/>
      </c>
      <c r="R135" s="20" t="str">
        <f>IF(AND(ISNUMBER(K135),ISNUMBER(P135)),K135*P135,"")</f>
        <v/>
      </c>
      <c r="S135" s="20" t="str">
        <f>IF(AND(D135="合约",ISNUMBER(R135),N(G135)&gt;0),R135/G135,"")</f>
        <v/>
      </c>
      <c r="T135" s="36" t="str">
        <f>IF(NOT(D135="合约"),"",IF(H135&lt;&gt;"逐仓","看平台",IF(AND(ISNUMBER(K135),N(G135)&gt;0),IF(F135="空",K135*(1+1/G135-IF(ISNUMBER(I135),I135,'参数'!$C$13)),K135*(1-1/G135+IF(ISNUMBER(I135),I135,'参数'!$C$13))),"")))</f>
        <v/>
      </c>
      <c r="U135" s="37" t="str">
        <f>IF(AND(ISNUMBER(T135),ISNUMBER(L135),ISNUMBER(K135)),IF(F135="空",T135-L135,L135-T135)/K135,"")</f>
        <v/>
      </c>
      <c r="V135" s="38" t="str">
        <f>IF(ISNUMBER(U135),IF(U135&lt;'参数'!$C$15,"先降杠杆或减量","在止损外"),"")</f>
        <v/>
      </c>
      <c r="W135" s="30" t="n"/>
      <c r="X135" s="31" t="n"/>
      <c r="Y135" s="39" t="str">
        <f>IF(N(AB135)&gt;0,SUMPRODUCT(LARGE(('成交明细'!$A$5:$A$804=A135)*('成交明细'!$D$5:$D$804=IF(F135="空","卖","买"))*'成交明细'!$B$5:$B$804,COUNTIFS('成交明细'!$A$5:$A$804,A135,'成交明细'!$D$5:$D$804,IF(F135="空","卖","买")))),"")</f>
        <v/>
      </c>
      <c r="Z135" s="39" t="str">
        <f>IF(AND(N(AB135)&gt;0,N(AD135)&gt;=N(AB135)),SUMPRODUCT(MAX(('成交明细'!$A$5:$A$804=A135)*('成交明细'!$D$5:$D$804=IF(F135="空","买","卖"))*'成交明细'!$B$5:$B$804)),"")</f>
        <v/>
      </c>
      <c r="AA135" s="40" t="str">
        <f>IF(N(AB135)=0,"",IF(SUMPRODUCT(('成交明细'!$A$5:$A$804=A135)*('成交明细'!$D$5:$D$804=IF(F135="空","卖","买"))*ISNUMBER('成交明细'!$C$5:$C$804))=0,"没填时间",IFERROR(VLOOKUP(MOD(SUMPRODUCT(LARGE(('成交明细'!$A$5:$A$804=A135)*('成交明细'!$D$5:$D$804=IF(F135="空","卖","买"))*('成交明细'!$B$5:$B$804+'成交明细'!$C$5:$C$804),COUNTIFS('成交明细'!$A$5:$A$804,A135,'成交明细'!$D$5:$D$804,IF(F135="空","卖","买")))),1),'参数'!$B$39:$C$48,2,TRUE),"")))</f>
        <v/>
      </c>
      <c r="AB135" s="34" t="str">
        <f>IF(A135="","",SUMIFS('成交明细'!$F$5:$F$804,'成交明细'!$A$5:$A$804,A135,'成交明细'!$D$5:$D$804,IF(F135="空","卖","买")))</f>
        <v/>
      </c>
      <c r="AC135" s="41" t="str">
        <f>IF(N(AB135)&gt;0,SUMIFS('成交明细'!$H$5:$H$804,'成交明细'!$A$5:$A$804,A135,'成交明细'!$D$5:$D$804,IF(F135="空","卖","买"))/AB135,"")</f>
        <v/>
      </c>
      <c r="AD135" s="34" t="str">
        <f>IF(A135="","",SUMIFS('成交明细'!$F$5:$F$804,'成交明细'!$A$5:$A$804,A135,'成交明细'!$D$5:$D$804,IF(F135="空","买","卖")))</f>
        <v/>
      </c>
      <c r="AE135" s="41" t="str">
        <f>IF(N(AD135)&gt;0,SUMIFS('成交明细'!$H$5:$H$804,'成交明细'!$A$5:$A$804,A135,'成交明细'!$D$5:$D$804,IF(F135="空","买","卖"))/AD135,"")</f>
        <v/>
      </c>
      <c r="AF135" s="38" t="str">
        <f>IF(A135="","",IF(X135&lt;&gt;"已执行",IF(X135="","未填执行情况",X135),IF(N(AB135)=0,"待录成交",IF(N(AD135)&gt;N(AB135),"平仓多于开仓",IF(N(AD135)&lt;N(AB135),"持仓中","已平仓")))))</f>
        <v/>
      </c>
      <c r="AG135" s="42" t="str">
        <f>IF(N(AB135)=0,"",SUMIFS('成交明细'!$L$5:$L$804,'成交明细'!$A$5:$A$804,A135))</f>
        <v/>
      </c>
      <c r="AH135" s="43" t="str">
        <f>IF(A135="","",SUMIFS('资金费流水'!$F$5:$F$604,'资金费流水'!$B$5:$B$604,A135))</f>
        <v/>
      </c>
      <c r="AI135" s="43" t="str">
        <f>IF(AF135&lt;&gt;"已平仓","",(SUMIFS('成交明细'!$H$5:$H$804,'成交明细'!$A$5:$A$804,A135,'成交明细'!$D$5:$D$804,"卖")-SUMIFS('成交明细'!$H$5:$H$804,'成交明细'!$A$5:$A$804,A135,'成交明细'!$D$5:$D$804,"买"))*1-AG135+N(AH135))</f>
        <v/>
      </c>
      <c r="AJ135" s="44" t="str">
        <f>IF(AND(AF135="已平仓",ISNUMBER(Q135)),(SUMIFS('成交明细'!$H$5:$H$804,'成交明细'!$A$5:$A$804,A135,'成交明细'!$D$5:$D$804,"卖")-SUMIFS('成交明细'!$H$5:$H$804,'成交明细'!$A$5:$A$804,A135,'成交明细'!$D$5:$D$804,"买"))*1/Q135,"")</f>
        <v/>
      </c>
      <c r="AK135" s="44" t="str">
        <f>IF(AND(AF135="已平仓",ISNUMBER(Q135)),AI135/Q135,"")</f>
        <v/>
      </c>
      <c r="AL135" s="45" t="str">
        <f>IF(AND(ISNUMBER(AC135),ISNUMBER(K135)),IF(F135="空",K135-AC135,AC135-K135),"")</f>
        <v/>
      </c>
      <c r="AM135" s="45" t="str">
        <f>IF(OR(NOT(ISNUMBER(AI135)),NOT(ISNUMBER(AE135))),"",IF(AI135&lt;0,IF(F135="空",AE135-L135,L135-AE135),IF(NOT(ISNUMBER(M135)),"",IF(F135="空",AE135-M135,M135-AE135))))</f>
        <v/>
      </c>
      <c r="AN135" s="31" t="n"/>
      <c r="AO135" s="31" t="n"/>
      <c r="AP135" s="30" t="n"/>
      <c r="AQ135" s="44" t="str">
        <f>IF(A135="","",SUM(AK$5:AK135))</f>
        <v/>
      </c>
      <c r="AR135" s="46" t="str">
        <f>IF(A135="","",MAX(0,MAX(AQ$5:AQ135))-AQ135)</f>
        <v/>
      </c>
    </row>
    <row r="136">
      <c r="A136" s="24" t="n"/>
      <c r="B136" s="29" t="n"/>
      <c r="C136" s="30" t="n"/>
      <c r="D136" s="31" t="n"/>
      <c r="E136" s="31" t="n"/>
      <c r="F136" s="31" t="n"/>
      <c r="G136" s="21" t="n"/>
      <c r="H136" s="31" t="n"/>
      <c r="I136" s="23" t="n"/>
      <c r="J136" s="31" t="n"/>
      <c r="K136" s="32" t="n"/>
      <c r="L136" s="32" t="n"/>
      <c r="M136" s="32" t="n"/>
      <c r="N136" s="33" t="str">
        <f>IF(AND(ISNUMBER(K136),ISNUMBER(L136),ISNUMBER(M136)),IF(OR(AND(F136="多",K136&gt;L136),AND(F136="空",K136&lt;L136)),ABS(M136-K136)/ABS(K136-L136),"止损方向不对"),"")</f>
        <v/>
      </c>
      <c r="O136" s="34" t="str">
        <f>IF(AND(ISNUMBER(K136),ISNUMBER(L136)),IF(K136=L136,"",IF(INT(ROUND('参数'!$C$7/(ABS(K136-L136)*1+2*K136*'参数'!$C$12)/IF(N(J136)&gt;0,J136,1),6))*IF(N(J136)&gt;0,J136,1)&gt;0,INT(ROUND('参数'!$C$7/(ABS(K136-L136)*1+2*K136*'参数'!$C$12)/IF(N(J136)&gt;0,J136,1),6))*IF(N(J136)&gt;0,J136,1),"预算不足，这笔不做")),"")</f>
        <v/>
      </c>
      <c r="P136" s="35" t="n"/>
      <c r="Q136" s="20" t="str">
        <f>IF(AND(ISNUMBER(K136),ISNUMBER(L136),ISNUMBER(P136)),IF(AND(K136&lt;&gt;L136,P136&gt;0),ABS(K136-L136)*P136*1,""),"")</f>
        <v/>
      </c>
      <c r="R136" s="20" t="str">
        <f>IF(AND(ISNUMBER(K136),ISNUMBER(P136)),K136*P136,"")</f>
        <v/>
      </c>
      <c r="S136" s="20" t="str">
        <f>IF(AND(D136="合约",ISNUMBER(R136),N(G136)&gt;0),R136/G136,"")</f>
        <v/>
      </c>
      <c r="T136" s="36" t="str">
        <f>IF(NOT(D136="合约"),"",IF(H136&lt;&gt;"逐仓","看平台",IF(AND(ISNUMBER(K136),N(G136)&gt;0),IF(F136="空",K136*(1+1/G136-IF(ISNUMBER(I136),I136,'参数'!$C$13)),K136*(1-1/G136+IF(ISNUMBER(I136),I136,'参数'!$C$13))),"")))</f>
        <v/>
      </c>
      <c r="U136" s="37" t="str">
        <f>IF(AND(ISNUMBER(T136),ISNUMBER(L136),ISNUMBER(K136)),IF(F136="空",T136-L136,L136-T136)/K136,"")</f>
        <v/>
      </c>
      <c r="V136" s="38" t="str">
        <f>IF(ISNUMBER(U136),IF(U136&lt;'参数'!$C$15,"先降杠杆或减量","在止损外"),"")</f>
        <v/>
      </c>
      <c r="W136" s="30" t="n"/>
      <c r="X136" s="31" t="n"/>
      <c r="Y136" s="39" t="str">
        <f>IF(N(AB136)&gt;0,SUMPRODUCT(LARGE(('成交明细'!$A$5:$A$804=A136)*('成交明细'!$D$5:$D$804=IF(F136="空","卖","买"))*'成交明细'!$B$5:$B$804,COUNTIFS('成交明细'!$A$5:$A$804,A136,'成交明细'!$D$5:$D$804,IF(F136="空","卖","买")))),"")</f>
        <v/>
      </c>
      <c r="Z136" s="39" t="str">
        <f>IF(AND(N(AB136)&gt;0,N(AD136)&gt;=N(AB136)),SUMPRODUCT(MAX(('成交明细'!$A$5:$A$804=A136)*('成交明细'!$D$5:$D$804=IF(F136="空","买","卖"))*'成交明细'!$B$5:$B$804)),"")</f>
        <v/>
      </c>
      <c r="AA136" s="40" t="str">
        <f>IF(N(AB136)=0,"",IF(SUMPRODUCT(('成交明细'!$A$5:$A$804=A136)*('成交明细'!$D$5:$D$804=IF(F136="空","卖","买"))*ISNUMBER('成交明细'!$C$5:$C$804))=0,"没填时间",IFERROR(VLOOKUP(MOD(SUMPRODUCT(LARGE(('成交明细'!$A$5:$A$804=A136)*('成交明细'!$D$5:$D$804=IF(F136="空","卖","买"))*('成交明细'!$B$5:$B$804+'成交明细'!$C$5:$C$804),COUNTIFS('成交明细'!$A$5:$A$804,A136,'成交明细'!$D$5:$D$804,IF(F136="空","卖","买")))),1),'参数'!$B$39:$C$48,2,TRUE),"")))</f>
        <v/>
      </c>
      <c r="AB136" s="34" t="str">
        <f>IF(A136="","",SUMIFS('成交明细'!$F$5:$F$804,'成交明细'!$A$5:$A$804,A136,'成交明细'!$D$5:$D$804,IF(F136="空","卖","买")))</f>
        <v/>
      </c>
      <c r="AC136" s="41" t="str">
        <f>IF(N(AB136)&gt;0,SUMIFS('成交明细'!$H$5:$H$804,'成交明细'!$A$5:$A$804,A136,'成交明细'!$D$5:$D$804,IF(F136="空","卖","买"))/AB136,"")</f>
        <v/>
      </c>
      <c r="AD136" s="34" t="str">
        <f>IF(A136="","",SUMIFS('成交明细'!$F$5:$F$804,'成交明细'!$A$5:$A$804,A136,'成交明细'!$D$5:$D$804,IF(F136="空","买","卖")))</f>
        <v/>
      </c>
      <c r="AE136" s="41" t="str">
        <f>IF(N(AD136)&gt;0,SUMIFS('成交明细'!$H$5:$H$804,'成交明细'!$A$5:$A$804,A136,'成交明细'!$D$5:$D$804,IF(F136="空","买","卖"))/AD136,"")</f>
        <v/>
      </c>
      <c r="AF136" s="38" t="str">
        <f>IF(A136="","",IF(X136&lt;&gt;"已执行",IF(X136="","未填执行情况",X136),IF(N(AB136)=0,"待录成交",IF(N(AD136)&gt;N(AB136),"平仓多于开仓",IF(N(AD136)&lt;N(AB136),"持仓中","已平仓")))))</f>
        <v/>
      </c>
      <c r="AG136" s="42" t="str">
        <f>IF(N(AB136)=0,"",SUMIFS('成交明细'!$L$5:$L$804,'成交明细'!$A$5:$A$804,A136))</f>
        <v/>
      </c>
      <c r="AH136" s="43" t="str">
        <f>IF(A136="","",SUMIFS('资金费流水'!$F$5:$F$604,'资金费流水'!$B$5:$B$604,A136))</f>
        <v/>
      </c>
      <c r="AI136" s="43" t="str">
        <f>IF(AF136&lt;&gt;"已平仓","",(SUMIFS('成交明细'!$H$5:$H$804,'成交明细'!$A$5:$A$804,A136,'成交明细'!$D$5:$D$804,"卖")-SUMIFS('成交明细'!$H$5:$H$804,'成交明细'!$A$5:$A$804,A136,'成交明细'!$D$5:$D$804,"买"))*1-AG136+N(AH136))</f>
        <v/>
      </c>
      <c r="AJ136" s="44" t="str">
        <f>IF(AND(AF136="已平仓",ISNUMBER(Q136)),(SUMIFS('成交明细'!$H$5:$H$804,'成交明细'!$A$5:$A$804,A136,'成交明细'!$D$5:$D$804,"卖")-SUMIFS('成交明细'!$H$5:$H$804,'成交明细'!$A$5:$A$804,A136,'成交明细'!$D$5:$D$804,"买"))*1/Q136,"")</f>
        <v/>
      </c>
      <c r="AK136" s="44" t="str">
        <f>IF(AND(AF136="已平仓",ISNUMBER(Q136)),AI136/Q136,"")</f>
        <v/>
      </c>
      <c r="AL136" s="45" t="str">
        <f>IF(AND(ISNUMBER(AC136),ISNUMBER(K136)),IF(F136="空",K136-AC136,AC136-K136),"")</f>
        <v/>
      </c>
      <c r="AM136" s="45" t="str">
        <f>IF(OR(NOT(ISNUMBER(AI136)),NOT(ISNUMBER(AE136))),"",IF(AI136&lt;0,IF(F136="空",AE136-L136,L136-AE136),IF(NOT(ISNUMBER(M136)),"",IF(F136="空",AE136-M136,M136-AE136))))</f>
        <v/>
      </c>
      <c r="AN136" s="31" t="n"/>
      <c r="AO136" s="31" t="n"/>
      <c r="AP136" s="30" t="n"/>
      <c r="AQ136" s="44" t="str">
        <f>IF(A136="","",SUM(AK$5:AK136))</f>
        <v/>
      </c>
      <c r="AR136" s="46" t="str">
        <f>IF(A136="","",MAX(0,MAX(AQ$5:AQ136))-AQ136)</f>
        <v/>
      </c>
    </row>
    <row r="137">
      <c r="A137" s="24" t="n"/>
      <c r="B137" s="29" t="n"/>
      <c r="C137" s="30" t="n"/>
      <c r="D137" s="31" t="n"/>
      <c r="E137" s="31" t="n"/>
      <c r="F137" s="31" t="n"/>
      <c r="G137" s="21" t="n"/>
      <c r="H137" s="31" t="n"/>
      <c r="I137" s="23" t="n"/>
      <c r="J137" s="31" t="n"/>
      <c r="K137" s="32" t="n"/>
      <c r="L137" s="32" t="n"/>
      <c r="M137" s="32" t="n"/>
      <c r="N137" s="33" t="str">
        <f>IF(AND(ISNUMBER(K137),ISNUMBER(L137),ISNUMBER(M137)),IF(OR(AND(F137="多",K137&gt;L137),AND(F137="空",K137&lt;L137)),ABS(M137-K137)/ABS(K137-L137),"止损方向不对"),"")</f>
        <v/>
      </c>
      <c r="O137" s="34" t="str">
        <f>IF(AND(ISNUMBER(K137),ISNUMBER(L137)),IF(K137=L137,"",IF(INT(ROUND('参数'!$C$7/(ABS(K137-L137)*1+2*K137*'参数'!$C$12)/IF(N(J137)&gt;0,J137,1),6))*IF(N(J137)&gt;0,J137,1)&gt;0,INT(ROUND('参数'!$C$7/(ABS(K137-L137)*1+2*K137*'参数'!$C$12)/IF(N(J137)&gt;0,J137,1),6))*IF(N(J137)&gt;0,J137,1),"预算不足，这笔不做")),"")</f>
        <v/>
      </c>
      <c r="P137" s="35" t="n"/>
      <c r="Q137" s="20" t="str">
        <f>IF(AND(ISNUMBER(K137),ISNUMBER(L137),ISNUMBER(P137)),IF(AND(K137&lt;&gt;L137,P137&gt;0),ABS(K137-L137)*P137*1,""),"")</f>
        <v/>
      </c>
      <c r="R137" s="20" t="str">
        <f>IF(AND(ISNUMBER(K137),ISNUMBER(P137)),K137*P137,"")</f>
        <v/>
      </c>
      <c r="S137" s="20" t="str">
        <f>IF(AND(D137="合约",ISNUMBER(R137),N(G137)&gt;0),R137/G137,"")</f>
        <v/>
      </c>
      <c r="T137" s="36" t="str">
        <f>IF(NOT(D137="合约"),"",IF(H137&lt;&gt;"逐仓","看平台",IF(AND(ISNUMBER(K137),N(G137)&gt;0),IF(F137="空",K137*(1+1/G137-IF(ISNUMBER(I137),I137,'参数'!$C$13)),K137*(1-1/G137+IF(ISNUMBER(I137),I137,'参数'!$C$13))),"")))</f>
        <v/>
      </c>
      <c r="U137" s="37" t="str">
        <f>IF(AND(ISNUMBER(T137),ISNUMBER(L137),ISNUMBER(K137)),IF(F137="空",T137-L137,L137-T137)/K137,"")</f>
        <v/>
      </c>
      <c r="V137" s="38" t="str">
        <f>IF(ISNUMBER(U137),IF(U137&lt;'参数'!$C$15,"先降杠杆或减量","在止损外"),"")</f>
        <v/>
      </c>
      <c r="W137" s="30" t="n"/>
      <c r="X137" s="31" t="n"/>
      <c r="Y137" s="39" t="str">
        <f>IF(N(AB137)&gt;0,SUMPRODUCT(LARGE(('成交明细'!$A$5:$A$804=A137)*('成交明细'!$D$5:$D$804=IF(F137="空","卖","买"))*'成交明细'!$B$5:$B$804,COUNTIFS('成交明细'!$A$5:$A$804,A137,'成交明细'!$D$5:$D$804,IF(F137="空","卖","买")))),"")</f>
        <v/>
      </c>
      <c r="Z137" s="39" t="str">
        <f>IF(AND(N(AB137)&gt;0,N(AD137)&gt;=N(AB137)),SUMPRODUCT(MAX(('成交明细'!$A$5:$A$804=A137)*('成交明细'!$D$5:$D$804=IF(F137="空","买","卖"))*'成交明细'!$B$5:$B$804)),"")</f>
        <v/>
      </c>
      <c r="AA137" s="40" t="str">
        <f>IF(N(AB137)=0,"",IF(SUMPRODUCT(('成交明细'!$A$5:$A$804=A137)*('成交明细'!$D$5:$D$804=IF(F137="空","卖","买"))*ISNUMBER('成交明细'!$C$5:$C$804))=0,"没填时间",IFERROR(VLOOKUP(MOD(SUMPRODUCT(LARGE(('成交明细'!$A$5:$A$804=A137)*('成交明细'!$D$5:$D$804=IF(F137="空","卖","买"))*('成交明细'!$B$5:$B$804+'成交明细'!$C$5:$C$804),COUNTIFS('成交明细'!$A$5:$A$804,A137,'成交明细'!$D$5:$D$804,IF(F137="空","卖","买")))),1),'参数'!$B$39:$C$48,2,TRUE),"")))</f>
        <v/>
      </c>
      <c r="AB137" s="34" t="str">
        <f>IF(A137="","",SUMIFS('成交明细'!$F$5:$F$804,'成交明细'!$A$5:$A$804,A137,'成交明细'!$D$5:$D$804,IF(F137="空","卖","买")))</f>
        <v/>
      </c>
      <c r="AC137" s="41" t="str">
        <f>IF(N(AB137)&gt;0,SUMIFS('成交明细'!$H$5:$H$804,'成交明细'!$A$5:$A$804,A137,'成交明细'!$D$5:$D$804,IF(F137="空","卖","买"))/AB137,"")</f>
        <v/>
      </c>
      <c r="AD137" s="34" t="str">
        <f>IF(A137="","",SUMIFS('成交明细'!$F$5:$F$804,'成交明细'!$A$5:$A$804,A137,'成交明细'!$D$5:$D$804,IF(F137="空","买","卖")))</f>
        <v/>
      </c>
      <c r="AE137" s="41" t="str">
        <f>IF(N(AD137)&gt;0,SUMIFS('成交明细'!$H$5:$H$804,'成交明细'!$A$5:$A$804,A137,'成交明细'!$D$5:$D$804,IF(F137="空","买","卖"))/AD137,"")</f>
        <v/>
      </c>
      <c r="AF137" s="38" t="str">
        <f>IF(A137="","",IF(X137&lt;&gt;"已执行",IF(X137="","未填执行情况",X137),IF(N(AB137)=0,"待录成交",IF(N(AD137)&gt;N(AB137),"平仓多于开仓",IF(N(AD137)&lt;N(AB137),"持仓中","已平仓")))))</f>
        <v/>
      </c>
      <c r="AG137" s="42" t="str">
        <f>IF(N(AB137)=0,"",SUMIFS('成交明细'!$L$5:$L$804,'成交明细'!$A$5:$A$804,A137))</f>
        <v/>
      </c>
      <c r="AH137" s="43" t="str">
        <f>IF(A137="","",SUMIFS('资金费流水'!$F$5:$F$604,'资金费流水'!$B$5:$B$604,A137))</f>
        <v/>
      </c>
      <c r="AI137" s="43" t="str">
        <f>IF(AF137&lt;&gt;"已平仓","",(SUMIFS('成交明细'!$H$5:$H$804,'成交明细'!$A$5:$A$804,A137,'成交明细'!$D$5:$D$804,"卖")-SUMIFS('成交明细'!$H$5:$H$804,'成交明细'!$A$5:$A$804,A137,'成交明细'!$D$5:$D$804,"买"))*1-AG137+N(AH137))</f>
        <v/>
      </c>
      <c r="AJ137" s="44" t="str">
        <f>IF(AND(AF137="已平仓",ISNUMBER(Q137)),(SUMIFS('成交明细'!$H$5:$H$804,'成交明细'!$A$5:$A$804,A137,'成交明细'!$D$5:$D$804,"卖")-SUMIFS('成交明细'!$H$5:$H$804,'成交明细'!$A$5:$A$804,A137,'成交明细'!$D$5:$D$804,"买"))*1/Q137,"")</f>
        <v/>
      </c>
      <c r="AK137" s="44" t="str">
        <f>IF(AND(AF137="已平仓",ISNUMBER(Q137)),AI137/Q137,"")</f>
        <v/>
      </c>
      <c r="AL137" s="45" t="str">
        <f>IF(AND(ISNUMBER(AC137),ISNUMBER(K137)),IF(F137="空",K137-AC137,AC137-K137),"")</f>
        <v/>
      </c>
      <c r="AM137" s="45" t="str">
        <f>IF(OR(NOT(ISNUMBER(AI137)),NOT(ISNUMBER(AE137))),"",IF(AI137&lt;0,IF(F137="空",AE137-L137,L137-AE137),IF(NOT(ISNUMBER(M137)),"",IF(F137="空",AE137-M137,M137-AE137))))</f>
        <v/>
      </c>
      <c r="AN137" s="31" t="n"/>
      <c r="AO137" s="31" t="n"/>
      <c r="AP137" s="30" t="n"/>
      <c r="AQ137" s="44" t="str">
        <f>IF(A137="","",SUM(AK$5:AK137))</f>
        <v/>
      </c>
      <c r="AR137" s="46" t="str">
        <f>IF(A137="","",MAX(0,MAX(AQ$5:AQ137))-AQ137)</f>
        <v/>
      </c>
    </row>
    <row r="138">
      <c r="A138" s="24" t="n"/>
      <c r="B138" s="29" t="n"/>
      <c r="C138" s="30" t="n"/>
      <c r="D138" s="31" t="n"/>
      <c r="E138" s="31" t="n"/>
      <c r="F138" s="31" t="n"/>
      <c r="G138" s="21" t="n"/>
      <c r="H138" s="31" t="n"/>
      <c r="I138" s="23" t="n"/>
      <c r="J138" s="31" t="n"/>
      <c r="K138" s="32" t="n"/>
      <c r="L138" s="32" t="n"/>
      <c r="M138" s="32" t="n"/>
      <c r="N138" s="33" t="str">
        <f>IF(AND(ISNUMBER(K138),ISNUMBER(L138),ISNUMBER(M138)),IF(OR(AND(F138="多",K138&gt;L138),AND(F138="空",K138&lt;L138)),ABS(M138-K138)/ABS(K138-L138),"止损方向不对"),"")</f>
        <v/>
      </c>
      <c r="O138" s="34" t="str">
        <f>IF(AND(ISNUMBER(K138),ISNUMBER(L138)),IF(K138=L138,"",IF(INT(ROUND('参数'!$C$7/(ABS(K138-L138)*1+2*K138*'参数'!$C$12)/IF(N(J138)&gt;0,J138,1),6))*IF(N(J138)&gt;0,J138,1)&gt;0,INT(ROUND('参数'!$C$7/(ABS(K138-L138)*1+2*K138*'参数'!$C$12)/IF(N(J138)&gt;0,J138,1),6))*IF(N(J138)&gt;0,J138,1),"预算不足，这笔不做")),"")</f>
        <v/>
      </c>
      <c r="P138" s="35" t="n"/>
      <c r="Q138" s="20" t="str">
        <f>IF(AND(ISNUMBER(K138),ISNUMBER(L138),ISNUMBER(P138)),IF(AND(K138&lt;&gt;L138,P138&gt;0),ABS(K138-L138)*P138*1,""),"")</f>
        <v/>
      </c>
      <c r="R138" s="20" t="str">
        <f>IF(AND(ISNUMBER(K138),ISNUMBER(P138)),K138*P138,"")</f>
        <v/>
      </c>
      <c r="S138" s="20" t="str">
        <f>IF(AND(D138="合约",ISNUMBER(R138),N(G138)&gt;0),R138/G138,"")</f>
        <v/>
      </c>
      <c r="T138" s="36" t="str">
        <f>IF(NOT(D138="合约"),"",IF(H138&lt;&gt;"逐仓","看平台",IF(AND(ISNUMBER(K138),N(G138)&gt;0),IF(F138="空",K138*(1+1/G138-IF(ISNUMBER(I138),I138,'参数'!$C$13)),K138*(1-1/G138+IF(ISNUMBER(I138),I138,'参数'!$C$13))),"")))</f>
        <v/>
      </c>
      <c r="U138" s="37" t="str">
        <f>IF(AND(ISNUMBER(T138),ISNUMBER(L138),ISNUMBER(K138)),IF(F138="空",T138-L138,L138-T138)/K138,"")</f>
        <v/>
      </c>
      <c r="V138" s="38" t="str">
        <f>IF(ISNUMBER(U138),IF(U138&lt;'参数'!$C$15,"先降杠杆或减量","在止损外"),"")</f>
        <v/>
      </c>
      <c r="W138" s="30" t="n"/>
      <c r="X138" s="31" t="n"/>
      <c r="Y138" s="39" t="str">
        <f>IF(N(AB138)&gt;0,SUMPRODUCT(LARGE(('成交明细'!$A$5:$A$804=A138)*('成交明细'!$D$5:$D$804=IF(F138="空","卖","买"))*'成交明细'!$B$5:$B$804,COUNTIFS('成交明细'!$A$5:$A$804,A138,'成交明细'!$D$5:$D$804,IF(F138="空","卖","买")))),"")</f>
        <v/>
      </c>
      <c r="Z138" s="39" t="str">
        <f>IF(AND(N(AB138)&gt;0,N(AD138)&gt;=N(AB138)),SUMPRODUCT(MAX(('成交明细'!$A$5:$A$804=A138)*('成交明细'!$D$5:$D$804=IF(F138="空","买","卖"))*'成交明细'!$B$5:$B$804)),"")</f>
        <v/>
      </c>
      <c r="AA138" s="40" t="str">
        <f>IF(N(AB138)=0,"",IF(SUMPRODUCT(('成交明细'!$A$5:$A$804=A138)*('成交明细'!$D$5:$D$804=IF(F138="空","卖","买"))*ISNUMBER('成交明细'!$C$5:$C$804))=0,"没填时间",IFERROR(VLOOKUP(MOD(SUMPRODUCT(LARGE(('成交明细'!$A$5:$A$804=A138)*('成交明细'!$D$5:$D$804=IF(F138="空","卖","买"))*('成交明细'!$B$5:$B$804+'成交明细'!$C$5:$C$804),COUNTIFS('成交明细'!$A$5:$A$804,A138,'成交明细'!$D$5:$D$804,IF(F138="空","卖","买")))),1),'参数'!$B$39:$C$48,2,TRUE),"")))</f>
        <v/>
      </c>
      <c r="AB138" s="34" t="str">
        <f>IF(A138="","",SUMIFS('成交明细'!$F$5:$F$804,'成交明细'!$A$5:$A$804,A138,'成交明细'!$D$5:$D$804,IF(F138="空","卖","买")))</f>
        <v/>
      </c>
      <c r="AC138" s="41" t="str">
        <f>IF(N(AB138)&gt;0,SUMIFS('成交明细'!$H$5:$H$804,'成交明细'!$A$5:$A$804,A138,'成交明细'!$D$5:$D$804,IF(F138="空","卖","买"))/AB138,"")</f>
        <v/>
      </c>
      <c r="AD138" s="34" t="str">
        <f>IF(A138="","",SUMIFS('成交明细'!$F$5:$F$804,'成交明细'!$A$5:$A$804,A138,'成交明细'!$D$5:$D$804,IF(F138="空","买","卖")))</f>
        <v/>
      </c>
      <c r="AE138" s="41" t="str">
        <f>IF(N(AD138)&gt;0,SUMIFS('成交明细'!$H$5:$H$804,'成交明细'!$A$5:$A$804,A138,'成交明细'!$D$5:$D$804,IF(F138="空","买","卖"))/AD138,"")</f>
        <v/>
      </c>
      <c r="AF138" s="38" t="str">
        <f>IF(A138="","",IF(X138&lt;&gt;"已执行",IF(X138="","未填执行情况",X138),IF(N(AB138)=0,"待录成交",IF(N(AD138)&gt;N(AB138),"平仓多于开仓",IF(N(AD138)&lt;N(AB138),"持仓中","已平仓")))))</f>
        <v/>
      </c>
      <c r="AG138" s="42" t="str">
        <f>IF(N(AB138)=0,"",SUMIFS('成交明细'!$L$5:$L$804,'成交明细'!$A$5:$A$804,A138))</f>
        <v/>
      </c>
      <c r="AH138" s="43" t="str">
        <f>IF(A138="","",SUMIFS('资金费流水'!$F$5:$F$604,'资金费流水'!$B$5:$B$604,A138))</f>
        <v/>
      </c>
      <c r="AI138" s="43" t="str">
        <f>IF(AF138&lt;&gt;"已平仓","",(SUMIFS('成交明细'!$H$5:$H$804,'成交明细'!$A$5:$A$804,A138,'成交明细'!$D$5:$D$804,"卖")-SUMIFS('成交明细'!$H$5:$H$804,'成交明细'!$A$5:$A$804,A138,'成交明细'!$D$5:$D$804,"买"))*1-AG138+N(AH138))</f>
        <v/>
      </c>
      <c r="AJ138" s="44" t="str">
        <f>IF(AND(AF138="已平仓",ISNUMBER(Q138)),(SUMIFS('成交明细'!$H$5:$H$804,'成交明细'!$A$5:$A$804,A138,'成交明细'!$D$5:$D$804,"卖")-SUMIFS('成交明细'!$H$5:$H$804,'成交明细'!$A$5:$A$804,A138,'成交明细'!$D$5:$D$804,"买"))*1/Q138,"")</f>
        <v/>
      </c>
      <c r="AK138" s="44" t="str">
        <f>IF(AND(AF138="已平仓",ISNUMBER(Q138)),AI138/Q138,"")</f>
        <v/>
      </c>
      <c r="AL138" s="45" t="str">
        <f>IF(AND(ISNUMBER(AC138),ISNUMBER(K138)),IF(F138="空",K138-AC138,AC138-K138),"")</f>
        <v/>
      </c>
      <c r="AM138" s="45" t="str">
        <f>IF(OR(NOT(ISNUMBER(AI138)),NOT(ISNUMBER(AE138))),"",IF(AI138&lt;0,IF(F138="空",AE138-L138,L138-AE138),IF(NOT(ISNUMBER(M138)),"",IF(F138="空",AE138-M138,M138-AE138))))</f>
        <v/>
      </c>
      <c r="AN138" s="31" t="n"/>
      <c r="AO138" s="31" t="n"/>
      <c r="AP138" s="30" t="n"/>
      <c r="AQ138" s="44" t="str">
        <f>IF(A138="","",SUM(AK$5:AK138))</f>
        <v/>
      </c>
      <c r="AR138" s="46" t="str">
        <f>IF(A138="","",MAX(0,MAX(AQ$5:AQ138))-AQ138)</f>
        <v/>
      </c>
    </row>
    <row r="139">
      <c r="A139" s="24" t="n"/>
      <c r="B139" s="29" t="n"/>
      <c r="C139" s="30" t="n"/>
      <c r="D139" s="31" t="n"/>
      <c r="E139" s="31" t="n"/>
      <c r="F139" s="31" t="n"/>
      <c r="G139" s="21" t="n"/>
      <c r="H139" s="31" t="n"/>
      <c r="I139" s="23" t="n"/>
      <c r="J139" s="31" t="n"/>
      <c r="K139" s="32" t="n"/>
      <c r="L139" s="32" t="n"/>
      <c r="M139" s="32" t="n"/>
      <c r="N139" s="33" t="str">
        <f>IF(AND(ISNUMBER(K139),ISNUMBER(L139),ISNUMBER(M139)),IF(OR(AND(F139="多",K139&gt;L139),AND(F139="空",K139&lt;L139)),ABS(M139-K139)/ABS(K139-L139),"止损方向不对"),"")</f>
        <v/>
      </c>
      <c r="O139" s="34" t="str">
        <f>IF(AND(ISNUMBER(K139),ISNUMBER(L139)),IF(K139=L139,"",IF(INT(ROUND('参数'!$C$7/(ABS(K139-L139)*1+2*K139*'参数'!$C$12)/IF(N(J139)&gt;0,J139,1),6))*IF(N(J139)&gt;0,J139,1)&gt;0,INT(ROUND('参数'!$C$7/(ABS(K139-L139)*1+2*K139*'参数'!$C$12)/IF(N(J139)&gt;0,J139,1),6))*IF(N(J139)&gt;0,J139,1),"预算不足，这笔不做")),"")</f>
        <v/>
      </c>
      <c r="P139" s="35" t="n"/>
      <c r="Q139" s="20" t="str">
        <f>IF(AND(ISNUMBER(K139),ISNUMBER(L139),ISNUMBER(P139)),IF(AND(K139&lt;&gt;L139,P139&gt;0),ABS(K139-L139)*P139*1,""),"")</f>
        <v/>
      </c>
      <c r="R139" s="20" t="str">
        <f>IF(AND(ISNUMBER(K139),ISNUMBER(P139)),K139*P139,"")</f>
        <v/>
      </c>
      <c r="S139" s="20" t="str">
        <f>IF(AND(D139="合约",ISNUMBER(R139),N(G139)&gt;0),R139/G139,"")</f>
        <v/>
      </c>
      <c r="T139" s="36" t="str">
        <f>IF(NOT(D139="合约"),"",IF(H139&lt;&gt;"逐仓","看平台",IF(AND(ISNUMBER(K139),N(G139)&gt;0),IF(F139="空",K139*(1+1/G139-IF(ISNUMBER(I139),I139,'参数'!$C$13)),K139*(1-1/G139+IF(ISNUMBER(I139),I139,'参数'!$C$13))),"")))</f>
        <v/>
      </c>
      <c r="U139" s="37" t="str">
        <f>IF(AND(ISNUMBER(T139),ISNUMBER(L139),ISNUMBER(K139)),IF(F139="空",T139-L139,L139-T139)/K139,"")</f>
        <v/>
      </c>
      <c r="V139" s="38" t="str">
        <f>IF(ISNUMBER(U139),IF(U139&lt;'参数'!$C$15,"先降杠杆或减量","在止损外"),"")</f>
        <v/>
      </c>
      <c r="W139" s="30" t="n"/>
      <c r="X139" s="31" t="n"/>
      <c r="Y139" s="39" t="str">
        <f>IF(N(AB139)&gt;0,SUMPRODUCT(LARGE(('成交明细'!$A$5:$A$804=A139)*('成交明细'!$D$5:$D$804=IF(F139="空","卖","买"))*'成交明细'!$B$5:$B$804,COUNTIFS('成交明细'!$A$5:$A$804,A139,'成交明细'!$D$5:$D$804,IF(F139="空","卖","买")))),"")</f>
        <v/>
      </c>
      <c r="Z139" s="39" t="str">
        <f>IF(AND(N(AB139)&gt;0,N(AD139)&gt;=N(AB139)),SUMPRODUCT(MAX(('成交明细'!$A$5:$A$804=A139)*('成交明细'!$D$5:$D$804=IF(F139="空","买","卖"))*'成交明细'!$B$5:$B$804)),"")</f>
        <v/>
      </c>
      <c r="AA139" s="40" t="str">
        <f>IF(N(AB139)=0,"",IF(SUMPRODUCT(('成交明细'!$A$5:$A$804=A139)*('成交明细'!$D$5:$D$804=IF(F139="空","卖","买"))*ISNUMBER('成交明细'!$C$5:$C$804))=0,"没填时间",IFERROR(VLOOKUP(MOD(SUMPRODUCT(LARGE(('成交明细'!$A$5:$A$804=A139)*('成交明细'!$D$5:$D$804=IF(F139="空","卖","买"))*('成交明细'!$B$5:$B$804+'成交明细'!$C$5:$C$804),COUNTIFS('成交明细'!$A$5:$A$804,A139,'成交明细'!$D$5:$D$804,IF(F139="空","卖","买")))),1),'参数'!$B$39:$C$48,2,TRUE),"")))</f>
        <v/>
      </c>
      <c r="AB139" s="34" t="str">
        <f>IF(A139="","",SUMIFS('成交明细'!$F$5:$F$804,'成交明细'!$A$5:$A$804,A139,'成交明细'!$D$5:$D$804,IF(F139="空","卖","买")))</f>
        <v/>
      </c>
      <c r="AC139" s="41" t="str">
        <f>IF(N(AB139)&gt;0,SUMIFS('成交明细'!$H$5:$H$804,'成交明细'!$A$5:$A$804,A139,'成交明细'!$D$5:$D$804,IF(F139="空","卖","买"))/AB139,"")</f>
        <v/>
      </c>
      <c r="AD139" s="34" t="str">
        <f>IF(A139="","",SUMIFS('成交明细'!$F$5:$F$804,'成交明细'!$A$5:$A$804,A139,'成交明细'!$D$5:$D$804,IF(F139="空","买","卖")))</f>
        <v/>
      </c>
      <c r="AE139" s="41" t="str">
        <f>IF(N(AD139)&gt;0,SUMIFS('成交明细'!$H$5:$H$804,'成交明细'!$A$5:$A$804,A139,'成交明细'!$D$5:$D$804,IF(F139="空","买","卖"))/AD139,"")</f>
        <v/>
      </c>
      <c r="AF139" s="38" t="str">
        <f>IF(A139="","",IF(X139&lt;&gt;"已执行",IF(X139="","未填执行情况",X139),IF(N(AB139)=0,"待录成交",IF(N(AD139)&gt;N(AB139),"平仓多于开仓",IF(N(AD139)&lt;N(AB139),"持仓中","已平仓")))))</f>
        <v/>
      </c>
      <c r="AG139" s="42" t="str">
        <f>IF(N(AB139)=0,"",SUMIFS('成交明细'!$L$5:$L$804,'成交明细'!$A$5:$A$804,A139))</f>
        <v/>
      </c>
      <c r="AH139" s="43" t="str">
        <f>IF(A139="","",SUMIFS('资金费流水'!$F$5:$F$604,'资金费流水'!$B$5:$B$604,A139))</f>
        <v/>
      </c>
      <c r="AI139" s="43" t="str">
        <f>IF(AF139&lt;&gt;"已平仓","",(SUMIFS('成交明细'!$H$5:$H$804,'成交明细'!$A$5:$A$804,A139,'成交明细'!$D$5:$D$804,"卖")-SUMIFS('成交明细'!$H$5:$H$804,'成交明细'!$A$5:$A$804,A139,'成交明细'!$D$5:$D$804,"买"))*1-AG139+N(AH139))</f>
        <v/>
      </c>
      <c r="AJ139" s="44" t="str">
        <f>IF(AND(AF139="已平仓",ISNUMBER(Q139)),(SUMIFS('成交明细'!$H$5:$H$804,'成交明细'!$A$5:$A$804,A139,'成交明细'!$D$5:$D$804,"卖")-SUMIFS('成交明细'!$H$5:$H$804,'成交明细'!$A$5:$A$804,A139,'成交明细'!$D$5:$D$804,"买"))*1/Q139,"")</f>
        <v/>
      </c>
      <c r="AK139" s="44" t="str">
        <f>IF(AND(AF139="已平仓",ISNUMBER(Q139)),AI139/Q139,"")</f>
        <v/>
      </c>
      <c r="AL139" s="45" t="str">
        <f>IF(AND(ISNUMBER(AC139),ISNUMBER(K139)),IF(F139="空",K139-AC139,AC139-K139),"")</f>
        <v/>
      </c>
      <c r="AM139" s="45" t="str">
        <f>IF(OR(NOT(ISNUMBER(AI139)),NOT(ISNUMBER(AE139))),"",IF(AI139&lt;0,IF(F139="空",AE139-L139,L139-AE139),IF(NOT(ISNUMBER(M139)),"",IF(F139="空",AE139-M139,M139-AE139))))</f>
        <v/>
      </c>
      <c r="AN139" s="31" t="n"/>
      <c r="AO139" s="31" t="n"/>
      <c r="AP139" s="30" t="n"/>
      <c r="AQ139" s="44" t="str">
        <f>IF(A139="","",SUM(AK$5:AK139))</f>
        <v/>
      </c>
      <c r="AR139" s="46" t="str">
        <f>IF(A139="","",MAX(0,MAX(AQ$5:AQ139))-AQ139)</f>
        <v/>
      </c>
    </row>
    <row r="140">
      <c r="A140" s="24" t="n"/>
      <c r="B140" s="29" t="n"/>
      <c r="C140" s="30" t="n"/>
      <c r="D140" s="31" t="n"/>
      <c r="E140" s="31" t="n"/>
      <c r="F140" s="31" t="n"/>
      <c r="G140" s="21" t="n"/>
      <c r="H140" s="31" t="n"/>
      <c r="I140" s="23" t="n"/>
      <c r="J140" s="31" t="n"/>
      <c r="K140" s="32" t="n"/>
      <c r="L140" s="32" t="n"/>
      <c r="M140" s="32" t="n"/>
      <c r="N140" s="33" t="str">
        <f>IF(AND(ISNUMBER(K140),ISNUMBER(L140),ISNUMBER(M140)),IF(OR(AND(F140="多",K140&gt;L140),AND(F140="空",K140&lt;L140)),ABS(M140-K140)/ABS(K140-L140),"止损方向不对"),"")</f>
        <v/>
      </c>
      <c r="O140" s="34" t="str">
        <f>IF(AND(ISNUMBER(K140),ISNUMBER(L140)),IF(K140=L140,"",IF(INT(ROUND('参数'!$C$7/(ABS(K140-L140)*1+2*K140*'参数'!$C$12)/IF(N(J140)&gt;0,J140,1),6))*IF(N(J140)&gt;0,J140,1)&gt;0,INT(ROUND('参数'!$C$7/(ABS(K140-L140)*1+2*K140*'参数'!$C$12)/IF(N(J140)&gt;0,J140,1),6))*IF(N(J140)&gt;0,J140,1),"预算不足，这笔不做")),"")</f>
        <v/>
      </c>
      <c r="P140" s="35" t="n"/>
      <c r="Q140" s="20" t="str">
        <f>IF(AND(ISNUMBER(K140),ISNUMBER(L140),ISNUMBER(P140)),IF(AND(K140&lt;&gt;L140,P140&gt;0),ABS(K140-L140)*P140*1,""),"")</f>
        <v/>
      </c>
      <c r="R140" s="20" t="str">
        <f>IF(AND(ISNUMBER(K140),ISNUMBER(P140)),K140*P140,"")</f>
        <v/>
      </c>
      <c r="S140" s="20" t="str">
        <f>IF(AND(D140="合约",ISNUMBER(R140),N(G140)&gt;0),R140/G140,"")</f>
        <v/>
      </c>
      <c r="T140" s="36" t="str">
        <f>IF(NOT(D140="合约"),"",IF(H140&lt;&gt;"逐仓","看平台",IF(AND(ISNUMBER(K140),N(G140)&gt;0),IF(F140="空",K140*(1+1/G140-IF(ISNUMBER(I140),I140,'参数'!$C$13)),K140*(1-1/G140+IF(ISNUMBER(I140),I140,'参数'!$C$13))),"")))</f>
        <v/>
      </c>
      <c r="U140" s="37" t="str">
        <f>IF(AND(ISNUMBER(T140),ISNUMBER(L140),ISNUMBER(K140)),IF(F140="空",T140-L140,L140-T140)/K140,"")</f>
        <v/>
      </c>
      <c r="V140" s="38" t="str">
        <f>IF(ISNUMBER(U140),IF(U140&lt;'参数'!$C$15,"先降杠杆或减量","在止损外"),"")</f>
        <v/>
      </c>
      <c r="W140" s="30" t="n"/>
      <c r="X140" s="31" t="n"/>
      <c r="Y140" s="39" t="str">
        <f>IF(N(AB140)&gt;0,SUMPRODUCT(LARGE(('成交明细'!$A$5:$A$804=A140)*('成交明细'!$D$5:$D$804=IF(F140="空","卖","买"))*'成交明细'!$B$5:$B$804,COUNTIFS('成交明细'!$A$5:$A$804,A140,'成交明细'!$D$5:$D$804,IF(F140="空","卖","买")))),"")</f>
        <v/>
      </c>
      <c r="Z140" s="39" t="str">
        <f>IF(AND(N(AB140)&gt;0,N(AD140)&gt;=N(AB140)),SUMPRODUCT(MAX(('成交明细'!$A$5:$A$804=A140)*('成交明细'!$D$5:$D$804=IF(F140="空","买","卖"))*'成交明细'!$B$5:$B$804)),"")</f>
        <v/>
      </c>
      <c r="AA140" s="40" t="str">
        <f>IF(N(AB140)=0,"",IF(SUMPRODUCT(('成交明细'!$A$5:$A$804=A140)*('成交明细'!$D$5:$D$804=IF(F140="空","卖","买"))*ISNUMBER('成交明细'!$C$5:$C$804))=0,"没填时间",IFERROR(VLOOKUP(MOD(SUMPRODUCT(LARGE(('成交明细'!$A$5:$A$804=A140)*('成交明细'!$D$5:$D$804=IF(F140="空","卖","买"))*('成交明细'!$B$5:$B$804+'成交明细'!$C$5:$C$804),COUNTIFS('成交明细'!$A$5:$A$804,A140,'成交明细'!$D$5:$D$804,IF(F140="空","卖","买")))),1),'参数'!$B$39:$C$48,2,TRUE),"")))</f>
        <v/>
      </c>
      <c r="AB140" s="34" t="str">
        <f>IF(A140="","",SUMIFS('成交明细'!$F$5:$F$804,'成交明细'!$A$5:$A$804,A140,'成交明细'!$D$5:$D$804,IF(F140="空","卖","买")))</f>
        <v/>
      </c>
      <c r="AC140" s="41" t="str">
        <f>IF(N(AB140)&gt;0,SUMIFS('成交明细'!$H$5:$H$804,'成交明细'!$A$5:$A$804,A140,'成交明细'!$D$5:$D$804,IF(F140="空","卖","买"))/AB140,"")</f>
        <v/>
      </c>
      <c r="AD140" s="34" t="str">
        <f>IF(A140="","",SUMIFS('成交明细'!$F$5:$F$804,'成交明细'!$A$5:$A$804,A140,'成交明细'!$D$5:$D$804,IF(F140="空","买","卖")))</f>
        <v/>
      </c>
      <c r="AE140" s="41" t="str">
        <f>IF(N(AD140)&gt;0,SUMIFS('成交明细'!$H$5:$H$804,'成交明细'!$A$5:$A$804,A140,'成交明细'!$D$5:$D$804,IF(F140="空","买","卖"))/AD140,"")</f>
        <v/>
      </c>
      <c r="AF140" s="38" t="str">
        <f>IF(A140="","",IF(X140&lt;&gt;"已执行",IF(X140="","未填执行情况",X140),IF(N(AB140)=0,"待录成交",IF(N(AD140)&gt;N(AB140),"平仓多于开仓",IF(N(AD140)&lt;N(AB140),"持仓中","已平仓")))))</f>
        <v/>
      </c>
      <c r="AG140" s="42" t="str">
        <f>IF(N(AB140)=0,"",SUMIFS('成交明细'!$L$5:$L$804,'成交明细'!$A$5:$A$804,A140))</f>
        <v/>
      </c>
      <c r="AH140" s="43" t="str">
        <f>IF(A140="","",SUMIFS('资金费流水'!$F$5:$F$604,'资金费流水'!$B$5:$B$604,A140))</f>
        <v/>
      </c>
      <c r="AI140" s="43" t="str">
        <f>IF(AF140&lt;&gt;"已平仓","",(SUMIFS('成交明细'!$H$5:$H$804,'成交明细'!$A$5:$A$804,A140,'成交明细'!$D$5:$D$804,"卖")-SUMIFS('成交明细'!$H$5:$H$804,'成交明细'!$A$5:$A$804,A140,'成交明细'!$D$5:$D$804,"买"))*1-AG140+N(AH140))</f>
        <v/>
      </c>
      <c r="AJ140" s="44" t="str">
        <f>IF(AND(AF140="已平仓",ISNUMBER(Q140)),(SUMIFS('成交明细'!$H$5:$H$804,'成交明细'!$A$5:$A$804,A140,'成交明细'!$D$5:$D$804,"卖")-SUMIFS('成交明细'!$H$5:$H$804,'成交明细'!$A$5:$A$804,A140,'成交明细'!$D$5:$D$804,"买"))*1/Q140,"")</f>
        <v/>
      </c>
      <c r="AK140" s="44" t="str">
        <f>IF(AND(AF140="已平仓",ISNUMBER(Q140)),AI140/Q140,"")</f>
        <v/>
      </c>
      <c r="AL140" s="45" t="str">
        <f>IF(AND(ISNUMBER(AC140),ISNUMBER(K140)),IF(F140="空",K140-AC140,AC140-K140),"")</f>
        <v/>
      </c>
      <c r="AM140" s="45" t="str">
        <f>IF(OR(NOT(ISNUMBER(AI140)),NOT(ISNUMBER(AE140))),"",IF(AI140&lt;0,IF(F140="空",AE140-L140,L140-AE140),IF(NOT(ISNUMBER(M140)),"",IF(F140="空",AE140-M140,M140-AE140))))</f>
        <v/>
      </c>
      <c r="AN140" s="31" t="n"/>
      <c r="AO140" s="31" t="n"/>
      <c r="AP140" s="30" t="n"/>
      <c r="AQ140" s="44" t="str">
        <f>IF(A140="","",SUM(AK$5:AK140))</f>
        <v/>
      </c>
      <c r="AR140" s="46" t="str">
        <f>IF(A140="","",MAX(0,MAX(AQ$5:AQ140))-AQ140)</f>
        <v/>
      </c>
    </row>
    <row r="141">
      <c r="A141" s="24" t="n"/>
      <c r="B141" s="29" t="n"/>
      <c r="C141" s="30" t="n"/>
      <c r="D141" s="31" t="n"/>
      <c r="E141" s="31" t="n"/>
      <c r="F141" s="31" t="n"/>
      <c r="G141" s="21" t="n"/>
      <c r="H141" s="31" t="n"/>
      <c r="I141" s="23" t="n"/>
      <c r="J141" s="31" t="n"/>
      <c r="K141" s="32" t="n"/>
      <c r="L141" s="32" t="n"/>
      <c r="M141" s="32" t="n"/>
      <c r="N141" s="33" t="str">
        <f>IF(AND(ISNUMBER(K141),ISNUMBER(L141),ISNUMBER(M141)),IF(OR(AND(F141="多",K141&gt;L141),AND(F141="空",K141&lt;L141)),ABS(M141-K141)/ABS(K141-L141),"止损方向不对"),"")</f>
        <v/>
      </c>
      <c r="O141" s="34" t="str">
        <f>IF(AND(ISNUMBER(K141),ISNUMBER(L141)),IF(K141=L141,"",IF(INT(ROUND('参数'!$C$7/(ABS(K141-L141)*1+2*K141*'参数'!$C$12)/IF(N(J141)&gt;0,J141,1),6))*IF(N(J141)&gt;0,J141,1)&gt;0,INT(ROUND('参数'!$C$7/(ABS(K141-L141)*1+2*K141*'参数'!$C$12)/IF(N(J141)&gt;0,J141,1),6))*IF(N(J141)&gt;0,J141,1),"预算不足，这笔不做")),"")</f>
        <v/>
      </c>
      <c r="P141" s="35" t="n"/>
      <c r="Q141" s="20" t="str">
        <f>IF(AND(ISNUMBER(K141),ISNUMBER(L141),ISNUMBER(P141)),IF(AND(K141&lt;&gt;L141,P141&gt;0),ABS(K141-L141)*P141*1,""),"")</f>
        <v/>
      </c>
      <c r="R141" s="20" t="str">
        <f>IF(AND(ISNUMBER(K141),ISNUMBER(P141)),K141*P141,"")</f>
        <v/>
      </c>
      <c r="S141" s="20" t="str">
        <f>IF(AND(D141="合约",ISNUMBER(R141),N(G141)&gt;0),R141/G141,"")</f>
        <v/>
      </c>
      <c r="T141" s="36" t="str">
        <f>IF(NOT(D141="合约"),"",IF(H141&lt;&gt;"逐仓","看平台",IF(AND(ISNUMBER(K141),N(G141)&gt;0),IF(F141="空",K141*(1+1/G141-IF(ISNUMBER(I141),I141,'参数'!$C$13)),K141*(1-1/G141+IF(ISNUMBER(I141),I141,'参数'!$C$13))),"")))</f>
        <v/>
      </c>
      <c r="U141" s="37" t="str">
        <f>IF(AND(ISNUMBER(T141),ISNUMBER(L141),ISNUMBER(K141)),IF(F141="空",T141-L141,L141-T141)/K141,"")</f>
        <v/>
      </c>
      <c r="V141" s="38" t="str">
        <f>IF(ISNUMBER(U141),IF(U141&lt;'参数'!$C$15,"先降杠杆或减量","在止损外"),"")</f>
        <v/>
      </c>
      <c r="W141" s="30" t="n"/>
      <c r="X141" s="31" t="n"/>
      <c r="Y141" s="39" t="str">
        <f>IF(N(AB141)&gt;0,SUMPRODUCT(LARGE(('成交明细'!$A$5:$A$804=A141)*('成交明细'!$D$5:$D$804=IF(F141="空","卖","买"))*'成交明细'!$B$5:$B$804,COUNTIFS('成交明细'!$A$5:$A$804,A141,'成交明细'!$D$5:$D$804,IF(F141="空","卖","买")))),"")</f>
        <v/>
      </c>
      <c r="Z141" s="39" t="str">
        <f>IF(AND(N(AB141)&gt;0,N(AD141)&gt;=N(AB141)),SUMPRODUCT(MAX(('成交明细'!$A$5:$A$804=A141)*('成交明细'!$D$5:$D$804=IF(F141="空","买","卖"))*'成交明细'!$B$5:$B$804)),"")</f>
        <v/>
      </c>
      <c r="AA141" s="40" t="str">
        <f>IF(N(AB141)=0,"",IF(SUMPRODUCT(('成交明细'!$A$5:$A$804=A141)*('成交明细'!$D$5:$D$804=IF(F141="空","卖","买"))*ISNUMBER('成交明细'!$C$5:$C$804))=0,"没填时间",IFERROR(VLOOKUP(MOD(SUMPRODUCT(LARGE(('成交明细'!$A$5:$A$804=A141)*('成交明细'!$D$5:$D$804=IF(F141="空","卖","买"))*('成交明细'!$B$5:$B$804+'成交明细'!$C$5:$C$804),COUNTIFS('成交明细'!$A$5:$A$804,A141,'成交明细'!$D$5:$D$804,IF(F141="空","卖","买")))),1),'参数'!$B$39:$C$48,2,TRUE),"")))</f>
        <v/>
      </c>
      <c r="AB141" s="34" t="str">
        <f>IF(A141="","",SUMIFS('成交明细'!$F$5:$F$804,'成交明细'!$A$5:$A$804,A141,'成交明细'!$D$5:$D$804,IF(F141="空","卖","买")))</f>
        <v/>
      </c>
      <c r="AC141" s="41" t="str">
        <f>IF(N(AB141)&gt;0,SUMIFS('成交明细'!$H$5:$H$804,'成交明细'!$A$5:$A$804,A141,'成交明细'!$D$5:$D$804,IF(F141="空","卖","买"))/AB141,"")</f>
        <v/>
      </c>
      <c r="AD141" s="34" t="str">
        <f>IF(A141="","",SUMIFS('成交明细'!$F$5:$F$804,'成交明细'!$A$5:$A$804,A141,'成交明细'!$D$5:$D$804,IF(F141="空","买","卖")))</f>
        <v/>
      </c>
      <c r="AE141" s="41" t="str">
        <f>IF(N(AD141)&gt;0,SUMIFS('成交明细'!$H$5:$H$804,'成交明细'!$A$5:$A$804,A141,'成交明细'!$D$5:$D$804,IF(F141="空","买","卖"))/AD141,"")</f>
        <v/>
      </c>
      <c r="AF141" s="38" t="str">
        <f>IF(A141="","",IF(X141&lt;&gt;"已执行",IF(X141="","未填执行情况",X141),IF(N(AB141)=0,"待录成交",IF(N(AD141)&gt;N(AB141),"平仓多于开仓",IF(N(AD141)&lt;N(AB141),"持仓中","已平仓")))))</f>
        <v/>
      </c>
      <c r="AG141" s="42" t="str">
        <f>IF(N(AB141)=0,"",SUMIFS('成交明细'!$L$5:$L$804,'成交明细'!$A$5:$A$804,A141))</f>
        <v/>
      </c>
      <c r="AH141" s="43" t="str">
        <f>IF(A141="","",SUMIFS('资金费流水'!$F$5:$F$604,'资金费流水'!$B$5:$B$604,A141))</f>
        <v/>
      </c>
      <c r="AI141" s="43" t="str">
        <f>IF(AF141&lt;&gt;"已平仓","",(SUMIFS('成交明细'!$H$5:$H$804,'成交明细'!$A$5:$A$804,A141,'成交明细'!$D$5:$D$804,"卖")-SUMIFS('成交明细'!$H$5:$H$804,'成交明细'!$A$5:$A$804,A141,'成交明细'!$D$5:$D$804,"买"))*1-AG141+N(AH141))</f>
        <v/>
      </c>
      <c r="AJ141" s="44" t="str">
        <f>IF(AND(AF141="已平仓",ISNUMBER(Q141)),(SUMIFS('成交明细'!$H$5:$H$804,'成交明细'!$A$5:$A$804,A141,'成交明细'!$D$5:$D$804,"卖")-SUMIFS('成交明细'!$H$5:$H$804,'成交明细'!$A$5:$A$804,A141,'成交明细'!$D$5:$D$804,"买"))*1/Q141,"")</f>
        <v/>
      </c>
      <c r="AK141" s="44" t="str">
        <f>IF(AND(AF141="已平仓",ISNUMBER(Q141)),AI141/Q141,"")</f>
        <v/>
      </c>
      <c r="AL141" s="45" t="str">
        <f>IF(AND(ISNUMBER(AC141),ISNUMBER(K141)),IF(F141="空",K141-AC141,AC141-K141),"")</f>
        <v/>
      </c>
      <c r="AM141" s="45" t="str">
        <f>IF(OR(NOT(ISNUMBER(AI141)),NOT(ISNUMBER(AE141))),"",IF(AI141&lt;0,IF(F141="空",AE141-L141,L141-AE141),IF(NOT(ISNUMBER(M141)),"",IF(F141="空",AE141-M141,M141-AE141))))</f>
        <v/>
      </c>
      <c r="AN141" s="31" t="n"/>
      <c r="AO141" s="31" t="n"/>
      <c r="AP141" s="30" t="n"/>
      <c r="AQ141" s="44" t="str">
        <f>IF(A141="","",SUM(AK$5:AK141))</f>
        <v/>
      </c>
      <c r="AR141" s="46" t="str">
        <f>IF(A141="","",MAX(0,MAX(AQ$5:AQ141))-AQ141)</f>
        <v/>
      </c>
    </row>
    <row r="142">
      <c r="A142" s="24" t="n"/>
      <c r="B142" s="29" t="n"/>
      <c r="C142" s="30" t="n"/>
      <c r="D142" s="31" t="n"/>
      <c r="E142" s="31" t="n"/>
      <c r="F142" s="31" t="n"/>
      <c r="G142" s="21" t="n"/>
      <c r="H142" s="31" t="n"/>
      <c r="I142" s="23" t="n"/>
      <c r="J142" s="31" t="n"/>
      <c r="K142" s="32" t="n"/>
      <c r="L142" s="32" t="n"/>
      <c r="M142" s="32" t="n"/>
      <c r="N142" s="33" t="str">
        <f>IF(AND(ISNUMBER(K142),ISNUMBER(L142),ISNUMBER(M142)),IF(OR(AND(F142="多",K142&gt;L142),AND(F142="空",K142&lt;L142)),ABS(M142-K142)/ABS(K142-L142),"止损方向不对"),"")</f>
        <v/>
      </c>
      <c r="O142" s="34" t="str">
        <f>IF(AND(ISNUMBER(K142),ISNUMBER(L142)),IF(K142=L142,"",IF(INT(ROUND('参数'!$C$7/(ABS(K142-L142)*1+2*K142*'参数'!$C$12)/IF(N(J142)&gt;0,J142,1),6))*IF(N(J142)&gt;0,J142,1)&gt;0,INT(ROUND('参数'!$C$7/(ABS(K142-L142)*1+2*K142*'参数'!$C$12)/IF(N(J142)&gt;0,J142,1),6))*IF(N(J142)&gt;0,J142,1),"预算不足，这笔不做")),"")</f>
        <v/>
      </c>
      <c r="P142" s="35" t="n"/>
      <c r="Q142" s="20" t="str">
        <f>IF(AND(ISNUMBER(K142),ISNUMBER(L142),ISNUMBER(P142)),IF(AND(K142&lt;&gt;L142,P142&gt;0),ABS(K142-L142)*P142*1,""),"")</f>
        <v/>
      </c>
      <c r="R142" s="20" t="str">
        <f>IF(AND(ISNUMBER(K142),ISNUMBER(P142)),K142*P142,"")</f>
        <v/>
      </c>
      <c r="S142" s="20" t="str">
        <f>IF(AND(D142="合约",ISNUMBER(R142),N(G142)&gt;0),R142/G142,"")</f>
        <v/>
      </c>
      <c r="T142" s="36" t="str">
        <f>IF(NOT(D142="合约"),"",IF(H142&lt;&gt;"逐仓","看平台",IF(AND(ISNUMBER(K142),N(G142)&gt;0),IF(F142="空",K142*(1+1/G142-IF(ISNUMBER(I142),I142,'参数'!$C$13)),K142*(1-1/G142+IF(ISNUMBER(I142),I142,'参数'!$C$13))),"")))</f>
        <v/>
      </c>
      <c r="U142" s="37" t="str">
        <f>IF(AND(ISNUMBER(T142),ISNUMBER(L142),ISNUMBER(K142)),IF(F142="空",T142-L142,L142-T142)/K142,"")</f>
        <v/>
      </c>
      <c r="V142" s="38" t="str">
        <f>IF(ISNUMBER(U142),IF(U142&lt;'参数'!$C$15,"先降杠杆或减量","在止损外"),"")</f>
        <v/>
      </c>
      <c r="W142" s="30" t="n"/>
      <c r="X142" s="31" t="n"/>
      <c r="Y142" s="39" t="str">
        <f>IF(N(AB142)&gt;0,SUMPRODUCT(LARGE(('成交明细'!$A$5:$A$804=A142)*('成交明细'!$D$5:$D$804=IF(F142="空","卖","买"))*'成交明细'!$B$5:$B$804,COUNTIFS('成交明细'!$A$5:$A$804,A142,'成交明细'!$D$5:$D$804,IF(F142="空","卖","买")))),"")</f>
        <v/>
      </c>
      <c r="Z142" s="39" t="str">
        <f>IF(AND(N(AB142)&gt;0,N(AD142)&gt;=N(AB142)),SUMPRODUCT(MAX(('成交明细'!$A$5:$A$804=A142)*('成交明细'!$D$5:$D$804=IF(F142="空","买","卖"))*'成交明细'!$B$5:$B$804)),"")</f>
        <v/>
      </c>
      <c r="AA142" s="40" t="str">
        <f>IF(N(AB142)=0,"",IF(SUMPRODUCT(('成交明细'!$A$5:$A$804=A142)*('成交明细'!$D$5:$D$804=IF(F142="空","卖","买"))*ISNUMBER('成交明细'!$C$5:$C$804))=0,"没填时间",IFERROR(VLOOKUP(MOD(SUMPRODUCT(LARGE(('成交明细'!$A$5:$A$804=A142)*('成交明细'!$D$5:$D$804=IF(F142="空","卖","买"))*('成交明细'!$B$5:$B$804+'成交明细'!$C$5:$C$804),COUNTIFS('成交明细'!$A$5:$A$804,A142,'成交明细'!$D$5:$D$804,IF(F142="空","卖","买")))),1),'参数'!$B$39:$C$48,2,TRUE),"")))</f>
        <v/>
      </c>
      <c r="AB142" s="34" t="str">
        <f>IF(A142="","",SUMIFS('成交明细'!$F$5:$F$804,'成交明细'!$A$5:$A$804,A142,'成交明细'!$D$5:$D$804,IF(F142="空","卖","买")))</f>
        <v/>
      </c>
      <c r="AC142" s="41" t="str">
        <f>IF(N(AB142)&gt;0,SUMIFS('成交明细'!$H$5:$H$804,'成交明细'!$A$5:$A$804,A142,'成交明细'!$D$5:$D$804,IF(F142="空","卖","买"))/AB142,"")</f>
        <v/>
      </c>
      <c r="AD142" s="34" t="str">
        <f>IF(A142="","",SUMIFS('成交明细'!$F$5:$F$804,'成交明细'!$A$5:$A$804,A142,'成交明细'!$D$5:$D$804,IF(F142="空","买","卖")))</f>
        <v/>
      </c>
      <c r="AE142" s="41" t="str">
        <f>IF(N(AD142)&gt;0,SUMIFS('成交明细'!$H$5:$H$804,'成交明细'!$A$5:$A$804,A142,'成交明细'!$D$5:$D$804,IF(F142="空","买","卖"))/AD142,"")</f>
        <v/>
      </c>
      <c r="AF142" s="38" t="str">
        <f>IF(A142="","",IF(X142&lt;&gt;"已执行",IF(X142="","未填执行情况",X142),IF(N(AB142)=0,"待录成交",IF(N(AD142)&gt;N(AB142),"平仓多于开仓",IF(N(AD142)&lt;N(AB142),"持仓中","已平仓")))))</f>
        <v/>
      </c>
      <c r="AG142" s="42" t="str">
        <f>IF(N(AB142)=0,"",SUMIFS('成交明细'!$L$5:$L$804,'成交明细'!$A$5:$A$804,A142))</f>
        <v/>
      </c>
      <c r="AH142" s="43" t="str">
        <f>IF(A142="","",SUMIFS('资金费流水'!$F$5:$F$604,'资金费流水'!$B$5:$B$604,A142))</f>
        <v/>
      </c>
      <c r="AI142" s="43" t="str">
        <f>IF(AF142&lt;&gt;"已平仓","",(SUMIFS('成交明细'!$H$5:$H$804,'成交明细'!$A$5:$A$804,A142,'成交明细'!$D$5:$D$804,"卖")-SUMIFS('成交明细'!$H$5:$H$804,'成交明细'!$A$5:$A$804,A142,'成交明细'!$D$5:$D$804,"买"))*1-AG142+N(AH142))</f>
        <v/>
      </c>
      <c r="AJ142" s="44" t="str">
        <f>IF(AND(AF142="已平仓",ISNUMBER(Q142)),(SUMIFS('成交明细'!$H$5:$H$804,'成交明细'!$A$5:$A$804,A142,'成交明细'!$D$5:$D$804,"卖")-SUMIFS('成交明细'!$H$5:$H$804,'成交明细'!$A$5:$A$804,A142,'成交明细'!$D$5:$D$804,"买"))*1/Q142,"")</f>
        <v/>
      </c>
      <c r="AK142" s="44" t="str">
        <f>IF(AND(AF142="已平仓",ISNUMBER(Q142)),AI142/Q142,"")</f>
        <v/>
      </c>
      <c r="AL142" s="45" t="str">
        <f>IF(AND(ISNUMBER(AC142),ISNUMBER(K142)),IF(F142="空",K142-AC142,AC142-K142),"")</f>
        <v/>
      </c>
      <c r="AM142" s="45" t="str">
        <f>IF(OR(NOT(ISNUMBER(AI142)),NOT(ISNUMBER(AE142))),"",IF(AI142&lt;0,IF(F142="空",AE142-L142,L142-AE142),IF(NOT(ISNUMBER(M142)),"",IF(F142="空",AE142-M142,M142-AE142))))</f>
        <v/>
      </c>
      <c r="AN142" s="31" t="n"/>
      <c r="AO142" s="31" t="n"/>
      <c r="AP142" s="30" t="n"/>
      <c r="AQ142" s="44" t="str">
        <f>IF(A142="","",SUM(AK$5:AK142))</f>
        <v/>
      </c>
      <c r="AR142" s="46" t="str">
        <f>IF(A142="","",MAX(0,MAX(AQ$5:AQ142))-AQ142)</f>
        <v/>
      </c>
    </row>
    <row r="143">
      <c r="A143" s="24" t="n"/>
      <c r="B143" s="29" t="n"/>
      <c r="C143" s="30" t="n"/>
      <c r="D143" s="31" t="n"/>
      <c r="E143" s="31" t="n"/>
      <c r="F143" s="31" t="n"/>
      <c r="G143" s="21" t="n"/>
      <c r="H143" s="31" t="n"/>
      <c r="I143" s="23" t="n"/>
      <c r="J143" s="31" t="n"/>
      <c r="K143" s="32" t="n"/>
      <c r="L143" s="32" t="n"/>
      <c r="M143" s="32" t="n"/>
      <c r="N143" s="33" t="str">
        <f>IF(AND(ISNUMBER(K143),ISNUMBER(L143),ISNUMBER(M143)),IF(OR(AND(F143="多",K143&gt;L143),AND(F143="空",K143&lt;L143)),ABS(M143-K143)/ABS(K143-L143),"止损方向不对"),"")</f>
        <v/>
      </c>
      <c r="O143" s="34" t="str">
        <f>IF(AND(ISNUMBER(K143),ISNUMBER(L143)),IF(K143=L143,"",IF(INT(ROUND('参数'!$C$7/(ABS(K143-L143)*1+2*K143*'参数'!$C$12)/IF(N(J143)&gt;0,J143,1),6))*IF(N(J143)&gt;0,J143,1)&gt;0,INT(ROUND('参数'!$C$7/(ABS(K143-L143)*1+2*K143*'参数'!$C$12)/IF(N(J143)&gt;0,J143,1),6))*IF(N(J143)&gt;0,J143,1),"预算不足，这笔不做")),"")</f>
        <v/>
      </c>
      <c r="P143" s="35" t="n"/>
      <c r="Q143" s="20" t="str">
        <f>IF(AND(ISNUMBER(K143),ISNUMBER(L143),ISNUMBER(P143)),IF(AND(K143&lt;&gt;L143,P143&gt;0),ABS(K143-L143)*P143*1,""),"")</f>
        <v/>
      </c>
      <c r="R143" s="20" t="str">
        <f>IF(AND(ISNUMBER(K143),ISNUMBER(P143)),K143*P143,"")</f>
        <v/>
      </c>
      <c r="S143" s="20" t="str">
        <f>IF(AND(D143="合约",ISNUMBER(R143),N(G143)&gt;0),R143/G143,"")</f>
        <v/>
      </c>
      <c r="T143" s="36" t="str">
        <f>IF(NOT(D143="合约"),"",IF(H143&lt;&gt;"逐仓","看平台",IF(AND(ISNUMBER(K143),N(G143)&gt;0),IF(F143="空",K143*(1+1/G143-IF(ISNUMBER(I143),I143,'参数'!$C$13)),K143*(1-1/G143+IF(ISNUMBER(I143),I143,'参数'!$C$13))),"")))</f>
        <v/>
      </c>
      <c r="U143" s="37" t="str">
        <f>IF(AND(ISNUMBER(T143),ISNUMBER(L143),ISNUMBER(K143)),IF(F143="空",T143-L143,L143-T143)/K143,"")</f>
        <v/>
      </c>
      <c r="V143" s="38" t="str">
        <f>IF(ISNUMBER(U143),IF(U143&lt;'参数'!$C$15,"先降杠杆或减量","在止损外"),"")</f>
        <v/>
      </c>
      <c r="W143" s="30" t="n"/>
      <c r="X143" s="31" t="n"/>
      <c r="Y143" s="39" t="str">
        <f>IF(N(AB143)&gt;0,SUMPRODUCT(LARGE(('成交明细'!$A$5:$A$804=A143)*('成交明细'!$D$5:$D$804=IF(F143="空","卖","买"))*'成交明细'!$B$5:$B$804,COUNTIFS('成交明细'!$A$5:$A$804,A143,'成交明细'!$D$5:$D$804,IF(F143="空","卖","买")))),"")</f>
        <v/>
      </c>
      <c r="Z143" s="39" t="str">
        <f>IF(AND(N(AB143)&gt;0,N(AD143)&gt;=N(AB143)),SUMPRODUCT(MAX(('成交明细'!$A$5:$A$804=A143)*('成交明细'!$D$5:$D$804=IF(F143="空","买","卖"))*'成交明细'!$B$5:$B$804)),"")</f>
        <v/>
      </c>
      <c r="AA143" s="40" t="str">
        <f>IF(N(AB143)=0,"",IF(SUMPRODUCT(('成交明细'!$A$5:$A$804=A143)*('成交明细'!$D$5:$D$804=IF(F143="空","卖","买"))*ISNUMBER('成交明细'!$C$5:$C$804))=0,"没填时间",IFERROR(VLOOKUP(MOD(SUMPRODUCT(LARGE(('成交明细'!$A$5:$A$804=A143)*('成交明细'!$D$5:$D$804=IF(F143="空","卖","买"))*('成交明细'!$B$5:$B$804+'成交明细'!$C$5:$C$804),COUNTIFS('成交明细'!$A$5:$A$804,A143,'成交明细'!$D$5:$D$804,IF(F143="空","卖","买")))),1),'参数'!$B$39:$C$48,2,TRUE),"")))</f>
        <v/>
      </c>
      <c r="AB143" s="34" t="str">
        <f>IF(A143="","",SUMIFS('成交明细'!$F$5:$F$804,'成交明细'!$A$5:$A$804,A143,'成交明细'!$D$5:$D$804,IF(F143="空","卖","买")))</f>
        <v/>
      </c>
      <c r="AC143" s="41" t="str">
        <f>IF(N(AB143)&gt;0,SUMIFS('成交明细'!$H$5:$H$804,'成交明细'!$A$5:$A$804,A143,'成交明细'!$D$5:$D$804,IF(F143="空","卖","买"))/AB143,"")</f>
        <v/>
      </c>
      <c r="AD143" s="34" t="str">
        <f>IF(A143="","",SUMIFS('成交明细'!$F$5:$F$804,'成交明细'!$A$5:$A$804,A143,'成交明细'!$D$5:$D$804,IF(F143="空","买","卖")))</f>
        <v/>
      </c>
      <c r="AE143" s="41" t="str">
        <f>IF(N(AD143)&gt;0,SUMIFS('成交明细'!$H$5:$H$804,'成交明细'!$A$5:$A$804,A143,'成交明细'!$D$5:$D$804,IF(F143="空","买","卖"))/AD143,"")</f>
        <v/>
      </c>
      <c r="AF143" s="38" t="str">
        <f>IF(A143="","",IF(X143&lt;&gt;"已执行",IF(X143="","未填执行情况",X143),IF(N(AB143)=0,"待录成交",IF(N(AD143)&gt;N(AB143),"平仓多于开仓",IF(N(AD143)&lt;N(AB143),"持仓中","已平仓")))))</f>
        <v/>
      </c>
      <c r="AG143" s="42" t="str">
        <f>IF(N(AB143)=0,"",SUMIFS('成交明细'!$L$5:$L$804,'成交明细'!$A$5:$A$804,A143))</f>
        <v/>
      </c>
      <c r="AH143" s="43" t="str">
        <f>IF(A143="","",SUMIFS('资金费流水'!$F$5:$F$604,'资金费流水'!$B$5:$B$604,A143))</f>
        <v/>
      </c>
      <c r="AI143" s="43" t="str">
        <f>IF(AF143&lt;&gt;"已平仓","",(SUMIFS('成交明细'!$H$5:$H$804,'成交明细'!$A$5:$A$804,A143,'成交明细'!$D$5:$D$804,"卖")-SUMIFS('成交明细'!$H$5:$H$804,'成交明细'!$A$5:$A$804,A143,'成交明细'!$D$5:$D$804,"买"))*1-AG143+N(AH143))</f>
        <v/>
      </c>
      <c r="AJ143" s="44" t="str">
        <f>IF(AND(AF143="已平仓",ISNUMBER(Q143)),(SUMIFS('成交明细'!$H$5:$H$804,'成交明细'!$A$5:$A$804,A143,'成交明细'!$D$5:$D$804,"卖")-SUMIFS('成交明细'!$H$5:$H$804,'成交明细'!$A$5:$A$804,A143,'成交明细'!$D$5:$D$804,"买"))*1/Q143,"")</f>
        <v/>
      </c>
      <c r="AK143" s="44" t="str">
        <f>IF(AND(AF143="已平仓",ISNUMBER(Q143)),AI143/Q143,"")</f>
        <v/>
      </c>
      <c r="AL143" s="45" t="str">
        <f>IF(AND(ISNUMBER(AC143),ISNUMBER(K143)),IF(F143="空",K143-AC143,AC143-K143),"")</f>
        <v/>
      </c>
      <c r="AM143" s="45" t="str">
        <f>IF(OR(NOT(ISNUMBER(AI143)),NOT(ISNUMBER(AE143))),"",IF(AI143&lt;0,IF(F143="空",AE143-L143,L143-AE143),IF(NOT(ISNUMBER(M143)),"",IF(F143="空",AE143-M143,M143-AE143))))</f>
        <v/>
      </c>
      <c r="AN143" s="31" t="n"/>
      <c r="AO143" s="31" t="n"/>
      <c r="AP143" s="30" t="n"/>
      <c r="AQ143" s="44" t="str">
        <f>IF(A143="","",SUM(AK$5:AK143))</f>
        <v/>
      </c>
      <c r="AR143" s="46" t="str">
        <f>IF(A143="","",MAX(0,MAX(AQ$5:AQ143))-AQ143)</f>
        <v/>
      </c>
    </row>
    <row r="144">
      <c r="A144" s="24" t="n"/>
      <c r="B144" s="29" t="n"/>
      <c r="C144" s="30" t="n"/>
      <c r="D144" s="31" t="n"/>
      <c r="E144" s="31" t="n"/>
      <c r="F144" s="31" t="n"/>
      <c r="G144" s="21" t="n"/>
      <c r="H144" s="31" t="n"/>
      <c r="I144" s="23" t="n"/>
      <c r="J144" s="31" t="n"/>
      <c r="K144" s="32" t="n"/>
      <c r="L144" s="32" t="n"/>
      <c r="M144" s="32" t="n"/>
      <c r="N144" s="33" t="str">
        <f>IF(AND(ISNUMBER(K144),ISNUMBER(L144),ISNUMBER(M144)),IF(OR(AND(F144="多",K144&gt;L144),AND(F144="空",K144&lt;L144)),ABS(M144-K144)/ABS(K144-L144),"止损方向不对"),"")</f>
        <v/>
      </c>
      <c r="O144" s="34" t="str">
        <f>IF(AND(ISNUMBER(K144),ISNUMBER(L144)),IF(K144=L144,"",IF(INT(ROUND('参数'!$C$7/(ABS(K144-L144)*1+2*K144*'参数'!$C$12)/IF(N(J144)&gt;0,J144,1),6))*IF(N(J144)&gt;0,J144,1)&gt;0,INT(ROUND('参数'!$C$7/(ABS(K144-L144)*1+2*K144*'参数'!$C$12)/IF(N(J144)&gt;0,J144,1),6))*IF(N(J144)&gt;0,J144,1),"预算不足，这笔不做")),"")</f>
        <v/>
      </c>
      <c r="P144" s="35" t="n"/>
      <c r="Q144" s="20" t="str">
        <f>IF(AND(ISNUMBER(K144),ISNUMBER(L144),ISNUMBER(P144)),IF(AND(K144&lt;&gt;L144,P144&gt;0),ABS(K144-L144)*P144*1,""),"")</f>
        <v/>
      </c>
      <c r="R144" s="20" t="str">
        <f>IF(AND(ISNUMBER(K144),ISNUMBER(P144)),K144*P144,"")</f>
        <v/>
      </c>
      <c r="S144" s="20" t="str">
        <f>IF(AND(D144="合约",ISNUMBER(R144),N(G144)&gt;0),R144/G144,"")</f>
        <v/>
      </c>
      <c r="T144" s="36" t="str">
        <f>IF(NOT(D144="合约"),"",IF(H144&lt;&gt;"逐仓","看平台",IF(AND(ISNUMBER(K144),N(G144)&gt;0),IF(F144="空",K144*(1+1/G144-IF(ISNUMBER(I144),I144,'参数'!$C$13)),K144*(1-1/G144+IF(ISNUMBER(I144),I144,'参数'!$C$13))),"")))</f>
        <v/>
      </c>
      <c r="U144" s="37" t="str">
        <f>IF(AND(ISNUMBER(T144),ISNUMBER(L144),ISNUMBER(K144)),IF(F144="空",T144-L144,L144-T144)/K144,"")</f>
        <v/>
      </c>
      <c r="V144" s="38" t="str">
        <f>IF(ISNUMBER(U144),IF(U144&lt;'参数'!$C$15,"先降杠杆或减量","在止损外"),"")</f>
        <v/>
      </c>
      <c r="W144" s="30" t="n"/>
      <c r="X144" s="31" t="n"/>
      <c r="Y144" s="39" t="str">
        <f>IF(N(AB144)&gt;0,SUMPRODUCT(LARGE(('成交明细'!$A$5:$A$804=A144)*('成交明细'!$D$5:$D$804=IF(F144="空","卖","买"))*'成交明细'!$B$5:$B$804,COUNTIFS('成交明细'!$A$5:$A$804,A144,'成交明细'!$D$5:$D$804,IF(F144="空","卖","买")))),"")</f>
        <v/>
      </c>
      <c r="Z144" s="39" t="str">
        <f>IF(AND(N(AB144)&gt;0,N(AD144)&gt;=N(AB144)),SUMPRODUCT(MAX(('成交明细'!$A$5:$A$804=A144)*('成交明细'!$D$5:$D$804=IF(F144="空","买","卖"))*'成交明细'!$B$5:$B$804)),"")</f>
        <v/>
      </c>
      <c r="AA144" s="40" t="str">
        <f>IF(N(AB144)=0,"",IF(SUMPRODUCT(('成交明细'!$A$5:$A$804=A144)*('成交明细'!$D$5:$D$804=IF(F144="空","卖","买"))*ISNUMBER('成交明细'!$C$5:$C$804))=0,"没填时间",IFERROR(VLOOKUP(MOD(SUMPRODUCT(LARGE(('成交明细'!$A$5:$A$804=A144)*('成交明细'!$D$5:$D$804=IF(F144="空","卖","买"))*('成交明细'!$B$5:$B$804+'成交明细'!$C$5:$C$804),COUNTIFS('成交明细'!$A$5:$A$804,A144,'成交明细'!$D$5:$D$804,IF(F144="空","卖","买")))),1),'参数'!$B$39:$C$48,2,TRUE),"")))</f>
        <v/>
      </c>
      <c r="AB144" s="34" t="str">
        <f>IF(A144="","",SUMIFS('成交明细'!$F$5:$F$804,'成交明细'!$A$5:$A$804,A144,'成交明细'!$D$5:$D$804,IF(F144="空","卖","买")))</f>
        <v/>
      </c>
      <c r="AC144" s="41" t="str">
        <f>IF(N(AB144)&gt;0,SUMIFS('成交明细'!$H$5:$H$804,'成交明细'!$A$5:$A$804,A144,'成交明细'!$D$5:$D$804,IF(F144="空","卖","买"))/AB144,"")</f>
        <v/>
      </c>
      <c r="AD144" s="34" t="str">
        <f>IF(A144="","",SUMIFS('成交明细'!$F$5:$F$804,'成交明细'!$A$5:$A$804,A144,'成交明细'!$D$5:$D$804,IF(F144="空","买","卖")))</f>
        <v/>
      </c>
      <c r="AE144" s="41" t="str">
        <f>IF(N(AD144)&gt;0,SUMIFS('成交明细'!$H$5:$H$804,'成交明细'!$A$5:$A$804,A144,'成交明细'!$D$5:$D$804,IF(F144="空","买","卖"))/AD144,"")</f>
        <v/>
      </c>
      <c r="AF144" s="38" t="str">
        <f>IF(A144="","",IF(X144&lt;&gt;"已执行",IF(X144="","未填执行情况",X144),IF(N(AB144)=0,"待录成交",IF(N(AD144)&gt;N(AB144),"平仓多于开仓",IF(N(AD144)&lt;N(AB144),"持仓中","已平仓")))))</f>
        <v/>
      </c>
      <c r="AG144" s="42" t="str">
        <f>IF(N(AB144)=0,"",SUMIFS('成交明细'!$L$5:$L$804,'成交明细'!$A$5:$A$804,A144))</f>
        <v/>
      </c>
      <c r="AH144" s="43" t="str">
        <f>IF(A144="","",SUMIFS('资金费流水'!$F$5:$F$604,'资金费流水'!$B$5:$B$604,A144))</f>
        <v/>
      </c>
      <c r="AI144" s="43" t="str">
        <f>IF(AF144&lt;&gt;"已平仓","",(SUMIFS('成交明细'!$H$5:$H$804,'成交明细'!$A$5:$A$804,A144,'成交明细'!$D$5:$D$804,"卖")-SUMIFS('成交明细'!$H$5:$H$804,'成交明细'!$A$5:$A$804,A144,'成交明细'!$D$5:$D$804,"买"))*1-AG144+N(AH144))</f>
        <v/>
      </c>
      <c r="AJ144" s="44" t="str">
        <f>IF(AND(AF144="已平仓",ISNUMBER(Q144)),(SUMIFS('成交明细'!$H$5:$H$804,'成交明细'!$A$5:$A$804,A144,'成交明细'!$D$5:$D$804,"卖")-SUMIFS('成交明细'!$H$5:$H$804,'成交明细'!$A$5:$A$804,A144,'成交明细'!$D$5:$D$804,"买"))*1/Q144,"")</f>
        <v/>
      </c>
      <c r="AK144" s="44" t="str">
        <f>IF(AND(AF144="已平仓",ISNUMBER(Q144)),AI144/Q144,"")</f>
        <v/>
      </c>
      <c r="AL144" s="45" t="str">
        <f>IF(AND(ISNUMBER(AC144),ISNUMBER(K144)),IF(F144="空",K144-AC144,AC144-K144),"")</f>
        <v/>
      </c>
      <c r="AM144" s="45" t="str">
        <f>IF(OR(NOT(ISNUMBER(AI144)),NOT(ISNUMBER(AE144))),"",IF(AI144&lt;0,IF(F144="空",AE144-L144,L144-AE144),IF(NOT(ISNUMBER(M144)),"",IF(F144="空",AE144-M144,M144-AE144))))</f>
        <v/>
      </c>
      <c r="AN144" s="31" t="n"/>
      <c r="AO144" s="31" t="n"/>
      <c r="AP144" s="30" t="n"/>
      <c r="AQ144" s="44" t="str">
        <f>IF(A144="","",SUM(AK$5:AK144))</f>
        <v/>
      </c>
      <c r="AR144" s="46" t="str">
        <f>IF(A144="","",MAX(0,MAX(AQ$5:AQ144))-AQ144)</f>
        <v/>
      </c>
    </row>
    <row r="145">
      <c r="A145" s="24" t="n"/>
      <c r="B145" s="29" t="n"/>
      <c r="C145" s="30" t="n"/>
      <c r="D145" s="31" t="n"/>
      <c r="E145" s="31" t="n"/>
      <c r="F145" s="31" t="n"/>
      <c r="G145" s="21" t="n"/>
      <c r="H145" s="31" t="n"/>
      <c r="I145" s="23" t="n"/>
      <c r="J145" s="31" t="n"/>
      <c r="K145" s="32" t="n"/>
      <c r="L145" s="32" t="n"/>
      <c r="M145" s="32" t="n"/>
      <c r="N145" s="33" t="str">
        <f>IF(AND(ISNUMBER(K145),ISNUMBER(L145),ISNUMBER(M145)),IF(OR(AND(F145="多",K145&gt;L145),AND(F145="空",K145&lt;L145)),ABS(M145-K145)/ABS(K145-L145),"止损方向不对"),"")</f>
        <v/>
      </c>
      <c r="O145" s="34" t="str">
        <f>IF(AND(ISNUMBER(K145),ISNUMBER(L145)),IF(K145=L145,"",IF(INT(ROUND('参数'!$C$7/(ABS(K145-L145)*1+2*K145*'参数'!$C$12)/IF(N(J145)&gt;0,J145,1),6))*IF(N(J145)&gt;0,J145,1)&gt;0,INT(ROUND('参数'!$C$7/(ABS(K145-L145)*1+2*K145*'参数'!$C$12)/IF(N(J145)&gt;0,J145,1),6))*IF(N(J145)&gt;0,J145,1),"预算不足，这笔不做")),"")</f>
        <v/>
      </c>
      <c r="P145" s="35" t="n"/>
      <c r="Q145" s="20" t="str">
        <f>IF(AND(ISNUMBER(K145),ISNUMBER(L145),ISNUMBER(P145)),IF(AND(K145&lt;&gt;L145,P145&gt;0),ABS(K145-L145)*P145*1,""),"")</f>
        <v/>
      </c>
      <c r="R145" s="20" t="str">
        <f>IF(AND(ISNUMBER(K145),ISNUMBER(P145)),K145*P145,"")</f>
        <v/>
      </c>
      <c r="S145" s="20" t="str">
        <f>IF(AND(D145="合约",ISNUMBER(R145),N(G145)&gt;0),R145/G145,"")</f>
        <v/>
      </c>
      <c r="T145" s="36" t="str">
        <f>IF(NOT(D145="合约"),"",IF(H145&lt;&gt;"逐仓","看平台",IF(AND(ISNUMBER(K145),N(G145)&gt;0),IF(F145="空",K145*(1+1/G145-IF(ISNUMBER(I145),I145,'参数'!$C$13)),K145*(1-1/G145+IF(ISNUMBER(I145),I145,'参数'!$C$13))),"")))</f>
        <v/>
      </c>
      <c r="U145" s="37" t="str">
        <f>IF(AND(ISNUMBER(T145),ISNUMBER(L145),ISNUMBER(K145)),IF(F145="空",T145-L145,L145-T145)/K145,"")</f>
        <v/>
      </c>
      <c r="V145" s="38" t="str">
        <f>IF(ISNUMBER(U145),IF(U145&lt;'参数'!$C$15,"先降杠杆或减量","在止损外"),"")</f>
        <v/>
      </c>
      <c r="W145" s="30" t="n"/>
      <c r="X145" s="31" t="n"/>
      <c r="Y145" s="39" t="str">
        <f>IF(N(AB145)&gt;0,SUMPRODUCT(LARGE(('成交明细'!$A$5:$A$804=A145)*('成交明细'!$D$5:$D$804=IF(F145="空","卖","买"))*'成交明细'!$B$5:$B$804,COUNTIFS('成交明细'!$A$5:$A$804,A145,'成交明细'!$D$5:$D$804,IF(F145="空","卖","买")))),"")</f>
        <v/>
      </c>
      <c r="Z145" s="39" t="str">
        <f>IF(AND(N(AB145)&gt;0,N(AD145)&gt;=N(AB145)),SUMPRODUCT(MAX(('成交明细'!$A$5:$A$804=A145)*('成交明细'!$D$5:$D$804=IF(F145="空","买","卖"))*'成交明细'!$B$5:$B$804)),"")</f>
        <v/>
      </c>
      <c r="AA145" s="40" t="str">
        <f>IF(N(AB145)=0,"",IF(SUMPRODUCT(('成交明细'!$A$5:$A$804=A145)*('成交明细'!$D$5:$D$804=IF(F145="空","卖","买"))*ISNUMBER('成交明细'!$C$5:$C$804))=0,"没填时间",IFERROR(VLOOKUP(MOD(SUMPRODUCT(LARGE(('成交明细'!$A$5:$A$804=A145)*('成交明细'!$D$5:$D$804=IF(F145="空","卖","买"))*('成交明细'!$B$5:$B$804+'成交明细'!$C$5:$C$804),COUNTIFS('成交明细'!$A$5:$A$804,A145,'成交明细'!$D$5:$D$804,IF(F145="空","卖","买")))),1),'参数'!$B$39:$C$48,2,TRUE),"")))</f>
        <v/>
      </c>
      <c r="AB145" s="34" t="str">
        <f>IF(A145="","",SUMIFS('成交明细'!$F$5:$F$804,'成交明细'!$A$5:$A$804,A145,'成交明细'!$D$5:$D$804,IF(F145="空","卖","买")))</f>
        <v/>
      </c>
      <c r="AC145" s="41" t="str">
        <f>IF(N(AB145)&gt;0,SUMIFS('成交明细'!$H$5:$H$804,'成交明细'!$A$5:$A$804,A145,'成交明细'!$D$5:$D$804,IF(F145="空","卖","买"))/AB145,"")</f>
        <v/>
      </c>
      <c r="AD145" s="34" t="str">
        <f>IF(A145="","",SUMIFS('成交明细'!$F$5:$F$804,'成交明细'!$A$5:$A$804,A145,'成交明细'!$D$5:$D$804,IF(F145="空","买","卖")))</f>
        <v/>
      </c>
      <c r="AE145" s="41" t="str">
        <f>IF(N(AD145)&gt;0,SUMIFS('成交明细'!$H$5:$H$804,'成交明细'!$A$5:$A$804,A145,'成交明细'!$D$5:$D$804,IF(F145="空","买","卖"))/AD145,"")</f>
        <v/>
      </c>
      <c r="AF145" s="38" t="str">
        <f>IF(A145="","",IF(X145&lt;&gt;"已执行",IF(X145="","未填执行情况",X145),IF(N(AB145)=0,"待录成交",IF(N(AD145)&gt;N(AB145),"平仓多于开仓",IF(N(AD145)&lt;N(AB145),"持仓中","已平仓")))))</f>
        <v/>
      </c>
      <c r="AG145" s="42" t="str">
        <f>IF(N(AB145)=0,"",SUMIFS('成交明细'!$L$5:$L$804,'成交明细'!$A$5:$A$804,A145))</f>
        <v/>
      </c>
      <c r="AH145" s="43" t="str">
        <f>IF(A145="","",SUMIFS('资金费流水'!$F$5:$F$604,'资金费流水'!$B$5:$B$604,A145))</f>
        <v/>
      </c>
      <c r="AI145" s="43" t="str">
        <f>IF(AF145&lt;&gt;"已平仓","",(SUMIFS('成交明细'!$H$5:$H$804,'成交明细'!$A$5:$A$804,A145,'成交明细'!$D$5:$D$804,"卖")-SUMIFS('成交明细'!$H$5:$H$804,'成交明细'!$A$5:$A$804,A145,'成交明细'!$D$5:$D$804,"买"))*1-AG145+N(AH145))</f>
        <v/>
      </c>
      <c r="AJ145" s="44" t="str">
        <f>IF(AND(AF145="已平仓",ISNUMBER(Q145)),(SUMIFS('成交明细'!$H$5:$H$804,'成交明细'!$A$5:$A$804,A145,'成交明细'!$D$5:$D$804,"卖")-SUMIFS('成交明细'!$H$5:$H$804,'成交明细'!$A$5:$A$804,A145,'成交明细'!$D$5:$D$804,"买"))*1/Q145,"")</f>
        <v/>
      </c>
      <c r="AK145" s="44" t="str">
        <f>IF(AND(AF145="已平仓",ISNUMBER(Q145)),AI145/Q145,"")</f>
        <v/>
      </c>
      <c r="AL145" s="45" t="str">
        <f>IF(AND(ISNUMBER(AC145),ISNUMBER(K145)),IF(F145="空",K145-AC145,AC145-K145),"")</f>
        <v/>
      </c>
      <c r="AM145" s="45" t="str">
        <f>IF(OR(NOT(ISNUMBER(AI145)),NOT(ISNUMBER(AE145))),"",IF(AI145&lt;0,IF(F145="空",AE145-L145,L145-AE145),IF(NOT(ISNUMBER(M145)),"",IF(F145="空",AE145-M145,M145-AE145))))</f>
        <v/>
      </c>
      <c r="AN145" s="31" t="n"/>
      <c r="AO145" s="31" t="n"/>
      <c r="AP145" s="30" t="n"/>
      <c r="AQ145" s="44" t="str">
        <f>IF(A145="","",SUM(AK$5:AK145))</f>
        <v/>
      </c>
      <c r="AR145" s="46" t="str">
        <f>IF(A145="","",MAX(0,MAX(AQ$5:AQ145))-AQ145)</f>
        <v/>
      </c>
    </row>
    <row r="146">
      <c r="A146" s="24" t="n"/>
      <c r="B146" s="29" t="n"/>
      <c r="C146" s="30" t="n"/>
      <c r="D146" s="31" t="n"/>
      <c r="E146" s="31" t="n"/>
      <c r="F146" s="31" t="n"/>
      <c r="G146" s="21" t="n"/>
      <c r="H146" s="31" t="n"/>
      <c r="I146" s="23" t="n"/>
      <c r="J146" s="31" t="n"/>
      <c r="K146" s="32" t="n"/>
      <c r="L146" s="32" t="n"/>
      <c r="M146" s="32" t="n"/>
      <c r="N146" s="33" t="str">
        <f>IF(AND(ISNUMBER(K146),ISNUMBER(L146),ISNUMBER(M146)),IF(OR(AND(F146="多",K146&gt;L146),AND(F146="空",K146&lt;L146)),ABS(M146-K146)/ABS(K146-L146),"止损方向不对"),"")</f>
        <v/>
      </c>
      <c r="O146" s="34" t="str">
        <f>IF(AND(ISNUMBER(K146),ISNUMBER(L146)),IF(K146=L146,"",IF(INT(ROUND('参数'!$C$7/(ABS(K146-L146)*1+2*K146*'参数'!$C$12)/IF(N(J146)&gt;0,J146,1),6))*IF(N(J146)&gt;0,J146,1)&gt;0,INT(ROUND('参数'!$C$7/(ABS(K146-L146)*1+2*K146*'参数'!$C$12)/IF(N(J146)&gt;0,J146,1),6))*IF(N(J146)&gt;0,J146,1),"预算不足，这笔不做")),"")</f>
        <v/>
      </c>
      <c r="P146" s="35" t="n"/>
      <c r="Q146" s="20" t="str">
        <f>IF(AND(ISNUMBER(K146),ISNUMBER(L146),ISNUMBER(P146)),IF(AND(K146&lt;&gt;L146,P146&gt;0),ABS(K146-L146)*P146*1,""),"")</f>
        <v/>
      </c>
      <c r="R146" s="20" t="str">
        <f>IF(AND(ISNUMBER(K146),ISNUMBER(P146)),K146*P146,"")</f>
        <v/>
      </c>
      <c r="S146" s="20" t="str">
        <f>IF(AND(D146="合约",ISNUMBER(R146),N(G146)&gt;0),R146/G146,"")</f>
        <v/>
      </c>
      <c r="T146" s="36" t="str">
        <f>IF(NOT(D146="合约"),"",IF(H146&lt;&gt;"逐仓","看平台",IF(AND(ISNUMBER(K146),N(G146)&gt;0),IF(F146="空",K146*(1+1/G146-IF(ISNUMBER(I146),I146,'参数'!$C$13)),K146*(1-1/G146+IF(ISNUMBER(I146),I146,'参数'!$C$13))),"")))</f>
        <v/>
      </c>
      <c r="U146" s="37" t="str">
        <f>IF(AND(ISNUMBER(T146),ISNUMBER(L146),ISNUMBER(K146)),IF(F146="空",T146-L146,L146-T146)/K146,"")</f>
        <v/>
      </c>
      <c r="V146" s="38" t="str">
        <f>IF(ISNUMBER(U146),IF(U146&lt;'参数'!$C$15,"先降杠杆或减量","在止损外"),"")</f>
        <v/>
      </c>
      <c r="W146" s="30" t="n"/>
      <c r="X146" s="31" t="n"/>
      <c r="Y146" s="39" t="str">
        <f>IF(N(AB146)&gt;0,SUMPRODUCT(LARGE(('成交明细'!$A$5:$A$804=A146)*('成交明细'!$D$5:$D$804=IF(F146="空","卖","买"))*'成交明细'!$B$5:$B$804,COUNTIFS('成交明细'!$A$5:$A$804,A146,'成交明细'!$D$5:$D$804,IF(F146="空","卖","买")))),"")</f>
        <v/>
      </c>
      <c r="Z146" s="39" t="str">
        <f>IF(AND(N(AB146)&gt;0,N(AD146)&gt;=N(AB146)),SUMPRODUCT(MAX(('成交明细'!$A$5:$A$804=A146)*('成交明细'!$D$5:$D$804=IF(F146="空","买","卖"))*'成交明细'!$B$5:$B$804)),"")</f>
        <v/>
      </c>
      <c r="AA146" s="40" t="str">
        <f>IF(N(AB146)=0,"",IF(SUMPRODUCT(('成交明细'!$A$5:$A$804=A146)*('成交明细'!$D$5:$D$804=IF(F146="空","卖","买"))*ISNUMBER('成交明细'!$C$5:$C$804))=0,"没填时间",IFERROR(VLOOKUP(MOD(SUMPRODUCT(LARGE(('成交明细'!$A$5:$A$804=A146)*('成交明细'!$D$5:$D$804=IF(F146="空","卖","买"))*('成交明细'!$B$5:$B$804+'成交明细'!$C$5:$C$804),COUNTIFS('成交明细'!$A$5:$A$804,A146,'成交明细'!$D$5:$D$804,IF(F146="空","卖","买")))),1),'参数'!$B$39:$C$48,2,TRUE),"")))</f>
        <v/>
      </c>
      <c r="AB146" s="34" t="str">
        <f>IF(A146="","",SUMIFS('成交明细'!$F$5:$F$804,'成交明细'!$A$5:$A$804,A146,'成交明细'!$D$5:$D$804,IF(F146="空","卖","买")))</f>
        <v/>
      </c>
      <c r="AC146" s="41" t="str">
        <f>IF(N(AB146)&gt;0,SUMIFS('成交明细'!$H$5:$H$804,'成交明细'!$A$5:$A$804,A146,'成交明细'!$D$5:$D$804,IF(F146="空","卖","买"))/AB146,"")</f>
        <v/>
      </c>
      <c r="AD146" s="34" t="str">
        <f>IF(A146="","",SUMIFS('成交明细'!$F$5:$F$804,'成交明细'!$A$5:$A$804,A146,'成交明细'!$D$5:$D$804,IF(F146="空","买","卖")))</f>
        <v/>
      </c>
      <c r="AE146" s="41" t="str">
        <f>IF(N(AD146)&gt;0,SUMIFS('成交明细'!$H$5:$H$804,'成交明细'!$A$5:$A$804,A146,'成交明细'!$D$5:$D$804,IF(F146="空","买","卖"))/AD146,"")</f>
        <v/>
      </c>
      <c r="AF146" s="38" t="str">
        <f>IF(A146="","",IF(X146&lt;&gt;"已执行",IF(X146="","未填执行情况",X146),IF(N(AB146)=0,"待录成交",IF(N(AD146)&gt;N(AB146),"平仓多于开仓",IF(N(AD146)&lt;N(AB146),"持仓中","已平仓")))))</f>
        <v/>
      </c>
      <c r="AG146" s="42" t="str">
        <f>IF(N(AB146)=0,"",SUMIFS('成交明细'!$L$5:$L$804,'成交明细'!$A$5:$A$804,A146))</f>
        <v/>
      </c>
      <c r="AH146" s="43" t="str">
        <f>IF(A146="","",SUMIFS('资金费流水'!$F$5:$F$604,'资金费流水'!$B$5:$B$604,A146))</f>
        <v/>
      </c>
      <c r="AI146" s="43" t="str">
        <f>IF(AF146&lt;&gt;"已平仓","",(SUMIFS('成交明细'!$H$5:$H$804,'成交明细'!$A$5:$A$804,A146,'成交明细'!$D$5:$D$804,"卖")-SUMIFS('成交明细'!$H$5:$H$804,'成交明细'!$A$5:$A$804,A146,'成交明细'!$D$5:$D$804,"买"))*1-AG146+N(AH146))</f>
        <v/>
      </c>
      <c r="AJ146" s="44" t="str">
        <f>IF(AND(AF146="已平仓",ISNUMBER(Q146)),(SUMIFS('成交明细'!$H$5:$H$804,'成交明细'!$A$5:$A$804,A146,'成交明细'!$D$5:$D$804,"卖")-SUMIFS('成交明细'!$H$5:$H$804,'成交明细'!$A$5:$A$804,A146,'成交明细'!$D$5:$D$804,"买"))*1/Q146,"")</f>
        <v/>
      </c>
      <c r="AK146" s="44" t="str">
        <f>IF(AND(AF146="已平仓",ISNUMBER(Q146)),AI146/Q146,"")</f>
        <v/>
      </c>
      <c r="AL146" s="45" t="str">
        <f>IF(AND(ISNUMBER(AC146),ISNUMBER(K146)),IF(F146="空",K146-AC146,AC146-K146),"")</f>
        <v/>
      </c>
      <c r="AM146" s="45" t="str">
        <f>IF(OR(NOT(ISNUMBER(AI146)),NOT(ISNUMBER(AE146))),"",IF(AI146&lt;0,IF(F146="空",AE146-L146,L146-AE146),IF(NOT(ISNUMBER(M146)),"",IF(F146="空",AE146-M146,M146-AE146))))</f>
        <v/>
      </c>
      <c r="AN146" s="31" t="n"/>
      <c r="AO146" s="31" t="n"/>
      <c r="AP146" s="30" t="n"/>
      <c r="AQ146" s="44" t="str">
        <f>IF(A146="","",SUM(AK$5:AK146))</f>
        <v/>
      </c>
      <c r="AR146" s="46" t="str">
        <f>IF(A146="","",MAX(0,MAX(AQ$5:AQ146))-AQ146)</f>
        <v/>
      </c>
    </row>
    <row r="147">
      <c r="A147" s="24" t="n"/>
      <c r="B147" s="29" t="n"/>
      <c r="C147" s="30" t="n"/>
      <c r="D147" s="31" t="n"/>
      <c r="E147" s="31" t="n"/>
      <c r="F147" s="31" t="n"/>
      <c r="G147" s="21" t="n"/>
      <c r="H147" s="31" t="n"/>
      <c r="I147" s="23" t="n"/>
      <c r="J147" s="31" t="n"/>
      <c r="K147" s="32" t="n"/>
      <c r="L147" s="32" t="n"/>
      <c r="M147" s="32" t="n"/>
      <c r="N147" s="33" t="str">
        <f>IF(AND(ISNUMBER(K147),ISNUMBER(L147),ISNUMBER(M147)),IF(OR(AND(F147="多",K147&gt;L147),AND(F147="空",K147&lt;L147)),ABS(M147-K147)/ABS(K147-L147),"止损方向不对"),"")</f>
        <v/>
      </c>
      <c r="O147" s="34" t="str">
        <f>IF(AND(ISNUMBER(K147),ISNUMBER(L147)),IF(K147=L147,"",IF(INT(ROUND('参数'!$C$7/(ABS(K147-L147)*1+2*K147*'参数'!$C$12)/IF(N(J147)&gt;0,J147,1),6))*IF(N(J147)&gt;0,J147,1)&gt;0,INT(ROUND('参数'!$C$7/(ABS(K147-L147)*1+2*K147*'参数'!$C$12)/IF(N(J147)&gt;0,J147,1),6))*IF(N(J147)&gt;0,J147,1),"预算不足，这笔不做")),"")</f>
        <v/>
      </c>
      <c r="P147" s="35" t="n"/>
      <c r="Q147" s="20" t="str">
        <f>IF(AND(ISNUMBER(K147),ISNUMBER(L147),ISNUMBER(P147)),IF(AND(K147&lt;&gt;L147,P147&gt;0),ABS(K147-L147)*P147*1,""),"")</f>
        <v/>
      </c>
      <c r="R147" s="20" t="str">
        <f>IF(AND(ISNUMBER(K147),ISNUMBER(P147)),K147*P147,"")</f>
        <v/>
      </c>
      <c r="S147" s="20" t="str">
        <f>IF(AND(D147="合约",ISNUMBER(R147),N(G147)&gt;0),R147/G147,"")</f>
        <v/>
      </c>
      <c r="T147" s="36" t="str">
        <f>IF(NOT(D147="合约"),"",IF(H147&lt;&gt;"逐仓","看平台",IF(AND(ISNUMBER(K147),N(G147)&gt;0),IF(F147="空",K147*(1+1/G147-IF(ISNUMBER(I147),I147,'参数'!$C$13)),K147*(1-1/G147+IF(ISNUMBER(I147),I147,'参数'!$C$13))),"")))</f>
        <v/>
      </c>
      <c r="U147" s="37" t="str">
        <f>IF(AND(ISNUMBER(T147),ISNUMBER(L147),ISNUMBER(K147)),IF(F147="空",T147-L147,L147-T147)/K147,"")</f>
        <v/>
      </c>
      <c r="V147" s="38" t="str">
        <f>IF(ISNUMBER(U147),IF(U147&lt;'参数'!$C$15,"先降杠杆或减量","在止损外"),"")</f>
        <v/>
      </c>
      <c r="W147" s="30" t="n"/>
      <c r="X147" s="31" t="n"/>
      <c r="Y147" s="39" t="str">
        <f>IF(N(AB147)&gt;0,SUMPRODUCT(LARGE(('成交明细'!$A$5:$A$804=A147)*('成交明细'!$D$5:$D$804=IF(F147="空","卖","买"))*'成交明细'!$B$5:$B$804,COUNTIFS('成交明细'!$A$5:$A$804,A147,'成交明细'!$D$5:$D$804,IF(F147="空","卖","买")))),"")</f>
        <v/>
      </c>
      <c r="Z147" s="39" t="str">
        <f>IF(AND(N(AB147)&gt;0,N(AD147)&gt;=N(AB147)),SUMPRODUCT(MAX(('成交明细'!$A$5:$A$804=A147)*('成交明细'!$D$5:$D$804=IF(F147="空","买","卖"))*'成交明细'!$B$5:$B$804)),"")</f>
        <v/>
      </c>
      <c r="AA147" s="40" t="str">
        <f>IF(N(AB147)=0,"",IF(SUMPRODUCT(('成交明细'!$A$5:$A$804=A147)*('成交明细'!$D$5:$D$804=IF(F147="空","卖","买"))*ISNUMBER('成交明细'!$C$5:$C$804))=0,"没填时间",IFERROR(VLOOKUP(MOD(SUMPRODUCT(LARGE(('成交明细'!$A$5:$A$804=A147)*('成交明细'!$D$5:$D$804=IF(F147="空","卖","买"))*('成交明细'!$B$5:$B$804+'成交明细'!$C$5:$C$804),COUNTIFS('成交明细'!$A$5:$A$804,A147,'成交明细'!$D$5:$D$804,IF(F147="空","卖","买")))),1),'参数'!$B$39:$C$48,2,TRUE),"")))</f>
        <v/>
      </c>
      <c r="AB147" s="34" t="str">
        <f>IF(A147="","",SUMIFS('成交明细'!$F$5:$F$804,'成交明细'!$A$5:$A$804,A147,'成交明细'!$D$5:$D$804,IF(F147="空","卖","买")))</f>
        <v/>
      </c>
      <c r="AC147" s="41" t="str">
        <f>IF(N(AB147)&gt;0,SUMIFS('成交明细'!$H$5:$H$804,'成交明细'!$A$5:$A$804,A147,'成交明细'!$D$5:$D$804,IF(F147="空","卖","买"))/AB147,"")</f>
        <v/>
      </c>
      <c r="AD147" s="34" t="str">
        <f>IF(A147="","",SUMIFS('成交明细'!$F$5:$F$804,'成交明细'!$A$5:$A$804,A147,'成交明细'!$D$5:$D$804,IF(F147="空","买","卖")))</f>
        <v/>
      </c>
      <c r="AE147" s="41" t="str">
        <f>IF(N(AD147)&gt;0,SUMIFS('成交明细'!$H$5:$H$804,'成交明细'!$A$5:$A$804,A147,'成交明细'!$D$5:$D$804,IF(F147="空","买","卖"))/AD147,"")</f>
        <v/>
      </c>
      <c r="AF147" s="38" t="str">
        <f>IF(A147="","",IF(X147&lt;&gt;"已执行",IF(X147="","未填执行情况",X147),IF(N(AB147)=0,"待录成交",IF(N(AD147)&gt;N(AB147),"平仓多于开仓",IF(N(AD147)&lt;N(AB147),"持仓中","已平仓")))))</f>
        <v/>
      </c>
      <c r="AG147" s="42" t="str">
        <f>IF(N(AB147)=0,"",SUMIFS('成交明细'!$L$5:$L$804,'成交明细'!$A$5:$A$804,A147))</f>
        <v/>
      </c>
      <c r="AH147" s="43" t="str">
        <f>IF(A147="","",SUMIFS('资金费流水'!$F$5:$F$604,'资金费流水'!$B$5:$B$604,A147))</f>
        <v/>
      </c>
      <c r="AI147" s="43" t="str">
        <f>IF(AF147&lt;&gt;"已平仓","",(SUMIFS('成交明细'!$H$5:$H$804,'成交明细'!$A$5:$A$804,A147,'成交明细'!$D$5:$D$804,"卖")-SUMIFS('成交明细'!$H$5:$H$804,'成交明细'!$A$5:$A$804,A147,'成交明细'!$D$5:$D$804,"买"))*1-AG147+N(AH147))</f>
        <v/>
      </c>
      <c r="AJ147" s="44" t="str">
        <f>IF(AND(AF147="已平仓",ISNUMBER(Q147)),(SUMIFS('成交明细'!$H$5:$H$804,'成交明细'!$A$5:$A$804,A147,'成交明细'!$D$5:$D$804,"卖")-SUMIFS('成交明细'!$H$5:$H$804,'成交明细'!$A$5:$A$804,A147,'成交明细'!$D$5:$D$804,"买"))*1/Q147,"")</f>
        <v/>
      </c>
      <c r="AK147" s="44" t="str">
        <f>IF(AND(AF147="已平仓",ISNUMBER(Q147)),AI147/Q147,"")</f>
        <v/>
      </c>
      <c r="AL147" s="45" t="str">
        <f>IF(AND(ISNUMBER(AC147),ISNUMBER(K147)),IF(F147="空",K147-AC147,AC147-K147),"")</f>
        <v/>
      </c>
      <c r="AM147" s="45" t="str">
        <f>IF(OR(NOT(ISNUMBER(AI147)),NOT(ISNUMBER(AE147))),"",IF(AI147&lt;0,IF(F147="空",AE147-L147,L147-AE147),IF(NOT(ISNUMBER(M147)),"",IF(F147="空",AE147-M147,M147-AE147))))</f>
        <v/>
      </c>
      <c r="AN147" s="31" t="n"/>
      <c r="AO147" s="31" t="n"/>
      <c r="AP147" s="30" t="n"/>
      <c r="AQ147" s="44" t="str">
        <f>IF(A147="","",SUM(AK$5:AK147))</f>
        <v/>
      </c>
      <c r="AR147" s="46" t="str">
        <f>IF(A147="","",MAX(0,MAX(AQ$5:AQ147))-AQ147)</f>
        <v/>
      </c>
    </row>
    <row r="148">
      <c r="A148" s="24" t="n"/>
      <c r="B148" s="29" t="n"/>
      <c r="C148" s="30" t="n"/>
      <c r="D148" s="31" t="n"/>
      <c r="E148" s="31" t="n"/>
      <c r="F148" s="31" t="n"/>
      <c r="G148" s="21" t="n"/>
      <c r="H148" s="31" t="n"/>
      <c r="I148" s="23" t="n"/>
      <c r="J148" s="31" t="n"/>
      <c r="K148" s="32" t="n"/>
      <c r="L148" s="32" t="n"/>
      <c r="M148" s="32" t="n"/>
      <c r="N148" s="33" t="str">
        <f>IF(AND(ISNUMBER(K148),ISNUMBER(L148),ISNUMBER(M148)),IF(OR(AND(F148="多",K148&gt;L148),AND(F148="空",K148&lt;L148)),ABS(M148-K148)/ABS(K148-L148),"止损方向不对"),"")</f>
        <v/>
      </c>
      <c r="O148" s="34" t="str">
        <f>IF(AND(ISNUMBER(K148),ISNUMBER(L148)),IF(K148=L148,"",IF(INT(ROUND('参数'!$C$7/(ABS(K148-L148)*1+2*K148*'参数'!$C$12)/IF(N(J148)&gt;0,J148,1),6))*IF(N(J148)&gt;0,J148,1)&gt;0,INT(ROUND('参数'!$C$7/(ABS(K148-L148)*1+2*K148*'参数'!$C$12)/IF(N(J148)&gt;0,J148,1),6))*IF(N(J148)&gt;0,J148,1),"预算不足，这笔不做")),"")</f>
        <v/>
      </c>
      <c r="P148" s="35" t="n"/>
      <c r="Q148" s="20" t="str">
        <f>IF(AND(ISNUMBER(K148),ISNUMBER(L148),ISNUMBER(P148)),IF(AND(K148&lt;&gt;L148,P148&gt;0),ABS(K148-L148)*P148*1,""),"")</f>
        <v/>
      </c>
      <c r="R148" s="20" t="str">
        <f>IF(AND(ISNUMBER(K148),ISNUMBER(P148)),K148*P148,"")</f>
        <v/>
      </c>
      <c r="S148" s="20" t="str">
        <f>IF(AND(D148="合约",ISNUMBER(R148),N(G148)&gt;0),R148/G148,"")</f>
        <v/>
      </c>
      <c r="T148" s="36" t="str">
        <f>IF(NOT(D148="合约"),"",IF(H148&lt;&gt;"逐仓","看平台",IF(AND(ISNUMBER(K148),N(G148)&gt;0),IF(F148="空",K148*(1+1/G148-IF(ISNUMBER(I148),I148,'参数'!$C$13)),K148*(1-1/G148+IF(ISNUMBER(I148),I148,'参数'!$C$13))),"")))</f>
        <v/>
      </c>
      <c r="U148" s="37" t="str">
        <f>IF(AND(ISNUMBER(T148),ISNUMBER(L148),ISNUMBER(K148)),IF(F148="空",T148-L148,L148-T148)/K148,"")</f>
        <v/>
      </c>
      <c r="V148" s="38" t="str">
        <f>IF(ISNUMBER(U148),IF(U148&lt;'参数'!$C$15,"先降杠杆或减量","在止损外"),"")</f>
        <v/>
      </c>
      <c r="W148" s="30" t="n"/>
      <c r="X148" s="31" t="n"/>
      <c r="Y148" s="39" t="str">
        <f>IF(N(AB148)&gt;0,SUMPRODUCT(LARGE(('成交明细'!$A$5:$A$804=A148)*('成交明细'!$D$5:$D$804=IF(F148="空","卖","买"))*'成交明细'!$B$5:$B$804,COUNTIFS('成交明细'!$A$5:$A$804,A148,'成交明细'!$D$5:$D$804,IF(F148="空","卖","买")))),"")</f>
        <v/>
      </c>
      <c r="Z148" s="39" t="str">
        <f>IF(AND(N(AB148)&gt;0,N(AD148)&gt;=N(AB148)),SUMPRODUCT(MAX(('成交明细'!$A$5:$A$804=A148)*('成交明细'!$D$5:$D$804=IF(F148="空","买","卖"))*'成交明细'!$B$5:$B$804)),"")</f>
        <v/>
      </c>
      <c r="AA148" s="40" t="str">
        <f>IF(N(AB148)=0,"",IF(SUMPRODUCT(('成交明细'!$A$5:$A$804=A148)*('成交明细'!$D$5:$D$804=IF(F148="空","卖","买"))*ISNUMBER('成交明细'!$C$5:$C$804))=0,"没填时间",IFERROR(VLOOKUP(MOD(SUMPRODUCT(LARGE(('成交明细'!$A$5:$A$804=A148)*('成交明细'!$D$5:$D$804=IF(F148="空","卖","买"))*('成交明细'!$B$5:$B$804+'成交明细'!$C$5:$C$804),COUNTIFS('成交明细'!$A$5:$A$804,A148,'成交明细'!$D$5:$D$804,IF(F148="空","卖","买")))),1),'参数'!$B$39:$C$48,2,TRUE),"")))</f>
        <v/>
      </c>
      <c r="AB148" s="34" t="str">
        <f>IF(A148="","",SUMIFS('成交明细'!$F$5:$F$804,'成交明细'!$A$5:$A$804,A148,'成交明细'!$D$5:$D$804,IF(F148="空","卖","买")))</f>
        <v/>
      </c>
      <c r="AC148" s="41" t="str">
        <f>IF(N(AB148)&gt;0,SUMIFS('成交明细'!$H$5:$H$804,'成交明细'!$A$5:$A$804,A148,'成交明细'!$D$5:$D$804,IF(F148="空","卖","买"))/AB148,"")</f>
        <v/>
      </c>
      <c r="AD148" s="34" t="str">
        <f>IF(A148="","",SUMIFS('成交明细'!$F$5:$F$804,'成交明细'!$A$5:$A$804,A148,'成交明细'!$D$5:$D$804,IF(F148="空","买","卖")))</f>
        <v/>
      </c>
      <c r="AE148" s="41" t="str">
        <f>IF(N(AD148)&gt;0,SUMIFS('成交明细'!$H$5:$H$804,'成交明细'!$A$5:$A$804,A148,'成交明细'!$D$5:$D$804,IF(F148="空","买","卖"))/AD148,"")</f>
        <v/>
      </c>
      <c r="AF148" s="38" t="str">
        <f>IF(A148="","",IF(X148&lt;&gt;"已执行",IF(X148="","未填执行情况",X148),IF(N(AB148)=0,"待录成交",IF(N(AD148)&gt;N(AB148),"平仓多于开仓",IF(N(AD148)&lt;N(AB148),"持仓中","已平仓")))))</f>
        <v/>
      </c>
      <c r="AG148" s="42" t="str">
        <f>IF(N(AB148)=0,"",SUMIFS('成交明细'!$L$5:$L$804,'成交明细'!$A$5:$A$804,A148))</f>
        <v/>
      </c>
      <c r="AH148" s="43" t="str">
        <f>IF(A148="","",SUMIFS('资金费流水'!$F$5:$F$604,'资金费流水'!$B$5:$B$604,A148))</f>
        <v/>
      </c>
      <c r="AI148" s="43" t="str">
        <f>IF(AF148&lt;&gt;"已平仓","",(SUMIFS('成交明细'!$H$5:$H$804,'成交明细'!$A$5:$A$804,A148,'成交明细'!$D$5:$D$804,"卖")-SUMIFS('成交明细'!$H$5:$H$804,'成交明细'!$A$5:$A$804,A148,'成交明细'!$D$5:$D$804,"买"))*1-AG148+N(AH148))</f>
        <v/>
      </c>
      <c r="AJ148" s="44" t="str">
        <f>IF(AND(AF148="已平仓",ISNUMBER(Q148)),(SUMIFS('成交明细'!$H$5:$H$804,'成交明细'!$A$5:$A$804,A148,'成交明细'!$D$5:$D$804,"卖")-SUMIFS('成交明细'!$H$5:$H$804,'成交明细'!$A$5:$A$804,A148,'成交明细'!$D$5:$D$804,"买"))*1/Q148,"")</f>
        <v/>
      </c>
      <c r="AK148" s="44" t="str">
        <f>IF(AND(AF148="已平仓",ISNUMBER(Q148)),AI148/Q148,"")</f>
        <v/>
      </c>
      <c r="AL148" s="45" t="str">
        <f>IF(AND(ISNUMBER(AC148),ISNUMBER(K148)),IF(F148="空",K148-AC148,AC148-K148),"")</f>
        <v/>
      </c>
      <c r="AM148" s="45" t="str">
        <f>IF(OR(NOT(ISNUMBER(AI148)),NOT(ISNUMBER(AE148))),"",IF(AI148&lt;0,IF(F148="空",AE148-L148,L148-AE148),IF(NOT(ISNUMBER(M148)),"",IF(F148="空",AE148-M148,M148-AE148))))</f>
        <v/>
      </c>
      <c r="AN148" s="31" t="n"/>
      <c r="AO148" s="31" t="n"/>
      <c r="AP148" s="30" t="n"/>
      <c r="AQ148" s="44" t="str">
        <f>IF(A148="","",SUM(AK$5:AK148))</f>
        <v/>
      </c>
      <c r="AR148" s="46" t="str">
        <f>IF(A148="","",MAX(0,MAX(AQ$5:AQ148))-AQ148)</f>
        <v/>
      </c>
    </row>
    <row r="149">
      <c r="A149" s="24" t="n"/>
      <c r="B149" s="29" t="n"/>
      <c r="C149" s="30" t="n"/>
      <c r="D149" s="31" t="n"/>
      <c r="E149" s="31" t="n"/>
      <c r="F149" s="31" t="n"/>
      <c r="G149" s="21" t="n"/>
      <c r="H149" s="31" t="n"/>
      <c r="I149" s="23" t="n"/>
      <c r="J149" s="31" t="n"/>
      <c r="K149" s="32" t="n"/>
      <c r="L149" s="32" t="n"/>
      <c r="M149" s="32" t="n"/>
      <c r="N149" s="33" t="str">
        <f>IF(AND(ISNUMBER(K149),ISNUMBER(L149),ISNUMBER(M149)),IF(OR(AND(F149="多",K149&gt;L149),AND(F149="空",K149&lt;L149)),ABS(M149-K149)/ABS(K149-L149),"止损方向不对"),"")</f>
        <v/>
      </c>
      <c r="O149" s="34" t="str">
        <f>IF(AND(ISNUMBER(K149),ISNUMBER(L149)),IF(K149=L149,"",IF(INT(ROUND('参数'!$C$7/(ABS(K149-L149)*1+2*K149*'参数'!$C$12)/IF(N(J149)&gt;0,J149,1),6))*IF(N(J149)&gt;0,J149,1)&gt;0,INT(ROUND('参数'!$C$7/(ABS(K149-L149)*1+2*K149*'参数'!$C$12)/IF(N(J149)&gt;0,J149,1),6))*IF(N(J149)&gt;0,J149,1),"预算不足，这笔不做")),"")</f>
        <v/>
      </c>
      <c r="P149" s="35" t="n"/>
      <c r="Q149" s="20" t="str">
        <f>IF(AND(ISNUMBER(K149),ISNUMBER(L149),ISNUMBER(P149)),IF(AND(K149&lt;&gt;L149,P149&gt;0),ABS(K149-L149)*P149*1,""),"")</f>
        <v/>
      </c>
      <c r="R149" s="20" t="str">
        <f>IF(AND(ISNUMBER(K149),ISNUMBER(P149)),K149*P149,"")</f>
        <v/>
      </c>
      <c r="S149" s="20" t="str">
        <f>IF(AND(D149="合约",ISNUMBER(R149),N(G149)&gt;0),R149/G149,"")</f>
        <v/>
      </c>
      <c r="T149" s="36" t="str">
        <f>IF(NOT(D149="合约"),"",IF(H149&lt;&gt;"逐仓","看平台",IF(AND(ISNUMBER(K149),N(G149)&gt;0),IF(F149="空",K149*(1+1/G149-IF(ISNUMBER(I149),I149,'参数'!$C$13)),K149*(1-1/G149+IF(ISNUMBER(I149),I149,'参数'!$C$13))),"")))</f>
        <v/>
      </c>
      <c r="U149" s="37" t="str">
        <f>IF(AND(ISNUMBER(T149),ISNUMBER(L149),ISNUMBER(K149)),IF(F149="空",T149-L149,L149-T149)/K149,"")</f>
        <v/>
      </c>
      <c r="V149" s="38" t="str">
        <f>IF(ISNUMBER(U149),IF(U149&lt;'参数'!$C$15,"先降杠杆或减量","在止损外"),"")</f>
        <v/>
      </c>
      <c r="W149" s="30" t="n"/>
      <c r="X149" s="31" t="n"/>
      <c r="Y149" s="39" t="str">
        <f>IF(N(AB149)&gt;0,SUMPRODUCT(LARGE(('成交明细'!$A$5:$A$804=A149)*('成交明细'!$D$5:$D$804=IF(F149="空","卖","买"))*'成交明细'!$B$5:$B$804,COUNTIFS('成交明细'!$A$5:$A$804,A149,'成交明细'!$D$5:$D$804,IF(F149="空","卖","买")))),"")</f>
        <v/>
      </c>
      <c r="Z149" s="39" t="str">
        <f>IF(AND(N(AB149)&gt;0,N(AD149)&gt;=N(AB149)),SUMPRODUCT(MAX(('成交明细'!$A$5:$A$804=A149)*('成交明细'!$D$5:$D$804=IF(F149="空","买","卖"))*'成交明细'!$B$5:$B$804)),"")</f>
        <v/>
      </c>
      <c r="AA149" s="40" t="str">
        <f>IF(N(AB149)=0,"",IF(SUMPRODUCT(('成交明细'!$A$5:$A$804=A149)*('成交明细'!$D$5:$D$804=IF(F149="空","卖","买"))*ISNUMBER('成交明细'!$C$5:$C$804))=0,"没填时间",IFERROR(VLOOKUP(MOD(SUMPRODUCT(LARGE(('成交明细'!$A$5:$A$804=A149)*('成交明细'!$D$5:$D$804=IF(F149="空","卖","买"))*('成交明细'!$B$5:$B$804+'成交明细'!$C$5:$C$804),COUNTIFS('成交明细'!$A$5:$A$804,A149,'成交明细'!$D$5:$D$804,IF(F149="空","卖","买")))),1),'参数'!$B$39:$C$48,2,TRUE),"")))</f>
        <v/>
      </c>
      <c r="AB149" s="34" t="str">
        <f>IF(A149="","",SUMIFS('成交明细'!$F$5:$F$804,'成交明细'!$A$5:$A$804,A149,'成交明细'!$D$5:$D$804,IF(F149="空","卖","买")))</f>
        <v/>
      </c>
      <c r="AC149" s="41" t="str">
        <f>IF(N(AB149)&gt;0,SUMIFS('成交明细'!$H$5:$H$804,'成交明细'!$A$5:$A$804,A149,'成交明细'!$D$5:$D$804,IF(F149="空","卖","买"))/AB149,"")</f>
        <v/>
      </c>
      <c r="AD149" s="34" t="str">
        <f>IF(A149="","",SUMIFS('成交明细'!$F$5:$F$804,'成交明细'!$A$5:$A$804,A149,'成交明细'!$D$5:$D$804,IF(F149="空","买","卖")))</f>
        <v/>
      </c>
      <c r="AE149" s="41" t="str">
        <f>IF(N(AD149)&gt;0,SUMIFS('成交明细'!$H$5:$H$804,'成交明细'!$A$5:$A$804,A149,'成交明细'!$D$5:$D$804,IF(F149="空","买","卖"))/AD149,"")</f>
        <v/>
      </c>
      <c r="AF149" s="38" t="str">
        <f>IF(A149="","",IF(X149&lt;&gt;"已执行",IF(X149="","未填执行情况",X149),IF(N(AB149)=0,"待录成交",IF(N(AD149)&gt;N(AB149),"平仓多于开仓",IF(N(AD149)&lt;N(AB149),"持仓中","已平仓")))))</f>
        <v/>
      </c>
      <c r="AG149" s="42" t="str">
        <f>IF(N(AB149)=0,"",SUMIFS('成交明细'!$L$5:$L$804,'成交明细'!$A$5:$A$804,A149))</f>
        <v/>
      </c>
      <c r="AH149" s="43" t="str">
        <f>IF(A149="","",SUMIFS('资金费流水'!$F$5:$F$604,'资金费流水'!$B$5:$B$604,A149))</f>
        <v/>
      </c>
      <c r="AI149" s="43" t="str">
        <f>IF(AF149&lt;&gt;"已平仓","",(SUMIFS('成交明细'!$H$5:$H$804,'成交明细'!$A$5:$A$804,A149,'成交明细'!$D$5:$D$804,"卖")-SUMIFS('成交明细'!$H$5:$H$804,'成交明细'!$A$5:$A$804,A149,'成交明细'!$D$5:$D$804,"买"))*1-AG149+N(AH149))</f>
        <v/>
      </c>
      <c r="AJ149" s="44" t="str">
        <f>IF(AND(AF149="已平仓",ISNUMBER(Q149)),(SUMIFS('成交明细'!$H$5:$H$804,'成交明细'!$A$5:$A$804,A149,'成交明细'!$D$5:$D$804,"卖")-SUMIFS('成交明细'!$H$5:$H$804,'成交明细'!$A$5:$A$804,A149,'成交明细'!$D$5:$D$804,"买"))*1/Q149,"")</f>
        <v/>
      </c>
      <c r="AK149" s="44" t="str">
        <f>IF(AND(AF149="已平仓",ISNUMBER(Q149)),AI149/Q149,"")</f>
        <v/>
      </c>
      <c r="AL149" s="45" t="str">
        <f>IF(AND(ISNUMBER(AC149),ISNUMBER(K149)),IF(F149="空",K149-AC149,AC149-K149),"")</f>
        <v/>
      </c>
      <c r="AM149" s="45" t="str">
        <f>IF(OR(NOT(ISNUMBER(AI149)),NOT(ISNUMBER(AE149))),"",IF(AI149&lt;0,IF(F149="空",AE149-L149,L149-AE149),IF(NOT(ISNUMBER(M149)),"",IF(F149="空",AE149-M149,M149-AE149))))</f>
        <v/>
      </c>
      <c r="AN149" s="31" t="n"/>
      <c r="AO149" s="31" t="n"/>
      <c r="AP149" s="30" t="n"/>
      <c r="AQ149" s="44" t="str">
        <f>IF(A149="","",SUM(AK$5:AK149))</f>
        <v/>
      </c>
      <c r="AR149" s="46" t="str">
        <f>IF(A149="","",MAX(0,MAX(AQ$5:AQ149))-AQ149)</f>
        <v/>
      </c>
    </row>
    <row r="150">
      <c r="A150" s="24" t="n"/>
      <c r="B150" s="29" t="n"/>
      <c r="C150" s="30" t="n"/>
      <c r="D150" s="31" t="n"/>
      <c r="E150" s="31" t="n"/>
      <c r="F150" s="31" t="n"/>
      <c r="G150" s="21" t="n"/>
      <c r="H150" s="31" t="n"/>
      <c r="I150" s="23" t="n"/>
      <c r="J150" s="31" t="n"/>
      <c r="K150" s="32" t="n"/>
      <c r="L150" s="32" t="n"/>
      <c r="M150" s="32" t="n"/>
      <c r="N150" s="33" t="str">
        <f>IF(AND(ISNUMBER(K150),ISNUMBER(L150),ISNUMBER(M150)),IF(OR(AND(F150="多",K150&gt;L150),AND(F150="空",K150&lt;L150)),ABS(M150-K150)/ABS(K150-L150),"止损方向不对"),"")</f>
        <v/>
      </c>
      <c r="O150" s="34" t="str">
        <f>IF(AND(ISNUMBER(K150),ISNUMBER(L150)),IF(K150=L150,"",IF(INT(ROUND('参数'!$C$7/(ABS(K150-L150)*1+2*K150*'参数'!$C$12)/IF(N(J150)&gt;0,J150,1),6))*IF(N(J150)&gt;0,J150,1)&gt;0,INT(ROUND('参数'!$C$7/(ABS(K150-L150)*1+2*K150*'参数'!$C$12)/IF(N(J150)&gt;0,J150,1),6))*IF(N(J150)&gt;0,J150,1),"预算不足，这笔不做")),"")</f>
        <v/>
      </c>
      <c r="P150" s="35" t="n"/>
      <c r="Q150" s="20" t="str">
        <f>IF(AND(ISNUMBER(K150),ISNUMBER(L150),ISNUMBER(P150)),IF(AND(K150&lt;&gt;L150,P150&gt;0),ABS(K150-L150)*P150*1,""),"")</f>
        <v/>
      </c>
      <c r="R150" s="20" t="str">
        <f>IF(AND(ISNUMBER(K150),ISNUMBER(P150)),K150*P150,"")</f>
        <v/>
      </c>
      <c r="S150" s="20" t="str">
        <f>IF(AND(D150="合约",ISNUMBER(R150),N(G150)&gt;0),R150/G150,"")</f>
        <v/>
      </c>
      <c r="T150" s="36" t="str">
        <f>IF(NOT(D150="合约"),"",IF(H150&lt;&gt;"逐仓","看平台",IF(AND(ISNUMBER(K150),N(G150)&gt;0),IF(F150="空",K150*(1+1/G150-IF(ISNUMBER(I150),I150,'参数'!$C$13)),K150*(1-1/G150+IF(ISNUMBER(I150),I150,'参数'!$C$13))),"")))</f>
        <v/>
      </c>
      <c r="U150" s="37" t="str">
        <f>IF(AND(ISNUMBER(T150),ISNUMBER(L150),ISNUMBER(K150)),IF(F150="空",T150-L150,L150-T150)/K150,"")</f>
        <v/>
      </c>
      <c r="V150" s="38" t="str">
        <f>IF(ISNUMBER(U150),IF(U150&lt;'参数'!$C$15,"先降杠杆或减量","在止损外"),"")</f>
        <v/>
      </c>
      <c r="W150" s="30" t="n"/>
      <c r="X150" s="31" t="n"/>
      <c r="Y150" s="39" t="str">
        <f>IF(N(AB150)&gt;0,SUMPRODUCT(LARGE(('成交明细'!$A$5:$A$804=A150)*('成交明细'!$D$5:$D$804=IF(F150="空","卖","买"))*'成交明细'!$B$5:$B$804,COUNTIFS('成交明细'!$A$5:$A$804,A150,'成交明细'!$D$5:$D$804,IF(F150="空","卖","买")))),"")</f>
        <v/>
      </c>
      <c r="Z150" s="39" t="str">
        <f>IF(AND(N(AB150)&gt;0,N(AD150)&gt;=N(AB150)),SUMPRODUCT(MAX(('成交明细'!$A$5:$A$804=A150)*('成交明细'!$D$5:$D$804=IF(F150="空","买","卖"))*'成交明细'!$B$5:$B$804)),"")</f>
        <v/>
      </c>
      <c r="AA150" s="40" t="str">
        <f>IF(N(AB150)=0,"",IF(SUMPRODUCT(('成交明细'!$A$5:$A$804=A150)*('成交明细'!$D$5:$D$804=IF(F150="空","卖","买"))*ISNUMBER('成交明细'!$C$5:$C$804))=0,"没填时间",IFERROR(VLOOKUP(MOD(SUMPRODUCT(LARGE(('成交明细'!$A$5:$A$804=A150)*('成交明细'!$D$5:$D$804=IF(F150="空","卖","买"))*('成交明细'!$B$5:$B$804+'成交明细'!$C$5:$C$804),COUNTIFS('成交明细'!$A$5:$A$804,A150,'成交明细'!$D$5:$D$804,IF(F150="空","卖","买")))),1),'参数'!$B$39:$C$48,2,TRUE),"")))</f>
        <v/>
      </c>
      <c r="AB150" s="34" t="str">
        <f>IF(A150="","",SUMIFS('成交明细'!$F$5:$F$804,'成交明细'!$A$5:$A$804,A150,'成交明细'!$D$5:$D$804,IF(F150="空","卖","买")))</f>
        <v/>
      </c>
      <c r="AC150" s="41" t="str">
        <f>IF(N(AB150)&gt;0,SUMIFS('成交明细'!$H$5:$H$804,'成交明细'!$A$5:$A$804,A150,'成交明细'!$D$5:$D$804,IF(F150="空","卖","买"))/AB150,"")</f>
        <v/>
      </c>
      <c r="AD150" s="34" t="str">
        <f>IF(A150="","",SUMIFS('成交明细'!$F$5:$F$804,'成交明细'!$A$5:$A$804,A150,'成交明细'!$D$5:$D$804,IF(F150="空","买","卖")))</f>
        <v/>
      </c>
      <c r="AE150" s="41" t="str">
        <f>IF(N(AD150)&gt;0,SUMIFS('成交明细'!$H$5:$H$804,'成交明细'!$A$5:$A$804,A150,'成交明细'!$D$5:$D$804,IF(F150="空","买","卖"))/AD150,"")</f>
        <v/>
      </c>
      <c r="AF150" s="38" t="str">
        <f>IF(A150="","",IF(X150&lt;&gt;"已执行",IF(X150="","未填执行情况",X150),IF(N(AB150)=0,"待录成交",IF(N(AD150)&gt;N(AB150),"平仓多于开仓",IF(N(AD150)&lt;N(AB150),"持仓中","已平仓")))))</f>
        <v/>
      </c>
      <c r="AG150" s="42" t="str">
        <f>IF(N(AB150)=0,"",SUMIFS('成交明细'!$L$5:$L$804,'成交明细'!$A$5:$A$804,A150))</f>
        <v/>
      </c>
      <c r="AH150" s="43" t="str">
        <f>IF(A150="","",SUMIFS('资金费流水'!$F$5:$F$604,'资金费流水'!$B$5:$B$604,A150))</f>
        <v/>
      </c>
      <c r="AI150" s="43" t="str">
        <f>IF(AF150&lt;&gt;"已平仓","",(SUMIFS('成交明细'!$H$5:$H$804,'成交明细'!$A$5:$A$804,A150,'成交明细'!$D$5:$D$804,"卖")-SUMIFS('成交明细'!$H$5:$H$804,'成交明细'!$A$5:$A$804,A150,'成交明细'!$D$5:$D$804,"买"))*1-AG150+N(AH150))</f>
        <v/>
      </c>
      <c r="AJ150" s="44" t="str">
        <f>IF(AND(AF150="已平仓",ISNUMBER(Q150)),(SUMIFS('成交明细'!$H$5:$H$804,'成交明细'!$A$5:$A$804,A150,'成交明细'!$D$5:$D$804,"卖")-SUMIFS('成交明细'!$H$5:$H$804,'成交明细'!$A$5:$A$804,A150,'成交明细'!$D$5:$D$804,"买"))*1/Q150,"")</f>
        <v/>
      </c>
      <c r="AK150" s="44" t="str">
        <f>IF(AND(AF150="已平仓",ISNUMBER(Q150)),AI150/Q150,"")</f>
        <v/>
      </c>
      <c r="AL150" s="45" t="str">
        <f>IF(AND(ISNUMBER(AC150),ISNUMBER(K150)),IF(F150="空",K150-AC150,AC150-K150),"")</f>
        <v/>
      </c>
      <c r="AM150" s="45" t="str">
        <f>IF(OR(NOT(ISNUMBER(AI150)),NOT(ISNUMBER(AE150))),"",IF(AI150&lt;0,IF(F150="空",AE150-L150,L150-AE150),IF(NOT(ISNUMBER(M150)),"",IF(F150="空",AE150-M150,M150-AE150))))</f>
        <v/>
      </c>
      <c r="AN150" s="31" t="n"/>
      <c r="AO150" s="31" t="n"/>
      <c r="AP150" s="30" t="n"/>
      <c r="AQ150" s="44" t="str">
        <f>IF(A150="","",SUM(AK$5:AK150))</f>
        <v/>
      </c>
      <c r="AR150" s="46" t="str">
        <f>IF(A150="","",MAX(0,MAX(AQ$5:AQ150))-AQ150)</f>
        <v/>
      </c>
    </row>
    <row r="151">
      <c r="A151" s="24" t="n"/>
      <c r="B151" s="29" t="n"/>
      <c r="C151" s="30" t="n"/>
      <c r="D151" s="31" t="n"/>
      <c r="E151" s="31" t="n"/>
      <c r="F151" s="31" t="n"/>
      <c r="G151" s="21" t="n"/>
      <c r="H151" s="31" t="n"/>
      <c r="I151" s="23" t="n"/>
      <c r="J151" s="31" t="n"/>
      <c r="K151" s="32" t="n"/>
      <c r="L151" s="32" t="n"/>
      <c r="M151" s="32" t="n"/>
      <c r="N151" s="33" t="str">
        <f>IF(AND(ISNUMBER(K151),ISNUMBER(L151),ISNUMBER(M151)),IF(OR(AND(F151="多",K151&gt;L151),AND(F151="空",K151&lt;L151)),ABS(M151-K151)/ABS(K151-L151),"止损方向不对"),"")</f>
        <v/>
      </c>
      <c r="O151" s="34" t="str">
        <f>IF(AND(ISNUMBER(K151),ISNUMBER(L151)),IF(K151=L151,"",IF(INT(ROUND('参数'!$C$7/(ABS(K151-L151)*1+2*K151*'参数'!$C$12)/IF(N(J151)&gt;0,J151,1),6))*IF(N(J151)&gt;0,J151,1)&gt;0,INT(ROUND('参数'!$C$7/(ABS(K151-L151)*1+2*K151*'参数'!$C$12)/IF(N(J151)&gt;0,J151,1),6))*IF(N(J151)&gt;0,J151,1),"预算不足，这笔不做")),"")</f>
        <v/>
      </c>
      <c r="P151" s="35" t="n"/>
      <c r="Q151" s="20" t="str">
        <f>IF(AND(ISNUMBER(K151),ISNUMBER(L151),ISNUMBER(P151)),IF(AND(K151&lt;&gt;L151,P151&gt;0),ABS(K151-L151)*P151*1,""),"")</f>
        <v/>
      </c>
      <c r="R151" s="20" t="str">
        <f>IF(AND(ISNUMBER(K151),ISNUMBER(P151)),K151*P151,"")</f>
        <v/>
      </c>
      <c r="S151" s="20" t="str">
        <f>IF(AND(D151="合约",ISNUMBER(R151),N(G151)&gt;0),R151/G151,"")</f>
        <v/>
      </c>
      <c r="T151" s="36" t="str">
        <f>IF(NOT(D151="合约"),"",IF(H151&lt;&gt;"逐仓","看平台",IF(AND(ISNUMBER(K151),N(G151)&gt;0),IF(F151="空",K151*(1+1/G151-IF(ISNUMBER(I151),I151,'参数'!$C$13)),K151*(1-1/G151+IF(ISNUMBER(I151),I151,'参数'!$C$13))),"")))</f>
        <v/>
      </c>
      <c r="U151" s="37" t="str">
        <f>IF(AND(ISNUMBER(T151),ISNUMBER(L151),ISNUMBER(K151)),IF(F151="空",T151-L151,L151-T151)/K151,"")</f>
        <v/>
      </c>
      <c r="V151" s="38" t="str">
        <f>IF(ISNUMBER(U151),IF(U151&lt;'参数'!$C$15,"先降杠杆或减量","在止损外"),"")</f>
        <v/>
      </c>
      <c r="W151" s="30" t="n"/>
      <c r="X151" s="31" t="n"/>
      <c r="Y151" s="39" t="str">
        <f>IF(N(AB151)&gt;0,SUMPRODUCT(LARGE(('成交明细'!$A$5:$A$804=A151)*('成交明细'!$D$5:$D$804=IF(F151="空","卖","买"))*'成交明细'!$B$5:$B$804,COUNTIFS('成交明细'!$A$5:$A$804,A151,'成交明细'!$D$5:$D$804,IF(F151="空","卖","买")))),"")</f>
        <v/>
      </c>
      <c r="Z151" s="39" t="str">
        <f>IF(AND(N(AB151)&gt;0,N(AD151)&gt;=N(AB151)),SUMPRODUCT(MAX(('成交明细'!$A$5:$A$804=A151)*('成交明细'!$D$5:$D$804=IF(F151="空","买","卖"))*'成交明细'!$B$5:$B$804)),"")</f>
        <v/>
      </c>
      <c r="AA151" s="40" t="str">
        <f>IF(N(AB151)=0,"",IF(SUMPRODUCT(('成交明细'!$A$5:$A$804=A151)*('成交明细'!$D$5:$D$804=IF(F151="空","卖","买"))*ISNUMBER('成交明细'!$C$5:$C$804))=0,"没填时间",IFERROR(VLOOKUP(MOD(SUMPRODUCT(LARGE(('成交明细'!$A$5:$A$804=A151)*('成交明细'!$D$5:$D$804=IF(F151="空","卖","买"))*('成交明细'!$B$5:$B$804+'成交明细'!$C$5:$C$804),COUNTIFS('成交明细'!$A$5:$A$804,A151,'成交明细'!$D$5:$D$804,IF(F151="空","卖","买")))),1),'参数'!$B$39:$C$48,2,TRUE),"")))</f>
        <v/>
      </c>
      <c r="AB151" s="34" t="str">
        <f>IF(A151="","",SUMIFS('成交明细'!$F$5:$F$804,'成交明细'!$A$5:$A$804,A151,'成交明细'!$D$5:$D$804,IF(F151="空","卖","买")))</f>
        <v/>
      </c>
      <c r="AC151" s="41" t="str">
        <f>IF(N(AB151)&gt;0,SUMIFS('成交明细'!$H$5:$H$804,'成交明细'!$A$5:$A$804,A151,'成交明细'!$D$5:$D$804,IF(F151="空","卖","买"))/AB151,"")</f>
        <v/>
      </c>
      <c r="AD151" s="34" t="str">
        <f>IF(A151="","",SUMIFS('成交明细'!$F$5:$F$804,'成交明细'!$A$5:$A$804,A151,'成交明细'!$D$5:$D$804,IF(F151="空","买","卖")))</f>
        <v/>
      </c>
      <c r="AE151" s="41" t="str">
        <f>IF(N(AD151)&gt;0,SUMIFS('成交明细'!$H$5:$H$804,'成交明细'!$A$5:$A$804,A151,'成交明细'!$D$5:$D$804,IF(F151="空","买","卖"))/AD151,"")</f>
        <v/>
      </c>
      <c r="AF151" s="38" t="str">
        <f>IF(A151="","",IF(X151&lt;&gt;"已执行",IF(X151="","未填执行情况",X151),IF(N(AB151)=0,"待录成交",IF(N(AD151)&gt;N(AB151),"平仓多于开仓",IF(N(AD151)&lt;N(AB151),"持仓中","已平仓")))))</f>
        <v/>
      </c>
      <c r="AG151" s="42" t="str">
        <f>IF(N(AB151)=0,"",SUMIFS('成交明细'!$L$5:$L$804,'成交明细'!$A$5:$A$804,A151))</f>
        <v/>
      </c>
      <c r="AH151" s="43" t="str">
        <f>IF(A151="","",SUMIFS('资金费流水'!$F$5:$F$604,'资金费流水'!$B$5:$B$604,A151))</f>
        <v/>
      </c>
      <c r="AI151" s="43" t="str">
        <f>IF(AF151&lt;&gt;"已平仓","",(SUMIFS('成交明细'!$H$5:$H$804,'成交明细'!$A$5:$A$804,A151,'成交明细'!$D$5:$D$804,"卖")-SUMIFS('成交明细'!$H$5:$H$804,'成交明细'!$A$5:$A$804,A151,'成交明细'!$D$5:$D$804,"买"))*1-AG151+N(AH151))</f>
        <v/>
      </c>
      <c r="AJ151" s="44" t="str">
        <f>IF(AND(AF151="已平仓",ISNUMBER(Q151)),(SUMIFS('成交明细'!$H$5:$H$804,'成交明细'!$A$5:$A$804,A151,'成交明细'!$D$5:$D$804,"卖")-SUMIFS('成交明细'!$H$5:$H$804,'成交明细'!$A$5:$A$804,A151,'成交明细'!$D$5:$D$804,"买"))*1/Q151,"")</f>
        <v/>
      </c>
      <c r="AK151" s="44" t="str">
        <f>IF(AND(AF151="已平仓",ISNUMBER(Q151)),AI151/Q151,"")</f>
        <v/>
      </c>
      <c r="AL151" s="45" t="str">
        <f>IF(AND(ISNUMBER(AC151),ISNUMBER(K151)),IF(F151="空",K151-AC151,AC151-K151),"")</f>
        <v/>
      </c>
      <c r="AM151" s="45" t="str">
        <f>IF(OR(NOT(ISNUMBER(AI151)),NOT(ISNUMBER(AE151))),"",IF(AI151&lt;0,IF(F151="空",AE151-L151,L151-AE151),IF(NOT(ISNUMBER(M151)),"",IF(F151="空",AE151-M151,M151-AE151))))</f>
        <v/>
      </c>
      <c r="AN151" s="31" t="n"/>
      <c r="AO151" s="31" t="n"/>
      <c r="AP151" s="30" t="n"/>
      <c r="AQ151" s="44" t="str">
        <f>IF(A151="","",SUM(AK$5:AK151))</f>
        <v/>
      </c>
      <c r="AR151" s="46" t="str">
        <f>IF(A151="","",MAX(0,MAX(AQ$5:AQ151))-AQ151)</f>
        <v/>
      </c>
    </row>
    <row r="152">
      <c r="A152" s="24" t="n"/>
      <c r="B152" s="29" t="n"/>
      <c r="C152" s="30" t="n"/>
      <c r="D152" s="31" t="n"/>
      <c r="E152" s="31" t="n"/>
      <c r="F152" s="31" t="n"/>
      <c r="G152" s="21" t="n"/>
      <c r="H152" s="31" t="n"/>
      <c r="I152" s="23" t="n"/>
      <c r="J152" s="31" t="n"/>
      <c r="K152" s="32" t="n"/>
      <c r="L152" s="32" t="n"/>
      <c r="M152" s="32" t="n"/>
      <c r="N152" s="33" t="str">
        <f>IF(AND(ISNUMBER(K152),ISNUMBER(L152),ISNUMBER(M152)),IF(OR(AND(F152="多",K152&gt;L152),AND(F152="空",K152&lt;L152)),ABS(M152-K152)/ABS(K152-L152),"止损方向不对"),"")</f>
        <v/>
      </c>
      <c r="O152" s="34" t="str">
        <f>IF(AND(ISNUMBER(K152),ISNUMBER(L152)),IF(K152=L152,"",IF(INT(ROUND('参数'!$C$7/(ABS(K152-L152)*1+2*K152*'参数'!$C$12)/IF(N(J152)&gt;0,J152,1),6))*IF(N(J152)&gt;0,J152,1)&gt;0,INT(ROUND('参数'!$C$7/(ABS(K152-L152)*1+2*K152*'参数'!$C$12)/IF(N(J152)&gt;0,J152,1),6))*IF(N(J152)&gt;0,J152,1),"预算不足，这笔不做")),"")</f>
        <v/>
      </c>
      <c r="P152" s="35" t="n"/>
      <c r="Q152" s="20" t="str">
        <f>IF(AND(ISNUMBER(K152),ISNUMBER(L152),ISNUMBER(P152)),IF(AND(K152&lt;&gt;L152,P152&gt;0),ABS(K152-L152)*P152*1,""),"")</f>
        <v/>
      </c>
      <c r="R152" s="20" t="str">
        <f>IF(AND(ISNUMBER(K152),ISNUMBER(P152)),K152*P152,"")</f>
        <v/>
      </c>
      <c r="S152" s="20" t="str">
        <f>IF(AND(D152="合约",ISNUMBER(R152),N(G152)&gt;0),R152/G152,"")</f>
        <v/>
      </c>
      <c r="T152" s="36" t="str">
        <f>IF(NOT(D152="合约"),"",IF(H152&lt;&gt;"逐仓","看平台",IF(AND(ISNUMBER(K152),N(G152)&gt;0),IF(F152="空",K152*(1+1/G152-IF(ISNUMBER(I152),I152,'参数'!$C$13)),K152*(1-1/G152+IF(ISNUMBER(I152),I152,'参数'!$C$13))),"")))</f>
        <v/>
      </c>
      <c r="U152" s="37" t="str">
        <f>IF(AND(ISNUMBER(T152),ISNUMBER(L152),ISNUMBER(K152)),IF(F152="空",T152-L152,L152-T152)/K152,"")</f>
        <v/>
      </c>
      <c r="V152" s="38" t="str">
        <f>IF(ISNUMBER(U152),IF(U152&lt;'参数'!$C$15,"先降杠杆或减量","在止损外"),"")</f>
        <v/>
      </c>
      <c r="W152" s="30" t="n"/>
      <c r="X152" s="31" t="n"/>
      <c r="Y152" s="39" t="str">
        <f>IF(N(AB152)&gt;0,SUMPRODUCT(LARGE(('成交明细'!$A$5:$A$804=A152)*('成交明细'!$D$5:$D$804=IF(F152="空","卖","买"))*'成交明细'!$B$5:$B$804,COUNTIFS('成交明细'!$A$5:$A$804,A152,'成交明细'!$D$5:$D$804,IF(F152="空","卖","买")))),"")</f>
        <v/>
      </c>
      <c r="Z152" s="39" t="str">
        <f>IF(AND(N(AB152)&gt;0,N(AD152)&gt;=N(AB152)),SUMPRODUCT(MAX(('成交明细'!$A$5:$A$804=A152)*('成交明细'!$D$5:$D$804=IF(F152="空","买","卖"))*'成交明细'!$B$5:$B$804)),"")</f>
        <v/>
      </c>
      <c r="AA152" s="40" t="str">
        <f>IF(N(AB152)=0,"",IF(SUMPRODUCT(('成交明细'!$A$5:$A$804=A152)*('成交明细'!$D$5:$D$804=IF(F152="空","卖","买"))*ISNUMBER('成交明细'!$C$5:$C$804))=0,"没填时间",IFERROR(VLOOKUP(MOD(SUMPRODUCT(LARGE(('成交明细'!$A$5:$A$804=A152)*('成交明细'!$D$5:$D$804=IF(F152="空","卖","买"))*('成交明细'!$B$5:$B$804+'成交明细'!$C$5:$C$804),COUNTIFS('成交明细'!$A$5:$A$804,A152,'成交明细'!$D$5:$D$804,IF(F152="空","卖","买")))),1),'参数'!$B$39:$C$48,2,TRUE),"")))</f>
        <v/>
      </c>
      <c r="AB152" s="34" t="str">
        <f>IF(A152="","",SUMIFS('成交明细'!$F$5:$F$804,'成交明细'!$A$5:$A$804,A152,'成交明细'!$D$5:$D$804,IF(F152="空","卖","买")))</f>
        <v/>
      </c>
      <c r="AC152" s="41" t="str">
        <f>IF(N(AB152)&gt;0,SUMIFS('成交明细'!$H$5:$H$804,'成交明细'!$A$5:$A$804,A152,'成交明细'!$D$5:$D$804,IF(F152="空","卖","买"))/AB152,"")</f>
        <v/>
      </c>
      <c r="AD152" s="34" t="str">
        <f>IF(A152="","",SUMIFS('成交明细'!$F$5:$F$804,'成交明细'!$A$5:$A$804,A152,'成交明细'!$D$5:$D$804,IF(F152="空","买","卖")))</f>
        <v/>
      </c>
      <c r="AE152" s="41" t="str">
        <f>IF(N(AD152)&gt;0,SUMIFS('成交明细'!$H$5:$H$804,'成交明细'!$A$5:$A$804,A152,'成交明细'!$D$5:$D$804,IF(F152="空","买","卖"))/AD152,"")</f>
        <v/>
      </c>
      <c r="AF152" s="38" t="str">
        <f>IF(A152="","",IF(X152&lt;&gt;"已执行",IF(X152="","未填执行情况",X152),IF(N(AB152)=0,"待录成交",IF(N(AD152)&gt;N(AB152),"平仓多于开仓",IF(N(AD152)&lt;N(AB152),"持仓中","已平仓")))))</f>
        <v/>
      </c>
      <c r="AG152" s="42" t="str">
        <f>IF(N(AB152)=0,"",SUMIFS('成交明细'!$L$5:$L$804,'成交明细'!$A$5:$A$804,A152))</f>
        <v/>
      </c>
      <c r="AH152" s="43" t="str">
        <f>IF(A152="","",SUMIFS('资金费流水'!$F$5:$F$604,'资金费流水'!$B$5:$B$604,A152))</f>
        <v/>
      </c>
      <c r="AI152" s="43" t="str">
        <f>IF(AF152&lt;&gt;"已平仓","",(SUMIFS('成交明细'!$H$5:$H$804,'成交明细'!$A$5:$A$804,A152,'成交明细'!$D$5:$D$804,"卖")-SUMIFS('成交明细'!$H$5:$H$804,'成交明细'!$A$5:$A$804,A152,'成交明细'!$D$5:$D$804,"买"))*1-AG152+N(AH152))</f>
        <v/>
      </c>
      <c r="AJ152" s="44" t="str">
        <f>IF(AND(AF152="已平仓",ISNUMBER(Q152)),(SUMIFS('成交明细'!$H$5:$H$804,'成交明细'!$A$5:$A$804,A152,'成交明细'!$D$5:$D$804,"卖")-SUMIFS('成交明细'!$H$5:$H$804,'成交明细'!$A$5:$A$804,A152,'成交明细'!$D$5:$D$804,"买"))*1/Q152,"")</f>
        <v/>
      </c>
      <c r="AK152" s="44" t="str">
        <f>IF(AND(AF152="已平仓",ISNUMBER(Q152)),AI152/Q152,"")</f>
        <v/>
      </c>
      <c r="AL152" s="45" t="str">
        <f>IF(AND(ISNUMBER(AC152),ISNUMBER(K152)),IF(F152="空",K152-AC152,AC152-K152),"")</f>
        <v/>
      </c>
      <c r="AM152" s="45" t="str">
        <f>IF(OR(NOT(ISNUMBER(AI152)),NOT(ISNUMBER(AE152))),"",IF(AI152&lt;0,IF(F152="空",AE152-L152,L152-AE152),IF(NOT(ISNUMBER(M152)),"",IF(F152="空",AE152-M152,M152-AE152))))</f>
        <v/>
      </c>
      <c r="AN152" s="31" t="n"/>
      <c r="AO152" s="31" t="n"/>
      <c r="AP152" s="30" t="n"/>
      <c r="AQ152" s="44" t="str">
        <f>IF(A152="","",SUM(AK$5:AK152))</f>
        <v/>
      </c>
      <c r="AR152" s="46" t="str">
        <f>IF(A152="","",MAX(0,MAX(AQ$5:AQ152))-AQ152)</f>
        <v/>
      </c>
    </row>
    <row r="153">
      <c r="A153" s="24" t="n"/>
      <c r="B153" s="29" t="n"/>
      <c r="C153" s="30" t="n"/>
      <c r="D153" s="31" t="n"/>
      <c r="E153" s="31" t="n"/>
      <c r="F153" s="31" t="n"/>
      <c r="G153" s="21" t="n"/>
      <c r="H153" s="31" t="n"/>
      <c r="I153" s="23" t="n"/>
      <c r="J153" s="31" t="n"/>
      <c r="K153" s="32" t="n"/>
      <c r="L153" s="32" t="n"/>
      <c r="M153" s="32" t="n"/>
      <c r="N153" s="33" t="str">
        <f>IF(AND(ISNUMBER(K153),ISNUMBER(L153),ISNUMBER(M153)),IF(OR(AND(F153="多",K153&gt;L153),AND(F153="空",K153&lt;L153)),ABS(M153-K153)/ABS(K153-L153),"止损方向不对"),"")</f>
        <v/>
      </c>
      <c r="O153" s="34" t="str">
        <f>IF(AND(ISNUMBER(K153),ISNUMBER(L153)),IF(K153=L153,"",IF(INT(ROUND('参数'!$C$7/(ABS(K153-L153)*1+2*K153*'参数'!$C$12)/IF(N(J153)&gt;0,J153,1),6))*IF(N(J153)&gt;0,J153,1)&gt;0,INT(ROUND('参数'!$C$7/(ABS(K153-L153)*1+2*K153*'参数'!$C$12)/IF(N(J153)&gt;0,J153,1),6))*IF(N(J153)&gt;0,J153,1),"预算不足，这笔不做")),"")</f>
        <v/>
      </c>
      <c r="P153" s="35" t="n"/>
      <c r="Q153" s="20" t="str">
        <f>IF(AND(ISNUMBER(K153),ISNUMBER(L153),ISNUMBER(P153)),IF(AND(K153&lt;&gt;L153,P153&gt;0),ABS(K153-L153)*P153*1,""),"")</f>
        <v/>
      </c>
      <c r="R153" s="20" t="str">
        <f>IF(AND(ISNUMBER(K153),ISNUMBER(P153)),K153*P153,"")</f>
        <v/>
      </c>
      <c r="S153" s="20" t="str">
        <f>IF(AND(D153="合约",ISNUMBER(R153),N(G153)&gt;0),R153/G153,"")</f>
        <v/>
      </c>
      <c r="T153" s="36" t="str">
        <f>IF(NOT(D153="合约"),"",IF(H153&lt;&gt;"逐仓","看平台",IF(AND(ISNUMBER(K153),N(G153)&gt;0),IF(F153="空",K153*(1+1/G153-IF(ISNUMBER(I153),I153,'参数'!$C$13)),K153*(1-1/G153+IF(ISNUMBER(I153),I153,'参数'!$C$13))),"")))</f>
        <v/>
      </c>
      <c r="U153" s="37" t="str">
        <f>IF(AND(ISNUMBER(T153),ISNUMBER(L153),ISNUMBER(K153)),IF(F153="空",T153-L153,L153-T153)/K153,"")</f>
        <v/>
      </c>
      <c r="V153" s="38" t="str">
        <f>IF(ISNUMBER(U153),IF(U153&lt;'参数'!$C$15,"先降杠杆或减量","在止损外"),"")</f>
        <v/>
      </c>
      <c r="W153" s="30" t="n"/>
      <c r="X153" s="31" t="n"/>
      <c r="Y153" s="39" t="str">
        <f>IF(N(AB153)&gt;0,SUMPRODUCT(LARGE(('成交明细'!$A$5:$A$804=A153)*('成交明细'!$D$5:$D$804=IF(F153="空","卖","买"))*'成交明细'!$B$5:$B$804,COUNTIFS('成交明细'!$A$5:$A$804,A153,'成交明细'!$D$5:$D$804,IF(F153="空","卖","买")))),"")</f>
        <v/>
      </c>
      <c r="Z153" s="39" t="str">
        <f>IF(AND(N(AB153)&gt;0,N(AD153)&gt;=N(AB153)),SUMPRODUCT(MAX(('成交明细'!$A$5:$A$804=A153)*('成交明细'!$D$5:$D$804=IF(F153="空","买","卖"))*'成交明细'!$B$5:$B$804)),"")</f>
        <v/>
      </c>
      <c r="AA153" s="40" t="str">
        <f>IF(N(AB153)=0,"",IF(SUMPRODUCT(('成交明细'!$A$5:$A$804=A153)*('成交明细'!$D$5:$D$804=IF(F153="空","卖","买"))*ISNUMBER('成交明细'!$C$5:$C$804))=0,"没填时间",IFERROR(VLOOKUP(MOD(SUMPRODUCT(LARGE(('成交明细'!$A$5:$A$804=A153)*('成交明细'!$D$5:$D$804=IF(F153="空","卖","买"))*('成交明细'!$B$5:$B$804+'成交明细'!$C$5:$C$804),COUNTIFS('成交明细'!$A$5:$A$804,A153,'成交明细'!$D$5:$D$804,IF(F153="空","卖","买")))),1),'参数'!$B$39:$C$48,2,TRUE),"")))</f>
        <v/>
      </c>
      <c r="AB153" s="34" t="str">
        <f>IF(A153="","",SUMIFS('成交明细'!$F$5:$F$804,'成交明细'!$A$5:$A$804,A153,'成交明细'!$D$5:$D$804,IF(F153="空","卖","买")))</f>
        <v/>
      </c>
      <c r="AC153" s="41" t="str">
        <f>IF(N(AB153)&gt;0,SUMIFS('成交明细'!$H$5:$H$804,'成交明细'!$A$5:$A$804,A153,'成交明细'!$D$5:$D$804,IF(F153="空","卖","买"))/AB153,"")</f>
        <v/>
      </c>
      <c r="AD153" s="34" t="str">
        <f>IF(A153="","",SUMIFS('成交明细'!$F$5:$F$804,'成交明细'!$A$5:$A$804,A153,'成交明细'!$D$5:$D$804,IF(F153="空","买","卖")))</f>
        <v/>
      </c>
      <c r="AE153" s="41" t="str">
        <f>IF(N(AD153)&gt;0,SUMIFS('成交明细'!$H$5:$H$804,'成交明细'!$A$5:$A$804,A153,'成交明细'!$D$5:$D$804,IF(F153="空","买","卖"))/AD153,"")</f>
        <v/>
      </c>
      <c r="AF153" s="38" t="str">
        <f>IF(A153="","",IF(X153&lt;&gt;"已执行",IF(X153="","未填执行情况",X153),IF(N(AB153)=0,"待录成交",IF(N(AD153)&gt;N(AB153),"平仓多于开仓",IF(N(AD153)&lt;N(AB153),"持仓中","已平仓")))))</f>
        <v/>
      </c>
      <c r="AG153" s="42" t="str">
        <f>IF(N(AB153)=0,"",SUMIFS('成交明细'!$L$5:$L$804,'成交明细'!$A$5:$A$804,A153))</f>
        <v/>
      </c>
      <c r="AH153" s="43" t="str">
        <f>IF(A153="","",SUMIFS('资金费流水'!$F$5:$F$604,'资金费流水'!$B$5:$B$604,A153))</f>
        <v/>
      </c>
      <c r="AI153" s="43" t="str">
        <f>IF(AF153&lt;&gt;"已平仓","",(SUMIFS('成交明细'!$H$5:$H$804,'成交明细'!$A$5:$A$804,A153,'成交明细'!$D$5:$D$804,"卖")-SUMIFS('成交明细'!$H$5:$H$804,'成交明细'!$A$5:$A$804,A153,'成交明细'!$D$5:$D$804,"买"))*1-AG153+N(AH153))</f>
        <v/>
      </c>
      <c r="AJ153" s="44" t="str">
        <f>IF(AND(AF153="已平仓",ISNUMBER(Q153)),(SUMIFS('成交明细'!$H$5:$H$804,'成交明细'!$A$5:$A$804,A153,'成交明细'!$D$5:$D$804,"卖")-SUMIFS('成交明细'!$H$5:$H$804,'成交明细'!$A$5:$A$804,A153,'成交明细'!$D$5:$D$804,"买"))*1/Q153,"")</f>
        <v/>
      </c>
      <c r="AK153" s="44" t="str">
        <f>IF(AND(AF153="已平仓",ISNUMBER(Q153)),AI153/Q153,"")</f>
        <v/>
      </c>
      <c r="AL153" s="45" t="str">
        <f>IF(AND(ISNUMBER(AC153),ISNUMBER(K153)),IF(F153="空",K153-AC153,AC153-K153),"")</f>
        <v/>
      </c>
      <c r="AM153" s="45" t="str">
        <f>IF(OR(NOT(ISNUMBER(AI153)),NOT(ISNUMBER(AE153))),"",IF(AI153&lt;0,IF(F153="空",AE153-L153,L153-AE153),IF(NOT(ISNUMBER(M153)),"",IF(F153="空",AE153-M153,M153-AE153))))</f>
        <v/>
      </c>
      <c r="AN153" s="31" t="n"/>
      <c r="AO153" s="31" t="n"/>
      <c r="AP153" s="30" t="n"/>
      <c r="AQ153" s="44" t="str">
        <f>IF(A153="","",SUM(AK$5:AK153))</f>
        <v/>
      </c>
      <c r="AR153" s="46" t="str">
        <f>IF(A153="","",MAX(0,MAX(AQ$5:AQ153))-AQ153)</f>
        <v/>
      </c>
    </row>
    <row r="154">
      <c r="A154" s="24" t="n"/>
      <c r="B154" s="29" t="n"/>
      <c r="C154" s="30" t="n"/>
      <c r="D154" s="31" t="n"/>
      <c r="E154" s="31" t="n"/>
      <c r="F154" s="31" t="n"/>
      <c r="G154" s="21" t="n"/>
      <c r="H154" s="31" t="n"/>
      <c r="I154" s="23" t="n"/>
      <c r="J154" s="31" t="n"/>
      <c r="K154" s="32" t="n"/>
      <c r="L154" s="32" t="n"/>
      <c r="M154" s="32" t="n"/>
      <c r="N154" s="33" t="str">
        <f>IF(AND(ISNUMBER(K154),ISNUMBER(L154),ISNUMBER(M154)),IF(OR(AND(F154="多",K154&gt;L154),AND(F154="空",K154&lt;L154)),ABS(M154-K154)/ABS(K154-L154),"止损方向不对"),"")</f>
        <v/>
      </c>
      <c r="O154" s="34" t="str">
        <f>IF(AND(ISNUMBER(K154),ISNUMBER(L154)),IF(K154=L154,"",IF(INT(ROUND('参数'!$C$7/(ABS(K154-L154)*1+2*K154*'参数'!$C$12)/IF(N(J154)&gt;0,J154,1),6))*IF(N(J154)&gt;0,J154,1)&gt;0,INT(ROUND('参数'!$C$7/(ABS(K154-L154)*1+2*K154*'参数'!$C$12)/IF(N(J154)&gt;0,J154,1),6))*IF(N(J154)&gt;0,J154,1),"预算不足，这笔不做")),"")</f>
        <v/>
      </c>
      <c r="P154" s="35" t="n"/>
      <c r="Q154" s="20" t="str">
        <f>IF(AND(ISNUMBER(K154),ISNUMBER(L154),ISNUMBER(P154)),IF(AND(K154&lt;&gt;L154,P154&gt;0),ABS(K154-L154)*P154*1,""),"")</f>
        <v/>
      </c>
      <c r="R154" s="20" t="str">
        <f>IF(AND(ISNUMBER(K154),ISNUMBER(P154)),K154*P154,"")</f>
        <v/>
      </c>
      <c r="S154" s="20" t="str">
        <f>IF(AND(D154="合约",ISNUMBER(R154),N(G154)&gt;0),R154/G154,"")</f>
        <v/>
      </c>
      <c r="T154" s="36" t="str">
        <f>IF(NOT(D154="合约"),"",IF(H154&lt;&gt;"逐仓","看平台",IF(AND(ISNUMBER(K154),N(G154)&gt;0),IF(F154="空",K154*(1+1/G154-IF(ISNUMBER(I154),I154,'参数'!$C$13)),K154*(1-1/G154+IF(ISNUMBER(I154),I154,'参数'!$C$13))),"")))</f>
        <v/>
      </c>
      <c r="U154" s="37" t="str">
        <f>IF(AND(ISNUMBER(T154),ISNUMBER(L154),ISNUMBER(K154)),IF(F154="空",T154-L154,L154-T154)/K154,"")</f>
        <v/>
      </c>
      <c r="V154" s="38" t="str">
        <f>IF(ISNUMBER(U154),IF(U154&lt;'参数'!$C$15,"先降杠杆或减量","在止损外"),"")</f>
        <v/>
      </c>
      <c r="W154" s="30" t="n"/>
      <c r="X154" s="31" t="n"/>
      <c r="Y154" s="39" t="str">
        <f>IF(N(AB154)&gt;0,SUMPRODUCT(LARGE(('成交明细'!$A$5:$A$804=A154)*('成交明细'!$D$5:$D$804=IF(F154="空","卖","买"))*'成交明细'!$B$5:$B$804,COUNTIFS('成交明细'!$A$5:$A$804,A154,'成交明细'!$D$5:$D$804,IF(F154="空","卖","买")))),"")</f>
        <v/>
      </c>
      <c r="Z154" s="39" t="str">
        <f>IF(AND(N(AB154)&gt;0,N(AD154)&gt;=N(AB154)),SUMPRODUCT(MAX(('成交明细'!$A$5:$A$804=A154)*('成交明细'!$D$5:$D$804=IF(F154="空","买","卖"))*'成交明细'!$B$5:$B$804)),"")</f>
        <v/>
      </c>
      <c r="AA154" s="40" t="str">
        <f>IF(N(AB154)=0,"",IF(SUMPRODUCT(('成交明细'!$A$5:$A$804=A154)*('成交明细'!$D$5:$D$804=IF(F154="空","卖","买"))*ISNUMBER('成交明细'!$C$5:$C$804))=0,"没填时间",IFERROR(VLOOKUP(MOD(SUMPRODUCT(LARGE(('成交明细'!$A$5:$A$804=A154)*('成交明细'!$D$5:$D$804=IF(F154="空","卖","买"))*('成交明细'!$B$5:$B$804+'成交明细'!$C$5:$C$804),COUNTIFS('成交明细'!$A$5:$A$804,A154,'成交明细'!$D$5:$D$804,IF(F154="空","卖","买")))),1),'参数'!$B$39:$C$48,2,TRUE),"")))</f>
        <v/>
      </c>
      <c r="AB154" s="34" t="str">
        <f>IF(A154="","",SUMIFS('成交明细'!$F$5:$F$804,'成交明细'!$A$5:$A$804,A154,'成交明细'!$D$5:$D$804,IF(F154="空","卖","买")))</f>
        <v/>
      </c>
      <c r="AC154" s="41" t="str">
        <f>IF(N(AB154)&gt;0,SUMIFS('成交明细'!$H$5:$H$804,'成交明细'!$A$5:$A$804,A154,'成交明细'!$D$5:$D$804,IF(F154="空","卖","买"))/AB154,"")</f>
        <v/>
      </c>
      <c r="AD154" s="34" t="str">
        <f>IF(A154="","",SUMIFS('成交明细'!$F$5:$F$804,'成交明细'!$A$5:$A$804,A154,'成交明细'!$D$5:$D$804,IF(F154="空","买","卖")))</f>
        <v/>
      </c>
      <c r="AE154" s="41" t="str">
        <f>IF(N(AD154)&gt;0,SUMIFS('成交明细'!$H$5:$H$804,'成交明细'!$A$5:$A$804,A154,'成交明细'!$D$5:$D$804,IF(F154="空","买","卖"))/AD154,"")</f>
        <v/>
      </c>
      <c r="AF154" s="38" t="str">
        <f>IF(A154="","",IF(X154&lt;&gt;"已执行",IF(X154="","未填执行情况",X154),IF(N(AB154)=0,"待录成交",IF(N(AD154)&gt;N(AB154),"平仓多于开仓",IF(N(AD154)&lt;N(AB154),"持仓中","已平仓")))))</f>
        <v/>
      </c>
      <c r="AG154" s="42" t="str">
        <f>IF(N(AB154)=0,"",SUMIFS('成交明细'!$L$5:$L$804,'成交明细'!$A$5:$A$804,A154))</f>
        <v/>
      </c>
      <c r="AH154" s="43" t="str">
        <f>IF(A154="","",SUMIFS('资金费流水'!$F$5:$F$604,'资金费流水'!$B$5:$B$604,A154))</f>
        <v/>
      </c>
      <c r="AI154" s="43" t="str">
        <f>IF(AF154&lt;&gt;"已平仓","",(SUMIFS('成交明细'!$H$5:$H$804,'成交明细'!$A$5:$A$804,A154,'成交明细'!$D$5:$D$804,"卖")-SUMIFS('成交明细'!$H$5:$H$804,'成交明细'!$A$5:$A$804,A154,'成交明细'!$D$5:$D$804,"买"))*1-AG154+N(AH154))</f>
        <v/>
      </c>
      <c r="AJ154" s="44" t="str">
        <f>IF(AND(AF154="已平仓",ISNUMBER(Q154)),(SUMIFS('成交明细'!$H$5:$H$804,'成交明细'!$A$5:$A$804,A154,'成交明细'!$D$5:$D$804,"卖")-SUMIFS('成交明细'!$H$5:$H$804,'成交明细'!$A$5:$A$804,A154,'成交明细'!$D$5:$D$804,"买"))*1/Q154,"")</f>
        <v/>
      </c>
      <c r="AK154" s="44" t="str">
        <f>IF(AND(AF154="已平仓",ISNUMBER(Q154)),AI154/Q154,"")</f>
        <v/>
      </c>
      <c r="AL154" s="45" t="str">
        <f>IF(AND(ISNUMBER(AC154),ISNUMBER(K154)),IF(F154="空",K154-AC154,AC154-K154),"")</f>
        <v/>
      </c>
      <c r="AM154" s="45" t="str">
        <f>IF(OR(NOT(ISNUMBER(AI154)),NOT(ISNUMBER(AE154))),"",IF(AI154&lt;0,IF(F154="空",AE154-L154,L154-AE154),IF(NOT(ISNUMBER(M154)),"",IF(F154="空",AE154-M154,M154-AE154))))</f>
        <v/>
      </c>
      <c r="AN154" s="31" t="n"/>
      <c r="AO154" s="31" t="n"/>
      <c r="AP154" s="30" t="n"/>
      <c r="AQ154" s="44" t="str">
        <f>IF(A154="","",SUM(AK$5:AK154))</f>
        <v/>
      </c>
      <c r="AR154" s="46" t="str">
        <f>IF(A154="","",MAX(0,MAX(AQ$5:AQ154))-AQ154)</f>
        <v/>
      </c>
    </row>
    <row r="155">
      <c r="A155" s="24" t="n"/>
      <c r="B155" s="29" t="n"/>
      <c r="C155" s="30" t="n"/>
      <c r="D155" s="31" t="n"/>
      <c r="E155" s="31" t="n"/>
      <c r="F155" s="31" t="n"/>
      <c r="G155" s="21" t="n"/>
      <c r="H155" s="31" t="n"/>
      <c r="I155" s="23" t="n"/>
      <c r="J155" s="31" t="n"/>
      <c r="K155" s="32" t="n"/>
      <c r="L155" s="32" t="n"/>
      <c r="M155" s="32" t="n"/>
      <c r="N155" s="33" t="str">
        <f>IF(AND(ISNUMBER(K155),ISNUMBER(L155),ISNUMBER(M155)),IF(OR(AND(F155="多",K155&gt;L155),AND(F155="空",K155&lt;L155)),ABS(M155-K155)/ABS(K155-L155),"止损方向不对"),"")</f>
        <v/>
      </c>
      <c r="O155" s="34" t="str">
        <f>IF(AND(ISNUMBER(K155),ISNUMBER(L155)),IF(K155=L155,"",IF(INT(ROUND('参数'!$C$7/(ABS(K155-L155)*1+2*K155*'参数'!$C$12)/IF(N(J155)&gt;0,J155,1),6))*IF(N(J155)&gt;0,J155,1)&gt;0,INT(ROUND('参数'!$C$7/(ABS(K155-L155)*1+2*K155*'参数'!$C$12)/IF(N(J155)&gt;0,J155,1),6))*IF(N(J155)&gt;0,J155,1),"预算不足，这笔不做")),"")</f>
        <v/>
      </c>
      <c r="P155" s="35" t="n"/>
      <c r="Q155" s="20" t="str">
        <f>IF(AND(ISNUMBER(K155),ISNUMBER(L155),ISNUMBER(P155)),IF(AND(K155&lt;&gt;L155,P155&gt;0),ABS(K155-L155)*P155*1,""),"")</f>
        <v/>
      </c>
      <c r="R155" s="20" t="str">
        <f>IF(AND(ISNUMBER(K155),ISNUMBER(P155)),K155*P155,"")</f>
        <v/>
      </c>
      <c r="S155" s="20" t="str">
        <f>IF(AND(D155="合约",ISNUMBER(R155),N(G155)&gt;0),R155/G155,"")</f>
        <v/>
      </c>
      <c r="T155" s="36" t="str">
        <f>IF(NOT(D155="合约"),"",IF(H155&lt;&gt;"逐仓","看平台",IF(AND(ISNUMBER(K155),N(G155)&gt;0),IF(F155="空",K155*(1+1/G155-IF(ISNUMBER(I155),I155,'参数'!$C$13)),K155*(1-1/G155+IF(ISNUMBER(I155),I155,'参数'!$C$13))),"")))</f>
        <v/>
      </c>
      <c r="U155" s="37" t="str">
        <f>IF(AND(ISNUMBER(T155),ISNUMBER(L155),ISNUMBER(K155)),IF(F155="空",T155-L155,L155-T155)/K155,"")</f>
        <v/>
      </c>
      <c r="V155" s="38" t="str">
        <f>IF(ISNUMBER(U155),IF(U155&lt;'参数'!$C$15,"先降杠杆或减量","在止损外"),"")</f>
        <v/>
      </c>
      <c r="W155" s="30" t="n"/>
      <c r="X155" s="31" t="n"/>
      <c r="Y155" s="39" t="str">
        <f>IF(N(AB155)&gt;0,SUMPRODUCT(LARGE(('成交明细'!$A$5:$A$804=A155)*('成交明细'!$D$5:$D$804=IF(F155="空","卖","买"))*'成交明细'!$B$5:$B$804,COUNTIFS('成交明细'!$A$5:$A$804,A155,'成交明细'!$D$5:$D$804,IF(F155="空","卖","买")))),"")</f>
        <v/>
      </c>
      <c r="Z155" s="39" t="str">
        <f>IF(AND(N(AB155)&gt;0,N(AD155)&gt;=N(AB155)),SUMPRODUCT(MAX(('成交明细'!$A$5:$A$804=A155)*('成交明细'!$D$5:$D$804=IF(F155="空","买","卖"))*'成交明细'!$B$5:$B$804)),"")</f>
        <v/>
      </c>
      <c r="AA155" s="40" t="str">
        <f>IF(N(AB155)=0,"",IF(SUMPRODUCT(('成交明细'!$A$5:$A$804=A155)*('成交明细'!$D$5:$D$804=IF(F155="空","卖","买"))*ISNUMBER('成交明细'!$C$5:$C$804))=0,"没填时间",IFERROR(VLOOKUP(MOD(SUMPRODUCT(LARGE(('成交明细'!$A$5:$A$804=A155)*('成交明细'!$D$5:$D$804=IF(F155="空","卖","买"))*('成交明细'!$B$5:$B$804+'成交明细'!$C$5:$C$804),COUNTIFS('成交明细'!$A$5:$A$804,A155,'成交明细'!$D$5:$D$804,IF(F155="空","卖","买")))),1),'参数'!$B$39:$C$48,2,TRUE),"")))</f>
        <v/>
      </c>
      <c r="AB155" s="34" t="str">
        <f>IF(A155="","",SUMIFS('成交明细'!$F$5:$F$804,'成交明细'!$A$5:$A$804,A155,'成交明细'!$D$5:$D$804,IF(F155="空","卖","买")))</f>
        <v/>
      </c>
      <c r="AC155" s="41" t="str">
        <f>IF(N(AB155)&gt;0,SUMIFS('成交明细'!$H$5:$H$804,'成交明细'!$A$5:$A$804,A155,'成交明细'!$D$5:$D$804,IF(F155="空","卖","买"))/AB155,"")</f>
        <v/>
      </c>
      <c r="AD155" s="34" t="str">
        <f>IF(A155="","",SUMIFS('成交明细'!$F$5:$F$804,'成交明细'!$A$5:$A$804,A155,'成交明细'!$D$5:$D$804,IF(F155="空","买","卖")))</f>
        <v/>
      </c>
      <c r="AE155" s="41" t="str">
        <f>IF(N(AD155)&gt;0,SUMIFS('成交明细'!$H$5:$H$804,'成交明细'!$A$5:$A$804,A155,'成交明细'!$D$5:$D$804,IF(F155="空","买","卖"))/AD155,"")</f>
        <v/>
      </c>
      <c r="AF155" s="38" t="str">
        <f>IF(A155="","",IF(X155&lt;&gt;"已执行",IF(X155="","未填执行情况",X155),IF(N(AB155)=0,"待录成交",IF(N(AD155)&gt;N(AB155),"平仓多于开仓",IF(N(AD155)&lt;N(AB155),"持仓中","已平仓")))))</f>
        <v/>
      </c>
      <c r="AG155" s="42" t="str">
        <f>IF(N(AB155)=0,"",SUMIFS('成交明细'!$L$5:$L$804,'成交明细'!$A$5:$A$804,A155))</f>
        <v/>
      </c>
      <c r="AH155" s="43" t="str">
        <f>IF(A155="","",SUMIFS('资金费流水'!$F$5:$F$604,'资金费流水'!$B$5:$B$604,A155))</f>
        <v/>
      </c>
      <c r="AI155" s="43" t="str">
        <f>IF(AF155&lt;&gt;"已平仓","",(SUMIFS('成交明细'!$H$5:$H$804,'成交明细'!$A$5:$A$804,A155,'成交明细'!$D$5:$D$804,"卖")-SUMIFS('成交明细'!$H$5:$H$804,'成交明细'!$A$5:$A$804,A155,'成交明细'!$D$5:$D$804,"买"))*1-AG155+N(AH155))</f>
        <v/>
      </c>
      <c r="AJ155" s="44" t="str">
        <f>IF(AND(AF155="已平仓",ISNUMBER(Q155)),(SUMIFS('成交明细'!$H$5:$H$804,'成交明细'!$A$5:$A$804,A155,'成交明细'!$D$5:$D$804,"卖")-SUMIFS('成交明细'!$H$5:$H$804,'成交明细'!$A$5:$A$804,A155,'成交明细'!$D$5:$D$804,"买"))*1/Q155,"")</f>
        <v/>
      </c>
      <c r="AK155" s="44" t="str">
        <f>IF(AND(AF155="已平仓",ISNUMBER(Q155)),AI155/Q155,"")</f>
        <v/>
      </c>
      <c r="AL155" s="45" t="str">
        <f>IF(AND(ISNUMBER(AC155),ISNUMBER(K155)),IF(F155="空",K155-AC155,AC155-K155),"")</f>
        <v/>
      </c>
      <c r="AM155" s="45" t="str">
        <f>IF(OR(NOT(ISNUMBER(AI155)),NOT(ISNUMBER(AE155))),"",IF(AI155&lt;0,IF(F155="空",AE155-L155,L155-AE155),IF(NOT(ISNUMBER(M155)),"",IF(F155="空",AE155-M155,M155-AE155))))</f>
        <v/>
      </c>
      <c r="AN155" s="31" t="n"/>
      <c r="AO155" s="31" t="n"/>
      <c r="AP155" s="30" t="n"/>
      <c r="AQ155" s="44" t="str">
        <f>IF(A155="","",SUM(AK$5:AK155))</f>
        <v/>
      </c>
      <c r="AR155" s="46" t="str">
        <f>IF(A155="","",MAX(0,MAX(AQ$5:AQ155))-AQ155)</f>
        <v/>
      </c>
    </row>
    <row r="156">
      <c r="A156" s="24" t="n"/>
      <c r="B156" s="29" t="n"/>
      <c r="C156" s="30" t="n"/>
      <c r="D156" s="31" t="n"/>
      <c r="E156" s="31" t="n"/>
      <c r="F156" s="31" t="n"/>
      <c r="G156" s="21" t="n"/>
      <c r="H156" s="31" t="n"/>
      <c r="I156" s="23" t="n"/>
      <c r="J156" s="31" t="n"/>
      <c r="K156" s="32" t="n"/>
      <c r="L156" s="32" t="n"/>
      <c r="M156" s="32" t="n"/>
      <c r="N156" s="33" t="str">
        <f>IF(AND(ISNUMBER(K156),ISNUMBER(L156),ISNUMBER(M156)),IF(OR(AND(F156="多",K156&gt;L156),AND(F156="空",K156&lt;L156)),ABS(M156-K156)/ABS(K156-L156),"止损方向不对"),"")</f>
        <v/>
      </c>
      <c r="O156" s="34" t="str">
        <f>IF(AND(ISNUMBER(K156),ISNUMBER(L156)),IF(K156=L156,"",IF(INT(ROUND('参数'!$C$7/(ABS(K156-L156)*1+2*K156*'参数'!$C$12)/IF(N(J156)&gt;0,J156,1),6))*IF(N(J156)&gt;0,J156,1)&gt;0,INT(ROUND('参数'!$C$7/(ABS(K156-L156)*1+2*K156*'参数'!$C$12)/IF(N(J156)&gt;0,J156,1),6))*IF(N(J156)&gt;0,J156,1),"预算不足，这笔不做")),"")</f>
        <v/>
      </c>
      <c r="P156" s="35" t="n"/>
      <c r="Q156" s="20" t="str">
        <f>IF(AND(ISNUMBER(K156),ISNUMBER(L156),ISNUMBER(P156)),IF(AND(K156&lt;&gt;L156,P156&gt;0),ABS(K156-L156)*P156*1,""),"")</f>
        <v/>
      </c>
      <c r="R156" s="20" t="str">
        <f>IF(AND(ISNUMBER(K156),ISNUMBER(P156)),K156*P156,"")</f>
        <v/>
      </c>
      <c r="S156" s="20" t="str">
        <f>IF(AND(D156="合约",ISNUMBER(R156),N(G156)&gt;0),R156/G156,"")</f>
        <v/>
      </c>
      <c r="T156" s="36" t="str">
        <f>IF(NOT(D156="合约"),"",IF(H156&lt;&gt;"逐仓","看平台",IF(AND(ISNUMBER(K156),N(G156)&gt;0),IF(F156="空",K156*(1+1/G156-IF(ISNUMBER(I156),I156,'参数'!$C$13)),K156*(1-1/G156+IF(ISNUMBER(I156),I156,'参数'!$C$13))),"")))</f>
        <v/>
      </c>
      <c r="U156" s="37" t="str">
        <f>IF(AND(ISNUMBER(T156),ISNUMBER(L156),ISNUMBER(K156)),IF(F156="空",T156-L156,L156-T156)/K156,"")</f>
        <v/>
      </c>
      <c r="V156" s="38" t="str">
        <f>IF(ISNUMBER(U156),IF(U156&lt;'参数'!$C$15,"先降杠杆或减量","在止损外"),"")</f>
        <v/>
      </c>
      <c r="W156" s="30" t="n"/>
      <c r="X156" s="31" t="n"/>
      <c r="Y156" s="39" t="str">
        <f>IF(N(AB156)&gt;0,SUMPRODUCT(LARGE(('成交明细'!$A$5:$A$804=A156)*('成交明细'!$D$5:$D$804=IF(F156="空","卖","买"))*'成交明细'!$B$5:$B$804,COUNTIFS('成交明细'!$A$5:$A$804,A156,'成交明细'!$D$5:$D$804,IF(F156="空","卖","买")))),"")</f>
        <v/>
      </c>
      <c r="Z156" s="39" t="str">
        <f>IF(AND(N(AB156)&gt;0,N(AD156)&gt;=N(AB156)),SUMPRODUCT(MAX(('成交明细'!$A$5:$A$804=A156)*('成交明细'!$D$5:$D$804=IF(F156="空","买","卖"))*'成交明细'!$B$5:$B$804)),"")</f>
        <v/>
      </c>
      <c r="AA156" s="40" t="str">
        <f>IF(N(AB156)=0,"",IF(SUMPRODUCT(('成交明细'!$A$5:$A$804=A156)*('成交明细'!$D$5:$D$804=IF(F156="空","卖","买"))*ISNUMBER('成交明细'!$C$5:$C$804))=0,"没填时间",IFERROR(VLOOKUP(MOD(SUMPRODUCT(LARGE(('成交明细'!$A$5:$A$804=A156)*('成交明细'!$D$5:$D$804=IF(F156="空","卖","买"))*('成交明细'!$B$5:$B$804+'成交明细'!$C$5:$C$804),COUNTIFS('成交明细'!$A$5:$A$804,A156,'成交明细'!$D$5:$D$804,IF(F156="空","卖","买")))),1),'参数'!$B$39:$C$48,2,TRUE),"")))</f>
        <v/>
      </c>
      <c r="AB156" s="34" t="str">
        <f>IF(A156="","",SUMIFS('成交明细'!$F$5:$F$804,'成交明细'!$A$5:$A$804,A156,'成交明细'!$D$5:$D$804,IF(F156="空","卖","买")))</f>
        <v/>
      </c>
      <c r="AC156" s="41" t="str">
        <f>IF(N(AB156)&gt;0,SUMIFS('成交明细'!$H$5:$H$804,'成交明细'!$A$5:$A$804,A156,'成交明细'!$D$5:$D$804,IF(F156="空","卖","买"))/AB156,"")</f>
        <v/>
      </c>
      <c r="AD156" s="34" t="str">
        <f>IF(A156="","",SUMIFS('成交明细'!$F$5:$F$804,'成交明细'!$A$5:$A$804,A156,'成交明细'!$D$5:$D$804,IF(F156="空","买","卖")))</f>
        <v/>
      </c>
      <c r="AE156" s="41" t="str">
        <f>IF(N(AD156)&gt;0,SUMIFS('成交明细'!$H$5:$H$804,'成交明细'!$A$5:$A$804,A156,'成交明细'!$D$5:$D$804,IF(F156="空","买","卖"))/AD156,"")</f>
        <v/>
      </c>
      <c r="AF156" s="38" t="str">
        <f>IF(A156="","",IF(X156&lt;&gt;"已执行",IF(X156="","未填执行情况",X156),IF(N(AB156)=0,"待录成交",IF(N(AD156)&gt;N(AB156),"平仓多于开仓",IF(N(AD156)&lt;N(AB156),"持仓中","已平仓")))))</f>
        <v/>
      </c>
      <c r="AG156" s="42" t="str">
        <f>IF(N(AB156)=0,"",SUMIFS('成交明细'!$L$5:$L$804,'成交明细'!$A$5:$A$804,A156))</f>
        <v/>
      </c>
      <c r="AH156" s="43" t="str">
        <f>IF(A156="","",SUMIFS('资金费流水'!$F$5:$F$604,'资金费流水'!$B$5:$B$604,A156))</f>
        <v/>
      </c>
      <c r="AI156" s="43" t="str">
        <f>IF(AF156&lt;&gt;"已平仓","",(SUMIFS('成交明细'!$H$5:$H$804,'成交明细'!$A$5:$A$804,A156,'成交明细'!$D$5:$D$804,"卖")-SUMIFS('成交明细'!$H$5:$H$804,'成交明细'!$A$5:$A$804,A156,'成交明细'!$D$5:$D$804,"买"))*1-AG156+N(AH156))</f>
        <v/>
      </c>
      <c r="AJ156" s="44" t="str">
        <f>IF(AND(AF156="已平仓",ISNUMBER(Q156)),(SUMIFS('成交明细'!$H$5:$H$804,'成交明细'!$A$5:$A$804,A156,'成交明细'!$D$5:$D$804,"卖")-SUMIFS('成交明细'!$H$5:$H$804,'成交明细'!$A$5:$A$804,A156,'成交明细'!$D$5:$D$804,"买"))*1/Q156,"")</f>
        <v/>
      </c>
      <c r="AK156" s="44" t="str">
        <f>IF(AND(AF156="已平仓",ISNUMBER(Q156)),AI156/Q156,"")</f>
        <v/>
      </c>
      <c r="AL156" s="45" t="str">
        <f>IF(AND(ISNUMBER(AC156),ISNUMBER(K156)),IF(F156="空",K156-AC156,AC156-K156),"")</f>
        <v/>
      </c>
      <c r="AM156" s="45" t="str">
        <f>IF(OR(NOT(ISNUMBER(AI156)),NOT(ISNUMBER(AE156))),"",IF(AI156&lt;0,IF(F156="空",AE156-L156,L156-AE156),IF(NOT(ISNUMBER(M156)),"",IF(F156="空",AE156-M156,M156-AE156))))</f>
        <v/>
      </c>
      <c r="AN156" s="31" t="n"/>
      <c r="AO156" s="31" t="n"/>
      <c r="AP156" s="30" t="n"/>
      <c r="AQ156" s="44" t="str">
        <f>IF(A156="","",SUM(AK$5:AK156))</f>
        <v/>
      </c>
      <c r="AR156" s="46" t="str">
        <f>IF(A156="","",MAX(0,MAX(AQ$5:AQ156))-AQ156)</f>
        <v/>
      </c>
    </row>
    <row r="157">
      <c r="A157" s="24" t="n"/>
      <c r="B157" s="29" t="n"/>
      <c r="C157" s="30" t="n"/>
      <c r="D157" s="31" t="n"/>
      <c r="E157" s="31" t="n"/>
      <c r="F157" s="31" t="n"/>
      <c r="G157" s="21" t="n"/>
      <c r="H157" s="31" t="n"/>
      <c r="I157" s="23" t="n"/>
      <c r="J157" s="31" t="n"/>
      <c r="K157" s="32" t="n"/>
      <c r="L157" s="32" t="n"/>
      <c r="M157" s="32" t="n"/>
      <c r="N157" s="33" t="str">
        <f>IF(AND(ISNUMBER(K157),ISNUMBER(L157),ISNUMBER(M157)),IF(OR(AND(F157="多",K157&gt;L157),AND(F157="空",K157&lt;L157)),ABS(M157-K157)/ABS(K157-L157),"止损方向不对"),"")</f>
        <v/>
      </c>
      <c r="O157" s="34" t="str">
        <f>IF(AND(ISNUMBER(K157),ISNUMBER(L157)),IF(K157=L157,"",IF(INT(ROUND('参数'!$C$7/(ABS(K157-L157)*1+2*K157*'参数'!$C$12)/IF(N(J157)&gt;0,J157,1),6))*IF(N(J157)&gt;0,J157,1)&gt;0,INT(ROUND('参数'!$C$7/(ABS(K157-L157)*1+2*K157*'参数'!$C$12)/IF(N(J157)&gt;0,J157,1),6))*IF(N(J157)&gt;0,J157,1),"预算不足，这笔不做")),"")</f>
        <v/>
      </c>
      <c r="P157" s="35" t="n"/>
      <c r="Q157" s="20" t="str">
        <f>IF(AND(ISNUMBER(K157),ISNUMBER(L157),ISNUMBER(P157)),IF(AND(K157&lt;&gt;L157,P157&gt;0),ABS(K157-L157)*P157*1,""),"")</f>
        <v/>
      </c>
      <c r="R157" s="20" t="str">
        <f>IF(AND(ISNUMBER(K157),ISNUMBER(P157)),K157*P157,"")</f>
        <v/>
      </c>
      <c r="S157" s="20" t="str">
        <f>IF(AND(D157="合约",ISNUMBER(R157),N(G157)&gt;0),R157/G157,"")</f>
        <v/>
      </c>
      <c r="T157" s="36" t="str">
        <f>IF(NOT(D157="合约"),"",IF(H157&lt;&gt;"逐仓","看平台",IF(AND(ISNUMBER(K157),N(G157)&gt;0),IF(F157="空",K157*(1+1/G157-IF(ISNUMBER(I157),I157,'参数'!$C$13)),K157*(1-1/G157+IF(ISNUMBER(I157),I157,'参数'!$C$13))),"")))</f>
        <v/>
      </c>
      <c r="U157" s="37" t="str">
        <f>IF(AND(ISNUMBER(T157),ISNUMBER(L157),ISNUMBER(K157)),IF(F157="空",T157-L157,L157-T157)/K157,"")</f>
        <v/>
      </c>
      <c r="V157" s="38" t="str">
        <f>IF(ISNUMBER(U157),IF(U157&lt;'参数'!$C$15,"先降杠杆或减量","在止损外"),"")</f>
        <v/>
      </c>
      <c r="W157" s="30" t="n"/>
      <c r="X157" s="31" t="n"/>
      <c r="Y157" s="39" t="str">
        <f>IF(N(AB157)&gt;0,SUMPRODUCT(LARGE(('成交明细'!$A$5:$A$804=A157)*('成交明细'!$D$5:$D$804=IF(F157="空","卖","买"))*'成交明细'!$B$5:$B$804,COUNTIFS('成交明细'!$A$5:$A$804,A157,'成交明细'!$D$5:$D$804,IF(F157="空","卖","买")))),"")</f>
        <v/>
      </c>
      <c r="Z157" s="39" t="str">
        <f>IF(AND(N(AB157)&gt;0,N(AD157)&gt;=N(AB157)),SUMPRODUCT(MAX(('成交明细'!$A$5:$A$804=A157)*('成交明细'!$D$5:$D$804=IF(F157="空","买","卖"))*'成交明细'!$B$5:$B$804)),"")</f>
        <v/>
      </c>
      <c r="AA157" s="40" t="str">
        <f>IF(N(AB157)=0,"",IF(SUMPRODUCT(('成交明细'!$A$5:$A$804=A157)*('成交明细'!$D$5:$D$804=IF(F157="空","卖","买"))*ISNUMBER('成交明细'!$C$5:$C$804))=0,"没填时间",IFERROR(VLOOKUP(MOD(SUMPRODUCT(LARGE(('成交明细'!$A$5:$A$804=A157)*('成交明细'!$D$5:$D$804=IF(F157="空","卖","买"))*('成交明细'!$B$5:$B$804+'成交明细'!$C$5:$C$804),COUNTIFS('成交明细'!$A$5:$A$804,A157,'成交明细'!$D$5:$D$804,IF(F157="空","卖","买")))),1),'参数'!$B$39:$C$48,2,TRUE),"")))</f>
        <v/>
      </c>
      <c r="AB157" s="34" t="str">
        <f>IF(A157="","",SUMIFS('成交明细'!$F$5:$F$804,'成交明细'!$A$5:$A$804,A157,'成交明细'!$D$5:$D$804,IF(F157="空","卖","买")))</f>
        <v/>
      </c>
      <c r="AC157" s="41" t="str">
        <f>IF(N(AB157)&gt;0,SUMIFS('成交明细'!$H$5:$H$804,'成交明细'!$A$5:$A$804,A157,'成交明细'!$D$5:$D$804,IF(F157="空","卖","买"))/AB157,"")</f>
        <v/>
      </c>
      <c r="AD157" s="34" t="str">
        <f>IF(A157="","",SUMIFS('成交明细'!$F$5:$F$804,'成交明细'!$A$5:$A$804,A157,'成交明细'!$D$5:$D$804,IF(F157="空","买","卖")))</f>
        <v/>
      </c>
      <c r="AE157" s="41" t="str">
        <f>IF(N(AD157)&gt;0,SUMIFS('成交明细'!$H$5:$H$804,'成交明细'!$A$5:$A$804,A157,'成交明细'!$D$5:$D$804,IF(F157="空","买","卖"))/AD157,"")</f>
        <v/>
      </c>
      <c r="AF157" s="38" t="str">
        <f>IF(A157="","",IF(X157&lt;&gt;"已执行",IF(X157="","未填执行情况",X157),IF(N(AB157)=0,"待录成交",IF(N(AD157)&gt;N(AB157),"平仓多于开仓",IF(N(AD157)&lt;N(AB157),"持仓中","已平仓")))))</f>
        <v/>
      </c>
      <c r="AG157" s="42" t="str">
        <f>IF(N(AB157)=0,"",SUMIFS('成交明细'!$L$5:$L$804,'成交明细'!$A$5:$A$804,A157))</f>
        <v/>
      </c>
      <c r="AH157" s="43" t="str">
        <f>IF(A157="","",SUMIFS('资金费流水'!$F$5:$F$604,'资金费流水'!$B$5:$B$604,A157))</f>
        <v/>
      </c>
      <c r="AI157" s="43" t="str">
        <f>IF(AF157&lt;&gt;"已平仓","",(SUMIFS('成交明细'!$H$5:$H$804,'成交明细'!$A$5:$A$804,A157,'成交明细'!$D$5:$D$804,"卖")-SUMIFS('成交明细'!$H$5:$H$804,'成交明细'!$A$5:$A$804,A157,'成交明细'!$D$5:$D$804,"买"))*1-AG157+N(AH157))</f>
        <v/>
      </c>
      <c r="AJ157" s="44" t="str">
        <f>IF(AND(AF157="已平仓",ISNUMBER(Q157)),(SUMIFS('成交明细'!$H$5:$H$804,'成交明细'!$A$5:$A$804,A157,'成交明细'!$D$5:$D$804,"卖")-SUMIFS('成交明细'!$H$5:$H$804,'成交明细'!$A$5:$A$804,A157,'成交明细'!$D$5:$D$804,"买"))*1/Q157,"")</f>
        <v/>
      </c>
      <c r="AK157" s="44" t="str">
        <f>IF(AND(AF157="已平仓",ISNUMBER(Q157)),AI157/Q157,"")</f>
        <v/>
      </c>
      <c r="AL157" s="45" t="str">
        <f>IF(AND(ISNUMBER(AC157),ISNUMBER(K157)),IF(F157="空",K157-AC157,AC157-K157),"")</f>
        <v/>
      </c>
      <c r="AM157" s="45" t="str">
        <f>IF(OR(NOT(ISNUMBER(AI157)),NOT(ISNUMBER(AE157))),"",IF(AI157&lt;0,IF(F157="空",AE157-L157,L157-AE157),IF(NOT(ISNUMBER(M157)),"",IF(F157="空",AE157-M157,M157-AE157))))</f>
        <v/>
      </c>
      <c r="AN157" s="31" t="n"/>
      <c r="AO157" s="31" t="n"/>
      <c r="AP157" s="30" t="n"/>
      <c r="AQ157" s="44" t="str">
        <f>IF(A157="","",SUM(AK$5:AK157))</f>
        <v/>
      </c>
      <c r="AR157" s="46" t="str">
        <f>IF(A157="","",MAX(0,MAX(AQ$5:AQ157))-AQ157)</f>
        <v/>
      </c>
    </row>
    <row r="158">
      <c r="A158" s="24" t="n"/>
      <c r="B158" s="29" t="n"/>
      <c r="C158" s="30" t="n"/>
      <c r="D158" s="31" t="n"/>
      <c r="E158" s="31" t="n"/>
      <c r="F158" s="31" t="n"/>
      <c r="G158" s="21" t="n"/>
      <c r="H158" s="31" t="n"/>
      <c r="I158" s="23" t="n"/>
      <c r="J158" s="31" t="n"/>
      <c r="K158" s="32" t="n"/>
      <c r="L158" s="32" t="n"/>
      <c r="M158" s="32" t="n"/>
      <c r="N158" s="33" t="str">
        <f>IF(AND(ISNUMBER(K158),ISNUMBER(L158),ISNUMBER(M158)),IF(OR(AND(F158="多",K158&gt;L158),AND(F158="空",K158&lt;L158)),ABS(M158-K158)/ABS(K158-L158),"止损方向不对"),"")</f>
        <v/>
      </c>
      <c r="O158" s="34" t="str">
        <f>IF(AND(ISNUMBER(K158),ISNUMBER(L158)),IF(K158=L158,"",IF(INT(ROUND('参数'!$C$7/(ABS(K158-L158)*1+2*K158*'参数'!$C$12)/IF(N(J158)&gt;0,J158,1),6))*IF(N(J158)&gt;0,J158,1)&gt;0,INT(ROUND('参数'!$C$7/(ABS(K158-L158)*1+2*K158*'参数'!$C$12)/IF(N(J158)&gt;0,J158,1),6))*IF(N(J158)&gt;0,J158,1),"预算不足，这笔不做")),"")</f>
        <v/>
      </c>
      <c r="P158" s="35" t="n"/>
      <c r="Q158" s="20" t="str">
        <f>IF(AND(ISNUMBER(K158),ISNUMBER(L158),ISNUMBER(P158)),IF(AND(K158&lt;&gt;L158,P158&gt;0),ABS(K158-L158)*P158*1,""),"")</f>
        <v/>
      </c>
      <c r="R158" s="20" t="str">
        <f>IF(AND(ISNUMBER(K158),ISNUMBER(P158)),K158*P158,"")</f>
        <v/>
      </c>
      <c r="S158" s="20" t="str">
        <f>IF(AND(D158="合约",ISNUMBER(R158),N(G158)&gt;0),R158/G158,"")</f>
        <v/>
      </c>
      <c r="T158" s="36" t="str">
        <f>IF(NOT(D158="合约"),"",IF(H158&lt;&gt;"逐仓","看平台",IF(AND(ISNUMBER(K158),N(G158)&gt;0),IF(F158="空",K158*(1+1/G158-IF(ISNUMBER(I158),I158,'参数'!$C$13)),K158*(1-1/G158+IF(ISNUMBER(I158),I158,'参数'!$C$13))),"")))</f>
        <v/>
      </c>
      <c r="U158" s="37" t="str">
        <f>IF(AND(ISNUMBER(T158),ISNUMBER(L158),ISNUMBER(K158)),IF(F158="空",T158-L158,L158-T158)/K158,"")</f>
        <v/>
      </c>
      <c r="V158" s="38" t="str">
        <f>IF(ISNUMBER(U158),IF(U158&lt;'参数'!$C$15,"先降杠杆或减量","在止损外"),"")</f>
        <v/>
      </c>
      <c r="W158" s="30" t="n"/>
      <c r="X158" s="31" t="n"/>
      <c r="Y158" s="39" t="str">
        <f>IF(N(AB158)&gt;0,SUMPRODUCT(LARGE(('成交明细'!$A$5:$A$804=A158)*('成交明细'!$D$5:$D$804=IF(F158="空","卖","买"))*'成交明细'!$B$5:$B$804,COUNTIFS('成交明细'!$A$5:$A$804,A158,'成交明细'!$D$5:$D$804,IF(F158="空","卖","买")))),"")</f>
        <v/>
      </c>
      <c r="Z158" s="39" t="str">
        <f>IF(AND(N(AB158)&gt;0,N(AD158)&gt;=N(AB158)),SUMPRODUCT(MAX(('成交明细'!$A$5:$A$804=A158)*('成交明细'!$D$5:$D$804=IF(F158="空","买","卖"))*'成交明细'!$B$5:$B$804)),"")</f>
        <v/>
      </c>
      <c r="AA158" s="40" t="str">
        <f>IF(N(AB158)=0,"",IF(SUMPRODUCT(('成交明细'!$A$5:$A$804=A158)*('成交明细'!$D$5:$D$804=IF(F158="空","卖","买"))*ISNUMBER('成交明细'!$C$5:$C$804))=0,"没填时间",IFERROR(VLOOKUP(MOD(SUMPRODUCT(LARGE(('成交明细'!$A$5:$A$804=A158)*('成交明细'!$D$5:$D$804=IF(F158="空","卖","买"))*('成交明细'!$B$5:$B$804+'成交明细'!$C$5:$C$804),COUNTIFS('成交明细'!$A$5:$A$804,A158,'成交明细'!$D$5:$D$804,IF(F158="空","卖","买")))),1),'参数'!$B$39:$C$48,2,TRUE),"")))</f>
        <v/>
      </c>
      <c r="AB158" s="34" t="str">
        <f>IF(A158="","",SUMIFS('成交明细'!$F$5:$F$804,'成交明细'!$A$5:$A$804,A158,'成交明细'!$D$5:$D$804,IF(F158="空","卖","买")))</f>
        <v/>
      </c>
      <c r="AC158" s="41" t="str">
        <f>IF(N(AB158)&gt;0,SUMIFS('成交明细'!$H$5:$H$804,'成交明细'!$A$5:$A$804,A158,'成交明细'!$D$5:$D$804,IF(F158="空","卖","买"))/AB158,"")</f>
        <v/>
      </c>
      <c r="AD158" s="34" t="str">
        <f>IF(A158="","",SUMIFS('成交明细'!$F$5:$F$804,'成交明细'!$A$5:$A$804,A158,'成交明细'!$D$5:$D$804,IF(F158="空","买","卖")))</f>
        <v/>
      </c>
      <c r="AE158" s="41" t="str">
        <f>IF(N(AD158)&gt;0,SUMIFS('成交明细'!$H$5:$H$804,'成交明细'!$A$5:$A$804,A158,'成交明细'!$D$5:$D$804,IF(F158="空","买","卖"))/AD158,"")</f>
        <v/>
      </c>
      <c r="AF158" s="38" t="str">
        <f>IF(A158="","",IF(X158&lt;&gt;"已执行",IF(X158="","未填执行情况",X158),IF(N(AB158)=0,"待录成交",IF(N(AD158)&gt;N(AB158),"平仓多于开仓",IF(N(AD158)&lt;N(AB158),"持仓中","已平仓")))))</f>
        <v/>
      </c>
      <c r="AG158" s="42" t="str">
        <f>IF(N(AB158)=0,"",SUMIFS('成交明细'!$L$5:$L$804,'成交明细'!$A$5:$A$804,A158))</f>
        <v/>
      </c>
      <c r="AH158" s="43" t="str">
        <f>IF(A158="","",SUMIFS('资金费流水'!$F$5:$F$604,'资金费流水'!$B$5:$B$604,A158))</f>
        <v/>
      </c>
      <c r="AI158" s="43" t="str">
        <f>IF(AF158&lt;&gt;"已平仓","",(SUMIFS('成交明细'!$H$5:$H$804,'成交明细'!$A$5:$A$804,A158,'成交明细'!$D$5:$D$804,"卖")-SUMIFS('成交明细'!$H$5:$H$804,'成交明细'!$A$5:$A$804,A158,'成交明细'!$D$5:$D$804,"买"))*1-AG158+N(AH158))</f>
        <v/>
      </c>
      <c r="AJ158" s="44" t="str">
        <f>IF(AND(AF158="已平仓",ISNUMBER(Q158)),(SUMIFS('成交明细'!$H$5:$H$804,'成交明细'!$A$5:$A$804,A158,'成交明细'!$D$5:$D$804,"卖")-SUMIFS('成交明细'!$H$5:$H$804,'成交明细'!$A$5:$A$804,A158,'成交明细'!$D$5:$D$804,"买"))*1/Q158,"")</f>
        <v/>
      </c>
      <c r="AK158" s="44" t="str">
        <f>IF(AND(AF158="已平仓",ISNUMBER(Q158)),AI158/Q158,"")</f>
        <v/>
      </c>
      <c r="AL158" s="45" t="str">
        <f>IF(AND(ISNUMBER(AC158),ISNUMBER(K158)),IF(F158="空",K158-AC158,AC158-K158),"")</f>
        <v/>
      </c>
      <c r="AM158" s="45" t="str">
        <f>IF(OR(NOT(ISNUMBER(AI158)),NOT(ISNUMBER(AE158))),"",IF(AI158&lt;0,IF(F158="空",AE158-L158,L158-AE158),IF(NOT(ISNUMBER(M158)),"",IF(F158="空",AE158-M158,M158-AE158))))</f>
        <v/>
      </c>
      <c r="AN158" s="31" t="n"/>
      <c r="AO158" s="31" t="n"/>
      <c r="AP158" s="30" t="n"/>
      <c r="AQ158" s="44" t="str">
        <f>IF(A158="","",SUM(AK$5:AK158))</f>
        <v/>
      </c>
      <c r="AR158" s="46" t="str">
        <f>IF(A158="","",MAX(0,MAX(AQ$5:AQ158))-AQ158)</f>
        <v/>
      </c>
    </row>
    <row r="159">
      <c r="A159" s="24" t="n"/>
      <c r="B159" s="29" t="n"/>
      <c r="C159" s="30" t="n"/>
      <c r="D159" s="31" t="n"/>
      <c r="E159" s="31" t="n"/>
      <c r="F159" s="31" t="n"/>
      <c r="G159" s="21" t="n"/>
      <c r="H159" s="31" t="n"/>
      <c r="I159" s="23" t="n"/>
      <c r="J159" s="31" t="n"/>
      <c r="K159" s="32" t="n"/>
      <c r="L159" s="32" t="n"/>
      <c r="M159" s="32" t="n"/>
      <c r="N159" s="33" t="str">
        <f>IF(AND(ISNUMBER(K159),ISNUMBER(L159),ISNUMBER(M159)),IF(OR(AND(F159="多",K159&gt;L159),AND(F159="空",K159&lt;L159)),ABS(M159-K159)/ABS(K159-L159),"止损方向不对"),"")</f>
        <v/>
      </c>
      <c r="O159" s="34" t="str">
        <f>IF(AND(ISNUMBER(K159),ISNUMBER(L159)),IF(K159=L159,"",IF(INT(ROUND('参数'!$C$7/(ABS(K159-L159)*1+2*K159*'参数'!$C$12)/IF(N(J159)&gt;0,J159,1),6))*IF(N(J159)&gt;0,J159,1)&gt;0,INT(ROUND('参数'!$C$7/(ABS(K159-L159)*1+2*K159*'参数'!$C$12)/IF(N(J159)&gt;0,J159,1),6))*IF(N(J159)&gt;0,J159,1),"预算不足，这笔不做")),"")</f>
        <v/>
      </c>
      <c r="P159" s="35" t="n"/>
      <c r="Q159" s="20" t="str">
        <f>IF(AND(ISNUMBER(K159),ISNUMBER(L159),ISNUMBER(P159)),IF(AND(K159&lt;&gt;L159,P159&gt;0),ABS(K159-L159)*P159*1,""),"")</f>
        <v/>
      </c>
      <c r="R159" s="20" t="str">
        <f>IF(AND(ISNUMBER(K159),ISNUMBER(P159)),K159*P159,"")</f>
        <v/>
      </c>
      <c r="S159" s="20" t="str">
        <f>IF(AND(D159="合约",ISNUMBER(R159),N(G159)&gt;0),R159/G159,"")</f>
        <v/>
      </c>
      <c r="T159" s="36" t="str">
        <f>IF(NOT(D159="合约"),"",IF(H159&lt;&gt;"逐仓","看平台",IF(AND(ISNUMBER(K159),N(G159)&gt;0),IF(F159="空",K159*(1+1/G159-IF(ISNUMBER(I159),I159,'参数'!$C$13)),K159*(1-1/G159+IF(ISNUMBER(I159),I159,'参数'!$C$13))),"")))</f>
        <v/>
      </c>
      <c r="U159" s="37" t="str">
        <f>IF(AND(ISNUMBER(T159),ISNUMBER(L159),ISNUMBER(K159)),IF(F159="空",T159-L159,L159-T159)/K159,"")</f>
        <v/>
      </c>
      <c r="V159" s="38" t="str">
        <f>IF(ISNUMBER(U159),IF(U159&lt;'参数'!$C$15,"先降杠杆或减量","在止损外"),"")</f>
        <v/>
      </c>
      <c r="W159" s="30" t="n"/>
      <c r="X159" s="31" t="n"/>
      <c r="Y159" s="39" t="str">
        <f>IF(N(AB159)&gt;0,SUMPRODUCT(LARGE(('成交明细'!$A$5:$A$804=A159)*('成交明细'!$D$5:$D$804=IF(F159="空","卖","买"))*'成交明细'!$B$5:$B$804,COUNTIFS('成交明细'!$A$5:$A$804,A159,'成交明细'!$D$5:$D$804,IF(F159="空","卖","买")))),"")</f>
        <v/>
      </c>
      <c r="Z159" s="39" t="str">
        <f>IF(AND(N(AB159)&gt;0,N(AD159)&gt;=N(AB159)),SUMPRODUCT(MAX(('成交明细'!$A$5:$A$804=A159)*('成交明细'!$D$5:$D$804=IF(F159="空","买","卖"))*'成交明细'!$B$5:$B$804)),"")</f>
        <v/>
      </c>
      <c r="AA159" s="40" t="str">
        <f>IF(N(AB159)=0,"",IF(SUMPRODUCT(('成交明细'!$A$5:$A$804=A159)*('成交明细'!$D$5:$D$804=IF(F159="空","卖","买"))*ISNUMBER('成交明细'!$C$5:$C$804))=0,"没填时间",IFERROR(VLOOKUP(MOD(SUMPRODUCT(LARGE(('成交明细'!$A$5:$A$804=A159)*('成交明细'!$D$5:$D$804=IF(F159="空","卖","买"))*('成交明细'!$B$5:$B$804+'成交明细'!$C$5:$C$804),COUNTIFS('成交明细'!$A$5:$A$804,A159,'成交明细'!$D$5:$D$804,IF(F159="空","卖","买")))),1),'参数'!$B$39:$C$48,2,TRUE),"")))</f>
        <v/>
      </c>
      <c r="AB159" s="34" t="str">
        <f>IF(A159="","",SUMIFS('成交明细'!$F$5:$F$804,'成交明细'!$A$5:$A$804,A159,'成交明细'!$D$5:$D$804,IF(F159="空","卖","买")))</f>
        <v/>
      </c>
      <c r="AC159" s="41" t="str">
        <f>IF(N(AB159)&gt;0,SUMIFS('成交明细'!$H$5:$H$804,'成交明细'!$A$5:$A$804,A159,'成交明细'!$D$5:$D$804,IF(F159="空","卖","买"))/AB159,"")</f>
        <v/>
      </c>
      <c r="AD159" s="34" t="str">
        <f>IF(A159="","",SUMIFS('成交明细'!$F$5:$F$804,'成交明细'!$A$5:$A$804,A159,'成交明细'!$D$5:$D$804,IF(F159="空","买","卖")))</f>
        <v/>
      </c>
      <c r="AE159" s="41" t="str">
        <f>IF(N(AD159)&gt;0,SUMIFS('成交明细'!$H$5:$H$804,'成交明细'!$A$5:$A$804,A159,'成交明细'!$D$5:$D$804,IF(F159="空","买","卖"))/AD159,"")</f>
        <v/>
      </c>
      <c r="AF159" s="38" t="str">
        <f>IF(A159="","",IF(X159&lt;&gt;"已执行",IF(X159="","未填执行情况",X159),IF(N(AB159)=0,"待录成交",IF(N(AD159)&gt;N(AB159),"平仓多于开仓",IF(N(AD159)&lt;N(AB159),"持仓中","已平仓")))))</f>
        <v/>
      </c>
      <c r="AG159" s="42" t="str">
        <f>IF(N(AB159)=0,"",SUMIFS('成交明细'!$L$5:$L$804,'成交明细'!$A$5:$A$804,A159))</f>
        <v/>
      </c>
      <c r="AH159" s="43" t="str">
        <f>IF(A159="","",SUMIFS('资金费流水'!$F$5:$F$604,'资金费流水'!$B$5:$B$604,A159))</f>
        <v/>
      </c>
      <c r="AI159" s="43" t="str">
        <f>IF(AF159&lt;&gt;"已平仓","",(SUMIFS('成交明细'!$H$5:$H$804,'成交明细'!$A$5:$A$804,A159,'成交明细'!$D$5:$D$804,"卖")-SUMIFS('成交明细'!$H$5:$H$804,'成交明细'!$A$5:$A$804,A159,'成交明细'!$D$5:$D$804,"买"))*1-AG159+N(AH159))</f>
        <v/>
      </c>
      <c r="AJ159" s="44" t="str">
        <f>IF(AND(AF159="已平仓",ISNUMBER(Q159)),(SUMIFS('成交明细'!$H$5:$H$804,'成交明细'!$A$5:$A$804,A159,'成交明细'!$D$5:$D$804,"卖")-SUMIFS('成交明细'!$H$5:$H$804,'成交明细'!$A$5:$A$804,A159,'成交明细'!$D$5:$D$804,"买"))*1/Q159,"")</f>
        <v/>
      </c>
      <c r="AK159" s="44" t="str">
        <f>IF(AND(AF159="已平仓",ISNUMBER(Q159)),AI159/Q159,"")</f>
        <v/>
      </c>
      <c r="AL159" s="45" t="str">
        <f>IF(AND(ISNUMBER(AC159),ISNUMBER(K159)),IF(F159="空",K159-AC159,AC159-K159),"")</f>
        <v/>
      </c>
      <c r="AM159" s="45" t="str">
        <f>IF(OR(NOT(ISNUMBER(AI159)),NOT(ISNUMBER(AE159))),"",IF(AI159&lt;0,IF(F159="空",AE159-L159,L159-AE159),IF(NOT(ISNUMBER(M159)),"",IF(F159="空",AE159-M159,M159-AE159))))</f>
        <v/>
      </c>
      <c r="AN159" s="31" t="n"/>
      <c r="AO159" s="31" t="n"/>
      <c r="AP159" s="30" t="n"/>
      <c r="AQ159" s="44" t="str">
        <f>IF(A159="","",SUM(AK$5:AK159))</f>
        <v/>
      </c>
      <c r="AR159" s="46" t="str">
        <f>IF(A159="","",MAX(0,MAX(AQ$5:AQ159))-AQ159)</f>
        <v/>
      </c>
    </row>
    <row r="160">
      <c r="A160" s="24" t="n"/>
      <c r="B160" s="29" t="n"/>
      <c r="C160" s="30" t="n"/>
      <c r="D160" s="31" t="n"/>
      <c r="E160" s="31" t="n"/>
      <c r="F160" s="31" t="n"/>
      <c r="G160" s="21" t="n"/>
      <c r="H160" s="31" t="n"/>
      <c r="I160" s="23" t="n"/>
      <c r="J160" s="31" t="n"/>
      <c r="K160" s="32" t="n"/>
      <c r="L160" s="32" t="n"/>
      <c r="M160" s="32" t="n"/>
      <c r="N160" s="33" t="str">
        <f>IF(AND(ISNUMBER(K160),ISNUMBER(L160),ISNUMBER(M160)),IF(OR(AND(F160="多",K160&gt;L160),AND(F160="空",K160&lt;L160)),ABS(M160-K160)/ABS(K160-L160),"止损方向不对"),"")</f>
        <v/>
      </c>
      <c r="O160" s="34" t="str">
        <f>IF(AND(ISNUMBER(K160),ISNUMBER(L160)),IF(K160=L160,"",IF(INT(ROUND('参数'!$C$7/(ABS(K160-L160)*1+2*K160*'参数'!$C$12)/IF(N(J160)&gt;0,J160,1),6))*IF(N(J160)&gt;0,J160,1)&gt;0,INT(ROUND('参数'!$C$7/(ABS(K160-L160)*1+2*K160*'参数'!$C$12)/IF(N(J160)&gt;0,J160,1),6))*IF(N(J160)&gt;0,J160,1),"预算不足，这笔不做")),"")</f>
        <v/>
      </c>
      <c r="P160" s="35" t="n"/>
      <c r="Q160" s="20" t="str">
        <f>IF(AND(ISNUMBER(K160),ISNUMBER(L160),ISNUMBER(P160)),IF(AND(K160&lt;&gt;L160,P160&gt;0),ABS(K160-L160)*P160*1,""),"")</f>
        <v/>
      </c>
      <c r="R160" s="20" t="str">
        <f>IF(AND(ISNUMBER(K160),ISNUMBER(P160)),K160*P160,"")</f>
        <v/>
      </c>
      <c r="S160" s="20" t="str">
        <f>IF(AND(D160="合约",ISNUMBER(R160),N(G160)&gt;0),R160/G160,"")</f>
        <v/>
      </c>
      <c r="T160" s="36" t="str">
        <f>IF(NOT(D160="合约"),"",IF(H160&lt;&gt;"逐仓","看平台",IF(AND(ISNUMBER(K160),N(G160)&gt;0),IF(F160="空",K160*(1+1/G160-IF(ISNUMBER(I160),I160,'参数'!$C$13)),K160*(1-1/G160+IF(ISNUMBER(I160),I160,'参数'!$C$13))),"")))</f>
        <v/>
      </c>
      <c r="U160" s="37" t="str">
        <f>IF(AND(ISNUMBER(T160),ISNUMBER(L160),ISNUMBER(K160)),IF(F160="空",T160-L160,L160-T160)/K160,"")</f>
        <v/>
      </c>
      <c r="V160" s="38" t="str">
        <f>IF(ISNUMBER(U160),IF(U160&lt;'参数'!$C$15,"先降杠杆或减量","在止损外"),"")</f>
        <v/>
      </c>
      <c r="W160" s="30" t="n"/>
      <c r="X160" s="31" t="n"/>
      <c r="Y160" s="39" t="str">
        <f>IF(N(AB160)&gt;0,SUMPRODUCT(LARGE(('成交明细'!$A$5:$A$804=A160)*('成交明细'!$D$5:$D$804=IF(F160="空","卖","买"))*'成交明细'!$B$5:$B$804,COUNTIFS('成交明细'!$A$5:$A$804,A160,'成交明细'!$D$5:$D$804,IF(F160="空","卖","买")))),"")</f>
        <v/>
      </c>
      <c r="Z160" s="39" t="str">
        <f>IF(AND(N(AB160)&gt;0,N(AD160)&gt;=N(AB160)),SUMPRODUCT(MAX(('成交明细'!$A$5:$A$804=A160)*('成交明细'!$D$5:$D$804=IF(F160="空","买","卖"))*'成交明细'!$B$5:$B$804)),"")</f>
        <v/>
      </c>
      <c r="AA160" s="40" t="str">
        <f>IF(N(AB160)=0,"",IF(SUMPRODUCT(('成交明细'!$A$5:$A$804=A160)*('成交明细'!$D$5:$D$804=IF(F160="空","卖","买"))*ISNUMBER('成交明细'!$C$5:$C$804))=0,"没填时间",IFERROR(VLOOKUP(MOD(SUMPRODUCT(LARGE(('成交明细'!$A$5:$A$804=A160)*('成交明细'!$D$5:$D$804=IF(F160="空","卖","买"))*('成交明细'!$B$5:$B$804+'成交明细'!$C$5:$C$804),COUNTIFS('成交明细'!$A$5:$A$804,A160,'成交明细'!$D$5:$D$804,IF(F160="空","卖","买")))),1),'参数'!$B$39:$C$48,2,TRUE),"")))</f>
        <v/>
      </c>
      <c r="AB160" s="34" t="str">
        <f>IF(A160="","",SUMIFS('成交明细'!$F$5:$F$804,'成交明细'!$A$5:$A$804,A160,'成交明细'!$D$5:$D$804,IF(F160="空","卖","买")))</f>
        <v/>
      </c>
      <c r="AC160" s="41" t="str">
        <f>IF(N(AB160)&gt;0,SUMIFS('成交明细'!$H$5:$H$804,'成交明细'!$A$5:$A$804,A160,'成交明细'!$D$5:$D$804,IF(F160="空","卖","买"))/AB160,"")</f>
        <v/>
      </c>
      <c r="AD160" s="34" t="str">
        <f>IF(A160="","",SUMIFS('成交明细'!$F$5:$F$804,'成交明细'!$A$5:$A$804,A160,'成交明细'!$D$5:$D$804,IF(F160="空","买","卖")))</f>
        <v/>
      </c>
      <c r="AE160" s="41" t="str">
        <f>IF(N(AD160)&gt;0,SUMIFS('成交明细'!$H$5:$H$804,'成交明细'!$A$5:$A$804,A160,'成交明细'!$D$5:$D$804,IF(F160="空","买","卖"))/AD160,"")</f>
        <v/>
      </c>
      <c r="AF160" s="38" t="str">
        <f>IF(A160="","",IF(X160&lt;&gt;"已执行",IF(X160="","未填执行情况",X160),IF(N(AB160)=0,"待录成交",IF(N(AD160)&gt;N(AB160),"平仓多于开仓",IF(N(AD160)&lt;N(AB160),"持仓中","已平仓")))))</f>
        <v/>
      </c>
      <c r="AG160" s="42" t="str">
        <f>IF(N(AB160)=0,"",SUMIFS('成交明细'!$L$5:$L$804,'成交明细'!$A$5:$A$804,A160))</f>
        <v/>
      </c>
      <c r="AH160" s="43" t="str">
        <f>IF(A160="","",SUMIFS('资金费流水'!$F$5:$F$604,'资金费流水'!$B$5:$B$604,A160))</f>
        <v/>
      </c>
      <c r="AI160" s="43" t="str">
        <f>IF(AF160&lt;&gt;"已平仓","",(SUMIFS('成交明细'!$H$5:$H$804,'成交明细'!$A$5:$A$804,A160,'成交明细'!$D$5:$D$804,"卖")-SUMIFS('成交明细'!$H$5:$H$804,'成交明细'!$A$5:$A$804,A160,'成交明细'!$D$5:$D$804,"买"))*1-AG160+N(AH160))</f>
        <v/>
      </c>
      <c r="AJ160" s="44" t="str">
        <f>IF(AND(AF160="已平仓",ISNUMBER(Q160)),(SUMIFS('成交明细'!$H$5:$H$804,'成交明细'!$A$5:$A$804,A160,'成交明细'!$D$5:$D$804,"卖")-SUMIFS('成交明细'!$H$5:$H$804,'成交明细'!$A$5:$A$804,A160,'成交明细'!$D$5:$D$804,"买"))*1/Q160,"")</f>
        <v/>
      </c>
      <c r="AK160" s="44" t="str">
        <f>IF(AND(AF160="已平仓",ISNUMBER(Q160)),AI160/Q160,"")</f>
        <v/>
      </c>
      <c r="AL160" s="45" t="str">
        <f>IF(AND(ISNUMBER(AC160),ISNUMBER(K160)),IF(F160="空",K160-AC160,AC160-K160),"")</f>
        <v/>
      </c>
      <c r="AM160" s="45" t="str">
        <f>IF(OR(NOT(ISNUMBER(AI160)),NOT(ISNUMBER(AE160))),"",IF(AI160&lt;0,IF(F160="空",AE160-L160,L160-AE160),IF(NOT(ISNUMBER(M160)),"",IF(F160="空",AE160-M160,M160-AE160))))</f>
        <v/>
      </c>
      <c r="AN160" s="31" t="n"/>
      <c r="AO160" s="31" t="n"/>
      <c r="AP160" s="30" t="n"/>
      <c r="AQ160" s="44" t="str">
        <f>IF(A160="","",SUM(AK$5:AK160))</f>
        <v/>
      </c>
      <c r="AR160" s="46" t="str">
        <f>IF(A160="","",MAX(0,MAX(AQ$5:AQ160))-AQ160)</f>
        <v/>
      </c>
    </row>
    <row r="161">
      <c r="A161" s="24" t="n"/>
      <c r="B161" s="29" t="n"/>
      <c r="C161" s="30" t="n"/>
      <c r="D161" s="31" t="n"/>
      <c r="E161" s="31" t="n"/>
      <c r="F161" s="31" t="n"/>
      <c r="G161" s="21" t="n"/>
      <c r="H161" s="31" t="n"/>
      <c r="I161" s="23" t="n"/>
      <c r="J161" s="31" t="n"/>
      <c r="K161" s="32" t="n"/>
      <c r="L161" s="32" t="n"/>
      <c r="M161" s="32" t="n"/>
      <c r="N161" s="33" t="str">
        <f>IF(AND(ISNUMBER(K161),ISNUMBER(L161),ISNUMBER(M161)),IF(OR(AND(F161="多",K161&gt;L161),AND(F161="空",K161&lt;L161)),ABS(M161-K161)/ABS(K161-L161),"止损方向不对"),"")</f>
        <v/>
      </c>
      <c r="O161" s="34" t="str">
        <f>IF(AND(ISNUMBER(K161),ISNUMBER(L161)),IF(K161=L161,"",IF(INT(ROUND('参数'!$C$7/(ABS(K161-L161)*1+2*K161*'参数'!$C$12)/IF(N(J161)&gt;0,J161,1),6))*IF(N(J161)&gt;0,J161,1)&gt;0,INT(ROUND('参数'!$C$7/(ABS(K161-L161)*1+2*K161*'参数'!$C$12)/IF(N(J161)&gt;0,J161,1),6))*IF(N(J161)&gt;0,J161,1),"预算不足，这笔不做")),"")</f>
        <v/>
      </c>
      <c r="P161" s="35" t="n"/>
      <c r="Q161" s="20" t="str">
        <f>IF(AND(ISNUMBER(K161),ISNUMBER(L161),ISNUMBER(P161)),IF(AND(K161&lt;&gt;L161,P161&gt;0),ABS(K161-L161)*P161*1,""),"")</f>
        <v/>
      </c>
      <c r="R161" s="20" t="str">
        <f>IF(AND(ISNUMBER(K161),ISNUMBER(P161)),K161*P161,"")</f>
        <v/>
      </c>
      <c r="S161" s="20" t="str">
        <f>IF(AND(D161="合约",ISNUMBER(R161),N(G161)&gt;0),R161/G161,"")</f>
        <v/>
      </c>
      <c r="T161" s="36" t="str">
        <f>IF(NOT(D161="合约"),"",IF(H161&lt;&gt;"逐仓","看平台",IF(AND(ISNUMBER(K161),N(G161)&gt;0),IF(F161="空",K161*(1+1/G161-IF(ISNUMBER(I161),I161,'参数'!$C$13)),K161*(1-1/G161+IF(ISNUMBER(I161),I161,'参数'!$C$13))),"")))</f>
        <v/>
      </c>
      <c r="U161" s="37" t="str">
        <f>IF(AND(ISNUMBER(T161),ISNUMBER(L161),ISNUMBER(K161)),IF(F161="空",T161-L161,L161-T161)/K161,"")</f>
        <v/>
      </c>
      <c r="V161" s="38" t="str">
        <f>IF(ISNUMBER(U161),IF(U161&lt;'参数'!$C$15,"先降杠杆或减量","在止损外"),"")</f>
        <v/>
      </c>
      <c r="W161" s="30" t="n"/>
      <c r="X161" s="31" t="n"/>
      <c r="Y161" s="39" t="str">
        <f>IF(N(AB161)&gt;0,SUMPRODUCT(LARGE(('成交明细'!$A$5:$A$804=A161)*('成交明细'!$D$5:$D$804=IF(F161="空","卖","买"))*'成交明细'!$B$5:$B$804,COUNTIFS('成交明细'!$A$5:$A$804,A161,'成交明细'!$D$5:$D$804,IF(F161="空","卖","买")))),"")</f>
        <v/>
      </c>
      <c r="Z161" s="39" t="str">
        <f>IF(AND(N(AB161)&gt;0,N(AD161)&gt;=N(AB161)),SUMPRODUCT(MAX(('成交明细'!$A$5:$A$804=A161)*('成交明细'!$D$5:$D$804=IF(F161="空","买","卖"))*'成交明细'!$B$5:$B$804)),"")</f>
        <v/>
      </c>
      <c r="AA161" s="40" t="str">
        <f>IF(N(AB161)=0,"",IF(SUMPRODUCT(('成交明细'!$A$5:$A$804=A161)*('成交明细'!$D$5:$D$804=IF(F161="空","卖","买"))*ISNUMBER('成交明细'!$C$5:$C$804))=0,"没填时间",IFERROR(VLOOKUP(MOD(SUMPRODUCT(LARGE(('成交明细'!$A$5:$A$804=A161)*('成交明细'!$D$5:$D$804=IF(F161="空","卖","买"))*('成交明细'!$B$5:$B$804+'成交明细'!$C$5:$C$804),COUNTIFS('成交明细'!$A$5:$A$804,A161,'成交明细'!$D$5:$D$804,IF(F161="空","卖","买")))),1),'参数'!$B$39:$C$48,2,TRUE),"")))</f>
        <v/>
      </c>
      <c r="AB161" s="34" t="str">
        <f>IF(A161="","",SUMIFS('成交明细'!$F$5:$F$804,'成交明细'!$A$5:$A$804,A161,'成交明细'!$D$5:$D$804,IF(F161="空","卖","买")))</f>
        <v/>
      </c>
      <c r="AC161" s="41" t="str">
        <f>IF(N(AB161)&gt;0,SUMIFS('成交明细'!$H$5:$H$804,'成交明细'!$A$5:$A$804,A161,'成交明细'!$D$5:$D$804,IF(F161="空","卖","买"))/AB161,"")</f>
        <v/>
      </c>
      <c r="AD161" s="34" t="str">
        <f>IF(A161="","",SUMIFS('成交明细'!$F$5:$F$804,'成交明细'!$A$5:$A$804,A161,'成交明细'!$D$5:$D$804,IF(F161="空","买","卖")))</f>
        <v/>
      </c>
      <c r="AE161" s="41" t="str">
        <f>IF(N(AD161)&gt;0,SUMIFS('成交明细'!$H$5:$H$804,'成交明细'!$A$5:$A$804,A161,'成交明细'!$D$5:$D$804,IF(F161="空","买","卖"))/AD161,"")</f>
        <v/>
      </c>
      <c r="AF161" s="38" t="str">
        <f>IF(A161="","",IF(X161&lt;&gt;"已执行",IF(X161="","未填执行情况",X161),IF(N(AB161)=0,"待录成交",IF(N(AD161)&gt;N(AB161),"平仓多于开仓",IF(N(AD161)&lt;N(AB161),"持仓中","已平仓")))))</f>
        <v/>
      </c>
      <c r="AG161" s="42" t="str">
        <f>IF(N(AB161)=0,"",SUMIFS('成交明细'!$L$5:$L$804,'成交明细'!$A$5:$A$804,A161))</f>
        <v/>
      </c>
      <c r="AH161" s="43" t="str">
        <f>IF(A161="","",SUMIFS('资金费流水'!$F$5:$F$604,'资金费流水'!$B$5:$B$604,A161))</f>
        <v/>
      </c>
      <c r="AI161" s="43" t="str">
        <f>IF(AF161&lt;&gt;"已平仓","",(SUMIFS('成交明细'!$H$5:$H$804,'成交明细'!$A$5:$A$804,A161,'成交明细'!$D$5:$D$804,"卖")-SUMIFS('成交明细'!$H$5:$H$804,'成交明细'!$A$5:$A$804,A161,'成交明细'!$D$5:$D$804,"买"))*1-AG161+N(AH161))</f>
        <v/>
      </c>
      <c r="AJ161" s="44" t="str">
        <f>IF(AND(AF161="已平仓",ISNUMBER(Q161)),(SUMIFS('成交明细'!$H$5:$H$804,'成交明细'!$A$5:$A$804,A161,'成交明细'!$D$5:$D$804,"卖")-SUMIFS('成交明细'!$H$5:$H$804,'成交明细'!$A$5:$A$804,A161,'成交明细'!$D$5:$D$804,"买"))*1/Q161,"")</f>
        <v/>
      </c>
      <c r="AK161" s="44" t="str">
        <f>IF(AND(AF161="已平仓",ISNUMBER(Q161)),AI161/Q161,"")</f>
        <v/>
      </c>
      <c r="AL161" s="45" t="str">
        <f>IF(AND(ISNUMBER(AC161),ISNUMBER(K161)),IF(F161="空",K161-AC161,AC161-K161),"")</f>
        <v/>
      </c>
      <c r="AM161" s="45" t="str">
        <f>IF(OR(NOT(ISNUMBER(AI161)),NOT(ISNUMBER(AE161))),"",IF(AI161&lt;0,IF(F161="空",AE161-L161,L161-AE161),IF(NOT(ISNUMBER(M161)),"",IF(F161="空",AE161-M161,M161-AE161))))</f>
        <v/>
      </c>
      <c r="AN161" s="31" t="n"/>
      <c r="AO161" s="31" t="n"/>
      <c r="AP161" s="30" t="n"/>
      <c r="AQ161" s="44" t="str">
        <f>IF(A161="","",SUM(AK$5:AK161))</f>
        <v/>
      </c>
      <c r="AR161" s="46" t="str">
        <f>IF(A161="","",MAX(0,MAX(AQ$5:AQ161))-AQ161)</f>
        <v/>
      </c>
    </row>
    <row r="162">
      <c r="A162" s="24" t="n"/>
      <c r="B162" s="29" t="n"/>
      <c r="C162" s="30" t="n"/>
      <c r="D162" s="31" t="n"/>
      <c r="E162" s="31" t="n"/>
      <c r="F162" s="31" t="n"/>
      <c r="G162" s="21" t="n"/>
      <c r="H162" s="31" t="n"/>
      <c r="I162" s="23" t="n"/>
      <c r="J162" s="31" t="n"/>
      <c r="K162" s="32" t="n"/>
      <c r="L162" s="32" t="n"/>
      <c r="M162" s="32" t="n"/>
      <c r="N162" s="33" t="str">
        <f>IF(AND(ISNUMBER(K162),ISNUMBER(L162),ISNUMBER(M162)),IF(OR(AND(F162="多",K162&gt;L162),AND(F162="空",K162&lt;L162)),ABS(M162-K162)/ABS(K162-L162),"止损方向不对"),"")</f>
        <v/>
      </c>
      <c r="O162" s="34" t="str">
        <f>IF(AND(ISNUMBER(K162),ISNUMBER(L162)),IF(K162=L162,"",IF(INT(ROUND('参数'!$C$7/(ABS(K162-L162)*1+2*K162*'参数'!$C$12)/IF(N(J162)&gt;0,J162,1),6))*IF(N(J162)&gt;0,J162,1)&gt;0,INT(ROUND('参数'!$C$7/(ABS(K162-L162)*1+2*K162*'参数'!$C$12)/IF(N(J162)&gt;0,J162,1),6))*IF(N(J162)&gt;0,J162,1),"预算不足，这笔不做")),"")</f>
        <v/>
      </c>
      <c r="P162" s="35" t="n"/>
      <c r="Q162" s="20" t="str">
        <f>IF(AND(ISNUMBER(K162),ISNUMBER(L162),ISNUMBER(P162)),IF(AND(K162&lt;&gt;L162,P162&gt;0),ABS(K162-L162)*P162*1,""),"")</f>
        <v/>
      </c>
      <c r="R162" s="20" t="str">
        <f>IF(AND(ISNUMBER(K162),ISNUMBER(P162)),K162*P162,"")</f>
        <v/>
      </c>
      <c r="S162" s="20" t="str">
        <f>IF(AND(D162="合约",ISNUMBER(R162),N(G162)&gt;0),R162/G162,"")</f>
        <v/>
      </c>
      <c r="T162" s="36" t="str">
        <f>IF(NOT(D162="合约"),"",IF(H162&lt;&gt;"逐仓","看平台",IF(AND(ISNUMBER(K162),N(G162)&gt;0),IF(F162="空",K162*(1+1/G162-IF(ISNUMBER(I162),I162,'参数'!$C$13)),K162*(1-1/G162+IF(ISNUMBER(I162),I162,'参数'!$C$13))),"")))</f>
        <v/>
      </c>
      <c r="U162" s="37" t="str">
        <f>IF(AND(ISNUMBER(T162),ISNUMBER(L162),ISNUMBER(K162)),IF(F162="空",T162-L162,L162-T162)/K162,"")</f>
        <v/>
      </c>
      <c r="V162" s="38" t="str">
        <f>IF(ISNUMBER(U162),IF(U162&lt;'参数'!$C$15,"先降杠杆或减量","在止损外"),"")</f>
        <v/>
      </c>
      <c r="W162" s="30" t="n"/>
      <c r="X162" s="31" t="n"/>
      <c r="Y162" s="39" t="str">
        <f>IF(N(AB162)&gt;0,SUMPRODUCT(LARGE(('成交明细'!$A$5:$A$804=A162)*('成交明细'!$D$5:$D$804=IF(F162="空","卖","买"))*'成交明细'!$B$5:$B$804,COUNTIFS('成交明细'!$A$5:$A$804,A162,'成交明细'!$D$5:$D$804,IF(F162="空","卖","买")))),"")</f>
        <v/>
      </c>
      <c r="Z162" s="39" t="str">
        <f>IF(AND(N(AB162)&gt;0,N(AD162)&gt;=N(AB162)),SUMPRODUCT(MAX(('成交明细'!$A$5:$A$804=A162)*('成交明细'!$D$5:$D$804=IF(F162="空","买","卖"))*'成交明细'!$B$5:$B$804)),"")</f>
        <v/>
      </c>
      <c r="AA162" s="40" t="str">
        <f>IF(N(AB162)=0,"",IF(SUMPRODUCT(('成交明细'!$A$5:$A$804=A162)*('成交明细'!$D$5:$D$804=IF(F162="空","卖","买"))*ISNUMBER('成交明细'!$C$5:$C$804))=0,"没填时间",IFERROR(VLOOKUP(MOD(SUMPRODUCT(LARGE(('成交明细'!$A$5:$A$804=A162)*('成交明细'!$D$5:$D$804=IF(F162="空","卖","买"))*('成交明细'!$B$5:$B$804+'成交明细'!$C$5:$C$804),COUNTIFS('成交明细'!$A$5:$A$804,A162,'成交明细'!$D$5:$D$804,IF(F162="空","卖","买")))),1),'参数'!$B$39:$C$48,2,TRUE),"")))</f>
        <v/>
      </c>
      <c r="AB162" s="34" t="str">
        <f>IF(A162="","",SUMIFS('成交明细'!$F$5:$F$804,'成交明细'!$A$5:$A$804,A162,'成交明细'!$D$5:$D$804,IF(F162="空","卖","买")))</f>
        <v/>
      </c>
      <c r="AC162" s="41" t="str">
        <f>IF(N(AB162)&gt;0,SUMIFS('成交明细'!$H$5:$H$804,'成交明细'!$A$5:$A$804,A162,'成交明细'!$D$5:$D$804,IF(F162="空","卖","买"))/AB162,"")</f>
        <v/>
      </c>
      <c r="AD162" s="34" t="str">
        <f>IF(A162="","",SUMIFS('成交明细'!$F$5:$F$804,'成交明细'!$A$5:$A$804,A162,'成交明细'!$D$5:$D$804,IF(F162="空","买","卖")))</f>
        <v/>
      </c>
      <c r="AE162" s="41" t="str">
        <f>IF(N(AD162)&gt;0,SUMIFS('成交明细'!$H$5:$H$804,'成交明细'!$A$5:$A$804,A162,'成交明细'!$D$5:$D$804,IF(F162="空","买","卖"))/AD162,"")</f>
        <v/>
      </c>
      <c r="AF162" s="38" t="str">
        <f>IF(A162="","",IF(X162&lt;&gt;"已执行",IF(X162="","未填执行情况",X162),IF(N(AB162)=0,"待录成交",IF(N(AD162)&gt;N(AB162),"平仓多于开仓",IF(N(AD162)&lt;N(AB162),"持仓中","已平仓")))))</f>
        <v/>
      </c>
      <c r="AG162" s="42" t="str">
        <f>IF(N(AB162)=0,"",SUMIFS('成交明细'!$L$5:$L$804,'成交明细'!$A$5:$A$804,A162))</f>
        <v/>
      </c>
      <c r="AH162" s="43" t="str">
        <f>IF(A162="","",SUMIFS('资金费流水'!$F$5:$F$604,'资金费流水'!$B$5:$B$604,A162))</f>
        <v/>
      </c>
      <c r="AI162" s="43" t="str">
        <f>IF(AF162&lt;&gt;"已平仓","",(SUMIFS('成交明细'!$H$5:$H$804,'成交明细'!$A$5:$A$804,A162,'成交明细'!$D$5:$D$804,"卖")-SUMIFS('成交明细'!$H$5:$H$804,'成交明细'!$A$5:$A$804,A162,'成交明细'!$D$5:$D$804,"买"))*1-AG162+N(AH162))</f>
        <v/>
      </c>
      <c r="AJ162" s="44" t="str">
        <f>IF(AND(AF162="已平仓",ISNUMBER(Q162)),(SUMIFS('成交明细'!$H$5:$H$804,'成交明细'!$A$5:$A$804,A162,'成交明细'!$D$5:$D$804,"卖")-SUMIFS('成交明细'!$H$5:$H$804,'成交明细'!$A$5:$A$804,A162,'成交明细'!$D$5:$D$804,"买"))*1/Q162,"")</f>
        <v/>
      </c>
      <c r="AK162" s="44" t="str">
        <f>IF(AND(AF162="已平仓",ISNUMBER(Q162)),AI162/Q162,"")</f>
        <v/>
      </c>
      <c r="AL162" s="45" t="str">
        <f>IF(AND(ISNUMBER(AC162),ISNUMBER(K162)),IF(F162="空",K162-AC162,AC162-K162),"")</f>
        <v/>
      </c>
      <c r="AM162" s="45" t="str">
        <f>IF(OR(NOT(ISNUMBER(AI162)),NOT(ISNUMBER(AE162))),"",IF(AI162&lt;0,IF(F162="空",AE162-L162,L162-AE162),IF(NOT(ISNUMBER(M162)),"",IF(F162="空",AE162-M162,M162-AE162))))</f>
        <v/>
      </c>
      <c r="AN162" s="31" t="n"/>
      <c r="AO162" s="31" t="n"/>
      <c r="AP162" s="30" t="n"/>
      <c r="AQ162" s="44" t="str">
        <f>IF(A162="","",SUM(AK$5:AK162))</f>
        <v/>
      </c>
      <c r="AR162" s="46" t="str">
        <f>IF(A162="","",MAX(0,MAX(AQ$5:AQ162))-AQ162)</f>
        <v/>
      </c>
    </row>
    <row r="163">
      <c r="A163" s="24" t="n"/>
      <c r="B163" s="29" t="n"/>
      <c r="C163" s="30" t="n"/>
      <c r="D163" s="31" t="n"/>
      <c r="E163" s="31" t="n"/>
      <c r="F163" s="31" t="n"/>
      <c r="G163" s="21" t="n"/>
      <c r="H163" s="31" t="n"/>
      <c r="I163" s="23" t="n"/>
      <c r="J163" s="31" t="n"/>
      <c r="K163" s="32" t="n"/>
      <c r="L163" s="32" t="n"/>
      <c r="M163" s="32" t="n"/>
      <c r="N163" s="33" t="str">
        <f>IF(AND(ISNUMBER(K163),ISNUMBER(L163),ISNUMBER(M163)),IF(OR(AND(F163="多",K163&gt;L163),AND(F163="空",K163&lt;L163)),ABS(M163-K163)/ABS(K163-L163),"止损方向不对"),"")</f>
        <v/>
      </c>
      <c r="O163" s="34" t="str">
        <f>IF(AND(ISNUMBER(K163),ISNUMBER(L163)),IF(K163=L163,"",IF(INT(ROUND('参数'!$C$7/(ABS(K163-L163)*1+2*K163*'参数'!$C$12)/IF(N(J163)&gt;0,J163,1),6))*IF(N(J163)&gt;0,J163,1)&gt;0,INT(ROUND('参数'!$C$7/(ABS(K163-L163)*1+2*K163*'参数'!$C$12)/IF(N(J163)&gt;0,J163,1),6))*IF(N(J163)&gt;0,J163,1),"预算不足，这笔不做")),"")</f>
        <v/>
      </c>
      <c r="P163" s="35" t="n"/>
      <c r="Q163" s="20" t="str">
        <f>IF(AND(ISNUMBER(K163),ISNUMBER(L163),ISNUMBER(P163)),IF(AND(K163&lt;&gt;L163,P163&gt;0),ABS(K163-L163)*P163*1,""),"")</f>
        <v/>
      </c>
      <c r="R163" s="20" t="str">
        <f>IF(AND(ISNUMBER(K163),ISNUMBER(P163)),K163*P163,"")</f>
        <v/>
      </c>
      <c r="S163" s="20" t="str">
        <f>IF(AND(D163="合约",ISNUMBER(R163),N(G163)&gt;0),R163/G163,"")</f>
        <v/>
      </c>
      <c r="T163" s="36" t="str">
        <f>IF(NOT(D163="合约"),"",IF(H163&lt;&gt;"逐仓","看平台",IF(AND(ISNUMBER(K163),N(G163)&gt;0),IF(F163="空",K163*(1+1/G163-IF(ISNUMBER(I163),I163,'参数'!$C$13)),K163*(1-1/G163+IF(ISNUMBER(I163),I163,'参数'!$C$13))),"")))</f>
        <v/>
      </c>
      <c r="U163" s="37" t="str">
        <f>IF(AND(ISNUMBER(T163),ISNUMBER(L163),ISNUMBER(K163)),IF(F163="空",T163-L163,L163-T163)/K163,"")</f>
        <v/>
      </c>
      <c r="V163" s="38" t="str">
        <f>IF(ISNUMBER(U163),IF(U163&lt;'参数'!$C$15,"先降杠杆或减量","在止损外"),"")</f>
        <v/>
      </c>
      <c r="W163" s="30" t="n"/>
      <c r="X163" s="31" t="n"/>
      <c r="Y163" s="39" t="str">
        <f>IF(N(AB163)&gt;0,SUMPRODUCT(LARGE(('成交明细'!$A$5:$A$804=A163)*('成交明细'!$D$5:$D$804=IF(F163="空","卖","买"))*'成交明细'!$B$5:$B$804,COUNTIFS('成交明细'!$A$5:$A$804,A163,'成交明细'!$D$5:$D$804,IF(F163="空","卖","买")))),"")</f>
        <v/>
      </c>
      <c r="Z163" s="39" t="str">
        <f>IF(AND(N(AB163)&gt;0,N(AD163)&gt;=N(AB163)),SUMPRODUCT(MAX(('成交明细'!$A$5:$A$804=A163)*('成交明细'!$D$5:$D$804=IF(F163="空","买","卖"))*'成交明细'!$B$5:$B$804)),"")</f>
        <v/>
      </c>
      <c r="AA163" s="40" t="str">
        <f>IF(N(AB163)=0,"",IF(SUMPRODUCT(('成交明细'!$A$5:$A$804=A163)*('成交明细'!$D$5:$D$804=IF(F163="空","卖","买"))*ISNUMBER('成交明细'!$C$5:$C$804))=0,"没填时间",IFERROR(VLOOKUP(MOD(SUMPRODUCT(LARGE(('成交明细'!$A$5:$A$804=A163)*('成交明细'!$D$5:$D$804=IF(F163="空","卖","买"))*('成交明细'!$B$5:$B$804+'成交明细'!$C$5:$C$804),COUNTIFS('成交明细'!$A$5:$A$804,A163,'成交明细'!$D$5:$D$804,IF(F163="空","卖","买")))),1),'参数'!$B$39:$C$48,2,TRUE),"")))</f>
        <v/>
      </c>
      <c r="AB163" s="34" t="str">
        <f>IF(A163="","",SUMIFS('成交明细'!$F$5:$F$804,'成交明细'!$A$5:$A$804,A163,'成交明细'!$D$5:$D$804,IF(F163="空","卖","买")))</f>
        <v/>
      </c>
      <c r="AC163" s="41" t="str">
        <f>IF(N(AB163)&gt;0,SUMIFS('成交明细'!$H$5:$H$804,'成交明细'!$A$5:$A$804,A163,'成交明细'!$D$5:$D$804,IF(F163="空","卖","买"))/AB163,"")</f>
        <v/>
      </c>
      <c r="AD163" s="34" t="str">
        <f>IF(A163="","",SUMIFS('成交明细'!$F$5:$F$804,'成交明细'!$A$5:$A$804,A163,'成交明细'!$D$5:$D$804,IF(F163="空","买","卖")))</f>
        <v/>
      </c>
      <c r="AE163" s="41" t="str">
        <f>IF(N(AD163)&gt;0,SUMIFS('成交明细'!$H$5:$H$804,'成交明细'!$A$5:$A$804,A163,'成交明细'!$D$5:$D$804,IF(F163="空","买","卖"))/AD163,"")</f>
        <v/>
      </c>
      <c r="AF163" s="38" t="str">
        <f>IF(A163="","",IF(X163&lt;&gt;"已执行",IF(X163="","未填执行情况",X163),IF(N(AB163)=0,"待录成交",IF(N(AD163)&gt;N(AB163),"平仓多于开仓",IF(N(AD163)&lt;N(AB163),"持仓中","已平仓")))))</f>
        <v/>
      </c>
      <c r="AG163" s="42" t="str">
        <f>IF(N(AB163)=0,"",SUMIFS('成交明细'!$L$5:$L$804,'成交明细'!$A$5:$A$804,A163))</f>
        <v/>
      </c>
      <c r="AH163" s="43" t="str">
        <f>IF(A163="","",SUMIFS('资金费流水'!$F$5:$F$604,'资金费流水'!$B$5:$B$604,A163))</f>
        <v/>
      </c>
      <c r="AI163" s="43" t="str">
        <f>IF(AF163&lt;&gt;"已平仓","",(SUMIFS('成交明细'!$H$5:$H$804,'成交明细'!$A$5:$A$804,A163,'成交明细'!$D$5:$D$804,"卖")-SUMIFS('成交明细'!$H$5:$H$804,'成交明细'!$A$5:$A$804,A163,'成交明细'!$D$5:$D$804,"买"))*1-AG163+N(AH163))</f>
        <v/>
      </c>
      <c r="AJ163" s="44" t="str">
        <f>IF(AND(AF163="已平仓",ISNUMBER(Q163)),(SUMIFS('成交明细'!$H$5:$H$804,'成交明细'!$A$5:$A$804,A163,'成交明细'!$D$5:$D$804,"卖")-SUMIFS('成交明细'!$H$5:$H$804,'成交明细'!$A$5:$A$804,A163,'成交明细'!$D$5:$D$804,"买"))*1/Q163,"")</f>
        <v/>
      </c>
      <c r="AK163" s="44" t="str">
        <f>IF(AND(AF163="已平仓",ISNUMBER(Q163)),AI163/Q163,"")</f>
        <v/>
      </c>
      <c r="AL163" s="45" t="str">
        <f>IF(AND(ISNUMBER(AC163),ISNUMBER(K163)),IF(F163="空",K163-AC163,AC163-K163),"")</f>
        <v/>
      </c>
      <c r="AM163" s="45" t="str">
        <f>IF(OR(NOT(ISNUMBER(AI163)),NOT(ISNUMBER(AE163))),"",IF(AI163&lt;0,IF(F163="空",AE163-L163,L163-AE163),IF(NOT(ISNUMBER(M163)),"",IF(F163="空",AE163-M163,M163-AE163))))</f>
        <v/>
      </c>
      <c r="AN163" s="31" t="n"/>
      <c r="AO163" s="31" t="n"/>
      <c r="AP163" s="30" t="n"/>
      <c r="AQ163" s="44" t="str">
        <f>IF(A163="","",SUM(AK$5:AK163))</f>
        <v/>
      </c>
      <c r="AR163" s="46" t="str">
        <f>IF(A163="","",MAX(0,MAX(AQ$5:AQ163))-AQ163)</f>
        <v/>
      </c>
    </row>
    <row r="164">
      <c r="A164" s="24" t="n"/>
      <c r="B164" s="29" t="n"/>
      <c r="C164" s="30" t="n"/>
      <c r="D164" s="31" t="n"/>
      <c r="E164" s="31" t="n"/>
      <c r="F164" s="31" t="n"/>
      <c r="G164" s="21" t="n"/>
      <c r="H164" s="31" t="n"/>
      <c r="I164" s="23" t="n"/>
      <c r="J164" s="31" t="n"/>
      <c r="K164" s="32" t="n"/>
      <c r="L164" s="32" t="n"/>
      <c r="M164" s="32" t="n"/>
      <c r="N164" s="33" t="str">
        <f>IF(AND(ISNUMBER(K164),ISNUMBER(L164),ISNUMBER(M164)),IF(OR(AND(F164="多",K164&gt;L164),AND(F164="空",K164&lt;L164)),ABS(M164-K164)/ABS(K164-L164),"止损方向不对"),"")</f>
        <v/>
      </c>
      <c r="O164" s="34" t="str">
        <f>IF(AND(ISNUMBER(K164),ISNUMBER(L164)),IF(K164=L164,"",IF(INT(ROUND('参数'!$C$7/(ABS(K164-L164)*1+2*K164*'参数'!$C$12)/IF(N(J164)&gt;0,J164,1),6))*IF(N(J164)&gt;0,J164,1)&gt;0,INT(ROUND('参数'!$C$7/(ABS(K164-L164)*1+2*K164*'参数'!$C$12)/IF(N(J164)&gt;0,J164,1),6))*IF(N(J164)&gt;0,J164,1),"预算不足，这笔不做")),"")</f>
        <v/>
      </c>
      <c r="P164" s="35" t="n"/>
      <c r="Q164" s="20" t="str">
        <f>IF(AND(ISNUMBER(K164),ISNUMBER(L164),ISNUMBER(P164)),IF(AND(K164&lt;&gt;L164,P164&gt;0),ABS(K164-L164)*P164*1,""),"")</f>
        <v/>
      </c>
      <c r="R164" s="20" t="str">
        <f>IF(AND(ISNUMBER(K164),ISNUMBER(P164)),K164*P164,"")</f>
        <v/>
      </c>
      <c r="S164" s="20" t="str">
        <f>IF(AND(D164="合约",ISNUMBER(R164),N(G164)&gt;0),R164/G164,"")</f>
        <v/>
      </c>
      <c r="T164" s="36" t="str">
        <f>IF(NOT(D164="合约"),"",IF(H164&lt;&gt;"逐仓","看平台",IF(AND(ISNUMBER(K164),N(G164)&gt;0),IF(F164="空",K164*(1+1/G164-IF(ISNUMBER(I164),I164,'参数'!$C$13)),K164*(1-1/G164+IF(ISNUMBER(I164),I164,'参数'!$C$13))),"")))</f>
        <v/>
      </c>
      <c r="U164" s="37" t="str">
        <f>IF(AND(ISNUMBER(T164),ISNUMBER(L164),ISNUMBER(K164)),IF(F164="空",T164-L164,L164-T164)/K164,"")</f>
        <v/>
      </c>
      <c r="V164" s="38" t="str">
        <f>IF(ISNUMBER(U164),IF(U164&lt;'参数'!$C$15,"先降杠杆或减量","在止损外"),"")</f>
        <v/>
      </c>
      <c r="W164" s="30" t="n"/>
      <c r="X164" s="31" t="n"/>
      <c r="Y164" s="39" t="str">
        <f>IF(N(AB164)&gt;0,SUMPRODUCT(LARGE(('成交明细'!$A$5:$A$804=A164)*('成交明细'!$D$5:$D$804=IF(F164="空","卖","买"))*'成交明细'!$B$5:$B$804,COUNTIFS('成交明细'!$A$5:$A$804,A164,'成交明细'!$D$5:$D$804,IF(F164="空","卖","买")))),"")</f>
        <v/>
      </c>
      <c r="Z164" s="39" t="str">
        <f>IF(AND(N(AB164)&gt;0,N(AD164)&gt;=N(AB164)),SUMPRODUCT(MAX(('成交明细'!$A$5:$A$804=A164)*('成交明细'!$D$5:$D$804=IF(F164="空","买","卖"))*'成交明细'!$B$5:$B$804)),"")</f>
        <v/>
      </c>
      <c r="AA164" s="40" t="str">
        <f>IF(N(AB164)=0,"",IF(SUMPRODUCT(('成交明细'!$A$5:$A$804=A164)*('成交明细'!$D$5:$D$804=IF(F164="空","卖","买"))*ISNUMBER('成交明细'!$C$5:$C$804))=0,"没填时间",IFERROR(VLOOKUP(MOD(SUMPRODUCT(LARGE(('成交明细'!$A$5:$A$804=A164)*('成交明细'!$D$5:$D$804=IF(F164="空","卖","买"))*('成交明细'!$B$5:$B$804+'成交明细'!$C$5:$C$804),COUNTIFS('成交明细'!$A$5:$A$804,A164,'成交明细'!$D$5:$D$804,IF(F164="空","卖","买")))),1),'参数'!$B$39:$C$48,2,TRUE),"")))</f>
        <v/>
      </c>
      <c r="AB164" s="34" t="str">
        <f>IF(A164="","",SUMIFS('成交明细'!$F$5:$F$804,'成交明细'!$A$5:$A$804,A164,'成交明细'!$D$5:$D$804,IF(F164="空","卖","买")))</f>
        <v/>
      </c>
      <c r="AC164" s="41" t="str">
        <f>IF(N(AB164)&gt;0,SUMIFS('成交明细'!$H$5:$H$804,'成交明细'!$A$5:$A$804,A164,'成交明细'!$D$5:$D$804,IF(F164="空","卖","买"))/AB164,"")</f>
        <v/>
      </c>
      <c r="AD164" s="34" t="str">
        <f>IF(A164="","",SUMIFS('成交明细'!$F$5:$F$804,'成交明细'!$A$5:$A$804,A164,'成交明细'!$D$5:$D$804,IF(F164="空","买","卖")))</f>
        <v/>
      </c>
      <c r="AE164" s="41" t="str">
        <f>IF(N(AD164)&gt;0,SUMIFS('成交明细'!$H$5:$H$804,'成交明细'!$A$5:$A$804,A164,'成交明细'!$D$5:$D$804,IF(F164="空","买","卖"))/AD164,"")</f>
        <v/>
      </c>
      <c r="AF164" s="38" t="str">
        <f>IF(A164="","",IF(X164&lt;&gt;"已执行",IF(X164="","未填执行情况",X164),IF(N(AB164)=0,"待录成交",IF(N(AD164)&gt;N(AB164),"平仓多于开仓",IF(N(AD164)&lt;N(AB164),"持仓中","已平仓")))))</f>
        <v/>
      </c>
      <c r="AG164" s="42" t="str">
        <f>IF(N(AB164)=0,"",SUMIFS('成交明细'!$L$5:$L$804,'成交明细'!$A$5:$A$804,A164))</f>
        <v/>
      </c>
      <c r="AH164" s="43" t="str">
        <f>IF(A164="","",SUMIFS('资金费流水'!$F$5:$F$604,'资金费流水'!$B$5:$B$604,A164))</f>
        <v/>
      </c>
      <c r="AI164" s="43" t="str">
        <f>IF(AF164&lt;&gt;"已平仓","",(SUMIFS('成交明细'!$H$5:$H$804,'成交明细'!$A$5:$A$804,A164,'成交明细'!$D$5:$D$804,"卖")-SUMIFS('成交明细'!$H$5:$H$804,'成交明细'!$A$5:$A$804,A164,'成交明细'!$D$5:$D$804,"买"))*1-AG164+N(AH164))</f>
        <v/>
      </c>
      <c r="AJ164" s="44" t="str">
        <f>IF(AND(AF164="已平仓",ISNUMBER(Q164)),(SUMIFS('成交明细'!$H$5:$H$804,'成交明细'!$A$5:$A$804,A164,'成交明细'!$D$5:$D$804,"卖")-SUMIFS('成交明细'!$H$5:$H$804,'成交明细'!$A$5:$A$804,A164,'成交明细'!$D$5:$D$804,"买"))*1/Q164,"")</f>
        <v/>
      </c>
      <c r="AK164" s="44" t="str">
        <f>IF(AND(AF164="已平仓",ISNUMBER(Q164)),AI164/Q164,"")</f>
        <v/>
      </c>
      <c r="AL164" s="45" t="str">
        <f>IF(AND(ISNUMBER(AC164),ISNUMBER(K164)),IF(F164="空",K164-AC164,AC164-K164),"")</f>
        <v/>
      </c>
      <c r="AM164" s="45" t="str">
        <f>IF(OR(NOT(ISNUMBER(AI164)),NOT(ISNUMBER(AE164))),"",IF(AI164&lt;0,IF(F164="空",AE164-L164,L164-AE164),IF(NOT(ISNUMBER(M164)),"",IF(F164="空",AE164-M164,M164-AE164))))</f>
        <v/>
      </c>
      <c r="AN164" s="31" t="n"/>
      <c r="AO164" s="31" t="n"/>
      <c r="AP164" s="30" t="n"/>
      <c r="AQ164" s="44" t="str">
        <f>IF(A164="","",SUM(AK$5:AK164))</f>
        <v/>
      </c>
      <c r="AR164" s="46" t="str">
        <f>IF(A164="","",MAX(0,MAX(AQ$5:AQ164))-AQ164)</f>
        <v/>
      </c>
    </row>
    <row r="165">
      <c r="A165" s="24" t="n"/>
      <c r="B165" s="29" t="n"/>
      <c r="C165" s="30" t="n"/>
      <c r="D165" s="31" t="n"/>
      <c r="E165" s="31" t="n"/>
      <c r="F165" s="31" t="n"/>
      <c r="G165" s="21" t="n"/>
      <c r="H165" s="31" t="n"/>
      <c r="I165" s="23" t="n"/>
      <c r="J165" s="31" t="n"/>
      <c r="K165" s="32" t="n"/>
      <c r="L165" s="32" t="n"/>
      <c r="M165" s="32" t="n"/>
      <c r="N165" s="33" t="str">
        <f>IF(AND(ISNUMBER(K165),ISNUMBER(L165),ISNUMBER(M165)),IF(OR(AND(F165="多",K165&gt;L165),AND(F165="空",K165&lt;L165)),ABS(M165-K165)/ABS(K165-L165),"止损方向不对"),"")</f>
        <v/>
      </c>
      <c r="O165" s="34" t="str">
        <f>IF(AND(ISNUMBER(K165),ISNUMBER(L165)),IF(K165=L165,"",IF(INT(ROUND('参数'!$C$7/(ABS(K165-L165)*1+2*K165*'参数'!$C$12)/IF(N(J165)&gt;0,J165,1),6))*IF(N(J165)&gt;0,J165,1)&gt;0,INT(ROUND('参数'!$C$7/(ABS(K165-L165)*1+2*K165*'参数'!$C$12)/IF(N(J165)&gt;0,J165,1),6))*IF(N(J165)&gt;0,J165,1),"预算不足，这笔不做")),"")</f>
        <v/>
      </c>
      <c r="P165" s="35" t="n"/>
      <c r="Q165" s="20" t="str">
        <f>IF(AND(ISNUMBER(K165),ISNUMBER(L165),ISNUMBER(P165)),IF(AND(K165&lt;&gt;L165,P165&gt;0),ABS(K165-L165)*P165*1,""),"")</f>
        <v/>
      </c>
      <c r="R165" s="20" t="str">
        <f>IF(AND(ISNUMBER(K165),ISNUMBER(P165)),K165*P165,"")</f>
        <v/>
      </c>
      <c r="S165" s="20" t="str">
        <f>IF(AND(D165="合约",ISNUMBER(R165),N(G165)&gt;0),R165/G165,"")</f>
        <v/>
      </c>
      <c r="T165" s="36" t="str">
        <f>IF(NOT(D165="合约"),"",IF(H165&lt;&gt;"逐仓","看平台",IF(AND(ISNUMBER(K165),N(G165)&gt;0),IF(F165="空",K165*(1+1/G165-IF(ISNUMBER(I165),I165,'参数'!$C$13)),K165*(1-1/G165+IF(ISNUMBER(I165),I165,'参数'!$C$13))),"")))</f>
        <v/>
      </c>
      <c r="U165" s="37" t="str">
        <f>IF(AND(ISNUMBER(T165),ISNUMBER(L165),ISNUMBER(K165)),IF(F165="空",T165-L165,L165-T165)/K165,"")</f>
        <v/>
      </c>
      <c r="V165" s="38" t="str">
        <f>IF(ISNUMBER(U165),IF(U165&lt;'参数'!$C$15,"先降杠杆或减量","在止损外"),"")</f>
        <v/>
      </c>
      <c r="W165" s="30" t="n"/>
      <c r="X165" s="31" t="n"/>
      <c r="Y165" s="39" t="str">
        <f>IF(N(AB165)&gt;0,SUMPRODUCT(LARGE(('成交明细'!$A$5:$A$804=A165)*('成交明细'!$D$5:$D$804=IF(F165="空","卖","买"))*'成交明细'!$B$5:$B$804,COUNTIFS('成交明细'!$A$5:$A$804,A165,'成交明细'!$D$5:$D$804,IF(F165="空","卖","买")))),"")</f>
        <v/>
      </c>
      <c r="Z165" s="39" t="str">
        <f>IF(AND(N(AB165)&gt;0,N(AD165)&gt;=N(AB165)),SUMPRODUCT(MAX(('成交明细'!$A$5:$A$804=A165)*('成交明细'!$D$5:$D$804=IF(F165="空","买","卖"))*'成交明细'!$B$5:$B$804)),"")</f>
        <v/>
      </c>
      <c r="AA165" s="40" t="str">
        <f>IF(N(AB165)=0,"",IF(SUMPRODUCT(('成交明细'!$A$5:$A$804=A165)*('成交明细'!$D$5:$D$804=IF(F165="空","卖","买"))*ISNUMBER('成交明细'!$C$5:$C$804))=0,"没填时间",IFERROR(VLOOKUP(MOD(SUMPRODUCT(LARGE(('成交明细'!$A$5:$A$804=A165)*('成交明细'!$D$5:$D$804=IF(F165="空","卖","买"))*('成交明细'!$B$5:$B$804+'成交明细'!$C$5:$C$804),COUNTIFS('成交明细'!$A$5:$A$804,A165,'成交明细'!$D$5:$D$804,IF(F165="空","卖","买")))),1),'参数'!$B$39:$C$48,2,TRUE),"")))</f>
        <v/>
      </c>
      <c r="AB165" s="34" t="str">
        <f>IF(A165="","",SUMIFS('成交明细'!$F$5:$F$804,'成交明细'!$A$5:$A$804,A165,'成交明细'!$D$5:$D$804,IF(F165="空","卖","买")))</f>
        <v/>
      </c>
      <c r="AC165" s="41" t="str">
        <f>IF(N(AB165)&gt;0,SUMIFS('成交明细'!$H$5:$H$804,'成交明细'!$A$5:$A$804,A165,'成交明细'!$D$5:$D$804,IF(F165="空","卖","买"))/AB165,"")</f>
        <v/>
      </c>
      <c r="AD165" s="34" t="str">
        <f>IF(A165="","",SUMIFS('成交明细'!$F$5:$F$804,'成交明细'!$A$5:$A$804,A165,'成交明细'!$D$5:$D$804,IF(F165="空","买","卖")))</f>
        <v/>
      </c>
      <c r="AE165" s="41" t="str">
        <f>IF(N(AD165)&gt;0,SUMIFS('成交明细'!$H$5:$H$804,'成交明细'!$A$5:$A$804,A165,'成交明细'!$D$5:$D$804,IF(F165="空","买","卖"))/AD165,"")</f>
        <v/>
      </c>
      <c r="AF165" s="38" t="str">
        <f>IF(A165="","",IF(X165&lt;&gt;"已执行",IF(X165="","未填执行情况",X165),IF(N(AB165)=0,"待录成交",IF(N(AD165)&gt;N(AB165),"平仓多于开仓",IF(N(AD165)&lt;N(AB165),"持仓中","已平仓")))))</f>
        <v/>
      </c>
      <c r="AG165" s="42" t="str">
        <f>IF(N(AB165)=0,"",SUMIFS('成交明细'!$L$5:$L$804,'成交明细'!$A$5:$A$804,A165))</f>
        <v/>
      </c>
      <c r="AH165" s="43" t="str">
        <f>IF(A165="","",SUMIFS('资金费流水'!$F$5:$F$604,'资金费流水'!$B$5:$B$604,A165))</f>
        <v/>
      </c>
      <c r="AI165" s="43" t="str">
        <f>IF(AF165&lt;&gt;"已平仓","",(SUMIFS('成交明细'!$H$5:$H$804,'成交明细'!$A$5:$A$804,A165,'成交明细'!$D$5:$D$804,"卖")-SUMIFS('成交明细'!$H$5:$H$804,'成交明细'!$A$5:$A$804,A165,'成交明细'!$D$5:$D$804,"买"))*1-AG165+N(AH165))</f>
        <v/>
      </c>
      <c r="AJ165" s="44" t="str">
        <f>IF(AND(AF165="已平仓",ISNUMBER(Q165)),(SUMIFS('成交明细'!$H$5:$H$804,'成交明细'!$A$5:$A$804,A165,'成交明细'!$D$5:$D$804,"卖")-SUMIFS('成交明细'!$H$5:$H$804,'成交明细'!$A$5:$A$804,A165,'成交明细'!$D$5:$D$804,"买"))*1/Q165,"")</f>
        <v/>
      </c>
      <c r="AK165" s="44" t="str">
        <f>IF(AND(AF165="已平仓",ISNUMBER(Q165)),AI165/Q165,"")</f>
        <v/>
      </c>
      <c r="AL165" s="45" t="str">
        <f>IF(AND(ISNUMBER(AC165),ISNUMBER(K165)),IF(F165="空",K165-AC165,AC165-K165),"")</f>
        <v/>
      </c>
      <c r="AM165" s="45" t="str">
        <f>IF(OR(NOT(ISNUMBER(AI165)),NOT(ISNUMBER(AE165))),"",IF(AI165&lt;0,IF(F165="空",AE165-L165,L165-AE165),IF(NOT(ISNUMBER(M165)),"",IF(F165="空",AE165-M165,M165-AE165))))</f>
        <v/>
      </c>
      <c r="AN165" s="31" t="n"/>
      <c r="AO165" s="31" t="n"/>
      <c r="AP165" s="30" t="n"/>
      <c r="AQ165" s="44" t="str">
        <f>IF(A165="","",SUM(AK$5:AK165))</f>
        <v/>
      </c>
      <c r="AR165" s="46" t="str">
        <f>IF(A165="","",MAX(0,MAX(AQ$5:AQ165))-AQ165)</f>
        <v/>
      </c>
    </row>
    <row r="166">
      <c r="A166" s="24" t="n"/>
      <c r="B166" s="29" t="n"/>
      <c r="C166" s="30" t="n"/>
      <c r="D166" s="31" t="n"/>
      <c r="E166" s="31" t="n"/>
      <c r="F166" s="31" t="n"/>
      <c r="G166" s="21" t="n"/>
      <c r="H166" s="31" t="n"/>
      <c r="I166" s="23" t="n"/>
      <c r="J166" s="31" t="n"/>
      <c r="K166" s="32" t="n"/>
      <c r="L166" s="32" t="n"/>
      <c r="M166" s="32" t="n"/>
      <c r="N166" s="33" t="str">
        <f>IF(AND(ISNUMBER(K166),ISNUMBER(L166),ISNUMBER(M166)),IF(OR(AND(F166="多",K166&gt;L166),AND(F166="空",K166&lt;L166)),ABS(M166-K166)/ABS(K166-L166),"止损方向不对"),"")</f>
        <v/>
      </c>
      <c r="O166" s="34" t="str">
        <f>IF(AND(ISNUMBER(K166),ISNUMBER(L166)),IF(K166=L166,"",IF(INT(ROUND('参数'!$C$7/(ABS(K166-L166)*1+2*K166*'参数'!$C$12)/IF(N(J166)&gt;0,J166,1),6))*IF(N(J166)&gt;0,J166,1)&gt;0,INT(ROUND('参数'!$C$7/(ABS(K166-L166)*1+2*K166*'参数'!$C$12)/IF(N(J166)&gt;0,J166,1),6))*IF(N(J166)&gt;0,J166,1),"预算不足，这笔不做")),"")</f>
        <v/>
      </c>
      <c r="P166" s="35" t="n"/>
      <c r="Q166" s="20" t="str">
        <f>IF(AND(ISNUMBER(K166),ISNUMBER(L166),ISNUMBER(P166)),IF(AND(K166&lt;&gt;L166,P166&gt;0),ABS(K166-L166)*P166*1,""),"")</f>
        <v/>
      </c>
      <c r="R166" s="20" t="str">
        <f>IF(AND(ISNUMBER(K166),ISNUMBER(P166)),K166*P166,"")</f>
        <v/>
      </c>
      <c r="S166" s="20" t="str">
        <f>IF(AND(D166="合约",ISNUMBER(R166),N(G166)&gt;0),R166/G166,"")</f>
        <v/>
      </c>
      <c r="T166" s="36" t="str">
        <f>IF(NOT(D166="合约"),"",IF(H166&lt;&gt;"逐仓","看平台",IF(AND(ISNUMBER(K166),N(G166)&gt;0),IF(F166="空",K166*(1+1/G166-IF(ISNUMBER(I166),I166,'参数'!$C$13)),K166*(1-1/G166+IF(ISNUMBER(I166),I166,'参数'!$C$13))),"")))</f>
        <v/>
      </c>
      <c r="U166" s="37" t="str">
        <f>IF(AND(ISNUMBER(T166),ISNUMBER(L166),ISNUMBER(K166)),IF(F166="空",T166-L166,L166-T166)/K166,"")</f>
        <v/>
      </c>
      <c r="V166" s="38" t="str">
        <f>IF(ISNUMBER(U166),IF(U166&lt;'参数'!$C$15,"先降杠杆或减量","在止损外"),"")</f>
        <v/>
      </c>
      <c r="W166" s="30" t="n"/>
      <c r="X166" s="31" t="n"/>
      <c r="Y166" s="39" t="str">
        <f>IF(N(AB166)&gt;0,SUMPRODUCT(LARGE(('成交明细'!$A$5:$A$804=A166)*('成交明细'!$D$5:$D$804=IF(F166="空","卖","买"))*'成交明细'!$B$5:$B$804,COUNTIFS('成交明细'!$A$5:$A$804,A166,'成交明细'!$D$5:$D$804,IF(F166="空","卖","买")))),"")</f>
        <v/>
      </c>
      <c r="Z166" s="39" t="str">
        <f>IF(AND(N(AB166)&gt;0,N(AD166)&gt;=N(AB166)),SUMPRODUCT(MAX(('成交明细'!$A$5:$A$804=A166)*('成交明细'!$D$5:$D$804=IF(F166="空","买","卖"))*'成交明细'!$B$5:$B$804)),"")</f>
        <v/>
      </c>
      <c r="AA166" s="40" t="str">
        <f>IF(N(AB166)=0,"",IF(SUMPRODUCT(('成交明细'!$A$5:$A$804=A166)*('成交明细'!$D$5:$D$804=IF(F166="空","卖","买"))*ISNUMBER('成交明细'!$C$5:$C$804))=0,"没填时间",IFERROR(VLOOKUP(MOD(SUMPRODUCT(LARGE(('成交明细'!$A$5:$A$804=A166)*('成交明细'!$D$5:$D$804=IF(F166="空","卖","买"))*('成交明细'!$B$5:$B$804+'成交明细'!$C$5:$C$804),COUNTIFS('成交明细'!$A$5:$A$804,A166,'成交明细'!$D$5:$D$804,IF(F166="空","卖","买")))),1),'参数'!$B$39:$C$48,2,TRUE),"")))</f>
        <v/>
      </c>
      <c r="AB166" s="34" t="str">
        <f>IF(A166="","",SUMIFS('成交明细'!$F$5:$F$804,'成交明细'!$A$5:$A$804,A166,'成交明细'!$D$5:$D$804,IF(F166="空","卖","买")))</f>
        <v/>
      </c>
      <c r="AC166" s="41" t="str">
        <f>IF(N(AB166)&gt;0,SUMIFS('成交明细'!$H$5:$H$804,'成交明细'!$A$5:$A$804,A166,'成交明细'!$D$5:$D$804,IF(F166="空","卖","买"))/AB166,"")</f>
        <v/>
      </c>
      <c r="AD166" s="34" t="str">
        <f>IF(A166="","",SUMIFS('成交明细'!$F$5:$F$804,'成交明细'!$A$5:$A$804,A166,'成交明细'!$D$5:$D$804,IF(F166="空","买","卖")))</f>
        <v/>
      </c>
      <c r="AE166" s="41" t="str">
        <f>IF(N(AD166)&gt;0,SUMIFS('成交明细'!$H$5:$H$804,'成交明细'!$A$5:$A$804,A166,'成交明细'!$D$5:$D$804,IF(F166="空","买","卖"))/AD166,"")</f>
        <v/>
      </c>
      <c r="AF166" s="38" t="str">
        <f>IF(A166="","",IF(X166&lt;&gt;"已执行",IF(X166="","未填执行情况",X166),IF(N(AB166)=0,"待录成交",IF(N(AD166)&gt;N(AB166),"平仓多于开仓",IF(N(AD166)&lt;N(AB166),"持仓中","已平仓")))))</f>
        <v/>
      </c>
      <c r="AG166" s="42" t="str">
        <f>IF(N(AB166)=0,"",SUMIFS('成交明细'!$L$5:$L$804,'成交明细'!$A$5:$A$804,A166))</f>
        <v/>
      </c>
      <c r="AH166" s="43" t="str">
        <f>IF(A166="","",SUMIFS('资金费流水'!$F$5:$F$604,'资金费流水'!$B$5:$B$604,A166))</f>
        <v/>
      </c>
      <c r="AI166" s="43" t="str">
        <f>IF(AF166&lt;&gt;"已平仓","",(SUMIFS('成交明细'!$H$5:$H$804,'成交明细'!$A$5:$A$804,A166,'成交明细'!$D$5:$D$804,"卖")-SUMIFS('成交明细'!$H$5:$H$804,'成交明细'!$A$5:$A$804,A166,'成交明细'!$D$5:$D$804,"买"))*1-AG166+N(AH166))</f>
        <v/>
      </c>
      <c r="AJ166" s="44" t="str">
        <f>IF(AND(AF166="已平仓",ISNUMBER(Q166)),(SUMIFS('成交明细'!$H$5:$H$804,'成交明细'!$A$5:$A$804,A166,'成交明细'!$D$5:$D$804,"卖")-SUMIFS('成交明细'!$H$5:$H$804,'成交明细'!$A$5:$A$804,A166,'成交明细'!$D$5:$D$804,"买"))*1/Q166,"")</f>
        <v/>
      </c>
      <c r="AK166" s="44" t="str">
        <f>IF(AND(AF166="已平仓",ISNUMBER(Q166)),AI166/Q166,"")</f>
        <v/>
      </c>
      <c r="AL166" s="45" t="str">
        <f>IF(AND(ISNUMBER(AC166),ISNUMBER(K166)),IF(F166="空",K166-AC166,AC166-K166),"")</f>
        <v/>
      </c>
      <c r="AM166" s="45" t="str">
        <f>IF(OR(NOT(ISNUMBER(AI166)),NOT(ISNUMBER(AE166))),"",IF(AI166&lt;0,IF(F166="空",AE166-L166,L166-AE166),IF(NOT(ISNUMBER(M166)),"",IF(F166="空",AE166-M166,M166-AE166))))</f>
        <v/>
      </c>
      <c r="AN166" s="31" t="n"/>
      <c r="AO166" s="31" t="n"/>
      <c r="AP166" s="30" t="n"/>
      <c r="AQ166" s="44" t="str">
        <f>IF(A166="","",SUM(AK$5:AK166))</f>
        <v/>
      </c>
      <c r="AR166" s="46" t="str">
        <f>IF(A166="","",MAX(0,MAX(AQ$5:AQ166))-AQ166)</f>
        <v/>
      </c>
    </row>
    <row r="167">
      <c r="A167" s="24" t="n"/>
      <c r="B167" s="29" t="n"/>
      <c r="C167" s="30" t="n"/>
      <c r="D167" s="31" t="n"/>
      <c r="E167" s="31" t="n"/>
      <c r="F167" s="31" t="n"/>
      <c r="G167" s="21" t="n"/>
      <c r="H167" s="31" t="n"/>
      <c r="I167" s="23" t="n"/>
      <c r="J167" s="31" t="n"/>
      <c r="K167" s="32" t="n"/>
      <c r="L167" s="32" t="n"/>
      <c r="M167" s="32" t="n"/>
      <c r="N167" s="33" t="str">
        <f>IF(AND(ISNUMBER(K167),ISNUMBER(L167),ISNUMBER(M167)),IF(OR(AND(F167="多",K167&gt;L167),AND(F167="空",K167&lt;L167)),ABS(M167-K167)/ABS(K167-L167),"止损方向不对"),"")</f>
        <v/>
      </c>
      <c r="O167" s="34" t="str">
        <f>IF(AND(ISNUMBER(K167),ISNUMBER(L167)),IF(K167=L167,"",IF(INT(ROUND('参数'!$C$7/(ABS(K167-L167)*1+2*K167*'参数'!$C$12)/IF(N(J167)&gt;0,J167,1),6))*IF(N(J167)&gt;0,J167,1)&gt;0,INT(ROUND('参数'!$C$7/(ABS(K167-L167)*1+2*K167*'参数'!$C$12)/IF(N(J167)&gt;0,J167,1),6))*IF(N(J167)&gt;0,J167,1),"预算不足，这笔不做")),"")</f>
        <v/>
      </c>
      <c r="P167" s="35" t="n"/>
      <c r="Q167" s="20" t="str">
        <f>IF(AND(ISNUMBER(K167),ISNUMBER(L167),ISNUMBER(P167)),IF(AND(K167&lt;&gt;L167,P167&gt;0),ABS(K167-L167)*P167*1,""),"")</f>
        <v/>
      </c>
      <c r="R167" s="20" t="str">
        <f>IF(AND(ISNUMBER(K167),ISNUMBER(P167)),K167*P167,"")</f>
        <v/>
      </c>
      <c r="S167" s="20" t="str">
        <f>IF(AND(D167="合约",ISNUMBER(R167),N(G167)&gt;0),R167/G167,"")</f>
        <v/>
      </c>
      <c r="T167" s="36" t="str">
        <f>IF(NOT(D167="合约"),"",IF(H167&lt;&gt;"逐仓","看平台",IF(AND(ISNUMBER(K167),N(G167)&gt;0),IF(F167="空",K167*(1+1/G167-IF(ISNUMBER(I167),I167,'参数'!$C$13)),K167*(1-1/G167+IF(ISNUMBER(I167),I167,'参数'!$C$13))),"")))</f>
        <v/>
      </c>
      <c r="U167" s="37" t="str">
        <f>IF(AND(ISNUMBER(T167),ISNUMBER(L167),ISNUMBER(K167)),IF(F167="空",T167-L167,L167-T167)/K167,"")</f>
        <v/>
      </c>
      <c r="V167" s="38" t="str">
        <f>IF(ISNUMBER(U167),IF(U167&lt;'参数'!$C$15,"先降杠杆或减量","在止损外"),"")</f>
        <v/>
      </c>
      <c r="W167" s="30" t="n"/>
      <c r="X167" s="31" t="n"/>
      <c r="Y167" s="39" t="str">
        <f>IF(N(AB167)&gt;0,SUMPRODUCT(LARGE(('成交明细'!$A$5:$A$804=A167)*('成交明细'!$D$5:$D$804=IF(F167="空","卖","买"))*'成交明细'!$B$5:$B$804,COUNTIFS('成交明细'!$A$5:$A$804,A167,'成交明细'!$D$5:$D$804,IF(F167="空","卖","买")))),"")</f>
        <v/>
      </c>
      <c r="Z167" s="39" t="str">
        <f>IF(AND(N(AB167)&gt;0,N(AD167)&gt;=N(AB167)),SUMPRODUCT(MAX(('成交明细'!$A$5:$A$804=A167)*('成交明细'!$D$5:$D$804=IF(F167="空","买","卖"))*'成交明细'!$B$5:$B$804)),"")</f>
        <v/>
      </c>
      <c r="AA167" s="40" t="str">
        <f>IF(N(AB167)=0,"",IF(SUMPRODUCT(('成交明细'!$A$5:$A$804=A167)*('成交明细'!$D$5:$D$804=IF(F167="空","卖","买"))*ISNUMBER('成交明细'!$C$5:$C$804))=0,"没填时间",IFERROR(VLOOKUP(MOD(SUMPRODUCT(LARGE(('成交明细'!$A$5:$A$804=A167)*('成交明细'!$D$5:$D$804=IF(F167="空","卖","买"))*('成交明细'!$B$5:$B$804+'成交明细'!$C$5:$C$804),COUNTIFS('成交明细'!$A$5:$A$804,A167,'成交明细'!$D$5:$D$804,IF(F167="空","卖","买")))),1),'参数'!$B$39:$C$48,2,TRUE),"")))</f>
        <v/>
      </c>
      <c r="AB167" s="34" t="str">
        <f>IF(A167="","",SUMIFS('成交明细'!$F$5:$F$804,'成交明细'!$A$5:$A$804,A167,'成交明细'!$D$5:$D$804,IF(F167="空","卖","买")))</f>
        <v/>
      </c>
      <c r="AC167" s="41" t="str">
        <f>IF(N(AB167)&gt;0,SUMIFS('成交明细'!$H$5:$H$804,'成交明细'!$A$5:$A$804,A167,'成交明细'!$D$5:$D$804,IF(F167="空","卖","买"))/AB167,"")</f>
        <v/>
      </c>
      <c r="AD167" s="34" t="str">
        <f>IF(A167="","",SUMIFS('成交明细'!$F$5:$F$804,'成交明细'!$A$5:$A$804,A167,'成交明细'!$D$5:$D$804,IF(F167="空","买","卖")))</f>
        <v/>
      </c>
      <c r="AE167" s="41" t="str">
        <f>IF(N(AD167)&gt;0,SUMIFS('成交明细'!$H$5:$H$804,'成交明细'!$A$5:$A$804,A167,'成交明细'!$D$5:$D$804,IF(F167="空","买","卖"))/AD167,"")</f>
        <v/>
      </c>
      <c r="AF167" s="38" t="str">
        <f>IF(A167="","",IF(X167&lt;&gt;"已执行",IF(X167="","未填执行情况",X167),IF(N(AB167)=0,"待录成交",IF(N(AD167)&gt;N(AB167),"平仓多于开仓",IF(N(AD167)&lt;N(AB167),"持仓中","已平仓")))))</f>
        <v/>
      </c>
      <c r="AG167" s="42" t="str">
        <f>IF(N(AB167)=0,"",SUMIFS('成交明细'!$L$5:$L$804,'成交明细'!$A$5:$A$804,A167))</f>
        <v/>
      </c>
      <c r="AH167" s="43" t="str">
        <f>IF(A167="","",SUMIFS('资金费流水'!$F$5:$F$604,'资金费流水'!$B$5:$B$604,A167))</f>
        <v/>
      </c>
      <c r="AI167" s="43" t="str">
        <f>IF(AF167&lt;&gt;"已平仓","",(SUMIFS('成交明细'!$H$5:$H$804,'成交明细'!$A$5:$A$804,A167,'成交明细'!$D$5:$D$804,"卖")-SUMIFS('成交明细'!$H$5:$H$804,'成交明细'!$A$5:$A$804,A167,'成交明细'!$D$5:$D$804,"买"))*1-AG167+N(AH167))</f>
        <v/>
      </c>
      <c r="AJ167" s="44" t="str">
        <f>IF(AND(AF167="已平仓",ISNUMBER(Q167)),(SUMIFS('成交明细'!$H$5:$H$804,'成交明细'!$A$5:$A$804,A167,'成交明细'!$D$5:$D$804,"卖")-SUMIFS('成交明细'!$H$5:$H$804,'成交明细'!$A$5:$A$804,A167,'成交明细'!$D$5:$D$804,"买"))*1/Q167,"")</f>
        <v/>
      </c>
      <c r="AK167" s="44" t="str">
        <f>IF(AND(AF167="已平仓",ISNUMBER(Q167)),AI167/Q167,"")</f>
        <v/>
      </c>
      <c r="AL167" s="45" t="str">
        <f>IF(AND(ISNUMBER(AC167),ISNUMBER(K167)),IF(F167="空",K167-AC167,AC167-K167),"")</f>
        <v/>
      </c>
      <c r="AM167" s="45" t="str">
        <f>IF(OR(NOT(ISNUMBER(AI167)),NOT(ISNUMBER(AE167))),"",IF(AI167&lt;0,IF(F167="空",AE167-L167,L167-AE167),IF(NOT(ISNUMBER(M167)),"",IF(F167="空",AE167-M167,M167-AE167))))</f>
        <v/>
      </c>
      <c r="AN167" s="31" t="n"/>
      <c r="AO167" s="31" t="n"/>
      <c r="AP167" s="30" t="n"/>
      <c r="AQ167" s="44" t="str">
        <f>IF(A167="","",SUM(AK$5:AK167))</f>
        <v/>
      </c>
      <c r="AR167" s="46" t="str">
        <f>IF(A167="","",MAX(0,MAX(AQ$5:AQ167))-AQ167)</f>
        <v/>
      </c>
    </row>
    <row r="168">
      <c r="A168" s="24" t="n"/>
      <c r="B168" s="29" t="n"/>
      <c r="C168" s="30" t="n"/>
      <c r="D168" s="31" t="n"/>
      <c r="E168" s="31" t="n"/>
      <c r="F168" s="31" t="n"/>
      <c r="G168" s="21" t="n"/>
      <c r="H168" s="31" t="n"/>
      <c r="I168" s="23" t="n"/>
      <c r="J168" s="31" t="n"/>
      <c r="K168" s="32" t="n"/>
      <c r="L168" s="32" t="n"/>
      <c r="M168" s="32" t="n"/>
      <c r="N168" s="33" t="str">
        <f>IF(AND(ISNUMBER(K168),ISNUMBER(L168),ISNUMBER(M168)),IF(OR(AND(F168="多",K168&gt;L168),AND(F168="空",K168&lt;L168)),ABS(M168-K168)/ABS(K168-L168),"止损方向不对"),"")</f>
        <v/>
      </c>
      <c r="O168" s="34" t="str">
        <f>IF(AND(ISNUMBER(K168),ISNUMBER(L168)),IF(K168=L168,"",IF(INT(ROUND('参数'!$C$7/(ABS(K168-L168)*1+2*K168*'参数'!$C$12)/IF(N(J168)&gt;0,J168,1),6))*IF(N(J168)&gt;0,J168,1)&gt;0,INT(ROUND('参数'!$C$7/(ABS(K168-L168)*1+2*K168*'参数'!$C$12)/IF(N(J168)&gt;0,J168,1),6))*IF(N(J168)&gt;0,J168,1),"预算不足，这笔不做")),"")</f>
        <v/>
      </c>
      <c r="P168" s="35" t="n"/>
      <c r="Q168" s="20" t="str">
        <f>IF(AND(ISNUMBER(K168),ISNUMBER(L168),ISNUMBER(P168)),IF(AND(K168&lt;&gt;L168,P168&gt;0),ABS(K168-L168)*P168*1,""),"")</f>
        <v/>
      </c>
      <c r="R168" s="20" t="str">
        <f>IF(AND(ISNUMBER(K168),ISNUMBER(P168)),K168*P168,"")</f>
        <v/>
      </c>
      <c r="S168" s="20" t="str">
        <f>IF(AND(D168="合约",ISNUMBER(R168),N(G168)&gt;0),R168/G168,"")</f>
        <v/>
      </c>
      <c r="T168" s="36" t="str">
        <f>IF(NOT(D168="合约"),"",IF(H168&lt;&gt;"逐仓","看平台",IF(AND(ISNUMBER(K168),N(G168)&gt;0),IF(F168="空",K168*(1+1/G168-IF(ISNUMBER(I168),I168,'参数'!$C$13)),K168*(1-1/G168+IF(ISNUMBER(I168),I168,'参数'!$C$13))),"")))</f>
        <v/>
      </c>
      <c r="U168" s="37" t="str">
        <f>IF(AND(ISNUMBER(T168),ISNUMBER(L168),ISNUMBER(K168)),IF(F168="空",T168-L168,L168-T168)/K168,"")</f>
        <v/>
      </c>
      <c r="V168" s="38" t="str">
        <f>IF(ISNUMBER(U168),IF(U168&lt;'参数'!$C$15,"先降杠杆或减量","在止损外"),"")</f>
        <v/>
      </c>
      <c r="W168" s="30" t="n"/>
      <c r="X168" s="31" t="n"/>
      <c r="Y168" s="39" t="str">
        <f>IF(N(AB168)&gt;0,SUMPRODUCT(LARGE(('成交明细'!$A$5:$A$804=A168)*('成交明细'!$D$5:$D$804=IF(F168="空","卖","买"))*'成交明细'!$B$5:$B$804,COUNTIFS('成交明细'!$A$5:$A$804,A168,'成交明细'!$D$5:$D$804,IF(F168="空","卖","买")))),"")</f>
        <v/>
      </c>
      <c r="Z168" s="39" t="str">
        <f>IF(AND(N(AB168)&gt;0,N(AD168)&gt;=N(AB168)),SUMPRODUCT(MAX(('成交明细'!$A$5:$A$804=A168)*('成交明细'!$D$5:$D$804=IF(F168="空","买","卖"))*'成交明细'!$B$5:$B$804)),"")</f>
        <v/>
      </c>
      <c r="AA168" s="40" t="str">
        <f>IF(N(AB168)=0,"",IF(SUMPRODUCT(('成交明细'!$A$5:$A$804=A168)*('成交明细'!$D$5:$D$804=IF(F168="空","卖","买"))*ISNUMBER('成交明细'!$C$5:$C$804))=0,"没填时间",IFERROR(VLOOKUP(MOD(SUMPRODUCT(LARGE(('成交明细'!$A$5:$A$804=A168)*('成交明细'!$D$5:$D$804=IF(F168="空","卖","买"))*('成交明细'!$B$5:$B$804+'成交明细'!$C$5:$C$804),COUNTIFS('成交明细'!$A$5:$A$804,A168,'成交明细'!$D$5:$D$804,IF(F168="空","卖","买")))),1),'参数'!$B$39:$C$48,2,TRUE),"")))</f>
        <v/>
      </c>
      <c r="AB168" s="34" t="str">
        <f>IF(A168="","",SUMIFS('成交明细'!$F$5:$F$804,'成交明细'!$A$5:$A$804,A168,'成交明细'!$D$5:$D$804,IF(F168="空","卖","买")))</f>
        <v/>
      </c>
      <c r="AC168" s="41" t="str">
        <f>IF(N(AB168)&gt;0,SUMIFS('成交明细'!$H$5:$H$804,'成交明细'!$A$5:$A$804,A168,'成交明细'!$D$5:$D$804,IF(F168="空","卖","买"))/AB168,"")</f>
        <v/>
      </c>
      <c r="AD168" s="34" t="str">
        <f>IF(A168="","",SUMIFS('成交明细'!$F$5:$F$804,'成交明细'!$A$5:$A$804,A168,'成交明细'!$D$5:$D$804,IF(F168="空","买","卖")))</f>
        <v/>
      </c>
      <c r="AE168" s="41" t="str">
        <f>IF(N(AD168)&gt;0,SUMIFS('成交明细'!$H$5:$H$804,'成交明细'!$A$5:$A$804,A168,'成交明细'!$D$5:$D$804,IF(F168="空","买","卖"))/AD168,"")</f>
        <v/>
      </c>
      <c r="AF168" s="38" t="str">
        <f>IF(A168="","",IF(X168&lt;&gt;"已执行",IF(X168="","未填执行情况",X168),IF(N(AB168)=0,"待录成交",IF(N(AD168)&gt;N(AB168),"平仓多于开仓",IF(N(AD168)&lt;N(AB168),"持仓中","已平仓")))))</f>
        <v/>
      </c>
      <c r="AG168" s="42" t="str">
        <f>IF(N(AB168)=0,"",SUMIFS('成交明细'!$L$5:$L$804,'成交明细'!$A$5:$A$804,A168))</f>
        <v/>
      </c>
      <c r="AH168" s="43" t="str">
        <f>IF(A168="","",SUMIFS('资金费流水'!$F$5:$F$604,'资金费流水'!$B$5:$B$604,A168))</f>
        <v/>
      </c>
      <c r="AI168" s="43" t="str">
        <f>IF(AF168&lt;&gt;"已平仓","",(SUMIFS('成交明细'!$H$5:$H$804,'成交明细'!$A$5:$A$804,A168,'成交明细'!$D$5:$D$804,"卖")-SUMIFS('成交明细'!$H$5:$H$804,'成交明细'!$A$5:$A$804,A168,'成交明细'!$D$5:$D$804,"买"))*1-AG168+N(AH168))</f>
        <v/>
      </c>
      <c r="AJ168" s="44" t="str">
        <f>IF(AND(AF168="已平仓",ISNUMBER(Q168)),(SUMIFS('成交明细'!$H$5:$H$804,'成交明细'!$A$5:$A$804,A168,'成交明细'!$D$5:$D$804,"卖")-SUMIFS('成交明细'!$H$5:$H$804,'成交明细'!$A$5:$A$804,A168,'成交明细'!$D$5:$D$804,"买"))*1/Q168,"")</f>
        <v/>
      </c>
      <c r="AK168" s="44" t="str">
        <f>IF(AND(AF168="已平仓",ISNUMBER(Q168)),AI168/Q168,"")</f>
        <v/>
      </c>
      <c r="AL168" s="45" t="str">
        <f>IF(AND(ISNUMBER(AC168),ISNUMBER(K168)),IF(F168="空",K168-AC168,AC168-K168),"")</f>
        <v/>
      </c>
      <c r="AM168" s="45" t="str">
        <f>IF(OR(NOT(ISNUMBER(AI168)),NOT(ISNUMBER(AE168))),"",IF(AI168&lt;0,IF(F168="空",AE168-L168,L168-AE168),IF(NOT(ISNUMBER(M168)),"",IF(F168="空",AE168-M168,M168-AE168))))</f>
        <v/>
      </c>
      <c r="AN168" s="31" t="n"/>
      <c r="AO168" s="31" t="n"/>
      <c r="AP168" s="30" t="n"/>
      <c r="AQ168" s="44" t="str">
        <f>IF(A168="","",SUM(AK$5:AK168))</f>
        <v/>
      </c>
      <c r="AR168" s="46" t="str">
        <f>IF(A168="","",MAX(0,MAX(AQ$5:AQ168))-AQ168)</f>
        <v/>
      </c>
    </row>
    <row r="169">
      <c r="A169" s="24" t="n"/>
      <c r="B169" s="29" t="n"/>
      <c r="C169" s="30" t="n"/>
      <c r="D169" s="31" t="n"/>
      <c r="E169" s="31" t="n"/>
      <c r="F169" s="31" t="n"/>
      <c r="G169" s="21" t="n"/>
      <c r="H169" s="31" t="n"/>
      <c r="I169" s="23" t="n"/>
      <c r="J169" s="31" t="n"/>
      <c r="K169" s="32" t="n"/>
      <c r="L169" s="32" t="n"/>
      <c r="M169" s="32" t="n"/>
      <c r="N169" s="33" t="str">
        <f>IF(AND(ISNUMBER(K169),ISNUMBER(L169),ISNUMBER(M169)),IF(OR(AND(F169="多",K169&gt;L169),AND(F169="空",K169&lt;L169)),ABS(M169-K169)/ABS(K169-L169),"止损方向不对"),"")</f>
        <v/>
      </c>
      <c r="O169" s="34" t="str">
        <f>IF(AND(ISNUMBER(K169),ISNUMBER(L169)),IF(K169=L169,"",IF(INT(ROUND('参数'!$C$7/(ABS(K169-L169)*1+2*K169*'参数'!$C$12)/IF(N(J169)&gt;0,J169,1),6))*IF(N(J169)&gt;0,J169,1)&gt;0,INT(ROUND('参数'!$C$7/(ABS(K169-L169)*1+2*K169*'参数'!$C$12)/IF(N(J169)&gt;0,J169,1),6))*IF(N(J169)&gt;0,J169,1),"预算不足，这笔不做")),"")</f>
        <v/>
      </c>
      <c r="P169" s="35" t="n"/>
      <c r="Q169" s="20" t="str">
        <f>IF(AND(ISNUMBER(K169),ISNUMBER(L169),ISNUMBER(P169)),IF(AND(K169&lt;&gt;L169,P169&gt;0),ABS(K169-L169)*P169*1,""),"")</f>
        <v/>
      </c>
      <c r="R169" s="20" t="str">
        <f>IF(AND(ISNUMBER(K169),ISNUMBER(P169)),K169*P169,"")</f>
        <v/>
      </c>
      <c r="S169" s="20" t="str">
        <f>IF(AND(D169="合约",ISNUMBER(R169),N(G169)&gt;0),R169/G169,"")</f>
        <v/>
      </c>
      <c r="T169" s="36" t="str">
        <f>IF(NOT(D169="合约"),"",IF(H169&lt;&gt;"逐仓","看平台",IF(AND(ISNUMBER(K169),N(G169)&gt;0),IF(F169="空",K169*(1+1/G169-IF(ISNUMBER(I169),I169,'参数'!$C$13)),K169*(1-1/G169+IF(ISNUMBER(I169),I169,'参数'!$C$13))),"")))</f>
        <v/>
      </c>
      <c r="U169" s="37" t="str">
        <f>IF(AND(ISNUMBER(T169),ISNUMBER(L169),ISNUMBER(K169)),IF(F169="空",T169-L169,L169-T169)/K169,"")</f>
        <v/>
      </c>
      <c r="V169" s="38" t="str">
        <f>IF(ISNUMBER(U169),IF(U169&lt;'参数'!$C$15,"先降杠杆或减量","在止损外"),"")</f>
        <v/>
      </c>
      <c r="W169" s="30" t="n"/>
      <c r="X169" s="31" t="n"/>
      <c r="Y169" s="39" t="str">
        <f>IF(N(AB169)&gt;0,SUMPRODUCT(LARGE(('成交明细'!$A$5:$A$804=A169)*('成交明细'!$D$5:$D$804=IF(F169="空","卖","买"))*'成交明细'!$B$5:$B$804,COUNTIFS('成交明细'!$A$5:$A$804,A169,'成交明细'!$D$5:$D$804,IF(F169="空","卖","买")))),"")</f>
        <v/>
      </c>
      <c r="Z169" s="39" t="str">
        <f>IF(AND(N(AB169)&gt;0,N(AD169)&gt;=N(AB169)),SUMPRODUCT(MAX(('成交明细'!$A$5:$A$804=A169)*('成交明细'!$D$5:$D$804=IF(F169="空","买","卖"))*'成交明细'!$B$5:$B$804)),"")</f>
        <v/>
      </c>
      <c r="AA169" s="40" t="str">
        <f>IF(N(AB169)=0,"",IF(SUMPRODUCT(('成交明细'!$A$5:$A$804=A169)*('成交明细'!$D$5:$D$804=IF(F169="空","卖","买"))*ISNUMBER('成交明细'!$C$5:$C$804))=0,"没填时间",IFERROR(VLOOKUP(MOD(SUMPRODUCT(LARGE(('成交明细'!$A$5:$A$804=A169)*('成交明细'!$D$5:$D$804=IF(F169="空","卖","买"))*('成交明细'!$B$5:$B$804+'成交明细'!$C$5:$C$804),COUNTIFS('成交明细'!$A$5:$A$804,A169,'成交明细'!$D$5:$D$804,IF(F169="空","卖","买")))),1),'参数'!$B$39:$C$48,2,TRUE),"")))</f>
        <v/>
      </c>
      <c r="AB169" s="34" t="str">
        <f>IF(A169="","",SUMIFS('成交明细'!$F$5:$F$804,'成交明细'!$A$5:$A$804,A169,'成交明细'!$D$5:$D$804,IF(F169="空","卖","买")))</f>
        <v/>
      </c>
      <c r="AC169" s="41" t="str">
        <f>IF(N(AB169)&gt;0,SUMIFS('成交明细'!$H$5:$H$804,'成交明细'!$A$5:$A$804,A169,'成交明细'!$D$5:$D$804,IF(F169="空","卖","买"))/AB169,"")</f>
        <v/>
      </c>
      <c r="AD169" s="34" t="str">
        <f>IF(A169="","",SUMIFS('成交明细'!$F$5:$F$804,'成交明细'!$A$5:$A$804,A169,'成交明细'!$D$5:$D$804,IF(F169="空","买","卖")))</f>
        <v/>
      </c>
      <c r="AE169" s="41" t="str">
        <f>IF(N(AD169)&gt;0,SUMIFS('成交明细'!$H$5:$H$804,'成交明细'!$A$5:$A$804,A169,'成交明细'!$D$5:$D$804,IF(F169="空","买","卖"))/AD169,"")</f>
        <v/>
      </c>
      <c r="AF169" s="38" t="str">
        <f>IF(A169="","",IF(X169&lt;&gt;"已执行",IF(X169="","未填执行情况",X169),IF(N(AB169)=0,"待录成交",IF(N(AD169)&gt;N(AB169),"平仓多于开仓",IF(N(AD169)&lt;N(AB169),"持仓中","已平仓")))))</f>
        <v/>
      </c>
      <c r="AG169" s="42" t="str">
        <f>IF(N(AB169)=0,"",SUMIFS('成交明细'!$L$5:$L$804,'成交明细'!$A$5:$A$804,A169))</f>
        <v/>
      </c>
      <c r="AH169" s="43" t="str">
        <f>IF(A169="","",SUMIFS('资金费流水'!$F$5:$F$604,'资金费流水'!$B$5:$B$604,A169))</f>
        <v/>
      </c>
      <c r="AI169" s="43" t="str">
        <f>IF(AF169&lt;&gt;"已平仓","",(SUMIFS('成交明细'!$H$5:$H$804,'成交明细'!$A$5:$A$804,A169,'成交明细'!$D$5:$D$804,"卖")-SUMIFS('成交明细'!$H$5:$H$804,'成交明细'!$A$5:$A$804,A169,'成交明细'!$D$5:$D$804,"买"))*1-AG169+N(AH169))</f>
        <v/>
      </c>
      <c r="AJ169" s="44" t="str">
        <f>IF(AND(AF169="已平仓",ISNUMBER(Q169)),(SUMIFS('成交明细'!$H$5:$H$804,'成交明细'!$A$5:$A$804,A169,'成交明细'!$D$5:$D$804,"卖")-SUMIFS('成交明细'!$H$5:$H$804,'成交明细'!$A$5:$A$804,A169,'成交明细'!$D$5:$D$804,"买"))*1/Q169,"")</f>
        <v/>
      </c>
      <c r="AK169" s="44" t="str">
        <f>IF(AND(AF169="已平仓",ISNUMBER(Q169)),AI169/Q169,"")</f>
        <v/>
      </c>
      <c r="AL169" s="45" t="str">
        <f>IF(AND(ISNUMBER(AC169),ISNUMBER(K169)),IF(F169="空",K169-AC169,AC169-K169),"")</f>
        <v/>
      </c>
      <c r="AM169" s="45" t="str">
        <f>IF(OR(NOT(ISNUMBER(AI169)),NOT(ISNUMBER(AE169))),"",IF(AI169&lt;0,IF(F169="空",AE169-L169,L169-AE169),IF(NOT(ISNUMBER(M169)),"",IF(F169="空",AE169-M169,M169-AE169))))</f>
        <v/>
      </c>
      <c r="AN169" s="31" t="n"/>
      <c r="AO169" s="31" t="n"/>
      <c r="AP169" s="30" t="n"/>
      <c r="AQ169" s="44" t="str">
        <f>IF(A169="","",SUM(AK$5:AK169))</f>
        <v/>
      </c>
      <c r="AR169" s="46" t="str">
        <f>IF(A169="","",MAX(0,MAX(AQ$5:AQ169))-AQ169)</f>
        <v/>
      </c>
    </row>
    <row r="170">
      <c r="A170" s="24" t="n"/>
      <c r="B170" s="29" t="n"/>
      <c r="C170" s="30" t="n"/>
      <c r="D170" s="31" t="n"/>
      <c r="E170" s="31" t="n"/>
      <c r="F170" s="31" t="n"/>
      <c r="G170" s="21" t="n"/>
      <c r="H170" s="31" t="n"/>
      <c r="I170" s="23" t="n"/>
      <c r="J170" s="31" t="n"/>
      <c r="K170" s="32" t="n"/>
      <c r="L170" s="32" t="n"/>
      <c r="M170" s="32" t="n"/>
      <c r="N170" s="33" t="str">
        <f>IF(AND(ISNUMBER(K170),ISNUMBER(L170),ISNUMBER(M170)),IF(OR(AND(F170="多",K170&gt;L170),AND(F170="空",K170&lt;L170)),ABS(M170-K170)/ABS(K170-L170),"止损方向不对"),"")</f>
        <v/>
      </c>
      <c r="O170" s="34" t="str">
        <f>IF(AND(ISNUMBER(K170),ISNUMBER(L170)),IF(K170=L170,"",IF(INT(ROUND('参数'!$C$7/(ABS(K170-L170)*1+2*K170*'参数'!$C$12)/IF(N(J170)&gt;0,J170,1),6))*IF(N(J170)&gt;0,J170,1)&gt;0,INT(ROUND('参数'!$C$7/(ABS(K170-L170)*1+2*K170*'参数'!$C$12)/IF(N(J170)&gt;0,J170,1),6))*IF(N(J170)&gt;0,J170,1),"预算不足，这笔不做")),"")</f>
        <v/>
      </c>
      <c r="P170" s="35" t="n"/>
      <c r="Q170" s="20" t="str">
        <f>IF(AND(ISNUMBER(K170),ISNUMBER(L170),ISNUMBER(P170)),IF(AND(K170&lt;&gt;L170,P170&gt;0),ABS(K170-L170)*P170*1,""),"")</f>
        <v/>
      </c>
      <c r="R170" s="20" t="str">
        <f>IF(AND(ISNUMBER(K170),ISNUMBER(P170)),K170*P170,"")</f>
        <v/>
      </c>
      <c r="S170" s="20" t="str">
        <f>IF(AND(D170="合约",ISNUMBER(R170),N(G170)&gt;0),R170/G170,"")</f>
        <v/>
      </c>
      <c r="T170" s="36" t="str">
        <f>IF(NOT(D170="合约"),"",IF(H170&lt;&gt;"逐仓","看平台",IF(AND(ISNUMBER(K170),N(G170)&gt;0),IF(F170="空",K170*(1+1/G170-IF(ISNUMBER(I170),I170,'参数'!$C$13)),K170*(1-1/G170+IF(ISNUMBER(I170),I170,'参数'!$C$13))),"")))</f>
        <v/>
      </c>
      <c r="U170" s="37" t="str">
        <f>IF(AND(ISNUMBER(T170),ISNUMBER(L170),ISNUMBER(K170)),IF(F170="空",T170-L170,L170-T170)/K170,"")</f>
        <v/>
      </c>
      <c r="V170" s="38" t="str">
        <f>IF(ISNUMBER(U170),IF(U170&lt;'参数'!$C$15,"先降杠杆或减量","在止损外"),"")</f>
        <v/>
      </c>
      <c r="W170" s="30" t="n"/>
      <c r="X170" s="31" t="n"/>
      <c r="Y170" s="39" t="str">
        <f>IF(N(AB170)&gt;0,SUMPRODUCT(LARGE(('成交明细'!$A$5:$A$804=A170)*('成交明细'!$D$5:$D$804=IF(F170="空","卖","买"))*'成交明细'!$B$5:$B$804,COUNTIFS('成交明细'!$A$5:$A$804,A170,'成交明细'!$D$5:$D$804,IF(F170="空","卖","买")))),"")</f>
        <v/>
      </c>
      <c r="Z170" s="39" t="str">
        <f>IF(AND(N(AB170)&gt;0,N(AD170)&gt;=N(AB170)),SUMPRODUCT(MAX(('成交明细'!$A$5:$A$804=A170)*('成交明细'!$D$5:$D$804=IF(F170="空","买","卖"))*'成交明细'!$B$5:$B$804)),"")</f>
        <v/>
      </c>
      <c r="AA170" s="40" t="str">
        <f>IF(N(AB170)=0,"",IF(SUMPRODUCT(('成交明细'!$A$5:$A$804=A170)*('成交明细'!$D$5:$D$804=IF(F170="空","卖","买"))*ISNUMBER('成交明细'!$C$5:$C$804))=0,"没填时间",IFERROR(VLOOKUP(MOD(SUMPRODUCT(LARGE(('成交明细'!$A$5:$A$804=A170)*('成交明细'!$D$5:$D$804=IF(F170="空","卖","买"))*('成交明细'!$B$5:$B$804+'成交明细'!$C$5:$C$804),COUNTIFS('成交明细'!$A$5:$A$804,A170,'成交明细'!$D$5:$D$804,IF(F170="空","卖","买")))),1),'参数'!$B$39:$C$48,2,TRUE),"")))</f>
        <v/>
      </c>
      <c r="AB170" s="34" t="str">
        <f>IF(A170="","",SUMIFS('成交明细'!$F$5:$F$804,'成交明细'!$A$5:$A$804,A170,'成交明细'!$D$5:$D$804,IF(F170="空","卖","买")))</f>
        <v/>
      </c>
      <c r="AC170" s="41" t="str">
        <f>IF(N(AB170)&gt;0,SUMIFS('成交明细'!$H$5:$H$804,'成交明细'!$A$5:$A$804,A170,'成交明细'!$D$5:$D$804,IF(F170="空","卖","买"))/AB170,"")</f>
        <v/>
      </c>
      <c r="AD170" s="34" t="str">
        <f>IF(A170="","",SUMIFS('成交明细'!$F$5:$F$804,'成交明细'!$A$5:$A$804,A170,'成交明细'!$D$5:$D$804,IF(F170="空","买","卖")))</f>
        <v/>
      </c>
      <c r="AE170" s="41" t="str">
        <f>IF(N(AD170)&gt;0,SUMIFS('成交明细'!$H$5:$H$804,'成交明细'!$A$5:$A$804,A170,'成交明细'!$D$5:$D$804,IF(F170="空","买","卖"))/AD170,"")</f>
        <v/>
      </c>
      <c r="AF170" s="38" t="str">
        <f>IF(A170="","",IF(X170&lt;&gt;"已执行",IF(X170="","未填执行情况",X170),IF(N(AB170)=0,"待录成交",IF(N(AD170)&gt;N(AB170),"平仓多于开仓",IF(N(AD170)&lt;N(AB170),"持仓中","已平仓")))))</f>
        <v/>
      </c>
      <c r="AG170" s="42" t="str">
        <f>IF(N(AB170)=0,"",SUMIFS('成交明细'!$L$5:$L$804,'成交明细'!$A$5:$A$804,A170))</f>
        <v/>
      </c>
      <c r="AH170" s="43" t="str">
        <f>IF(A170="","",SUMIFS('资金费流水'!$F$5:$F$604,'资金费流水'!$B$5:$B$604,A170))</f>
        <v/>
      </c>
      <c r="AI170" s="43" t="str">
        <f>IF(AF170&lt;&gt;"已平仓","",(SUMIFS('成交明细'!$H$5:$H$804,'成交明细'!$A$5:$A$804,A170,'成交明细'!$D$5:$D$804,"卖")-SUMIFS('成交明细'!$H$5:$H$804,'成交明细'!$A$5:$A$804,A170,'成交明细'!$D$5:$D$804,"买"))*1-AG170+N(AH170))</f>
        <v/>
      </c>
      <c r="AJ170" s="44" t="str">
        <f>IF(AND(AF170="已平仓",ISNUMBER(Q170)),(SUMIFS('成交明细'!$H$5:$H$804,'成交明细'!$A$5:$A$804,A170,'成交明细'!$D$5:$D$804,"卖")-SUMIFS('成交明细'!$H$5:$H$804,'成交明细'!$A$5:$A$804,A170,'成交明细'!$D$5:$D$804,"买"))*1/Q170,"")</f>
        <v/>
      </c>
      <c r="AK170" s="44" t="str">
        <f>IF(AND(AF170="已平仓",ISNUMBER(Q170)),AI170/Q170,"")</f>
        <v/>
      </c>
      <c r="AL170" s="45" t="str">
        <f>IF(AND(ISNUMBER(AC170),ISNUMBER(K170)),IF(F170="空",K170-AC170,AC170-K170),"")</f>
        <v/>
      </c>
      <c r="AM170" s="45" t="str">
        <f>IF(OR(NOT(ISNUMBER(AI170)),NOT(ISNUMBER(AE170))),"",IF(AI170&lt;0,IF(F170="空",AE170-L170,L170-AE170),IF(NOT(ISNUMBER(M170)),"",IF(F170="空",AE170-M170,M170-AE170))))</f>
        <v/>
      </c>
      <c r="AN170" s="31" t="n"/>
      <c r="AO170" s="31" t="n"/>
      <c r="AP170" s="30" t="n"/>
      <c r="AQ170" s="44" t="str">
        <f>IF(A170="","",SUM(AK$5:AK170))</f>
        <v/>
      </c>
      <c r="AR170" s="46" t="str">
        <f>IF(A170="","",MAX(0,MAX(AQ$5:AQ170))-AQ170)</f>
        <v/>
      </c>
    </row>
    <row r="171">
      <c r="A171" s="24" t="n"/>
      <c r="B171" s="29" t="n"/>
      <c r="C171" s="30" t="n"/>
      <c r="D171" s="31" t="n"/>
      <c r="E171" s="31" t="n"/>
      <c r="F171" s="31" t="n"/>
      <c r="G171" s="21" t="n"/>
      <c r="H171" s="31" t="n"/>
      <c r="I171" s="23" t="n"/>
      <c r="J171" s="31" t="n"/>
      <c r="K171" s="32" t="n"/>
      <c r="L171" s="32" t="n"/>
      <c r="M171" s="32" t="n"/>
      <c r="N171" s="33" t="str">
        <f>IF(AND(ISNUMBER(K171),ISNUMBER(L171),ISNUMBER(M171)),IF(OR(AND(F171="多",K171&gt;L171),AND(F171="空",K171&lt;L171)),ABS(M171-K171)/ABS(K171-L171),"止损方向不对"),"")</f>
        <v/>
      </c>
      <c r="O171" s="34" t="str">
        <f>IF(AND(ISNUMBER(K171),ISNUMBER(L171)),IF(K171=L171,"",IF(INT(ROUND('参数'!$C$7/(ABS(K171-L171)*1+2*K171*'参数'!$C$12)/IF(N(J171)&gt;0,J171,1),6))*IF(N(J171)&gt;0,J171,1)&gt;0,INT(ROUND('参数'!$C$7/(ABS(K171-L171)*1+2*K171*'参数'!$C$12)/IF(N(J171)&gt;0,J171,1),6))*IF(N(J171)&gt;0,J171,1),"预算不足，这笔不做")),"")</f>
        <v/>
      </c>
      <c r="P171" s="35" t="n"/>
      <c r="Q171" s="20" t="str">
        <f>IF(AND(ISNUMBER(K171),ISNUMBER(L171),ISNUMBER(P171)),IF(AND(K171&lt;&gt;L171,P171&gt;0),ABS(K171-L171)*P171*1,""),"")</f>
        <v/>
      </c>
      <c r="R171" s="20" t="str">
        <f>IF(AND(ISNUMBER(K171),ISNUMBER(P171)),K171*P171,"")</f>
        <v/>
      </c>
      <c r="S171" s="20" t="str">
        <f>IF(AND(D171="合约",ISNUMBER(R171),N(G171)&gt;0),R171/G171,"")</f>
        <v/>
      </c>
      <c r="T171" s="36" t="str">
        <f>IF(NOT(D171="合约"),"",IF(H171&lt;&gt;"逐仓","看平台",IF(AND(ISNUMBER(K171),N(G171)&gt;0),IF(F171="空",K171*(1+1/G171-IF(ISNUMBER(I171),I171,'参数'!$C$13)),K171*(1-1/G171+IF(ISNUMBER(I171),I171,'参数'!$C$13))),"")))</f>
        <v/>
      </c>
      <c r="U171" s="37" t="str">
        <f>IF(AND(ISNUMBER(T171),ISNUMBER(L171),ISNUMBER(K171)),IF(F171="空",T171-L171,L171-T171)/K171,"")</f>
        <v/>
      </c>
      <c r="V171" s="38" t="str">
        <f>IF(ISNUMBER(U171),IF(U171&lt;'参数'!$C$15,"先降杠杆或减量","在止损外"),"")</f>
        <v/>
      </c>
      <c r="W171" s="30" t="n"/>
      <c r="X171" s="31" t="n"/>
      <c r="Y171" s="39" t="str">
        <f>IF(N(AB171)&gt;0,SUMPRODUCT(LARGE(('成交明细'!$A$5:$A$804=A171)*('成交明细'!$D$5:$D$804=IF(F171="空","卖","买"))*'成交明细'!$B$5:$B$804,COUNTIFS('成交明细'!$A$5:$A$804,A171,'成交明细'!$D$5:$D$804,IF(F171="空","卖","买")))),"")</f>
        <v/>
      </c>
      <c r="Z171" s="39" t="str">
        <f>IF(AND(N(AB171)&gt;0,N(AD171)&gt;=N(AB171)),SUMPRODUCT(MAX(('成交明细'!$A$5:$A$804=A171)*('成交明细'!$D$5:$D$804=IF(F171="空","买","卖"))*'成交明细'!$B$5:$B$804)),"")</f>
        <v/>
      </c>
      <c r="AA171" s="40" t="str">
        <f>IF(N(AB171)=0,"",IF(SUMPRODUCT(('成交明细'!$A$5:$A$804=A171)*('成交明细'!$D$5:$D$804=IF(F171="空","卖","买"))*ISNUMBER('成交明细'!$C$5:$C$804))=0,"没填时间",IFERROR(VLOOKUP(MOD(SUMPRODUCT(LARGE(('成交明细'!$A$5:$A$804=A171)*('成交明细'!$D$5:$D$804=IF(F171="空","卖","买"))*('成交明细'!$B$5:$B$804+'成交明细'!$C$5:$C$804),COUNTIFS('成交明细'!$A$5:$A$804,A171,'成交明细'!$D$5:$D$804,IF(F171="空","卖","买")))),1),'参数'!$B$39:$C$48,2,TRUE),"")))</f>
        <v/>
      </c>
      <c r="AB171" s="34" t="str">
        <f>IF(A171="","",SUMIFS('成交明细'!$F$5:$F$804,'成交明细'!$A$5:$A$804,A171,'成交明细'!$D$5:$D$804,IF(F171="空","卖","买")))</f>
        <v/>
      </c>
      <c r="AC171" s="41" t="str">
        <f>IF(N(AB171)&gt;0,SUMIFS('成交明细'!$H$5:$H$804,'成交明细'!$A$5:$A$804,A171,'成交明细'!$D$5:$D$804,IF(F171="空","卖","买"))/AB171,"")</f>
        <v/>
      </c>
      <c r="AD171" s="34" t="str">
        <f>IF(A171="","",SUMIFS('成交明细'!$F$5:$F$804,'成交明细'!$A$5:$A$804,A171,'成交明细'!$D$5:$D$804,IF(F171="空","买","卖")))</f>
        <v/>
      </c>
      <c r="AE171" s="41" t="str">
        <f>IF(N(AD171)&gt;0,SUMIFS('成交明细'!$H$5:$H$804,'成交明细'!$A$5:$A$804,A171,'成交明细'!$D$5:$D$804,IF(F171="空","买","卖"))/AD171,"")</f>
        <v/>
      </c>
      <c r="AF171" s="38" t="str">
        <f>IF(A171="","",IF(X171&lt;&gt;"已执行",IF(X171="","未填执行情况",X171),IF(N(AB171)=0,"待录成交",IF(N(AD171)&gt;N(AB171),"平仓多于开仓",IF(N(AD171)&lt;N(AB171),"持仓中","已平仓")))))</f>
        <v/>
      </c>
      <c r="AG171" s="42" t="str">
        <f>IF(N(AB171)=0,"",SUMIFS('成交明细'!$L$5:$L$804,'成交明细'!$A$5:$A$804,A171))</f>
        <v/>
      </c>
      <c r="AH171" s="43" t="str">
        <f>IF(A171="","",SUMIFS('资金费流水'!$F$5:$F$604,'资金费流水'!$B$5:$B$604,A171))</f>
        <v/>
      </c>
      <c r="AI171" s="43" t="str">
        <f>IF(AF171&lt;&gt;"已平仓","",(SUMIFS('成交明细'!$H$5:$H$804,'成交明细'!$A$5:$A$804,A171,'成交明细'!$D$5:$D$804,"卖")-SUMIFS('成交明细'!$H$5:$H$804,'成交明细'!$A$5:$A$804,A171,'成交明细'!$D$5:$D$804,"买"))*1-AG171+N(AH171))</f>
        <v/>
      </c>
      <c r="AJ171" s="44" t="str">
        <f>IF(AND(AF171="已平仓",ISNUMBER(Q171)),(SUMIFS('成交明细'!$H$5:$H$804,'成交明细'!$A$5:$A$804,A171,'成交明细'!$D$5:$D$804,"卖")-SUMIFS('成交明细'!$H$5:$H$804,'成交明细'!$A$5:$A$804,A171,'成交明细'!$D$5:$D$804,"买"))*1/Q171,"")</f>
        <v/>
      </c>
      <c r="AK171" s="44" t="str">
        <f>IF(AND(AF171="已平仓",ISNUMBER(Q171)),AI171/Q171,"")</f>
        <v/>
      </c>
      <c r="AL171" s="45" t="str">
        <f>IF(AND(ISNUMBER(AC171),ISNUMBER(K171)),IF(F171="空",K171-AC171,AC171-K171),"")</f>
        <v/>
      </c>
      <c r="AM171" s="45" t="str">
        <f>IF(OR(NOT(ISNUMBER(AI171)),NOT(ISNUMBER(AE171))),"",IF(AI171&lt;0,IF(F171="空",AE171-L171,L171-AE171),IF(NOT(ISNUMBER(M171)),"",IF(F171="空",AE171-M171,M171-AE171))))</f>
        <v/>
      </c>
      <c r="AN171" s="31" t="n"/>
      <c r="AO171" s="31" t="n"/>
      <c r="AP171" s="30" t="n"/>
      <c r="AQ171" s="44" t="str">
        <f>IF(A171="","",SUM(AK$5:AK171))</f>
        <v/>
      </c>
      <c r="AR171" s="46" t="str">
        <f>IF(A171="","",MAX(0,MAX(AQ$5:AQ171))-AQ171)</f>
        <v/>
      </c>
    </row>
    <row r="172">
      <c r="A172" s="24" t="n"/>
      <c r="B172" s="29" t="n"/>
      <c r="C172" s="30" t="n"/>
      <c r="D172" s="31" t="n"/>
      <c r="E172" s="31" t="n"/>
      <c r="F172" s="31" t="n"/>
      <c r="G172" s="21" t="n"/>
      <c r="H172" s="31" t="n"/>
      <c r="I172" s="23" t="n"/>
      <c r="J172" s="31" t="n"/>
      <c r="K172" s="32" t="n"/>
      <c r="L172" s="32" t="n"/>
      <c r="M172" s="32" t="n"/>
      <c r="N172" s="33" t="str">
        <f>IF(AND(ISNUMBER(K172),ISNUMBER(L172),ISNUMBER(M172)),IF(OR(AND(F172="多",K172&gt;L172),AND(F172="空",K172&lt;L172)),ABS(M172-K172)/ABS(K172-L172),"止损方向不对"),"")</f>
        <v/>
      </c>
      <c r="O172" s="34" t="str">
        <f>IF(AND(ISNUMBER(K172),ISNUMBER(L172)),IF(K172=L172,"",IF(INT(ROUND('参数'!$C$7/(ABS(K172-L172)*1+2*K172*'参数'!$C$12)/IF(N(J172)&gt;0,J172,1),6))*IF(N(J172)&gt;0,J172,1)&gt;0,INT(ROUND('参数'!$C$7/(ABS(K172-L172)*1+2*K172*'参数'!$C$12)/IF(N(J172)&gt;0,J172,1),6))*IF(N(J172)&gt;0,J172,1),"预算不足，这笔不做")),"")</f>
        <v/>
      </c>
      <c r="P172" s="35" t="n"/>
      <c r="Q172" s="20" t="str">
        <f>IF(AND(ISNUMBER(K172),ISNUMBER(L172),ISNUMBER(P172)),IF(AND(K172&lt;&gt;L172,P172&gt;0),ABS(K172-L172)*P172*1,""),"")</f>
        <v/>
      </c>
      <c r="R172" s="20" t="str">
        <f>IF(AND(ISNUMBER(K172),ISNUMBER(P172)),K172*P172,"")</f>
        <v/>
      </c>
      <c r="S172" s="20" t="str">
        <f>IF(AND(D172="合约",ISNUMBER(R172),N(G172)&gt;0),R172/G172,"")</f>
        <v/>
      </c>
      <c r="T172" s="36" t="str">
        <f>IF(NOT(D172="合约"),"",IF(H172&lt;&gt;"逐仓","看平台",IF(AND(ISNUMBER(K172),N(G172)&gt;0),IF(F172="空",K172*(1+1/G172-IF(ISNUMBER(I172),I172,'参数'!$C$13)),K172*(1-1/G172+IF(ISNUMBER(I172),I172,'参数'!$C$13))),"")))</f>
        <v/>
      </c>
      <c r="U172" s="37" t="str">
        <f>IF(AND(ISNUMBER(T172),ISNUMBER(L172),ISNUMBER(K172)),IF(F172="空",T172-L172,L172-T172)/K172,"")</f>
        <v/>
      </c>
      <c r="V172" s="38" t="str">
        <f>IF(ISNUMBER(U172),IF(U172&lt;'参数'!$C$15,"先降杠杆或减量","在止损外"),"")</f>
        <v/>
      </c>
      <c r="W172" s="30" t="n"/>
      <c r="X172" s="31" t="n"/>
      <c r="Y172" s="39" t="str">
        <f>IF(N(AB172)&gt;0,SUMPRODUCT(LARGE(('成交明细'!$A$5:$A$804=A172)*('成交明细'!$D$5:$D$804=IF(F172="空","卖","买"))*'成交明细'!$B$5:$B$804,COUNTIFS('成交明细'!$A$5:$A$804,A172,'成交明细'!$D$5:$D$804,IF(F172="空","卖","买")))),"")</f>
        <v/>
      </c>
      <c r="Z172" s="39" t="str">
        <f>IF(AND(N(AB172)&gt;0,N(AD172)&gt;=N(AB172)),SUMPRODUCT(MAX(('成交明细'!$A$5:$A$804=A172)*('成交明细'!$D$5:$D$804=IF(F172="空","买","卖"))*'成交明细'!$B$5:$B$804)),"")</f>
        <v/>
      </c>
      <c r="AA172" s="40" t="str">
        <f>IF(N(AB172)=0,"",IF(SUMPRODUCT(('成交明细'!$A$5:$A$804=A172)*('成交明细'!$D$5:$D$804=IF(F172="空","卖","买"))*ISNUMBER('成交明细'!$C$5:$C$804))=0,"没填时间",IFERROR(VLOOKUP(MOD(SUMPRODUCT(LARGE(('成交明细'!$A$5:$A$804=A172)*('成交明细'!$D$5:$D$804=IF(F172="空","卖","买"))*('成交明细'!$B$5:$B$804+'成交明细'!$C$5:$C$804),COUNTIFS('成交明细'!$A$5:$A$804,A172,'成交明细'!$D$5:$D$804,IF(F172="空","卖","买")))),1),'参数'!$B$39:$C$48,2,TRUE),"")))</f>
        <v/>
      </c>
      <c r="AB172" s="34" t="str">
        <f>IF(A172="","",SUMIFS('成交明细'!$F$5:$F$804,'成交明细'!$A$5:$A$804,A172,'成交明细'!$D$5:$D$804,IF(F172="空","卖","买")))</f>
        <v/>
      </c>
      <c r="AC172" s="41" t="str">
        <f>IF(N(AB172)&gt;0,SUMIFS('成交明细'!$H$5:$H$804,'成交明细'!$A$5:$A$804,A172,'成交明细'!$D$5:$D$804,IF(F172="空","卖","买"))/AB172,"")</f>
        <v/>
      </c>
      <c r="AD172" s="34" t="str">
        <f>IF(A172="","",SUMIFS('成交明细'!$F$5:$F$804,'成交明细'!$A$5:$A$804,A172,'成交明细'!$D$5:$D$804,IF(F172="空","买","卖")))</f>
        <v/>
      </c>
      <c r="AE172" s="41" t="str">
        <f>IF(N(AD172)&gt;0,SUMIFS('成交明细'!$H$5:$H$804,'成交明细'!$A$5:$A$804,A172,'成交明细'!$D$5:$D$804,IF(F172="空","买","卖"))/AD172,"")</f>
        <v/>
      </c>
      <c r="AF172" s="38" t="str">
        <f>IF(A172="","",IF(X172&lt;&gt;"已执行",IF(X172="","未填执行情况",X172),IF(N(AB172)=0,"待录成交",IF(N(AD172)&gt;N(AB172),"平仓多于开仓",IF(N(AD172)&lt;N(AB172),"持仓中","已平仓")))))</f>
        <v/>
      </c>
      <c r="AG172" s="42" t="str">
        <f>IF(N(AB172)=0,"",SUMIFS('成交明细'!$L$5:$L$804,'成交明细'!$A$5:$A$804,A172))</f>
        <v/>
      </c>
      <c r="AH172" s="43" t="str">
        <f>IF(A172="","",SUMIFS('资金费流水'!$F$5:$F$604,'资金费流水'!$B$5:$B$604,A172))</f>
        <v/>
      </c>
      <c r="AI172" s="43" t="str">
        <f>IF(AF172&lt;&gt;"已平仓","",(SUMIFS('成交明细'!$H$5:$H$804,'成交明细'!$A$5:$A$804,A172,'成交明细'!$D$5:$D$804,"卖")-SUMIFS('成交明细'!$H$5:$H$804,'成交明细'!$A$5:$A$804,A172,'成交明细'!$D$5:$D$804,"买"))*1-AG172+N(AH172))</f>
        <v/>
      </c>
      <c r="AJ172" s="44" t="str">
        <f>IF(AND(AF172="已平仓",ISNUMBER(Q172)),(SUMIFS('成交明细'!$H$5:$H$804,'成交明细'!$A$5:$A$804,A172,'成交明细'!$D$5:$D$804,"卖")-SUMIFS('成交明细'!$H$5:$H$804,'成交明细'!$A$5:$A$804,A172,'成交明细'!$D$5:$D$804,"买"))*1/Q172,"")</f>
        <v/>
      </c>
      <c r="AK172" s="44" t="str">
        <f>IF(AND(AF172="已平仓",ISNUMBER(Q172)),AI172/Q172,"")</f>
        <v/>
      </c>
      <c r="AL172" s="45" t="str">
        <f>IF(AND(ISNUMBER(AC172),ISNUMBER(K172)),IF(F172="空",K172-AC172,AC172-K172),"")</f>
        <v/>
      </c>
      <c r="AM172" s="45" t="str">
        <f>IF(OR(NOT(ISNUMBER(AI172)),NOT(ISNUMBER(AE172))),"",IF(AI172&lt;0,IF(F172="空",AE172-L172,L172-AE172),IF(NOT(ISNUMBER(M172)),"",IF(F172="空",AE172-M172,M172-AE172))))</f>
        <v/>
      </c>
      <c r="AN172" s="31" t="n"/>
      <c r="AO172" s="31" t="n"/>
      <c r="AP172" s="30" t="n"/>
      <c r="AQ172" s="44" t="str">
        <f>IF(A172="","",SUM(AK$5:AK172))</f>
        <v/>
      </c>
      <c r="AR172" s="46" t="str">
        <f>IF(A172="","",MAX(0,MAX(AQ$5:AQ172))-AQ172)</f>
        <v/>
      </c>
    </row>
    <row r="173">
      <c r="A173" s="24" t="n"/>
      <c r="B173" s="29" t="n"/>
      <c r="C173" s="30" t="n"/>
      <c r="D173" s="31" t="n"/>
      <c r="E173" s="31" t="n"/>
      <c r="F173" s="31" t="n"/>
      <c r="G173" s="21" t="n"/>
      <c r="H173" s="31" t="n"/>
      <c r="I173" s="23" t="n"/>
      <c r="J173" s="31" t="n"/>
      <c r="K173" s="32" t="n"/>
      <c r="L173" s="32" t="n"/>
      <c r="M173" s="32" t="n"/>
      <c r="N173" s="33" t="str">
        <f>IF(AND(ISNUMBER(K173),ISNUMBER(L173),ISNUMBER(M173)),IF(OR(AND(F173="多",K173&gt;L173),AND(F173="空",K173&lt;L173)),ABS(M173-K173)/ABS(K173-L173),"止损方向不对"),"")</f>
        <v/>
      </c>
      <c r="O173" s="34" t="str">
        <f>IF(AND(ISNUMBER(K173),ISNUMBER(L173)),IF(K173=L173,"",IF(INT(ROUND('参数'!$C$7/(ABS(K173-L173)*1+2*K173*'参数'!$C$12)/IF(N(J173)&gt;0,J173,1),6))*IF(N(J173)&gt;0,J173,1)&gt;0,INT(ROUND('参数'!$C$7/(ABS(K173-L173)*1+2*K173*'参数'!$C$12)/IF(N(J173)&gt;0,J173,1),6))*IF(N(J173)&gt;0,J173,1),"预算不足，这笔不做")),"")</f>
        <v/>
      </c>
      <c r="P173" s="35" t="n"/>
      <c r="Q173" s="20" t="str">
        <f>IF(AND(ISNUMBER(K173),ISNUMBER(L173),ISNUMBER(P173)),IF(AND(K173&lt;&gt;L173,P173&gt;0),ABS(K173-L173)*P173*1,""),"")</f>
        <v/>
      </c>
      <c r="R173" s="20" t="str">
        <f>IF(AND(ISNUMBER(K173),ISNUMBER(P173)),K173*P173,"")</f>
        <v/>
      </c>
      <c r="S173" s="20" t="str">
        <f>IF(AND(D173="合约",ISNUMBER(R173),N(G173)&gt;0),R173/G173,"")</f>
        <v/>
      </c>
      <c r="T173" s="36" t="str">
        <f>IF(NOT(D173="合约"),"",IF(H173&lt;&gt;"逐仓","看平台",IF(AND(ISNUMBER(K173),N(G173)&gt;0),IF(F173="空",K173*(1+1/G173-IF(ISNUMBER(I173),I173,'参数'!$C$13)),K173*(1-1/G173+IF(ISNUMBER(I173),I173,'参数'!$C$13))),"")))</f>
        <v/>
      </c>
      <c r="U173" s="37" t="str">
        <f>IF(AND(ISNUMBER(T173),ISNUMBER(L173),ISNUMBER(K173)),IF(F173="空",T173-L173,L173-T173)/K173,"")</f>
        <v/>
      </c>
      <c r="V173" s="38" t="str">
        <f>IF(ISNUMBER(U173),IF(U173&lt;'参数'!$C$15,"先降杠杆或减量","在止损外"),"")</f>
        <v/>
      </c>
      <c r="W173" s="30" t="n"/>
      <c r="X173" s="31" t="n"/>
      <c r="Y173" s="39" t="str">
        <f>IF(N(AB173)&gt;0,SUMPRODUCT(LARGE(('成交明细'!$A$5:$A$804=A173)*('成交明细'!$D$5:$D$804=IF(F173="空","卖","买"))*'成交明细'!$B$5:$B$804,COUNTIFS('成交明细'!$A$5:$A$804,A173,'成交明细'!$D$5:$D$804,IF(F173="空","卖","买")))),"")</f>
        <v/>
      </c>
      <c r="Z173" s="39" t="str">
        <f>IF(AND(N(AB173)&gt;0,N(AD173)&gt;=N(AB173)),SUMPRODUCT(MAX(('成交明细'!$A$5:$A$804=A173)*('成交明细'!$D$5:$D$804=IF(F173="空","买","卖"))*'成交明细'!$B$5:$B$804)),"")</f>
        <v/>
      </c>
      <c r="AA173" s="40" t="str">
        <f>IF(N(AB173)=0,"",IF(SUMPRODUCT(('成交明细'!$A$5:$A$804=A173)*('成交明细'!$D$5:$D$804=IF(F173="空","卖","买"))*ISNUMBER('成交明细'!$C$5:$C$804))=0,"没填时间",IFERROR(VLOOKUP(MOD(SUMPRODUCT(LARGE(('成交明细'!$A$5:$A$804=A173)*('成交明细'!$D$5:$D$804=IF(F173="空","卖","买"))*('成交明细'!$B$5:$B$804+'成交明细'!$C$5:$C$804),COUNTIFS('成交明细'!$A$5:$A$804,A173,'成交明细'!$D$5:$D$804,IF(F173="空","卖","买")))),1),'参数'!$B$39:$C$48,2,TRUE),"")))</f>
        <v/>
      </c>
      <c r="AB173" s="34" t="str">
        <f>IF(A173="","",SUMIFS('成交明细'!$F$5:$F$804,'成交明细'!$A$5:$A$804,A173,'成交明细'!$D$5:$D$804,IF(F173="空","卖","买")))</f>
        <v/>
      </c>
      <c r="AC173" s="41" t="str">
        <f>IF(N(AB173)&gt;0,SUMIFS('成交明细'!$H$5:$H$804,'成交明细'!$A$5:$A$804,A173,'成交明细'!$D$5:$D$804,IF(F173="空","卖","买"))/AB173,"")</f>
        <v/>
      </c>
      <c r="AD173" s="34" t="str">
        <f>IF(A173="","",SUMIFS('成交明细'!$F$5:$F$804,'成交明细'!$A$5:$A$804,A173,'成交明细'!$D$5:$D$804,IF(F173="空","买","卖")))</f>
        <v/>
      </c>
      <c r="AE173" s="41" t="str">
        <f>IF(N(AD173)&gt;0,SUMIFS('成交明细'!$H$5:$H$804,'成交明细'!$A$5:$A$804,A173,'成交明细'!$D$5:$D$804,IF(F173="空","买","卖"))/AD173,"")</f>
        <v/>
      </c>
      <c r="AF173" s="38" t="str">
        <f>IF(A173="","",IF(X173&lt;&gt;"已执行",IF(X173="","未填执行情况",X173),IF(N(AB173)=0,"待录成交",IF(N(AD173)&gt;N(AB173),"平仓多于开仓",IF(N(AD173)&lt;N(AB173),"持仓中","已平仓")))))</f>
        <v/>
      </c>
      <c r="AG173" s="42" t="str">
        <f>IF(N(AB173)=0,"",SUMIFS('成交明细'!$L$5:$L$804,'成交明细'!$A$5:$A$804,A173))</f>
        <v/>
      </c>
      <c r="AH173" s="43" t="str">
        <f>IF(A173="","",SUMIFS('资金费流水'!$F$5:$F$604,'资金费流水'!$B$5:$B$604,A173))</f>
        <v/>
      </c>
      <c r="AI173" s="43" t="str">
        <f>IF(AF173&lt;&gt;"已平仓","",(SUMIFS('成交明细'!$H$5:$H$804,'成交明细'!$A$5:$A$804,A173,'成交明细'!$D$5:$D$804,"卖")-SUMIFS('成交明细'!$H$5:$H$804,'成交明细'!$A$5:$A$804,A173,'成交明细'!$D$5:$D$804,"买"))*1-AG173+N(AH173))</f>
        <v/>
      </c>
      <c r="AJ173" s="44" t="str">
        <f>IF(AND(AF173="已平仓",ISNUMBER(Q173)),(SUMIFS('成交明细'!$H$5:$H$804,'成交明细'!$A$5:$A$804,A173,'成交明细'!$D$5:$D$804,"卖")-SUMIFS('成交明细'!$H$5:$H$804,'成交明细'!$A$5:$A$804,A173,'成交明细'!$D$5:$D$804,"买"))*1/Q173,"")</f>
        <v/>
      </c>
      <c r="AK173" s="44" t="str">
        <f>IF(AND(AF173="已平仓",ISNUMBER(Q173)),AI173/Q173,"")</f>
        <v/>
      </c>
      <c r="AL173" s="45" t="str">
        <f>IF(AND(ISNUMBER(AC173),ISNUMBER(K173)),IF(F173="空",K173-AC173,AC173-K173),"")</f>
        <v/>
      </c>
      <c r="AM173" s="45" t="str">
        <f>IF(OR(NOT(ISNUMBER(AI173)),NOT(ISNUMBER(AE173))),"",IF(AI173&lt;0,IF(F173="空",AE173-L173,L173-AE173),IF(NOT(ISNUMBER(M173)),"",IF(F173="空",AE173-M173,M173-AE173))))</f>
        <v/>
      </c>
      <c r="AN173" s="31" t="n"/>
      <c r="AO173" s="31" t="n"/>
      <c r="AP173" s="30" t="n"/>
      <c r="AQ173" s="44" t="str">
        <f>IF(A173="","",SUM(AK$5:AK173))</f>
        <v/>
      </c>
      <c r="AR173" s="46" t="str">
        <f>IF(A173="","",MAX(0,MAX(AQ$5:AQ173))-AQ173)</f>
        <v/>
      </c>
    </row>
    <row r="174">
      <c r="A174" s="24" t="n"/>
      <c r="B174" s="29" t="n"/>
      <c r="C174" s="30" t="n"/>
      <c r="D174" s="31" t="n"/>
      <c r="E174" s="31" t="n"/>
      <c r="F174" s="31" t="n"/>
      <c r="G174" s="21" t="n"/>
      <c r="H174" s="31" t="n"/>
      <c r="I174" s="23" t="n"/>
      <c r="J174" s="31" t="n"/>
      <c r="K174" s="32" t="n"/>
      <c r="L174" s="32" t="n"/>
      <c r="M174" s="32" t="n"/>
      <c r="N174" s="33" t="str">
        <f>IF(AND(ISNUMBER(K174),ISNUMBER(L174),ISNUMBER(M174)),IF(OR(AND(F174="多",K174&gt;L174),AND(F174="空",K174&lt;L174)),ABS(M174-K174)/ABS(K174-L174),"止损方向不对"),"")</f>
        <v/>
      </c>
      <c r="O174" s="34" t="str">
        <f>IF(AND(ISNUMBER(K174),ISNUMBER(L174)),IF(K174=L174,"",IF(INT(ROUND('参数'!$C$7/(ABS(K174-L174)*1+2*K174*'参数'!$C$12)/IF(N(J174)&gt;0,J174,1),6))*IF(N(J174)&gt;0,J174,1)&gt;0,INT(ROUND('参数'!$C$7/(ABS(K174-L174)*1+2*K174*'参数'!$C$12)/IF(N(J174)&gt;0,J174,1),6))*IF(N(J174)&gt;0,J174,1),"预算不足，这笔不做")),"")</f>
        <v/>
      </c>
      <c r="P174" s="35" t="n"/>
      <c r="Q174" s="20" t="str">
        <f>IF(AND(ISNUMBER(K174),ISNUMBER(L174),ISNUMBER(P174)),IF(AND(K174&lt;&gt;L174,P174&gt;0),ABS(K174-L174)*P174*1,""),"")</f>
        <v/>
      </c>
      <c r="R174" s="20" t="str">
        <f>IF(AND(ISNUMBER(K174),ISNUMBER(P174)),K174*P174,"")</f>
        <v/>
      </c>
      <c r="S174" s="20" t="str">
        <f>IF(AND(D174="合约",ISNUMBER(R174),N(G174)&gt;0),R174/G174,"")</f>
        <v/>
      </c>
      <c r="T174" s="36" t="str">
        <f>IF(NOT(D174="合约"),"",IF(H174&lt;&gt;"逐仓","看平台",IF(AND(ISNUMBER(K174),N(G174)&gt;0),IF(F174="空",K174*(1+1/G174-IF(ISNUMBER(I174),I174,'参数'!$C$13)),K174*(1-1/G174+IF(ISNUMBER(I174),I174,'参数'!$C$13))),"")))</f>
        <v/>
      </c>
      <c r="U174" s="37" t="str">
        <f>IF(AND(ISNUMBER(T174),ISNUMBER(L174),ISNUMBER(K174)),IF(F174="空",T174-L174,L174-T174)/K174,"")</f>
        <v/>
      </c>
      <c r="V174" s="38" t="str">
        <f>IF(ISNUMBER(U174),IF(U174&lt;'参数'!$C$15,"先降杠杆或减量","在止损外"),"")</f>
        <v/>
      </c>
      <c r="W174" s="30" t="n"/>
      <c r="X174" s="31" t="n"/>
      <c r="Y174" s="39" t="str">
        <f>IF(N(AB174)&gt;0,SUMPRODUCT(LARGE(('成交明细'!$A$5:$A$804=A174)*('成交明细'!$D$5:$D$804=IF(F174="空","卖","买"))*'成交明细'!$B$5:$B$804,COUNTIFS('成交明细'!$A$5:$A$804,A174,'成交明细'!$D$5:$D$804,IF(F174="空","卖","买")))),"")</f>
        <v/>
      </c>
      <c r="Z174" s="39" t="str">
        <f>IF(AND(N(AB174)&gt;0,N(AD174)&gt;=N(AB174)),SUMPRODUCT(MAX(('成交明细'!$A$5:$A$804=A174)*('成交明细'!$D$5:$D$804=IF(F174="空","买","卖"))*'成交明细'!$B$5:$B$804)),"")</f>
        <v/>
      </c>
      <c r="AA174" s="40" t="str">
        <f>IF(N(AB174)=0,"",IF(SUMPRODUCT(('成交明细'!$A$5:$A$804=A174)*('成交明细'!$D$5:$D$804=IF(F174="空","卖","买"))*ISNUMBER('成交明细'!$C$5:$C$804))=0,"没填时间",IFERROR(VLOOKUP(MOD(SUMPRODUCT(LARGE(('成交明细'!$A$5:$A$804=A174)*('成交明细'!$D$5:$D$804=IF(F174="空","卖","买"))*('成交明细'!$B$5:$B$804+'成交明细'!$C$5:$C$804),COUNTIFS('成交明细'!$A$5:$A$804,A174,'成交明细'!$D$5:$D$804,IF(F174="空","卖","买")))),1),'参数'!$B$39:$C$48,2,TRUE),"")))</f>
        <v/>
      </c>
      <c r="AB174" s="34" t="str">
        <f>IF(A174="","",SUMIFS('成交明细'!$F$5:$F$804,'成交明细'!$A$5:$A$804,A174,'成交明细'!$D$5:$D$804,IF(F174="空","卖","买")))</f>
        <v/>
      </c>
      <c r="AC174" s="41" t="str">
        <f>IF(N(AB174)&gt;0,SUMIFS('成交明细'!$H$5:$H$804,'成交明细'!$A$5:$A$804,A174,'成交明细'!$D$5:$D$804,IF(F174="空","卖","买"))/AB174,"")</f>
        <v/>
      </c>
      <c r="AD174" s="34" t="str">
        <f>IF(A174="","",SUMIFS('成交明细'!$F$5:$F$804,'成交明细'!$A$5:$A$804,A174,'成交明细'!$D$5:$D$804,IF(F174="空","买","卖")))</f>
        <v/>
      </c>
      <c r="AE174" s="41" t="str">
        <f>IF(N(AD174)&gt;0,SUMIFS('成交明细'!$H$5:$H$804,'成交明细'!$A$5:$A$804,A174,'成交明细'!$D$5:$D$804,IF(F174="空","买","卖"))/AD174,"")</f>
        <v/>
      </c>
      <c r="AF174" s="38" t="str">
        <f>IF(A174="","",IF(X174&lt;&gt;"已执行",IF(X174="","未填执行情况",X174),IF(N(AB174)=0,"待录成交",IF(N(AD174)&gt;N(AB174),"平仓多于开仓",IF(N(AD174)&lt;N(AB174),"持仓中","已平仓")))))</f>
        <v/>
      </c>
      <c r="AG174" s="42" t="str">
        <f>IF(N(AB174)=0,"",SUMIFS('成交明细'!$L$5:$L$804,'成交明细'!$A$5:$A$804,A174))</f>
        <v/>
      </c>
      <c r="AH174" s="43" t="str">
        <f>IF(A174="","",SUMIFS('资金费流水'!$F$5:$F$604,'资金费流水'!$B$5:$B$604,A174))</f>
        <v/>
      </c>
      <c r="AI174" s="43" t="str">
        <f>IF(AF174&lt;&gt;"已平仓","",(SUMIFS('成交明细'!$H$5:$H$804,'成交明细'!$A$5:$A$804,A174,'成交明细'!$D$5:$D$804,"卖")-SUMIFS('成交明细'!$H$5:$H$804,'成交明细'!$A$5:$A$804,A174,'成交明细'!$D$5:$D$804,"买"))*1-AG174+N(AH174))</f>
        <v/>
      </c>
      <c r="AJ174" s="44" t="str">
        <f>IF(AND(AF174="已平仓",ISNUMBER(Q174)),(SUMIFS('成交明细'!$H$5:$H$804,'成交明细'!$A$5:$A$804,A174,'成交明细'!$D$5:$D$804,"卖")-SUMIFS('成交明细'!$H$5:$H$804,'成交明细'!$A$5:$A$804,A174,'成交明细'!$D$5:$D$804,"买"))*1/Q174,"")</f>
        <v/>
      </c>
      <c r="AK174" s="44" t="str">
        <f>IF(AND(AF174="已平仓",ISNUMBER(Q174)),AI174/Q174,"")</f>
        <v/>
      </c>
      <c r="AL174" s="45" t="str">
        <f>IF(AND(ISNUMBER(AC174),ISNUMBER(K174)),IF(F174="空",K174-AC174,AC174-K174),"")</f>
        <v/>
      </c>
      <c r="AM174" s="45" t="str">
        <f>IF(OR(NOT(ISNUMBER(AI174)),NOT(ISNUMBER(AE174))),"",IF(AI174&lt;0,IF(F174="空",AE174-L174,L174-AE174),IF(NOT(ISNUMBER(M174)),"",IF(F174="空",AE174-M174,M174-AE174))))</f>
        <v/>
      </c>
      <c r="AN174" s="31" t="n"/>
      <c r="AO174" s="31" t="n"/>
      <c r="AP174" s="30" t="n"/>
      <c r="AQ174" s="44" t="str">
        <f>IF(A174="","",SUM(AK$5:AK174))</f>
        <v/>
      </c>
      <c r="AR174" s="46" t="str">
        <f>IF(A174="","",MAX(0,MAX(AQ$5:AQ174))-AQ174)</f>
        <v/>
      </c>
    </row>
    <row r="175">
      <c r="A175" s="24" t="n"/>
      <c r="B175" s="29" t="n"/>
      <c r="C175" s="30" t="n"/>
      <c r="D175" s="31" t="n"/>
      <c r="E175" s="31" t="n"/>
      <c r="F175" s="31" t="n"/>
      <c r="G175" s="21" t="n"/>
      <c r="H175" s="31" t="n"/>
      <c r="I175" s="23" t="n"/>
      <c r="J175" s="31" t="n"/>
      <c r="K175" s="32" t="n"/>
      <c r="L175" s="32" t="n"/>
      <c r="M175" s="32" t="n"/>
      <c r="N175" s="33" t="str">
        <f>IF(AND(ISNUMBER(K175),ISNUMBER(L175),ISNUMBER(M175)),IF(OR(AND(F175="多",K175&gt;L175),AND(F175="空",K175&lt;L175)),ABS(M175-K175)/ABS(K175-L175),"止损方向不对"),"")</f>
        <v/>
      </c>
      <c r="O175" s="34" t="str">
        <f>IF(AND(ISNUMBER(K175),ISNUMBER(L175)),IF(K175=L175,"",IF(INT(ROUND('参数'!$C$7/(ABS(K175-L175)*1+2*K175*'参数'!$C$12)/IF(N(J175)&gt;0,J175,1),6))*IF(N(J175)&gt;0,J175,1)&gt;0,INT(ROUND('参数'!$C$7/(ABS(K175-L175)*1+2*K175*'参数'!$C$12)/IF(N(J175)&gt;0,J175,1),6))*IF(N(J175)&gt;0,J175,1),"预算不足，这笔不做")),"")</f>
        <v/>
      </c>
      <c r="P175" s="35" t="n"/>
      <c r="Q175" s="20" t="str">
        <f>IF(AND(ISNUMBER(K175),ISNUMBER(L175),ISNUMBER(P175)),IF(AND(K175&lt;&gt;L175,P175&gt;0),ABS(K175-L175)*P175*1,""),"")</f>
        <v/>
      </c>
      <c r="R175" s="20" t="str">
        <f>IF(AND(ISNUMBER(K175),ISNUMBER(P175)),K175*P175,"")</f>
        <v/>
      </c>
      <c r="S175" s="20" t="str">
        <f>IF(AND(D175="合约",ISNUMBER(R175),N(G175)&gt;0),R175/G175,"")</f>
        <v/>
      </c>
      <c r="T175" s="36" t="str">
        <f>IF(NOT(D175="合约"),"",IF(H175&lt;&gt;"逐仓","看平台",IF(AND(ISNUMBER(K175),N(G175)&gt;0),IF(F175="空",K175*(1+1/G175-IF(ISNUMBER(I175),I175,'参数'!$C$13)),K175*(1-1/G175+IF(ISNUMBER(I175),I175,'参数'!$C$13))),"")))</f>
        <v/>
      </c>
      <c r="U175" s="37" t="str">
        <f>IF(AND(ISNUMBER(T175),ISNUMBER(L175),ISNUMBER(K175)),IF(F175="空",T175-L175,L175-T175)/K175,"")</f>
        <v/>
      </c>
      <c r="V175" s="38" t="str">
        <f>IF(ISNUMBER(U175),IF(U175&lt;'参数'!$C$15,"先降杠杆或减量","在止损外"),"")</f>
        <v/>
      </c>
      <c r="W175" s="30" t="n"/>
      <c r="X175" s="31" t="n"/>
      <c r="Y175" s="39" t="str">
        <f>IF(N(AB175)&gt;0,SUMPRODUCT(LARGE(('成交明细'!$A$5:$A$804=A175)*('成交明细'!$D$5:$D$804=IF(F175="空","卖","买"))*'成交明细'!$B$5:$B$804,COUNTIFS('成交明细'!$A$5:$A$804,A175,'成交明细'!$D$5:$D$804,IF(F175="空","卖","买")))),"")</f>
        <v/>
      </c>
      <c r="Z175" s="39" t="str">
        <f>IF(AND(N(AB175)&gt;0,N(AD175)&gt;=N(AB175)),SUMPRODUCT(MAX(('成交明细'!$A$5:$A$804=A175)*('成交明细'!$D$5:$D$804=IF(F175="空","买","卖"))*'成交明细'!$B$5:$B$804)),"")</f>
        <v/>
      </c>
      <c r="AA175" s="40" t="str">
        <f>IF(N(AB175)=0,"",IF(SUMPRODUCT(('成交明细'!$A$5:$A$804=A175)*('成交明细'!$D$5:$D$804=IF(F175="空","卖","买"))*ISNUMBER('成交明细'!$C$5:$C$804))=0,"没填时间",IFERROR(VLOOKUP(MOD(SUMPRODUCT(LARGE(('成交明细'!$A$5:$A$804=A175)*('成交明细'!$D$5:$D$804=IF(F175="空","卖","买"))*('成交明细'!$B$5:$B$804+'成交明细'!$C$5:$C$804),COUNTIFS('成交明细'!$A$5:$A$804,A175,'成交明细'!$D$5:$D$804,IF(F175="空","卖","买")))),1),'参数'!$B$39:$C$48,2,TRUE),"")))</f>
        <v/>
      </c>
      <c r="AB175" s="34" t="str">
        <f>IF(A175="","",SUMIFS('成交明细'!$F$5:$F$804,'成交明细'!$A$5:$A$804,A175,'成交明细'!$D$5:$D$804,IF(F175="空","卖","买")))</f>
        <v/>
      </c>
      <c r="AC175" s="41" t="str">
        <f>IF(N(AB175)&gt;0,SUMIFS('成交明细'!$H$5:$H$804,'成交明细'!$A$5:$A$804,A175,'成交明细'!$D$5:$D$804,IF(F175="空","卖","买"))/AB175,"")</f>
        <v/>
      </c>
      <c r="AD175" s="34" t="str">
        <f>IF(A175="","",SUMIFS('成交明细'!$F$5:$F$804,'成交明细'!$A$5:$A$804,A175,'成交明细'!$D$5:$D$804,IF(F175="空","买","卖")))</f>
        <v/>
      </c>
      <c r="AE175" s="41" t="str">
        <f>IF(N(AD175)&gt;0,SUMIFS('成交明细'!$H$5:$H$804,'成交明细'!$A$5:$A$804,A175,'成交明细'!$D$5:$D$804,IF(F175="空","买","卖"))/AD175,"")</f>
        <v/>
      </c>
      <c r="AF175" s="38" t="str">
        <f>IF(A175="","",IF(X175&lt;&gt;"已执行",IF(X175="","未填执行情况",X175),IF(N(AB175)=0,"待录成交",IF(N(AD175)&gt;N(AB175),"平仓多于开仓",IF(N(AD175)&lt;N(AB175),"持仓中","已平仓")))))</f>
        <v/>
      </c>
      <c r="AG175" s="42" t="str">
        <f>IF(N(AB175)=0,"",SUMIFS('成交明细'!$L$5:$L$804,'成交明细'!$A$5:$A$804,A175))</f>
        <v/>
      </c>
      <c r="AH175" s="43" t="str">
        <f>IF(A175="","",SUMIFS('资金费流水'!$F$5:$F$604,'资金费流水'!$B$5:$B$604,A175))</f>
        <v/>
      </c>
      <c r="AI175" s="43" t="str">
        <f>IF(AF175&lt;&gt;"已平仓","",(SUMIFS('成交明细'!$H$5:$H$804,'成交明细'!$A$5:$A$804,A175,'成交明细'!$D$5:$D$804,"卖")-SUMIFS('成交明细'!$H$5:$H$804,'成交明细'!$A$5:$A$804,A175,'成交明细'!$D$5:$D$804,"买"))*1-AG175+N(AH175))</f>
        <v/>
      </c>
      <c r="AJ175" s="44" t="str">
        <f>IF(AND(AF175="已平仓",ISNUMBER(Q175)),(SUMIFS('成交明细'!$H$5:$H$804,'成交明细'!$A$5:$A$804,A175,'成交明细'!$D$5:$D$804,"卖")-SUMIFS('成交明细'!$H$5:$H$804,'成交明细'!$A$5:$A$804,A175,'成交明细'!$D$5:$D$804,"买"))*1/Q175,"")</f>
        <v/>
      </c>
      <c r="AK175" s="44" t="str">
        <f>IF(AND(AF175="已平仓",ISNUMBER(Q175)),AI175/Q175,"")</f>
        <v/>
      </c>
      <c r="AL175" s="45" t="str">
        <f>IF(AND(ISNUMBER(AC175),ISNUMBER(K175)),IF(F175="空",K175-AC175,AC175-K175),"")</f>
        <v/>
      </c>
      <c r="AM175" s="45" t="str">
        <f>IF(OR(NOT(ISNUMBER(AI175)),NOT(ISNUMBER(AE175))),"",IF(AI175&lt;0,IF(F175="空",AE175-L175,L175-AE175),IF(NOT(ISNUMBER(M175)),"",IF(F175="空",AE175-M175,M175-AE175))))</f>
        <v/>
      </c>
      <c r="AN175" s="31" t="n"/>
      <c r="AO175" s="31" t="n"/>
      <c r="AP175" s="30" t="n"/>
      <c r="AQ175" s="44" t="str">
        <f>IF(A175="","",SUM(AK$5:AK175))</f>
        <v/>
      </c>
      <c r="AR175" s="46" t="str">
        <f>IF(A175="","",MAX(0,MAX(AQ$5:AQ175))-AQ175)</f>
        <v/>
      </c>
    </row>
    <row r="176">
      <c r="A176" s="24" t="n"/>
      <c r="B176" s="29" t="n"/>
      <c r="C176" s="30" t="n"/>
      <c r="D176" s="31" t="n"/>
      <c r="E176" s="31" t="n"/>
      <c r="F176" s="31" t="n"/>
      <c r="G176" s="21" t="n"/>
      <c r="H176" s="31" t="n"/>
      <c r="I176" s="23" t="n"/>
      <c r="J176" s="31" t="n"/>
      <c r="K176" s="32" t="n"/>
      <c r="L176" s="32" t="n"/>
      <c r="M176" s="32" t="n"/>
      <c r="N176" s="33" t="str">
        <f>IF(AND(ISNUMBER(K176),ISNUMBER(L176),ISNUMBER(M176)),IF(OR(AND(F176="多",K176&gt;L176),AND(F176="空",K176&lt;L176)),ABS(M176-K176)/ABS(K176-L176),"止损方向不对"),"")</f>
        <v/>
      </c>
      <c r="O176" s="34" t="str">
        <f>IF(AND(ISNUMBER(K176),ISNUMBER(L176)),IF(K176=L176,"",IF(INT(ROUND('参数'!$C$7/(ABS(K176-L176)*1+2*K176*'参数'!$C$12)/IF(N(J176)&gt;0,J176,1),6))*IF(N(J176)&gt;0,J176,1)&gt;0,INT(ROUND('参数'!$C$7/(ABS(K176-L176)*1+2*K176*'参数'!$C$12)/IF(N(J176)&gt;0,J176,1),6))*IF(N(J176)&gt;0,J176,1),"预算不足，这笔不做")),"")</f>
        <v/>
      </c>
      <c r="P176" s="35" t="n"/>
      <c r="Q176" s="20" t="str">
        <f>IF(AND(ISNUMBER(K176),ISNUMBER(L176),ISNUMBER(P176)),IF(AND(K176&lt;&gt;L176,P176&gt;0),ABS(K176-L176)*P176*1,""),"")</f>
        <v/>
      </c>
      <c r="R176" s="20" t="str">
        <f>IF(AND(ISNUMBER(K176),ISNUMBER(P176)),K176*P176,"")</f>
        <v/>
      </c>
      <c r="S176" s="20" t="str">
        <f>IF(AND(D176="合约",ISNUMBER(R176),N(G176)&gt;0),R176/G176,"")</f>
        <v/>
      </c>
      <c r="T176" s="36" t="str">
        <f>IF(NOT(D176="合约"),"",IF(H176&lt;&gt;"逐仓","看平台",IF(AND(ISNUMBER(K176),N(G176)&gt;0),IF(F176="空",K176*(1+1/G176-IF(ISNUMBER(I176),I176,'参数'!$C$13)),K176*(1-1/G176+IF(ISNUMBER(I176),I176,'参数'!$C$13))),"")))</f>
        <v/>
      </c>
      <c r="U176" s="37" t="str">
        <f>IF(AND(ISNUMBER(T176),ISNUMBER(L176),ISNUMBER(K176)),IF(F176="空",T176-L176,L176-T176)/K176,"")</f>
        <v/>
      </c>
      <c r="V176" s="38" t="str">
        <f>IF(ISNUMBER(U176),IF(U176&lt;'参数'!$C$15,"先降杠杆或减量","在止损外"),"")</f>
        <v/>
      </c>
      <c r="W176" s="30" t="n"/>
      <c r="X176" s="31" t="n"/>
      <c r="Y176" s="39" t="str">
        <f>IF(N(AB176)&gt;0,SUMPRODUCT(LARGE(('成交明细'!$A$5:$A$804=A176)*('成交明细'!$D$5:$D$804=IF(F176="空","卖","买"))*'成交明细'!$B$5:$B$804,COUNTIFS('成交明细'!$A$5:$A$804,A176,'成交明细'!$D$5:$D$804,IF(F176="空","卖","买")))),"")</f>
        <v/>
      </c>
      <c r="Z176" s="39" t="str">
        <f>IF(AND(N(AB176)&gt;0,N(AD176)&gt;=N(AB176)),SUMPRODUCT(MAX(('成交明细'!$A$5:$A$804=A176)*('成交明细'!$D$5:$D$804=IF(F176="空","买","卖"))*'成交明细'!$B$5:$B$804)),"")</f>
        <v/>
      </c>
      <c r="AA176" s="40" t="str">
        <f>IF(N(AB176)=0,"",IF(SUMPRODUCT(('成交明细'!$A$5:$A$804=A176)*('成交明细'!$D$5:$D$804=IF(F176="空","卖","买"))*ISNUMBER('成交明细'!$C$5:$C$804))=0,"没填时间",IFERROR(VLOOKUP(MOD(SUMPRODUCT(LARGE(('成交明细'!$A$5:$A$804=A176)*('成交明细'!$D$5:$D$804=IF(F176="空","卖","买"))*('成交明细'!$B$5:$B$804+'成交明细'!$C$5:$C$804),COUNTIFS('成交明细'!$A$5:$A$804,A176,'成交明细'!$D$5:$D$804,IF(F176="空","卖","买")))),1),'参数'!$B$39:$C$48,2,TRUE),"")))</f>
        <v/>
      </c>
      <c r="AB176" s="34" t="str">
        <f>IF(A176="","",SUMIFS('成交明细'!$F$5:$F$804,'成交明细'!$A$5:$A$804,A176,'成交明细'!$D$5:$D$804,IF(F176="空","卖","买")))</f>
        <v/>
      </c>
      <c r="AC176" s="41" t="str">
        <f>IF(N(AB176)&gt;0,SUMIFS('成交明细'!$H$5:$H$804,'成交明细'!$A$5:$A$804,A176,'成交明细'!$D$5:$D$804,IF(F176="空","卖","买"))/AB176,"")</f>
        <v/>
      </c>
      <c r="AD176" s="34" t="str">
        <f>IF(A176="","",SUMIFS('成交明细'!$F$5:$F$804,'成交明细'!$A$5:$A$804,A176,'成交明细'!$D$5:$D$804,IF(F176="空","买","卖")))</f>
        <v/>
      </c>
      <c r="AE176" s="41" t="str">
        <f>IF(N(AD176)&gt;0,SUMIFS('成交明细'!$H$5:$H$804,'成交明细'!$A$5:$A$804,A176,'成交明细'!$D$5:$D$804,IF(F176="空","买","卖"))/AD176,"")</f>
        <v/>
      </c>
      <c r="AF176" s="38" t="str">
        <f>IF(A176="","",IF(X176&lt;&gt;"已执行",IF(X176="","未填执行情况",X176),IF(N(AB176)=0,"待录成交",IF(N(AD176)&gt;N(AB176),"平仓多于开仓",IF(N(AD176)&lt;N(AB176),"持仓中","已平仓")))))</f>
        <v/>
      </c>
      <c r="AG176" s="42" t="str">
        <f>IF(N(AB176)=0,"",SUMIFS('成交明细'!$L$5:$L$804,'成交明细'!$A$5:$A$804,A176))</f>
        <v/>
      </c>
      <c r="AH176" s="43" t="str">
        <f>IF(A176="","",SUMIFS('资金费流水'!$F$5:$F$604,'资金费流水'!$B$5:$B$604,A176))</f>
        <v/>
      </c>
      <c r="AI176" s="43" t="str">
        <f>IF(AF176&lt;&gt;"已平仓","",(SUMIFS('成交明细'!$H$5:$H$804,'成交明细'!$A$5:$A$804,A176,'成交明细'!$D$5:$D$804,"卖")-SUMIFS('成交明细'!$H$5:$H$804,'成交明细'!$A$5:$A$804,A176,'成交明细'!$D$5:$D$804,"买"))*1-AG176+N(AH176))</f>
        <v/>
      </c>
      <c r="AJ176" s="44" t="str">
        <f>IF(AND(AF176="已平仓",ISNUMBER(Q176)),(SUMIFS('成交明细'!$H$5:$H$804,'成交明细'!$A$5:$A$804,A176,'成交明细'!$D$5:$D$804,"卖")-SUMIFS('成交明细'!$H$5:$H$804,'成交明细'!$A$5:$A$804,A176,'成交明细'!$D$5:$D$804,"买"))*1/Q176,"")</f>
        <v/>
      </c>
      <c r="AK176" s="44" t="str">
        <f>IF(AND(AF176="已平仓",ISNUMBER(Q176)),AI176/Q176,"")</f>
        <v/>
      </c>
      <c r="AL176" s="45" t="str">
        <f>IF(AND(ISNUMBER(AC176),ISNUMBER(K176)),IF(F176="空",K176-AC176,AC176-K176),"")</f>
        <v/>
      </c>
      <c r="AM176" s="45" t="str">
        <f>IF(OR(NOT(ISNUMBER(AI176)),NOT(ISNUMBER(AE176))),"",IF(AI176&lt;0,IF(F176="空",AE176-L176,L176-AE176),IF(NOT(ISNUMBER(M176)),"",IF(F176="空",AE176-M176,M176-AE176))))</f>
        <v/>
      </c>
      <c r="AN176" s="31" t="n"/>
      <c r="AO176" s="31" t="n"/>
      <c r="AP176" s="30" t="n"/>
      <c r="AQ176" s="44" t="str">
        <f>IF(A176="","",SUM(AK$5:AK176))</f>
        <v/>
      </c>
      <c r="AR176" s="46" t="str">
        <f>IF(A176="","",MAX(0,MAX(AQ$5:AQ176))-AQ176)</f>
        <v/>
      </c>
    </row>
    <row r="177">
      <c r="A177" s="24" t="n"/>
      <c r="B177" s="29" t="n"/>
      <c r="C177" s="30" t="n"/>
      <c r="D177" s="31" t="n"/>
      <c r="E177" s="31" t="n"/>
      <c r="F177" s="31" t="n"/>
      <c r="G177" s="21" t="n"/>
      <c r="H177" s="31" t="n"/>
      <c r="I177" s="23" t="n"/>
      <c r="J177" s="31" t="n"/>
      <c r="K177" s="32" t="n"/>
      <c r="L177" s="32" t="n"/>
      <c r="M177" s="32" t="n"/>
      <c r="N177" s="33" t="str">
        <f>IF(AND(ISNUMBER(K177),ISNUMBER(L177),ISNUMBER(M177)),IF(OR(AND(F177="多",K177&gt;L177),AND(F177="空",K177&lt;L177)),ABS(M177-K177)/ABS(K177-L177),"止损方向不对"),"")</f>
        <v/>
      </c>
      <c r="O177" s="34" t="str">
        <f>IF(AND(ISNUMBER(K177),ISNUMBER(L177)),IF(K177=L177,"",IF(INT(ROUND('参数'!$C$7/(ABS(K177-L177)*1+2*K177*'参数'!$C$12)/IF(N(J177)&gt;0,J177,1),6))*IF(N(J177)&gt;0,J177,1)&gt;0,INT(ROUND('参数'!$C$7/(ABS(K177-L177)*1+2*K177*'参数'!$C$12)/IF(N(J177)&gt;0,J177,1),6))*IF(N(J177)&gt;0,J177,1),"预算不足，这笔不做")),"")</f>
        <v/>
      </c>
      <c r="P177" s="35" t="n"/>
      <c r="Q177" s="20" t="str">
        <f>IF(AND(ISNUMBER(K177),ISNUMBER(L177),ISNUMBER(P177)),IF(AND(K177&lt;&gt;L177,P177&gt;0),ABS(K177-L177)*P177*1,""),"")</f>
        <v/>
      </c>
      <c r="R177" s="20" t="str">
        <f>IF(AND(ISNUMBER(K177),ISNUMBER(P177)),K177*P177,"")</f>
        <v/>
      </c>
      <c r="S177" s="20" t="str">
        <f>IF(AND(D177="合约",ISNUMBER(R177),N(G177)&gt;0),R177/G177,"")</f>
        <v/>
      </c>
      <c r="T177" s="36" t="str">
        <f>IF(NOT(D177="合约"),"",IF(H177&lt;&gt;"逐仓","看平台",IF(AND(ISNUMBER(K177),N(G177)&gt;0),IF(F177="空",K177*(1+1/G177-IF(ISNUMBER(I177),I177,'参数'!$C$13)),K177*(1-1/G177+IF(ISNUMBER(I177),I177,'参数'!$C$13))),"")))</f>
        <v/>
      </c>
      <c r="U177" s="37" t="str">
        <f>IF(AND(ISNUMBER(T177),ISNUMBER(L177),ISNUMBER(K177)),IF(F177="空",T177-L177,L177-T177)/K177,"")</f>
        <v/>
      </c>
      <c r="V177" s="38" t="str">
        <f>IF(ISNUMBER(U177),IF(U177&lt;'参数'!$C$15,"先降杠杆或减量","在止损外"),"")</f>
        <v/>
      </c>
      <c r="W177" s="30" t="n"/>
      <c r="X177" s="31" t="n"/>
      <c r="Y177" s="39" t="str">
        <f>IF(N(AB177)&gt;0,SUMPRODUCT(LARGE(('成交明细'!$A$5:$A$804=A177)*('成交明细'!$D$5:$D$804=IF(F177="空","卖","买"))*'成交明细'!$B$5:$B$804,COUNTIFS('成交明细'!$A$5:$A$804,A177,'成交明细'!$D$5:$D$804,IF(F177="空","卖","买")))),"")</f>
        <v/>
      </c>
      <c r="Z177" s="39" t="str">
        <f>IF(AND(N(AB177)&gt;0,N(AD177)&gt;=N(AB177)),SUMPRODUCT(MAX(('成交明细'!$A$5:$A$804=A177)*('成交明细'!$D$5:$D$804=IF(F177="空","买","卖"))*'成交明细'!$B$5:$B$804)),"")</f>
        <v/>
      </c>
      <c r="AA177" s="40" t="str">
        <f>IF(N(AB177)=0,"",IF(SUMPRODUCT(('成交明细'!$A$5:$A$804=A177)*('成交明细'!$D$5:$D$804=IF(F177="空","卖","买"))*ISNUMBER('成交明细'!$C$5:$C$804))=0,"没填时间",IFERROR(VLOOKUP(MOD(SUMPRODUCT(LARGE(('成交明细'!$A$5:$A$804=A177)*('成交明细'!$D$5:$D$804=IF(F177="空","卖","买"))*('成交明细'!$B$5:$B$804+'成交明细'!$C$5:$C$804),COUNTIFS('成交明细'!$A$5:$A$804,A177,'成交明细'!$D$5:$D$804,IF(F177="空","卖","买")))),1),'参数'!$B$39:$C$48,2,TRUE),"")))</f>
        <v/>
      </c>
      <c r="AB177" s="34" t="str">
        <f>IF(A177="","",SUMIFS('成交明细'!$F$5:$F$804,'成交明细'!$A$5:$A$804,A177,'成交明细'!$D$5:$D$804,IF(F177="空","卖","买")))</f>
        <v/>
      </c>
      <c r="AC177" s="41" t="str">
        <f>IF(N(AB177)&gt;0,SUMIFS('成交明细'!$H$5:$H$804,'成交明细'!$A$5:$A$804,A177,'成交明细'!$D$5:$D$804,IF(F177="空","卖","买"))/AB177,"")</f>
        <v/>
      </c>
      <c r="AD177" s="34" t="str">
        <f>IF(A177="","",SUMIFS('成交明细'!$F$5:$F$804,'成交明细'!$A$5:$A$804,A177,'成交明细'!$D$5:$D$804,IF(F177="空","买","卖")))</f>
        <v/>
      </c>
      <c r="AE177" s="41" t="str">
        <f>IF(N(AD177)&gt;0,SUMIFS('成交明细'!$H$5:$H$804,'成交明细'!$A$5:$A$804,A177,'成交明细'!$D$5:$D$804,IF(F177="空","买","卖"))/AD177,"")</f>
        <v/>
      </c>
      <c r="AF177" s="38" t="str">
        <f>IF(A177="","",IF(X177&lt;&gt;"已执行",IF(X177="","未填执行情况",X177),IF(N(AB177)=0,"待录成交",IF(N(AD177)&gt;N(AB177),"平仓多于开仓",IF(N(AD177)&lt;N(AB177),"持仓中","已平仓")))))</f>
        <v/>
      </c>
      <c r="AG177" s="42" t="str">
        <f>IF(N(AB177)=0,"",SUMIFS('成交明细'!$L$5:$L$804,'成交明细'!$A$5:$A$804,A177))</f>
        <v/>
      </c>
      <c r="AH177" s="43" t="str">
        <f>IF(A177="","",SUMIFS('资金费流水'!$F$5:$F$604,'资金费流水'!$B$5:$B$604,A177))</f>
        <v/>
      </c>
      <c r="AI177" s="43" t="str">
        <f>IF(AF177&lt;&gt;"已平仓","",(SUMIFS('成交明细'!$H$5:$H$804,'成交明细'!$A$5:$A$804,A177,'成交明细'!$D$5:$D$804,"卖")-SUMIFS('成交明细'!$H$5:$H$804,'成交明细'!$A$5:$A$804,A177,'成交明细'!$D$5:$D$804,"买"))*1-AG177+N(AH177))</f>
        <v/>
      </c>
      <c r="AJ177" s="44" t="str">
        <f>IF(AND(AF177="已平仓",ISNUMBER(Q177)),(SUMIFS('成交明细'!$H$5:$H$804,'成交明细'!$A$5:$A$804,A177,'成交明细'!$D$5:$D$804,"卖")-SUMIFS('成交明细'!$H$5:$H$804,'成交明细'!$A$5:$A$804,A177,'成交明细'!$D$5:$D$804,"买"))*1/Q177,"")</f>
        <v/>
      </c>
      <c r="AK177" s="44" t="str">
        <f>IF(AND(AF177="已平仓",ISNUMBER(Q177)),AI177/Q177,"")</f>
        <v/>
      </c>
      <c r="AL177" s="45" t="str">
        <f>IF(AND(ISNUMBER(AC177),ISNUMBER(K177)),IF(F177="空",K177-AC177,AC177-K177),"")</f>
        <v/>
      </c>
      <c r="AM177" s="45" t="str">
        <f>IF(OR(NOT(ISNUMBER(AI177)),NOT(ISNUMBER(AE177))),"",IF(AI177&lt;0,IF(F177="空",AE177-L177,L177-AE177),IF(NOT(ISNUMBER(M177)),"",IF(F177="空",AE177-M177,M177-AE177))))</f>
        <v/>
      </c>
      <c r="AN177" s="31" t="n"/>
      <c r="AO177" s="31" t="n"/>
      <c r="AP177" s="30" t="n"/>
      <c r="AQ177" s="44" t="str">
        <f>IF(A177="","",SUM(AK$5:AK177))</f>
        <v/>
      </c>
      <c r="AR177" s="46" t="str">
        <f>IF(A177="","",MAX(0,MAX(AQ$5:AQ177))-AQ177)</f>
        <v/>
      </c>
    </row>
    <row r="178">
      <c r="A178" s="24" t="n"/>
      <c r="B178" s="29" t="n"/>
      <c r="C178" s="30" t="n"/>
      <c r="D178" s="31" t="n"/>
      <c r="E178" s="31" t="n"/>
      <c r="F178" s="31" t="n"/>
      <c r="G178" s="21" t="n"/>
      <c r="H178" s="31" t="n"/>
      <c r="I178" s="23" t="n"/>
      <c r="J178" s="31" t="n"/>
      <c r="K178" s="32" t="n"/>
      <c r="L178" s="32" t="n"/>
      <c r="M178" s="32" t="n"/>
      <c r="N178" s="33" t="str">
        <f>IF(AND(ISNUMBER(K178),ISNUMBER(L178),ISNUMBER(M178)),IF(OR(AND(F178="多",K178&gt;L178),AND(F178="空",K178&lt;L178)),ABS(M178-K178)/ABS(K178-L178),"止损方向不对"),"")</f>
        <v/>
      </c>
      <c r="O178" s="34" t="str">
        <f>IF(AND(ISNUMBER(K178),ISNUMBER(L178)),IF(K178=L178,"",IF(INT(ROUND('参数'!$C$7/(ABS(K178-L178)*1+2*K178*'参数'!$C$12)/IF(N(J178)&gt;0,J178,1),6))*IF(N(J178)&gt;0,J178,1)&gt;0,INT(ROUND('参数'!$C$7/(ABS(K178-L178)*1+2*K178*'参数'!$C$12)/IF(N(J178)&gt;0,J178,1),6))*IF(N(J178)&gt;0,J178,1),"预算不足，这笔不做")),"")</f>
        <v/>
      </c>
      <c r="P178" s="35" t="n"/>
      <c r="Q178" s="20" t="str">
        <f>IF(AND(ISNUMBER(K178),ISNUMBER(L178),ISNUMBER(P178)),IF(AND(K178&lt;&gt;L178,P178&gt;0),ABS(K178-L178)*P178*1,""),"")</f>
        <v/>
      </c>
      <c r="R178" s="20" t="str">
        <f>IF(AND(ISNUMBER(K178),ISNUMBER(P178)),K178*P178,"")</f>
        <v/>
      </c>
      <c r="S178" s="20" t="str">
        <f>IF(AND(D178="合约",ISNUMBER(R178),N(G178)&gt;0),R178/G178,"")</f>
        <v/>
      </c>
      <c r="T178" s="36" t="str">
        <f>IF(NOT(D178="合约"),"",IF(H178&lt;&gt;"逐仓","看平台",IF(AND(ISNUMBER(K178),N(G178)&gt;0),IF(F178="空",K178*(1+1/G178-IF(ISNUMBER(I178),I178,'参数'!$C$13)),K178*(1-1/G178+IF(ISNUMBER(I178),I178,'参数'!$C$13))),"")))</f>
        <v/>
      </c>
      <c r="U178" s="37" t="str">
        <f>IF(AND(ISNUMBER(T178),ISNUMBER(L178),ISNUMBER(K178)),IF(F178="空",T178-L178,L178-T178)/K178,"")</f>
        <v/>
      </c>
      <c r="V178" s="38" t="str">
        <f>IF(ISNUMBER(U178),IF(U178&lt;'参数'!$C$15,"先降杠杆或减量","在止损外"),"")</f>
        <v/>
      </c>
      <c r="W178" s="30" t="n"/>
      <c r="X178" s="31" t="n"/>
      <c r="Y178" s="39" t="str">
        <f>IF(N(AB178)&gt;0,SUMPRODUCT(LARGE(('成交明细'!$A$5:$A$804=A178)*('成交明细'!$D$5:$D$804=IF(F178="空","卖","买"))*'成交明细'!$B$5:$B$804,COUNTIFS('成交明细'!$A$5:$A$804,A178,'成交明细'!$D$5:$D$804,IF(F178="空","卖","买")))),"")</f>
        <v/>
      </c>
      <c r="Z178" s="39" t="str">
        <f>IF(AND(N(AB178)&gt;0,N(AD178)&gt;=N(AB178)),SUMPRODUCT(MAX(('成交明细'!$A$5:$A$804=A178)*('成交明细'!$D$5:$D$804=IF(F178="空","买","卖"))*'成交明细'!$B$5:$B$804)),"")</f>
        <v/>
      </c>
      <c r="AA178" s="40" t="str">
        <f>IF(N(AB178)=0,"",IF(SUMPRODUCT(('成交明细'!$A$5:$A$804=A178)*('成交明细'!$D$5:$D$804=IF(F178="空","卖","买"))*ISNUMBER('成交明细'!$C$5:$C$804))=0,"没填时间",IFERROR(VLOOKUP(MOD(SUMPRODUCT(LARGE(('成交明细'!$A$5:$A$804=A178)*('成交明细'!$D$5:$D$804=IF(F178="空","卖","买"))*('成交明细'!$B$5:$B$804+'成交明细'!$C$5:$C$804),COUNTIFS('成交明细'!$A$5:$A$804,A178,'成交明细'!$D$5:$D$804,IF(F178="空","卖","买")))),1),'参数'!$B$39:$C$48,2,TRUE),"")))</f>
        <v/>
      </c>
      <c r="AB178" s="34" t="str">
        <f>IF(A178="","",SUMIFS('成交明细'!$F$5:$F$804,'成交明细'!$A$5:$A$804,A178,'成交明细'!$D$5:$D$804,IF(F178="空","卖","买")))</f>
        <v/>
      </c>
      <c r="AC178" s="41" t="str">
        <f>IF(N(AB178)&gt;0,SUMIFS('成交明细'!$H$5:$H$804,'成交明细'!$A$5:$A$804,A178,'成交明细'!$D$5:$D$804,IF(F178="空","卖","买"))/AB178,"")</f>
        <v/>
      </c>
      <c r="AD178" s="34" t="str">
        <f>IF(A178="","",SUMIFS('成交明细'!$F$5:$F$804,'成交明细'!$A$5:$A$804,A178,'成交明细'!$D$5:$D$804,IF(F178="空","买","卖")))</f>
        <v/>
      </c>
      <c r="AE178" s="41" t="str">
        <f>IF(N(AD178)&gt;0,SUMIFS('成交明细'!$H$5:$H$804,'成交明细'!$A$5:$A$804,A178,'成交明细'!$D$5:$D$804,IF(F178="空","买","卖"))/AD178,"")</f>
        <v/>
      </c>
      <c r="AF178" s="38" t="str">
        <f>IF(A178="","",IF(X178&lt;&gt;"已执行",IF(X178="","未填执行情况",X178),IF(N(AB178)=0,"待录成交",IF(N(AD178)&gt;N(AB178),"平仓多于开仓",IF(N(AD178)&lt;N(AB178),"持仓中","已平仓")))))</f>
        <v/>
      </c>
      <c r="AG178" s="42" t="str">
        <f>IF(N(AB178)=0,"",SUMIFS('成交明细'!$L$5:$L$804,'成交明细'!$A$5:$A$804,A178))</f>
        <v/>
      </c>
      <c r="AH178" s="43" t="str">
        <f>IF(A178="","",SUMIFS('资金费流水'!$F$5:$F$604,'资金费流水'!$B$5:$B$604,A178))</f>
        <v/>
      </c>
      <c r="AI178" s="43" t="str">
        <f>IF(AF178&lt;&gt;"已平仓","",(SUMIFS('成交明细'!$H$5:$H$804,'成交明细'!$A$5:$A$804,A178,'成交明细'!$D$5:$D$804,"卖")-SUMIFS('成交明细'!$H$5:$H$804,'成交明细'!$A$5:$A$804,A178,'成交明细'!$D$5:$D$804,"买"))*1-AG178+N(AH178))</f>
        <v/>
      </c>
      <c r="AJ178" s="44" t="str">
        <f>IF(AND(AF178="已平仓",ISNUMBER(Q178)),(SUMIFS('成交明细'!$H$5:$H$804,'成交明细'!$A$5:$A$804,A178,'成交明细'!$D$5:$D$804,"卖")-SUMIFS('成交明细'!$H$5:$H$804,'成交明细'!$A$5:$A$804,A178,'成交明细'!$D$5:$D$804,"买"))*1/Q178,"")</f>
        <v/>
      </c>
      <c r="AK178" s="44" t="str">
        <f>IF(AND(AF178="已平仓",ISNUMBER(Q178)),AI178/Q178,"")</f>
        <v/>
      </c>
      <c r="AL178" s="45" t="str">
        <f>IF(AND(ISNUMBER(AC178),ISNUMBER(K178)),IF(F178="空",K178-AC178,AC178-K178),"")</f>
        <v/>
      </c>
      <c r="AM178" s="45" t="str">
        <f>IF(OR(NOT(ISNUMBER(AI178)),NOT(ISNUMBER(AE178))),"",IF(AI178&lt;0,IF(F178="空",AE178-L178,L178-AE178),IF(NOT(ISNUMBER(M178)),"",IF(F178="空",AE178-M178,M178-AE178))))</f>
        <v/>
      </c>
      <c r="AN178" s="31" t="n"/>
      <c r="AO178" s="31" t="n"/>
      <c r="AP178" s="30" t="n"/>
      <c r="AQ178" s="44" t="str">
        <f>IF(A178="","",SUM(AK$5:AK178))</f>
        <v/>
      </c>
      <c r="AR178" s="46" t="str">
        <f>IF(A178="","",MAX(0,MAX(AQ$5:AQ178))-AQ178)</f>
        <v/>
      </c>
    </row>
    <row r="179">
      <c r="A179" s="24" t="n"/>
      <c r="B179" s="29" t="n"/>
      <c r="C179" s="30" t="n"/>
      <c r="D179" s="31" t="n"/>
      <c r="E179" s="31" t="n"/>
      <c r="F179" s="31" t="n"/>
      <c r="G179" s="21" t="n"/>
      <c r="H179" s="31" t="n"/>
      <c r="I179" s="23" t="n"/>
      <c r="J179" s="31" t="n"/>
      <c r="K179" s="32" t="n"/>
      <c r="L179" s="32" t="n"/>
      <c r="M179" s="32" t="n"/>
      <c r="N179" s="33" t="str">
        <f>IF(AND(ISNUMBER(K179),ISNUMBER(L179),ISNUMBER(M179)),IF(OR(AND(F179="多",K179&gt;L179),AND(F179="空",K179&lt;L179)),ABS(M179-K179)/ABS(K179-L179),"止损方向不对"),"")</f>
        <v/>
      </c>
      <c r="O179" s="34" t="str">
        <f>IF(AND(ISNUMBER(K179),ISNUMBER(L179)),IF(K179=L179,"",IF(INT(ROUND('参数'!$C$7/(ABS(K179-L179)*1+2*K179*'参数'!$C$12)/IF(N(J179)&gt;0,J179,1),6))*IF(N(J179)&gt;0,J179,1)&gt;0,INT(ROUND('参数'!$C$7/(ABS(K179-L179)*1+2*K179*'参数'!$C$12)/IF(N(J179)&gt;0,J179,1),6))*IF(N(J179)&gt;0,J179,1),"预算不足，这笔不做")),"")</f>
        <v/>
      </c>
      <c r="P179" s="35" t="n"/>
      <c r="Q179" s="20" t="str">
        <f>IF(AND(ISNUMBER(K179),ISNUMBER(L179),ISNUMBER(P179)),IF(AND(K179&lt;&gt;L179,P179&gt;0),ABS(K179-L179)*P179*1,""),"")</f>
        <v/>
      </c>
      <c r="R179" s="20" t="str">
        <f>IF(AND(ISNUMBER(K179),ISNUMBER(P179)),K179*P179,"")</f>
        <v/>
      </c>
      <c r="S179" s="20" t="str">
        <f>IF(AND(D179="合约",ISNUMBER(R179),N(G179)&gt;0),R179/G179,"")</f>
        <v/>
      </c>
      <c r="T179" s="36" t="str">
        <f>IF(NOT(D179="合约"),"",IF(H179&lt;&gt;"逐仓","看平台",IF(AND(ISNUMBER(K179),N(G179)&gt;0),IF(F179="空",K179*(1+1/G179-IF(ISNUMBER(I179),I179,'参数'!$C$13)),K179*(1-1/G179+IF(ISNUMBER(I179),I179,'参数'!$C$13))),"")))</f>
        <v/>
      </c>
      <c r="U179" s="37" t="str">
        <f>IF(AND(ISNUMBER(T179),ISNUMBER(L179),ISNUMBER(K179)),IF(F179="空",T179-L179,L179-T179)/K179,"")</f>
        <v/>
      </c>
      <c r="V179" s="38" t="str">
        <f>IF(ISNUMBER(U179),IF(U179&lt;'参数'!$C$15,"先降杠杆或减量","在止损外"),"")</f>
        <v/>
      </c>
      <c r="W179" s="30" t="n"/>
      <c r="X179" s="31" t="n"/>
      <c r="Y179" s="39" t="str">
        <f>IF(N(AB179)&gt;0,SUMPRODUCT(LARGE(('成交明细'!$A$5:$A$804=A179)*('成交明细'!$D$5:$D$804=IF(F179="空","卖","买"))*'成交明细'!$B$5:$B$804,COUNTIFS('成交明细'!$A$5:$A$804,A179,'成交明细'!$D$5:$D$804,IF(F179="空","卖","买")))),"")</f>
        <v/>
      </c>
      <c r="Z179" s="39" t="str">
        <f>IF(AND(N(AB179)&gt;0,N(AD179)&gt;=N(AB179)),SUMPRODUCT(MAX(('成交明细'!$A$5:$A$804=A179)*('成交明细'!$D$5:$D$804=IF(F179="空","买","卖"))*'成交明细'!$B$5:$B$804)),"")</f>
        <v/>
      </c>
      <c r="AA179" s="40" t="str">
        <f>IF(N(AB179)=0,"",IF(SUMPRODUCT(('成交明细'!$A$5:$A$804=A179)*('成交明细'!$D$5:$D$804=IF(F179="空","卖","买"))*ISNUMBER('成交明细'!$C$5:$C$804))=0,"没填时间",IFERROR(VLOOKUP(MOD(SUMPRODUCT(LARGE(('成交明细'!$A$5:$A$804=A179)*('成交明细'!$D$5:$D$804=IF(F179="空","卖","买"))*('成交明细'!$B$5:$B$804+'成交明细'!$C$5:$C$804),COUNTIFS('成交明细'!$A$5:$A$804,A179,'成交明细'!$D$5:$D$804,IF(F179="空","卖","买")))),1),'参数'!$B$39:$C$48,2,TRUE),"")))</f>
        <v/>
      </c>
      <c r="AB179" s="34" t="str">
        <f>IF(A179="","",SUMIFS('成交明细'!$F$5:$F$804,'成交明细'!$A$5:$A$804,A179,'成交明细'!$D$5:$D$804,IF(F179="空","卖","买")))</f>
        <v/>
      </c>
      <c r="AC179" s="41" t="str">
        <f>IF(N(AB179)&gt;0,SUMIFS('成交明细'!$H$5:$H$804,'成交明细'!$A$5:$A$804,A179,'成交明细'!$D$5:$D$804,IF(F179="空","卖","买"))/AB179,"")</f>
        <v/>
      </c>
      <c r="AD179" s="34" t="str">
        <f>IF(A179="","",SUMIFS('成交明细'!$F$5:$F$804,'成交明细'!$A$5:$A$804,A179,'成交明细'!$D$5:$D$804,IF(F179="空","买","卖")))</f>
        <v/>
      </c>
      <c r="AE179" s="41" t="str">
        <f>IF(N(AD179)&gt;0,SUMIFS('成交明细'!$H$5:$H$804,'成交明细'!$A$5:$A$804,A179,'成交明细'!$D$5:$D$804,IF(F179="空","买","卖"))/AD179,"")</f>
        <v/>
      </c>
      <c r="AF179" s="38" t="str">
        <f>IF(A179="","",IF(X179&lt;&gt;"已执行",IF(X179="","未填执行情况",X179),IF(N(AB179)=0,"待录成交",IF(N(AD179)&gt;N(AB179),"平仓多于开仓",IF(N(AD179)&lt;N(AB179),"持仓中","已平仓")))))</f>
        <v/>
      </c>
      <c r="AG179" s="42" t="str">
        <f>IF(N(AB179)=0,"",SUMIFS('成交明细'!$L$5:$L$804,'成交明细'!$A$5:$A$804,A179))</f>
        <v/>
      </c>
      <c r="AH179" s="43" t="str">
        <f>IF(A179="","",SUMIFS('资金费流水'!$F$5:$F$604,'资金费流水'!$B$5:$B$604,A179))</f>
        <v/>
      </c>
      <c r="AI179" s="43" t="str">
        <f>IF(AF179&lt;&gt;"已平仓","",(SUMIFS('成交明细'!$H$5:$H$804,'成交明细'!$A$5:$A$804,A179,'成交明细'!$D$5:$D$804,"卖")-SUMIFS('成交明细'!$H$5:$H$804,'成交明细'!$A$5:$A$804,A179,'成交明细'!$D$5:$D$804,"买"))*1-AG179+N(AH179))</f>
        <v/>
      </c>
      <c r="AJ179" s="44" t="str">
        <f>IF(AND(AF179="已平仓",ISNUMBER(Q179)),(SUMIFS('成交明细'!$H$5:$H$804,'成交明细'!$A$5:$A$804,A179,'成交明细'!$D$5:$D$804,"卖")-SUMIFS('成交明细'!$H$5:$H$804,'成交明细'!$A$5:$A$804,A179,'成交明细'!$D$5:$D$804,"买"))*1/Q179,"")</f>
        <v/>
      </c>
      <c r="AK179" s="44" t="str">
        <f>IF(AND(AF179="已平仓",ISNUMBER(Q179)),AI179/Q179,"")</f>
        <v/>
      </c>
      <c r="AL179" s="45" t="str">
        <f>IF(AND(ISNUMBER(AC179),ISNUMBER(K179)),IF(F179="空",K179-AC179,AC179-K179),"")</f>
        <v/>
      </c>
      <c r="AM179" s="45" t="str">
        <f>IF(OR(NOT(ISNUMBER(AI179)),NOT(ISNUMBER(AE179))),"",IF(AI179&lt;0,IF(F179="空",AE179-L179,L179-AE179),IF(NOT(ISNUMBER(M179)),"",IF(F179="空",AE179-M179,M179-AE179))))</f>
        <v/>
      </c>
      <c r="AN179" s="31" t="n"/>
      <c r="AO179" s="31" t="n"/>
      <c r="AP179" s="30" t="n"/>
      <c r="AQ179" s="44" t="str">
        <f>IF(A179="","",SUM(AK$5:AK179))</f>
        <v/>
      </c>
      <c r="AR179" s="46" t="str">
        <f>IF(A179="","",MAX(0,MAX(AQ$5:AQ179))-AQ179)</f>
        <v/>
      </c>
    </row>
    <row r="180">
      <c r="A180" s="24" t="n"/>
      <c r="B180" s="29" t="n"/>
      <c r="C180" s="30" t="n"/>
      <c r="D180" s="31" t="n"/>
      <c r="E180" s="31" t="n"/>
      <c r="F180" s="31" t="n"/>
      <c r="G180" s="21" t="n"/>
      <c r="H180" s="31" t="n"/>
      <c r="I180" s="23" t="n"/>
      <c r="J180" s="31" t="n"/>
      <c r="K180" s="32" t="n"/>
      <c r="L180" s="32" t="n"/>
      <c r="M180" s="32" t="n"/>
      <c r="N180" s="33" t="str">
        <f>IF(AND(ISNUMBER(K180),ISNUMBER(L180),ISNUMBER(M180)),IF(OR(AND(F180="多",K180&gt;L180),AND(F180="空",K180&lt;L180)),ABS(M180-K180)/ABS(K180-L180),"止损方向不对"),"")</f>
        <v/>
      </c>
      <c r="O180" s="34" t="str">
        <f>IF(AND(ISNUMBER(K180),ISNUMBER(L180)),IF(K180=L180,"",IF(INT(ROUND('参数'!$C$7/(ABS(K180-L180)*1+2*K180*'参数'!$C$12)/IF(N(J180)&gt;0,J180,1),6))*IF(N(J180)&gt;0,J180,1)&gt;0,INT(ROUND('参数'!$C$7/(ABS(K180-L180)*1+2*K180*'参数'!$C$12)/IF(N(J180)&gt;0,J180,1),6))*IF(N(J180)&gt;0,J180,1),"预算不足，这笔不做")),"")</f>
        <v/>
      </c>
      <c r="P180" s="35" t="n"/>
      <c r="Q180" s="20" t="str">
        <f>IF(AND(ISNUMBER(K180),ISNUMBER(L180),ISNUMBER(P180)),IF(AND(K180&lt;&gt;L180,P180&gt;0),ABS(K180-L180)*P180*1,""),"")</f>
        <v/>
      </c>
      <c r="R180" s="20" t="str">
        <f>IF(AND(ISNUMBER(K180),ISNUMBER(P180)),K180*P180,"")</f>
        <v/>
      </c>
      <c r="S180" s="20" t="str">
        <f>IF(AND(D180="合约",ISNUMBER(R180),N(G180)&gt;0),R180/G180,"")</f>
        <v/>
      </c>
      <c r="T180" s="36" t="str">
        <f>IF(NOT(D180="合约"),"",IF(H180&lt;&gt;"逐仓","看平台",IF(AND(ISNUMBER(K180),N(G180)&gt;0),IF(F180="空",K180*(1+1/G180-IF(ISNUMBER(I180),I180,'参数'!$C$13)),K180*(1-1/G180+IF(ISNUMBER(I180),I180,'参数'!$C$13))),"")))</f>
        <v/>
      </c>
      <c r="U180" s="37" t="str">
        <f>IF(AND(ISNUMBER(T180),ISNUMBER(L180),ISNUMBER(K180)),IF(F180="空",T180-L180,L180-T180)/K180,"")</f>
        <v/>
      </c>
      <c r="V180" s="38" t="str">
        <f>IF(ISNUMBER(U180),IF(U180&lt;'参数'!$C$15,"先降杠杆或减量","在止损外"),"")</f>
        <v/>
      </c>
      <c r="W180" s="30" t="n"/>
      <c r="X180" s="31" t="n"/>
      <c r="Y180" s="39" t="str">
        <f>IF(N(AB180)&gt;0,SUMPRODUCT(LARGE(('成交明细'!$A$5:$A$804=A180)*('成交明细'!$D$5:$D$804=IF(F180="空","卖","买"))*'成交明细'!$B$5:$B$804,COUNTIFS('成交明细'!$A$5:$A$804,A180,'成交明细'!$D$5:$D$804,IF(F180="空","卖","买")))),"")</f>
        <v/>
      </c>
      <c r="Z180" s="39" t="str">
        <f>IF(AND(N(AB180)&gt;0,N(AD180)&gt;=N(AB180)),SUMPRODUCT(MAX(('成交明细'!$A$5:$A$804=A180)*('成交明细'!$D$5:$D$804=IF(F180="空","买","卖"))*'成交明细'!$B$5:$B$804)),"")</f>
        <v/>
      </c>
      <c r="AA180" s="40" t="str">
        <f>IF(N(AB180)=0,"",IF(SUMPRODUCT(('成交明细'!$A$5:$A$804=A180)*('成交明细'!$D$5:$D$804=IF(F180="空","卖","买"))*ISNUMBER('成交明细'!$C$5:$C$804))=0,"没填时间",IFERROR(VLOOKUP(MOD(SUMPRODUCT(LARGE(('成交明细'!$A$5:$A$804=A180)*('成交明细'!$D$5:$D$804=IF(F180="空","卖","买"))*('成交明细'!$B$5:$B$804+'成交明细'!$C$5:$C$804),COUNTIFS('成交明细'!$A$5:$A$804,A180,'成交明细'!$D$5:$D$804,IF(F180="空","卖","买")))),1),'参数'!$B$39:$C$48,2,TRUE),"")))</f>
        <v/>
      </c>
      <c r="AB180" s="34" t="str">
        <f>IF(A180="","",SUMIFS('成交明细'!$F$5:$F$804,'成交明细'!$A$5:$A$804,A180,'成交明细'!$D$5:$D$804,IF(F180="空","卖","买")))</f>
        <v/>
      </c>
      <c r="AC180" s="41" t="str">
        <f>IF(N(AB180)&gt;0,SUMIFS('成交明细'!$H$5:$H$804,'成交明细'!$A$5:$A$804,A180,'成交明细'!$D$5:$D$804,IF(F180="空","卖","买"))/AB180,"")</f>
        <v/>
      </c>
      <c r="AD180" s="34" t="str">
        <f>IF(A180="","",SUMIFS('成交明细'!$F$5:$F$804,'成交明细'!$A$5:$A$804,A180,'成交明细'!$D$5:$D$804,IF(F180="空","买","卖")))</f>
        <v/>
      </c>
      <c r="AE180" s="41" t="str">
        <f>IF(N(AD180)&gt;0,SUMIFS('成交明细'!$H$5:$H$804,'成交明细'!$A$5:$A$804,A180,'成交明细'!$D$5:$D$804,IF(F180="空","买","卖"))/AD180,"")</f>
        <v/>
      </c>
      <c r="AF180" s="38" t="str">
        <f>IF(A180="","",IF(X180&lt;&gt;"已执行",IF(X180="","未填执行情况",X180),IF(N(AB180)=0,"待录成交",IF(N(AD180)&gt;N(AB180),"平仓多于开仓",IF(N(AD180)&lt;N(AB180),"持仓中","已平仓")))))</f>
        <v/>
      </c>
      <c r="AG180" s="42" t="str">
        <f>IF(N(AB180)=0,"",SUMIFS('成交明细'!$L$5:$L$804,'成交明细'!$A$5:$A$804,A180))</f>
        <v/>
      </c>
      <c r="AH180" s="43" t="str">
        <f>IF(A180="","",SUMIFS('资金费流水'!$F$5:$F$604,'资金费流水'!$B$5:$B$604,A180))</f>
        <v/>
      </c>
      <c r="AI180" s="43" t="str">
        <f>IF(AF180&lt;&gt;"已平仓","",(SUMIFS('成交明细'!$H$5:$H$804,'成交明细'!$A$5:$A$804,A180,'成交明细'!$D$5:$D$804,"卖")-SUMIFS('成交明细'!$H$5:$H$804,'成交明细'!$A$5:$A$804,A180,'成交明细'!$D$5:$D$804,"买"))*1-AG180+N(AH180))</f>
        <v/>
      </c>
      <c r="AJ180" s="44" t="str">
        <f>IF(AND(AF180="已平仓",ISNUMBER(Q180)),(SUMIFS('成交明细'!$H$5:$H$804,'成交明细'!$A$5:$A$804,A180,'成交明细'!$D$5:$D$804,"卖")-SUMIFS('成交明细'!$H$5:$H$804,'成交明细'!$A$5:$A$804,A180,'成交明细'!$D$5:$D$804,"买"))*1/Q180,"")</f>
        <v/>
      </c>
      <c r="AK180" s="44" t="str">
        <f>IF(AND(AF180="已平仓",ISNUMBER(Q180)),AI180/Q180,"")</f>
        <v/>
      </c>
      <c r="AL180" s="45" t="str">
        <f>IF(AND(ISNUMBER(AC180),ISNUMBER(K180)),IF(F180="空",K180-AC180,AC180-K180),"")</f>
        <v/>
      </c>
      <c r="AM180" s="45" t="str">
        <f>IF(OR(NOT(ISNUMBER(AI180)),NOT(ISNUMBER(AE180))),"",IF(AI180&lt;0,IF(F180="空",AE180-L180,L180-AE180),IF(NOT(ISNUMBER(M180)),"",IF(F180="空",AE180-M180,M180-AE180))))</f>
        <v/>
      </c>
      <c r="AN180" s="31" t="n"/>
      <c r="AO180" s="31" t="n"/>
      <c r="AP180" s="30" t="n"/>
      <c r="AQ180" s="44" t="str">
        <f>IF(A180="","",SUM(AK$5:AK180))</f>
        <v/>
      </c>
      <c r="AR180" s="46" t="str">
        <f>IF(A180="","",MAX(0,MAX(AQ$5:AQ180))-AQ180)</f>
        <v/>
      </c>
    </row>
    <row r="181">
      <c r="A181" s="24" t="n"/>
      <c r="B181" s="29" t="n"/>
      <c r="C181" s="30" t="n"/>
      <c r="D181" s="31" t="n"/>
      <c r="E181" s="31" t="n"/>
      <c r="F181" s="31" t="n"/>
      <c r="G181" s="21" t="n"/>
      <c r="H181" s="31" t="n"/>
      <c r="I181" s="23" t="n"/>
      <c r="J181" s="31" t="n"/>
      <c r="K181" s="32" t="n"/>
      <c r="L181" s="32" t="n"/>
      <c r="M181" s="32" t="n"/>
      <c r="N181" s="33" t="str">
        <f>IF(AND(ISNUMBER(K181),ISNUMBER(L181),ISNUMBER(M181)),IF(OR(AND(F181="多",K181&gt;L181),AND(F181="空",K181&lt;L181)),ABS(M181-K181)/ABS(K181-L181),"止损方向不对"),"")</f>
        <v/>
      </c>
      <c r="O181" s="34" t="str">
        <f>IF(AND(ISNUMBER(K181),ISNUMBER(L181)),IF(K181=L181,"",IF(INT(ROUND('参数'!$C$7/(ABS(K181-L181)*1+2*K181*'参数'!$C$12)/IF(N(J181)&gt;0,J181,1),6))*IF(N(J181)&gt;0,J181,1)&gt;0,INT(ROUND('参数'!$C$7/(ABS(K181-L181)*1+2*K181*'参数'!$C$12)/IF(N(J181)&gt;0,J181,1),6))*IF(N(J181)&gt;0,J181,1),"预算不足，这笔不做")),"")</f>
        <v/>
      </c>
      <c r="P181" s="35" t="n"/>
      <c r="Q181" s="20" t="str">
        <f>IF(AND(ISNUMBER(K181),ISNUMBER(L181),ISNUMBER(P181)),IF(AND(K181&lt;&gt;L181,P181&gt;0),ABS(K181-L181)*P181*1,""),"")</f>
        <v/>
      </c>
      <c r="R181" s="20" t="str">
        <f>IF(AND(ISNUMBER(K181),ISNUMBER(P181)),K181*P181,"")</f>
        <v/>
      </c>
      <c r="S181" s="20" t="str">
        <f>IF(AND(D181="合约",ISNUMBER(R181),N(G181)&gt;0),R181/G181,"")</f>
        <v/>
      </c>
      <c r="T181" s="36" t="str">
        <f>IF(NOT(D181="合约"),"",IF(H181&lt;&gt;"逐仓","看平台",IF(AND(ISNUMBER(K181),N(G181)&gt;0),IF(F181="空",K181*(1+1/G181-IF(ISNUMBER(I181),I181,'参数'!$C$13)),K181*(1-1/G181+IF(ISNUMBER(I181),I181,'参数'!$C$13))),"")))</f>
        <v/>
      </c>
      <c r="U181" s="37" t="str">
        <f>IF(AND(ISNUMBER(T181),ISNUMBER(L181),ISNUMBER(K181)),IF(F181="空",T181-L181,L181-T181)/K181,"")</f>
        <v/>
      </c>
      <c r="V181" s="38" t="str">
        <f>IF(ISNUMBER(U181),IF(U181&lt;'参数'!$C$15,"先降杠杆或减量","在止损外"),"")</f>
        <v/>
      </c>
      <c r="W181" s="30" t="n"/>
      <c r="X181" s="31" t="n"/>
      <c r="Y181" s="39" t="str">
        <f>IF(N(AB181)&gt;0,SUMPRODUCT(LARGE(('成交明细'!$A$5:$A$804=A181)*('成交明细'!$D$5:$D$804=IF(F181="空","卖","买"))*'成交明细'!$B$5:$B$804,COUNTIFS('成交明细'!$A$5:$A$804,A181,'成交明细'!$D$5:$D$804,IF(F181="空","卖","买")))),"")</f>
        <v/>
      </c>
      <c r="Z181" s="39" t="str">
        <f>IF(AND(N(AB181)&gt;0,N(AD181)&gt;=N(AB181)),SUMPRODUCT(MAX(('成交明细'!$A$5:$A$804=A181)*('成交明细'!$D$5:$D$804=IF(F181="空","买","卖"))*'成交明细'!$B$5:$B$804)),"")</f>
        <v/>
      </c>
      <c r="AA181" s="40" t="str">
        <f>IF(N(AB181)=0,"",IF(SUMPRODUCT(('成交明细'!$A$5:$A$804=A181)*('成交明细'!$D$5:$D$804=IF(F181="空","卖","买"))*ISNUMBER('成交明细'!$C$5:$C$804))=0,"没填时间",IFERROR(VLOOKUP(MOD(SUMPRODUCT(LARGE(('成交明细'!$A$5:$A$804=A181)*('成交明细'!$D$5:$D$804=IF(F181="空","卖","买"))*('成交明细'!$B$5:$B$804+'成交明细'!$C$5:$C$804),COUNTIFS('成交明细'!$A$5:$A$804,A181,'成交明细'!$D$5:$D$804,IF(F181="空","卖","买")))),1),'参数'!$B$39:$C$48,2,TRUE),"")))</f>
        <v/>
      </c>
      <c r="AB181" s="34" t="str">
        <f>IF(A181="","",SUMIFS('成交明细'!$F$5:$F$804,'成交明细'!$A$5:$A$804,A181,'成交明细'!$D$5:$D$804,IF(F181="空","卖","买")))</f>
        <v/>
      </c>
      <c r="AC181" s="41" t="str">
        <f>IF(N(AB181)&gt;0,SUMIFS('成交明细'!$H$5:$H$804,'成交明细'!$A$5:$A$804,A181,'成交明细'!$D$5:$D$804,IF(F181="空","卖","买"))/AB181,"")</f>
        <v/>
      </c>
      <c r="AD181" s="34" t="str">
        <f>IF(A181="","",SUMIFS('成交明细'!$F$5:$F$804,'成交明细'!$A$5:$A$804,A181,'成交明细'!$D$5:$D$804,IF(F181="空","买","卖")))</f>
        <v/>
      </c>
      <c r="AE181" s="41" t="str">
        <f>IF(N(AD181)&gt;0,SUMIFS('成交明细'!$H$5:$H$804,'成交明细'!$A$5:$A$804,A181,'成交明细'!$D$5:$D$804,IF(F181="空","买","卖"))/AD181,"")</f>
        <v/>
      </c>
      <c r="AF181" s="38" t="str">
        <f>IF(A181="","",IF(X181&lt;&gt;"已执行",IF(X181="","未填执行情况",X181),IF(N(AB181)=0,"待录成交",IF(N(AD181)&gt;N(AB181),"平仓多于开仓",IF(N(AD181)&lt;N(AB181),"持仓中","已平仓")))))</f>
        <v/>
      </c>
      <c r="AG181" s="42" t="str">
        <f>IF(N(AB181)=0,"",SUMIFS('成交明细'!$L$5:$L$804,'成交明细'!$A$5:$A$804,A181))</f>
        <v/>
      </c>
      <c r="AH181" s="43" t="str">
        <f>IF(A181="","",SUMIFS('资金费流水'!$F$5:$F$604,'资金费流水'!$B$5:$B$604,A181))</f>
        <v/>
      </c>
      <c r="AI181" s="43" t="str">
        <f>IF(AF181&lt;&gt;"已平仓","",(SUMIFS('成交明细'!$H$5:$H$804,'成交明细'!$A$5:$A$804,A181,'成交明细'!$D$5:$D$804,"卖")-SUMIFS('成交明细'!$H$5:$H$804,'成交明细'!$A$5:$A$804,A181,'成交明细'!$D$5:$D$804,"买"))*1-AG181+N(AH181))</f>
        <v/>
      </c>
      <c r="AJ181" s="44" t="str">
        <f>IF(AND(AF181="已平仓",ISNUMBER(Q181)),(SUMIFS('成交明细'!$H$5:$H$804,'成交明细'!$A$5:$A$804,A181,'成交明细'!$D$5:$D$804,"卖")-SUMIFS('成交明细'!$H$5:$H$804,'成交明细'!$A$5:$A$804,A181,'成交明细'!$D$5:$D$804,"买"))*1/Q181,"")</f>
        <v/>
      </c>
      <c r="AK181" s="44" t="str">
        <f>IF(AND(AF181="已平仓",ISNUMBER(Q181)),AI181/Q181,"")</f>
        <v/>
      </c>
      <c r="AL181" s="45" t="str">
        <f>IF(AND(ISNUMBER(AC181),ISNUMBER(K181)),IF(F181="空",K181-AC181,AC181-K181),"")</f>
        <v/>
      </c>
      <c r="AM181" s="45" t="str">
        <f>IF(OR(NOT(ISNUMBER(AI181)),NOT(ISNUMBER(AE181))),"",IF(AI181&lt;0,IF(F181="空",AE181-L181,L181-AE181),IF(NOT(ISNUMBER(M181)),"",IF(F181="空",AE181-M181,M181-AE181))))</f>
        <v/>
      </c>
      <c r="AN181" s="31" t="n"/>
      <c r="AO181" s="31" t="n"/>
      <c r="AP181" s="30" t="n"/>
      <c r="AQ181" s="44" t="str">
        <f>IF(A181="","",SUM(AK$5:AK181))</f>
        <v/>
      </c>
      <c r="AR181" s="46" t="str">
        <f>IF(A181="","",MAX(0,MAX(AQ$5:AQ181))-AQ181)</f>
        <v/>
      </c>
    </row>
    <row r="182">
      <c r="A182" s="24" t="n"/>
      <c r="B182" s="29" t="n"/>
      <c r="C182" s="30" t="n"/>
      <c r="D182" s="31" t="n"/>
      <c r="E182" s="31" t="n"/>
      <c r="F182" s="31" t="n"/>
      <c r="G182" s="21" t="n"/>
      <c r="H182" s="31" t="n"/>
      <c r="I182" s="23" t="n"/>
      <c r="J182" s="31" t="n"/>
      <c r="K182" s="32" t="n"/>
      <c r="L182" s="32" t="n"/>
      <c r="M182" s="32" t="n"/>
      <c r="N182" s="33" t="str">
        <f>IF(AND(ISNUMBER(K182),ISNUMBER(L182),ISNUMBER(M182)),IF(OR(AND(F182="多",K182&gt;L182),AND(F182="空",K182&lt;L182)),ABS(M182-K182)/ABS(K182-L182),"止损方向不对"),"")</f>
        <v/>
      </c>
      <c r="O182" s="34" t="str">
        <f>IF(AND(ISNUMBER(K182),ISNUMBER(L182)),IF(K182=L182,"",IF(INT(ROUND('参数'!$C$7/(ABS(K182-L182)*1+2*K182*'参数'!$C$12)/IF(N(J182)&gt;0,J182,1),6))*IF(N(J182)&gt;0,J182,1)&gt;0,INT(ROUND('参数'!$C$7/(ABS(K182-L182)*1+2*K182*'参数'!$C$12)/IF(N(J182)&gt;0,J182,1),6))*IF(N(J182)&gt;0,J182,1),"预算不足，这笔不做")),"")</f>
        <v/>
      </c>
      <c r="P182" s="35" t="n"/>
      <c r="Q182" s="20" t="str">
        <f>IF(AND(ISNUMBER(K182),ISNUMBER(L182),ISNUMBER(P182)),IF(AND(K182&lt;&gt;L182,P182&gt;0),ABS(K182-L182)*P182*1,""),"")</f>
        <v/>
      </c>
      <c r="R182" s="20" t="str">
        <f>IF(AND(ISNUMBER(K182),ISNUMBER(P182)),K182*P182,"")</f>
        <v/>
      </c>
      <c r="S182" s="20" t="str">
        <f>IF(AND(D182="合约",ISNUMBER(R182),N(G182)&gt;0),R182/G182,"")</f>
        <v/>
      </c>
      <c r="T182" s="36" t="str">
        <f>IF(NOT(D182="合约"),"",IF(H182&lt;&gt;"逐仓","看平台",IF(AND(ISNUMBER(K182),N(G182)&gt;0),IF(F182="空",K182*(1+1/G182-IF(ISNUMBER(I182),I182,'参数'!$C$13)),K182*(1-1/G182+IF(ISNUMBER(I182),I182,'参数'!$C$13))),"")))</f>
        <v/>
      </c>
      <c r="U182" s="37" t="str">
        <f>IF(AND(ISNUMBER(T182),ISNUMBER(L182),ISNUMBER(K182)),IF(F182="空",T182-L182,L182-T182)/K182,"")</f>
        <v/>
      </c>
      <c r="V182" s="38" t="str">
        <f>IF(ISNUMBER(U182),IF(U182&lt;'参数'!$C$15,"先降杠杆或减量","在止损外"),"")</f>
        <v/>
      </c>
      <c r="W182" s="30" t="n"/>
      <c r="X182" s="31" t="n"/>
      <c r="Y182" s="39" t="str">
        <f>IF(N(AB182)&gt;0,SUMPRODUCT(LARGE(('成交明细'!$A$5:$A$804=A182)*('成交明细'!$D$5:$D$804=IF(F182="空","卖","买"))*'成交明细'!$B$5:$B$804,COUNTIFS('成交明细'!$A$5:$A$804,A182,'成交明细'!$D$5:$D$804,IF(F182="空","卖","买")))),"")</f>
        <v/>
      </c>
      <c r="Z182" s="39" t="str">
        <f>IF(AND(N(AB182)&gt;0,N(AD182)&gt;=N(AB182)),SUMPRODUCT(MAX(('成交明细'!$A$5:$A$804=A182)*('成交明细'!$D$5:$D$804=IF(F182="空","买","卖"))*'成交明细'!$B$5:$B$804)),"")</f>
        <v/>
      </c>
      <c r="AA182" s="40" t="str">
        <f>IF(N(AB182)=0,"",IF(SUMPRODUCT(('成交明细'!$A$5:$A$804=A182)*('成交明细'!$D$5:$D$804=IF(F182="空","卖","买"))*ISNUMBER('成交明细'!$C$5:$C$804))=0,"没填时间",IFERROR(VLOOKUP(MOD(SUMPRODUCT(LARGE(('成交明细'!$A$5:$A$804=A182)*('成交明细'!$D$5:$D$804=IF(F182="空","卖","买"))*('成交明细'!$B$5:$B$804+'成交明细'!$C$5:$C$804),COUNTIFS('成交明细'!$A$5:$A$804,A182,'成交明细'!$D$5:$D$804,IF(F182="空","卖","买")))),1),'参数'!$B$39:$C$48,2,TRUE),"")))</f>
        <v/>
      </c>
      <c r="AB182" s="34" t="str">
        <f>IF(A182="","",SUMIFS('成交明细'!$F$5:$F$804,'成交明细'!$A$5:$A$804,A182,'成交明细'!$D$5:$D$804,IF(F182="空","卖","买")))</f>
        <v/>
      </c>
      <c r="AC182" s="41" t="str">
        <f>IF(N(AB182)&gt;0,SUMIFS('成交明细'!$H$5:$H$804,'成交明细'!$A$5:$A$804,A182,'成交明细'!$D$5:$D$804,IF(F182="空","卖","买"))/AB182,"")</f>
        <v/>
      </c>
      <c r="AD182" s="34" t="str">
        <f>IF(A182="","",SUMIFS('成交明细'!$F$5:$F$804,'成交明细'!$A$5:$A$804,A182,'成交明细'!$D$5:$D$804,IF(F182="空","买","卖")))</f>
        <v/>
      </c>
      <c r="AE182" s="41" t="str">
        <f>IF(N(AD182)&gt;0,SUMIFS('成交明细'!$H$5:$H$804,'成交明细'!$A$5:$A$804,A182,'成交明细'!$D$5:$D$804,IF(F182="空","买","卖"))/AD182,"")</f>
        <v/>
      </c>
      <c r="AF182" s="38" t="str">
        <f>IF(A182="","",IF(X182&lt;&gt;"已执行",IF(X182="","未填执行情况",X182),IF(N(AB182)=0,"待录成交",IF(N(AD182)&gt;N(AB182),"平仓多于开仓",IF(N(AD182)&lt;N(AB182),"持仓中","已平仓")))))</f>
        <v/>
      </c>
      <c r="AG182" s="42" t="str">
        <f>IF(N(AB182)=0,"",SUMIFS('成交明细'!$L$5:$L$804,'成交明细'!$A$5:$A$804,A182))</f>
        <v/>
      </c>
      <c r="AH182" s="43" t="str">
        <f>IF(A182="","",SUMIFS('资金费流水'!$F$5:$F$604,'资金费流水'!$B$5:$B$604,A182))</f>
        <v/>
      </c>
      <c r="AI182" s="43" t="str">
        <f>IF(AF182&lt;&gt;"已平仓","",(SUMIFS('成交明细'!$H$5:$H$804,'成交明细'!$A$5:$A$804,A182,'成交明细'!$D$5:$D$804,"卖")-SUMIFS('成交明细'!$H$5:$H$804,'成交明细'!$A$5:$A$804,A182,'成交明细'!$D$5:$D$804,"买"))*1-AG182+N(AH182))</f>
        <v/>
      </c>
      <c r="AJ182" s="44" t="str">
        <f>IF(AND(AF182="已平仓",ISNUMBER(Q182)),(SUMIFS('成交明细'!$H$5:$H$804,'成交明细'!$A$5:$A$804,A182,'成交明细'!$D$5:$D$804,"卖")-SUMIFS('成交明细'!$H$5:$H$804,'成交明细'!$A$5:$A$804,A182,'成交明细'!$D$5:$D$804,"买"))*1/Q182,"")</f>
        <v/>
      </c>
      <c r="AK182" s="44" t="str">
        <f>IF(AND(AF182="已平仓",ISNUMBER(Q182)),AI182/Q182,"")</f>
        <v/>
      </c>
      <c r="AL182" s="45" t="str">
        <f>IF(AND(ISNUMBER(AC182),ISNUMBER(K182)),IF(F182="空",K182-AC182,AC182-K182),"")</f>
        <v/>
      </c>
      <c r="AM182" s="45" t="str">
        <f>IF(OR(NOT(ISNUMBER(AI182)),NOT(ISNUMBER(AE182))),"",IF(AI182&lt;0,IF(F182="空",AE182-L182,L182-AE182),IF(NOT(ISNUMBER(M182)),"",IF(F182="空",AE182-M182,M182-AE182))))</f>
        <v/>
      </c>
      <c r="AN182" s="31" t="n"/>
      <c r="AO182" s="31" t="n"/>
      <c r="AP182" s="30" t="n"/>
      <c r="AQ182" s="44" t="str">
        <f>IF(A182="","",SUM(AK$5:AK182))</f>
        <v/>
      </c>
      <c r="AR182" s="46" t="str">
        <f>IF(A182="","",MAX(0,MAX(AQ$5:AQ182))-AQ182)</f>
        <v/>
      </c>
    </row>
    <row r="183">
      <c r="A183" s="24" t="n"/>
      <c r="B183" s="29" t="n"/>
      <c r="C183" s="30" t="n"/>
      <c r="D183" s="31" t="n"/>
      <c r="E183" s="31" t="n"/>
      <c r="F183" s="31" t="n"/>
      <c r="G183" s="21" t="n"/>
      <c r="H183" s="31" t="n"/>
      <c r="I183" s="23" t="n"/>
      <c r="J183" s="31" t="n"/>
      <c r="K183" s="32" t="n"/>
      <c r="L183" s="32" t="n"/>
      <c r="M183" s="32" t="n"/>
      <c r="N183" s="33" t="str">
        <f>IF(AND(ISNUMBER(K183),ISNUMBER(L183),ISNUMBER(M183)),IF(OR(AND(F183="多",K183&gt;L183),AND(F183="空",K183&lt;L183)),ABS(M183-K183)/ABS(K183-L183),"止损方向不对"),"")</f>
        <v/>
      </c>
      <c r="O183" s="34" t="str">
        <f>IF(AND(ISNUMBER(K183),ISNUMBER(L183)),IF(K183=L183,"",IF(INT(ROUND('参数'!$C$7/(ABS(K183-L183)*1+2*K183*'参数'!$C$12)/IF(N(J183)&gt;0,J183,1),6))*IF(N(J183)&gt;0,J183,1)&gt;0,INT(ROUND('参数'!$C$7/(ABS(K183-L183)*1+2*K183*'参数'!$C$12)/IF(N(J183)&gt;0,J183,1),6))*IF(N(J183)&gt;0,J183,1),"预算不足，这笔不做")),"")</f>
        <v/>
      </c>
      <c r="P183" s="35" t="n"/>
      <c r="Q183" s="20" t="str">
        <f>IF(AND(ISNUMBER(K183),ISNUMBER(L183),ISNUMBER(P183)),IF(AND(K183&lt;&gt;L183,P183&gt;0),ABS(K183-L183)*P183*1,""),"")</f>
        <v/>
      </c>
      <c r="R183" s="20" t="str">
        <f>IF(AND(ISNUMBER(K183),ISNUMBER(P183)),K183*P183,"")</f>
        <v/>
      </c>
      <c r="S183" s="20" t="str">
        <f>IF(AND(D183="合约",ISNUMBER(R183),N(G183)&gt;0),R183/G183,"")</f>
        <v/>
      </c>
      <c r="T183" s="36" t="str">
        <f>IF(NOT(D183="合约"),"",IF(H183&lt;&gt;"逐仓","看平台",IF(AND(ISNUMBER(K183),N(G183)&gt;0),IF(F183="空",K183*(1+1/G183-IF(ISNUMBER(I183),I183,'参数'!$C$13)),K183*(1-1/G183+IF(ISNUMBER(I183),I183,'参数'!$C$13))),"")))</f>
        <v/>
      </c>
      <c r="U183" s="37" t="str">
        <f>IF(AND(ISNUMBER(T183),ISNUMBER(L183),ISNUMBER(K183)),IF(F183="空",T183-L183,L183-T183)/K183,"")</f>
        <v/>
      </c>
      <c r="V183" s="38" t="str">
        <f>IF(ISNUMBER(U183),IF(U183&lt;'参数'!$C$15,"先降杠杆或减量","在止损外"),"")</f>
        <v/>
      </c>
      <c r="W183" s="30" t="n"/>
      <c r="X183" s="31" t="n"/>
      <c r="Y183" s="39" t="str">
        <f>IF(N(AB183)&gt;0,SUMPRODUCT(LARGE(('成交明细'!$A$5:$A$804=A183)*('成交明细'!$D$5:$D$804=IF(F183="空","卖","买"))*'成交明细'!$B$5:$B$804,COUNTIFS('成交明细'!$A$5:$A$804,A183,'成交明细'!$D$5:$D$804,IF(F183="空","卖","买")))),"")</f>
        <v/>
      </c>
      <c r="Z183" s="39" t="str">
        <f>IF(AND(N(AB183)&gt;0,N(AD183)&gt;=N(AB183)),SUMPRODUCT(MAX(('成交明细'!$A$5:$A$804=A183)*('成交明细'!$D$5:$D$804=IF(F183="空","买","卖"))*'成交明细'!$B$5:$B$804)),"")</f>
        <v/>
      </c>
      <c r="AA183" s="40" t="str">
        <f>IF(N(AB183)=0,"",IF(SUMPRODUCT(('成交明细'!$A$5:$A$804=A183)*('成交明细'!$D$5:$D$804=IF(F183="空","卖","买"))*ISNUMBER('成交明细'!$C$5:$C$804))=0,"没填时间",IFERROR(VLOOKUP(MOD(SUMPRODUCT(LARGE(('成交明细'!$A$5:$A$804=A183)*('成交明细'!$D$5:$D$804=IF(F183="空","卖","买"))*('成交明细'!$B$5:$B$804+'成交明细'!$C$5:$C$804),COUNTIFS('成交明细'!$A$5:$A$804,A183,'成交明细'!$D$5:$D$804,IF(F183="空","卖","买")))),1),'参数'!$B$39:$C$48,2,TRUE),"")))</f>
        <v/>
      </c>
      <c r="AB183" s="34" t="str">
        <f>IF(A183="","",SUMIFS('成交明细'!$F$5:$F$804,'成交明细'!$A$5:$A$804,A183,'成交明细'!$D$5:$D$804,IF(F183="空","卖","买")))</f>
        <v/>
      </c>
      <c r="AC183" s="41" t="str">
        <f>IF(N(AB183)&gt;0,SUMIFS('成交明细'!$H$5:$H$804,'成交明细'!$A$5:$A$804,A183,'成交明细'!$D$5:$D$804,IF(F183="空","卖","买"))/AB183,"")</f>
        <v/>
      </c>
      <c r="AD183" s="34" t="str">
        <f>IF(A183="","",SUMIFS('成交明细'!$F$5:$F$804,'成交明细'!$A$5:$A$804,A183,'成交明细'!$D$5:$D$804,IF(F183="空","买","卖")))</f>
        <v/>
      </c>
      <c r="AE183" s="41" t="str">
        <f>IF(N(AD183)&gt;0,SUMIFS('成交明细'!$H$5:$H$804,'成交明细'!$A$5:$A$804,A183,'成交明细'!$D$5:$D$804,IF(F183="空","买","卖"))/AD183,"")</f>
        <v/>
      </c>
      <c r="AF183" s="38" t="str">
        <f>IF(A183="","",IF(X183&lt;&gt;"已执行",IF(X183="","未填执行情况",X183),IF(N(AB183)=0,"待录成交",IF(N(AD183)&gt;N(AB183),"平仓多于开仓",IF(N(AD183)&lt;N(AB183),"持仓中","已平仓")))))</f>
        <v/>
      </c>
      <c r="AG183" s="42" t="str">
        <f>IF(N(AB183)=0,"",SUMIFS('成交明细'!$L$5:$L$804,'成交明细'!$A$5:$A$804,A183))</f>
        <v/>
      </c>
      <c r="AH183" s="43" t="str">
        <f>IF(A183="","",SUMIFS('资金费流水'!$F$5:$F$604,'资金费流水'!$B$5:$B$604,A183))</f>
        <v/>
      </c>
      <c r="AI183" s="43" t="str">
        <f>IF(AF183&lt;&gt;"已平仓","",(SUMIFS('成交明细'!$H$5:$H$804,'成交明细'!$A$5:$A$804,A183,'成交明细'!$D$5:$D$804,"卖")-SUMIFS('成交明细'!$H$5:$H$804,'成交明细'!$A$5:$A$804,A183,'成交明细'!$D$5:$D$804,"买"))*1-AG183+N(AH183))</f>
        <v/>
      </c>
      <c r="AJ183" s="44" t="str">
        <f>IF(AND(AF183="已平仓",ISNUMBER(Q183)),(SUMIFS('成交明细'!$H$5:$H$804,'成交明细'!$A$5:$A$804,A183,'成交明细'!$D$5:$D$804,"卖")-SUMIFS('成交明细'!$H$5:$H$804,'成交明细'!$A$5:$A$804,A183,'成交明细'!$D$5:$D$804,"买"))*1/Q183,"")</f>
        <v/>
      </c>
      <c r="AK183" s="44" t="str">
        <f>IF(AND(AF183="已平仓",ISNUMBER(Q183)),AI183/Q183,"")</f>
        <v/>
      </c>
      <c r="AL183" s="45" t="str">
        <f>IF(AND(ISNUMBER(AC183),ISNUMBER(K183)),IF(F183="空",K183-AC183,AC183-K183),"")</f>
        <v/>
      </c>
      <c r="AM183" s="45" t="str">
        <f>IF(OR(NOT(ISNUMBER(AI183)),NOT(ISNUMBER(AE183))),"",IF(AI183&lt;0,IF(F183="空",AE183-L183,L183-AE183),IF(NOT(ISNUMBER(M183)),"",IF(F183="空",AE183-M183,M183-AE183))))</f>
        <v/>
      </c>
      <c r="AN183" s="31" t="n"/>
      <c r="AO183" s="31" t="n"/>
      <c r="AP183" s="30" t="n"/>
      <c r="AQ183" s="44" t="str">
        <f>IF(A183="","",SUM(AK$5:AK183))</f>
        <v/>
      </c>
      <c r="AR183" s="46" t="str">
        <f>IF(A183="","",MAX(0,MAX(AQ$5:AQ183))-AQ183)</f>
        <v/>
      </c>
    </row>
    <row r="184">
      <c r="A184" s="24" t="n"/>
      <c r="B184" s="29" t="n"/>
      <c r="C184" s="30" t="n"/>
      <c r="D184" s="31" t="n"/>
      <c r="E184" s="31" t="n"/>
      <c r="F184" s="31" t="n"/>
      <c r="G184" s="21" t="n"/>
      <c r="H184" s="31" t="n"/>
      <c r="I184" s="23" t="n"/>
      <c r="J184" s="31" t="n"/>
      <c r="K184" s="32" t="n"/>
      <c r="L184" s="32" t="n"/>
      <c r="M184" s="32" t="n"/>
      <c r="N184" s="33" t="str">
        <f>IF(AND(ISNUMBER(K184),ISNUMBER(L184),ISNUMBER(M184)),IF(OR(AND(F184="多",K184&gt;L184),AND(F184="空",K184&lt;L184)),ABS(M184-K184)/ABS(K184-L184),"止损方向不对"),"")</f>
        <v/>
      </c>
      <c r="O184" s="34" t="str">
        <f>IF(AND(ISNUMBER(K184),ISNUMBER(L184)),IF(K184=L184,"",IF(INT(ROUND('参数'!$C$7/(ABS(K184-L184)*1+2*K184*'参数'!$C$12)/IF(N(J184)&gt;0,J184,1),6))*IF(N(J184)&gt;0,J184,1)&gt;0,INT(ROUND('参数'!$C$7/(ABS(K184-L184)*1+2*K184*'参数'!$C$12)/IF(N(J184)&gt;0,J184,1),6))*IF(N(J184)&gt;0,J184,1),"预算不足，这笔不做")),"")</f>
        <v/>
      </c>
      <c r="P184" s="35" t="n"/>
      <c r="Q184" s="20" t="str">
        <f>IF(AND(ISNUMBER(K184),ISNUMBER(L184),ISNUMBER(P184)),IF(AND(K184&lt;&gt;L184,P184&gt;0),ABS(K184-L184)*P184*1,""),"")</f>
        <v/>
      </c>
      <c r="R184" s="20" t="str">
        <f>IF(AND(ISNUMBER(K184),ISNUMBER(P184)),K184*P184,"")</f>
        <v/>
      </c>
      <c r="S184" s="20" t="str">
        <f>IF(AND(D184="合约",ISNUMBER(R184),N(G184)&gt;0),R184/G184,"")</f>
        <v/>
      </c>
      <c r="T184" s="36" t="str">
        <f>IF(NOT(D184="合约"),"",IF(H184&lt;&gt;"逐仓","看平台",IF(AND(ISNUMBER(K184),N(G184)&gt;0),IF(F184="空",K184*(1+1/G184-IF(ISNUMBER(I184),I184,'参数'!$C$13)),K184*(1-1/G184+IF(ISNUMBER(I184),I184,'参数'!$C$13))),"")))</f>
        <v/>
      </c>
      <c r="U184" s="37" t="str">
        <f>IF(AND(ISNUMBER(T184),ISNUMBER(L184),ISNUMBER(K184)),IF(F184="空",T184-L184,L184-T184)/K184,"")</f>
        <v/>
      </c>
      <c r="V184" s="38" t="str">
        <f>IF(ISNUMBER(U184),IF(U184&lt;'参数'!$C$15,"先降杠杆或减量","在止损外"),"")</f>
        <v/>
      </c>
      <c r="W184" s="30" t="n"/>
      <c r="X184" s="31" t="n"/>
      <c r="Y184" s="39" t="str">
        <f>IF(N(AB184)&gt;0,SUMPRODUCT(LARGE(('成交明细'!$A$5:$A$804=A184)*('成交明细'!$D$5:$D$804=IF(F184="空","卖","买"))*'成交明细'!$B$5:$B$804,COUNTIFS('成交明细'!$A$5:$A$804,A184,'成交明细'!$D$5:$D$804,IF(F184="空","卖","买")))),"")</f>
        <v/>
      </c>
      <c r="Z184" s="39" t="str">
        <f>IF(AND(N(AB184)&gt;0,N(AD184)&gt;=N(AB184)),SUMPRODUCT(MAX(('成交明细'!$A$5:$A$804=A184)*('成交明细'!$D$5:$D$804=IF(F184="空","买","卖"))*'成交明细'!$B$5:$B$804)),"")</f>
        <v/>
      </c>
      <c r="AA184" s="40" t="str">
        <f>IF(N(AB184)=0,"",IF(SUMPRODUCT(('成交明细'!$A$5:$A$804=A184)*('成交明细'!$D$5:$D$804=IF(F184="空","卖","买"))*ISNUMBER('成交明细'!$C$5:$C$804))=0,"没填时间",IFERROR(VLOOKUP(MOD(SUMPRODUCT(LARGE(('成交明细'!$A$5:$A$804=A184)*('成交明细'!$D$5:$D$804=IF(F184="空","卖","买"))*('成交明细'!$B$5:$B$804+'成交明细'!$C$5:$C$804),COUNTIFS('成交明细'!$A$5:$A$804,A184,'成交明细'!$D$5:$D$804,IF(F184="空","卖","买")))),1),'参数'!$B$39:$C$48,2,TRUE),"")))</f>
        <v/>
      </c>
      <c r="AB184" s="34" t="str">
        <f>IF(A184="","",SUMIFS('成交明细'!$F$5:$F$804,'成交明细'!$A$5:$A$804,A184,'成交明细'!$D$5:$D$804,IF(F184="空","卖","买")))</f>
        <v/>
      </c>
      <c r="AC184" s="41" t="str">
        <f>IF(N(AB184)&gt;0,SUMIFS('成交明细'!$H$5:$H$804,'成交明细'!$A$5:$A$804,A184,'成交明细'!$D$5:$D$804,IF(F184="空","卖","买"))/AB184,"")</f>
        <v/>
      </c>
      <c r="AD184" s="34" t="str">
        <f>IF(A184="","",SUMIFS('成交明细'!$F$5:$F$804,'成交明细'!$A$5:$A$804,A184,'成交明细'!$D$5:$D$804,IF(F184="空","买","卖")))</f>
        <v/>
      </c>
      <c r="AE184" s="41" t="str">
        <f>IF(N(AD184)&gt;0,SUMIFS('成交明细'!$H$5:$H$804,'成交明细'!$A$5:$A$804,A184,'成交明细'!$D$5:$D$804,IF(F184="空","买","卖"))/AD184,"")</f>
        <v/>
      </c>
      <c r="AF184" s="38" t="str">
        <f>IF(A184="","",IF(X184&lt;&gt;"已执行",IF(X184="","未填执行情况",X184),IF(N(AB184)=0,"待录成交",IF(N(AD184)&gt;N(AB184),"平仓多于开仓",IF(N(AD184)&lt;N(AB184),"持仓中","已平仓")))))</f>
        <v/>
      </c>
      <c r="AG184" s="42" t="str">
        <f>IF(N(AB184)=0,"",SUMIFS('成交明细'!$L$5:$L$804,'成交明细'!$A$5:$A$804,A184))</f>
        <v/>
      </c>
      <c r="AH184" s="43" t="str">
        <f>IF(A184="","",SUMIFS('资金费流水'!$F$5:$F$604,'资金费流水'!$B$5:$B$604,A184))</f>
        <v/>
      </c>
      <c r="AI184" s="43" t="str">
        <f>IF(AF184&lt;&gt;"已平仓","",(SUMIFS('成交明细'!$H$5:$H$804,'成交明细'!$A$5:$A$804,A184,'成交明细'!$D$5:$D$804,"卖")-SUMIFS('成交明细'!$H$5:$H$804,'成交明细'!$A$5:$A$804,A184,'成交明细'!$D$5:$D$804,"买"))*1-AG184+N(AH184))</f>
        <v/>
      </c>
      <c r="AJ184" s="44" t="str">
        <f>IF(AND(AF184="已平仓",ISNUMBER(Q184)),(SUMIFS('成交明细'!$H$5:$H$804,'成交明细'!$A$5:$A$804,A184,'成交明细'!$D$5:$D$804,"卖")-SUMIFS('成交明细'!$H$5:$H$804,'成交明细'!$A$5:$A$804,A184,'成交明细'!$D$5:$D$804,"买"))*1/Q184,"")</f>
        <v/>
      </c>
      <c r="AK184" s="44" t="str">
        <f>IF(AND(AF184="已平仓",ISNUMBER(Q184)),AI184/Q184,"")</f>
        <v/>
      </c>
      <c r="AL184" s="45" t="str">
        <f>IF(AND(ISNUMBER(AC184),ISNUMBER(K184)),IF(F184="空",K184-AC184,AC184-K184),"")</f>
        <v/>
      </c>
      <c r="AM184" s="45" t="str">
        <f>IF(OR(NOT(ISNUMBER(AI184)),NOT(ISNUMBER(AE184))),"",IF(AI184&lt;0,IF(F184="空",AE184-L184,L184-AE184),IF(NOT(ISNUMBER(M184)),"",IF(F184="空",AE184-M184,M184-AE184))))</f>
        <v/>
      </c>
      <c r="AN184" s="31" t="n"/>
      <c r="AO184" s="31" t="n"/>
      <c r="AP184" s="30" t="n"/>
      <c r="AQ184" s="44" t="str">
        <f>IF(A184="","",SUM(AK$5:AK184))</f>
        <v/>
      </c>
      <c r="AR184" s="46" t="str">
        <f>IF(A184="","",MAX(0,MAX(AQ$5:AQ184))-AQ184)</f>
        <v/>
      </c>
    </row>
    <row r="185">
      <c r="A185" s="24" t="n"/>
      <c r="B185" s="29" t="n"/>
      <c r="C185" s="30" t="n"/>
      <c r="D185" s="31" t="n"/>
      <c r="E185" s="31" t="n"/>
      <c r="F185" s="31" t="n"/>
      <c r="G185" s="21" t="n"/>
      <c r="H185" s="31" t="n"/>
      <c r="I185" s="23" t="n"/>
      <c r="J185" s="31" t="n"/>
      <c r="K185" s="32" t="n"/>
      <c r="L185" s="32" t="n"/>
      <c r="M185" s="32" t="n"/>
      <c r="N185" s="33" t="str">
        <f>IF(AND(ISNUMBER(K185),ISNUMBER(L185),ISNUMBER(M185)),IF(OR(AND(F185="多",K185&gt;L185),AND(F185="空",K185&lt;L185)),ABS(M185-K185)/ABS(K185-L185),"止损方向不对"),"")</f>
        <v/>
      </c>
      <c r="O185" s="34" t="str">
        <f>IF(AND(ISNUMBER(K185),ISNUMBER(L185)),IF(K185=L185,"",IF(INT(ROUND('参数'!$C$7/(ABS(K185-L185)*1+2*K185*'参数'!$C$12)/IF(N(J185)&gt;0,J185,1),6))*IF(N(J185)&gt;0,J185,1)&gt;0,INT(ROUND('参数'!$C$7/(ABS(K185-L185)*1+2*K185*'参数'!$C$12)/IF(N(J185)&gt;0,J185,1),6))*IF(N(J185)&gt;0,J185,1),"预算不足，这笔不做")),"")</f>
        <v/>
      </c>
      <c r="P185" s="35" t="n"/>
      <c r="Q185" s="20" t="str">
        <f>IF(AND(ISNUMBER(K185),ISNUMBER(L185),ISNUMBER(P185)),IF(AND(K185&lt;&gt;L185,P185&gt;0),ABS(K185-L185)*P185*1,""),"")</f>
        <v/>
      </c>
      <c r="R185" s="20" t="str">
        <f>IF(AND(ISNUMBER(K185),ISNUMBER(P185)),K185*P185,"")</f>
        <v/>
      </c>
      <c r="S185" s="20" t="str">
        <f>IF(AND(D185="合约",ISNUMBER(R185),N(G185)&gt;0),R185/G185,"")</f>
        <v/>
      </c>
      <c r="T185" s="36" t="str">
        <f>IF(NOT(D185="合约"),"",IF(H185&lt;&gt;"逐仓","看平台",IF(AND(ISNUMBER(K185),N(G185)&gt;0),IF(F185="空",K185*(1+1/G185-IF(ISNUMBER(I185),I185,'参数'!$C$13)),K185*(1-1/G185+IF(ISNUMBER(I185),I185,'参数'!$C$13))),"")))</f>
        <v/>
      </c>
      <c r="U185" s="37" t="str">
        <f>IF(AND(ISNUMBER(T185),ISNUMBER(L185),ISNUMBER(K185)),IF(F185="空",T185-L185,L185-T185)/K185,"")</f>
        <v/>
      </c>
      <c r="V185" s="38" t="str">
        <f>IF(ISNUMBER(U185),IF(U185&lt;'参数'!$C$15,"先降杠杆或减量","在止损外"),"")</f>
        <v/>
      </c>
      <c r="W185" s="30" t="n"/>
      <c r="X185" s="31" t="n"/>
      <c r="Y185" s="39" t="str">
        <f>IF(N(AB185)&gt;0,SUMPRODUCT(LARGE(('成交明细'!$A$5:$A$804=A185)*('成交明细'!$D$5:$D$804=IF(F185="空","卖","买"))*'成交明细'!$B$5:$B$804,COUNTIFS('成交明细'!$A$5:$A$804,A185,'成交明细'!$D$5:$D$804,IF(F185="空","卖","买")))),"")</f>
        <v/>
      </c>
      <c r="Z185" s="39" t="str">
        <f>IF(AND(N(AB185)&gt;0,N(AD185)&gt;=N(AB185)),SUMPRODUCT(MAX(('成交明细'!$A$5:$A$804=A185)*('成交明细'!$D$5:$D$804=IF(F185="空","买","卖"))*'成交明细'!$B$5:$B$804)),"")</f>
        <v/>
      </c>
      <c r="AA185" s="40" t="str">
        <f>IF(N(AB185)=0,"",IF(SUMPRODUCT(('成交明细'!$A$5:$A$804=A185)*('成交明细'!$D$5:$D$804=IF(F185="空","卖","买"))*ISNUMBER('成交明细'!$C$5:$C$804))=0,"没填时间",IFERROR(VLOOKUP(MOD(SUMPRODUCT(LARGE(('成交明细'!$A$5:$A$804=A185)*('成交明细'!$D$5:$D$804=IF(F185="空","卖","买"))*('成交明细'!$B$5:$B$804+'成交明细'!$C$5:$C$804),COUNTIFS('成交明细'!$A$5:$A$804,A185,'成交明细'!$D$5:$D$804,IF(F185="空","卖","买")))),1),'参数'!$B$39:$C$48,2,TRUE),"")))</f>
        <v/>
      </c>
      <c r="AB185" s="34" t="str">
        <f>IF(A185="","",SUMIFS('成交明细'!$F$5:$F$804,'成交明细'!$A$5:$A$804,A185,'成交明细'!$D$5:$D$804,IF(F185="空","卖","买")))</f>
        <v/>
      </c>
      <c r="AC185" s="41" t="str">
        <f>IF(N(AB185)&gt;0,SUMIFS('成交明细'!$H$5:$H$804,'成交明细'!$A$5:$A$804,A185,'成交明细'!$D$5:$D$804,IF(F185="空","卖","买"))/AB185,"")</f>
        <v/>
      </c>
      <c r="AD185" s="34" t="str">
        <f>IF(A185="","",SUMIFS('成交明细'!$F$5:$F$804,'成交明细'!$A$5:$A$804,A185,'成交明细'!$D$5:$D$804,IF(F185="空","买","卖")))</f>
        <v/>
      </c>
      <c r="AE185" s="41" t="str">
        <f>IF(N(AD185)&gt;0,SUMIFS('成交明细'!$H$5:$H$804,'成交明细'!$A$5:$A$804,A185,'成交明细'!$D$5:$D$804,IF(F185="空","买","卖"))/AD185,"")</f>
        <v/>
      </c>
      <c r="AF185" s="38" t="str">
        <f>IF(A185="","",IF(X185&lt;&gt;"已执行",IF(X185="","未填执行情况",X185),IF(N(AB185)=0,"待录成交",IF(N(AD185)&gt;N(AB185),"平仓多于开仓",IF(N(AD185)&lt;N(AB185),"持仓中","已平仓")))))</f>
        <v/>
      </c>
      <c r="AG185" s="42" t="str">
        <f>IF(N(AB185)=0,"",SUMIFS('成交明细'!$L$5:$L$804,'成交明细'!$A$5:$A$804,A185))</f>
        <v/>
      </c>
      <c r="AH185" s="43" t="str">
        <f>IF(A185="","",SUMIFS('资金费流水'!$F$5:$F$604,'资金费流水'!$B$5:$B$604,A185))</f>
        <v/>
      </c>
      <c r="AI185" s="43" t="str">
        <f>IF(AF185&lt;&gt;"已平仓","",(SUMIFS('成交明细'!$H$5:$H$804,'成交明细'!$A$5:$A$804,A185,'成交明细'!$D$5:$D$804,"卖")-SUMIFS('成交明细'!$H$5:$H$804,'成交明细'!$A$5:$A$804,A185,'成交明细'!$D$5:$D$804,"买"))*1-AG185+N(AH185))</f>
        <v/>
      </c>
      <c r="AJ185" s="44" t="str">
        <f>IF(AND(AF185="已平仓",ISNUMBER(Q185)),(SUMIFS('成交明细'!$H$5:$H$804,'成交明细'!$A$5:$A$804,A185,'成交明细'!$D$5:$D$804,"卖")-SUMIFS('成交明细'!$H$5:$H$804,'成交明细'!$A$5:$A$804,A185,'成交明细'!$D$5:$D$804,"买"))*1/Q185,"")</f>
        <v/>
      </c>
      <c r="AK185" s="44" t="str">
        <f>IF(AND(AF185="已平仓",ISNUMBER(Q185)),AI185/Q185,"")</f>
        <v/>
      </c>
      <c r="AL185" s="45" t="str">
        <f>IF(AND(ISNUMBER(AC185),ISNUMBER(K185)),IF(F185="空",K185-AC185,AC185-K185),"")</f>
        <v/>
      </c>
      <c r="AM185" s="45" t="str">
        <f>IF(OR(NOT(ISNUMBER(AI185)),NOT(ISNUMBER(AE185))),"",IF(AI185&lt;0,IF(F185="空",AE185-L185,L185-AE185),IF(NOT(ISNUMBER(M185)),"",IF(F185="空",AE185-M185,M185-AE185))))</f>
        <v/>
      </c>
      <c r="AN185" s="31" t="n"/>
      <c r="AO185" s="31" t="n"/>
      <c r="AP185" s="30" t="n"/>
      <c r="AQ185" s="44" t="str">
        <f>IF(A185="","",SUM(AK$5:AK185))</f>
        <v/>
      </c>
      <c r="AR185" s="46" t="str">
        <f>IF(A185="","",MAX(0,MAX(AQ$5:AQ185))-AQ185)</f>
        <v/>
      </c>
    </row>
    <row r="186">
      <c r="A186" s="24" t="n"/>
      <c r="B186" s="29" t="n"/>
      <c r="C186" s="30" t="n"/>
      <c r="D186" s="31" t="n"/>
      <c r="E186" s="31" t="n"/>
      <c r="F186" s="31" t="n"/>
      <c r="G186" s="21" t="n"/>
      <c r="H186" s="31" t="n"/>
      <c r="I186" s="23" t="n"/>
      <c r="J186" s="31" t="n"/>
      <c r="K186" s="32" t="n"/>
      <c r="L186" s="32" t="n"/>
      <c r="M186" s="32" t="n"/>
      <c r="N186" s="33" t="str">
        <f>IF(AND(ISNUMBER(K186),ISNUMBER(L186),ISNUMBER(M186)),IF(OR(AND(F186="多",K186&gt;L186),AND(F186="空",K186&lt;L186)),ABS(M186-K186)/ABS(K186-L186),"止损方向不对"),"")</f>
        <v/>
      </c>
      <c r="O186" s="34" t="str">
        <f>IF(AND(ISNUMBER(K186),ISNUMBER(L186)),IF(K186=L186,"",IF(INT(ROUND('参数'!$C$7/(ABS(K186-L186)*1+2*K186*'参数'!$C$12)/IF(N(J186)&gt;0,J186,1),6))*IF(N(J186)&gt;0,J186,1)&gt;0,INT(ROUND('参数'!$C$7/(ABS(K186-L186)*1+2*K186*'参数'!$C$12)/IF(N(J186)&gt;0,J186,1),6))*IF(N(J186)&gt;0,J186,1),"预算不足，这笔不做")),"")</f>
        <v/>
      </c>
      <c r="P186" s="35" t="n"/>
      <c r="Q186" s="20" t="str">
        <f>IF(AND(ISNUMBER(K186),ISNUMBER(L186),ISNUMBER(P186)),IF(AND(K186&lt;&gt;L186,P186&gt;0),ABS(K186-L186)*P186*1,""),"")</f>
        <v/>
      </c>
      <c r="R186" s="20" t="str">
        <f>IF(AND(ISNUMBER(K186),ISNUMBER(P186)),K186*P186,"")</f>
        <v/>
      </c>
      <c r="S186" s="20" t="str">
        <f>IF(AND(D186="合约",ISNUMBER(R186),N(G186)&gt;0),R186/G186,"")</f>
        <v/>
      </c>
      <c r="T186" s="36" t="str">
        <f>IF(NOT(D186="合约"),"",IF(H186&lt;&gt;"逐仓","看平台",IF(AND(ISNUMBER(K186),N(G186)&gt;0),IF(F186="空",K186*(1+1/G186-IF(ISNUMBER(I186),I186,'参数'!$C$13)),K186*(1-1/G186+IF(ISNUMBER(I186),I186,'参数'!$C$13))),"")))</f>
        <v/>
      </c>
      <c r="U186" s="37" t="str">
        <f>IF(AND(ISNUMBER(T186),ISNUMBER(L186),ISNUMBER(K186)),IF(F186="空",T186-L186,L186-T186)/K186,"")</f>
        <v/>
      </c>
      <c r="V186" s="38" t="str">
        <f>IF(ISNUMBER(U186),IF(U186&lt;'参数'!$C$15,"先降杠杆或减量","在止损外"),"")</f>
        <v/>
      </c>
      <c r="W186" s="30" t="n"/>
      <c r="X186" s="31" t="n"/>
      <c r="Y186" s="39" t="str">
        <f>IF(N(AB186)&gt;0,SUMPRODUCT(LARGE(('成交明细'!$A$5:$A$804=A186)*('成交明细'!$D$5:$D$804=IF(F186="空","卖","买"))*'成交明细'!$B$5:$B$804,COUNTIFS('成交明细'!$A$5:$A$804,A186,'成交明细'!$D$5:$D$804,IF(F186="空","卖","买")))),"")</f>
        <v/>
      </c>
      <c r="Z186" s="39" t="str">
        <f>IF(AND(N(AB186)&gt;0,N(AD186)&gt;=N(AB186)),SUMPRODUCT(MAX(('成交明细'!$A$5:$A$804=A186)*('成交明细'!$D$5:$D$804=IF(F186="空","买","卖"))*'成交明细'!$B$5:$B$804)),"")</f>
        <v/>
      </c>
      <c r="AA186" s="40" t="str">
        <f>IF(N(AB186)=0,"",IF(SUMPRODUCT(('成交明细'!$A$5:$A$804=A186)*('成交明细'!$D$5:$D$804=IF(F186="空","卖","买"))*ISNUMBER('成交明细'!$C$5:$C$804))=0,"没填时间",IFERROR(VLOOKUP(MOD(SUMPRODUCT(LARGE(('成交明细'!$A$5:$A$804=A186)*('成交明细'!$D$5:$D$804=IF(F186="空","卖","买"))*('成交明细'!$B$5:$B$804+'成交明细'!$C$5:$C$804),COUNTIFS('成交明细'!$A$5:$A$804,A186,'成交明细'!$D$5:$D$804,IF(F186="空","卖","买")))),1),'参数'!$B$39:$C$48,2,TRUE),"")))</f>
        <v/>
      </c>
      <c r="AB186" s="34" t="str">
        <f>IF(A186="","",SUMIFS('成交明细'!$F$5:$F$804,'成交明细'!$A$5:$A$804,A186,'成交明细'!$D$5:$D$804,IF(F186="空","卖","买")))</f>
        <v/>
      </c>
      <c r="AC186" s="41" t="str">
        <f>IF(N(AB186)&gt;0,SUMIFS('成交明细'!$H$5:$H$804,'成交明细'!$A$5:$A$804,A186,'成交明细'!$D$5:$D$804,IF(F186="空","卖","买"))/AB186,"")</f>
        <v/>
      </c>
      <c r="AD186" s="34" t="str">
        <f>IF(A186="","",SUMIFS('成交明细'!$F$5:$F$804,'成交明细'!$A$5:$A$804,A186,'成交明细'!$D$5:$D$804,IF(F186="空","买","卖")))</f>
        <v/>
      </c>
      <c r="AE186" s="41" t="str">
        <f>IF(N(AD186)&gt;0,SUMIFS('成交明细'!$H$5:$H$804,'成交明细'!$A$5:$A$804,A186,'成交明细'!$D$5:$D$804,IF(F186="空","买","卖"))/AD186,"")</f>
        <v/>
      </c>
      <c r="AF186" s="38" t="str">
        <f>IF(A186="","",IF(X186&lt;&gt;"已执行",IF(X186="","未填执行情况",X186),IF(N(AB186)=0,"待录成交",IF(N(AD186)&gt;N(AB186),"平仓多于开仓",IF(N(AD186)&lt;N(AB186),"持仓中","已平仓")))))</f>
        <v/>
      </c>
      <c r="AG186" s="42" t="str">
        <f>IF(N(AB186)=0,"",SUMIFS('成交明细'!$L$5:$L$804,'成交明细'!$A$5:$A$804,A186))</f>
        <v/>
      </c>
      <c r="AH186" s="43" t="str">
        <f>IF(A186="","",SUMIFS('资金费流水'!$F$5:$F$604,'资金费流水'!$B$5:$B$604,A186))</f>
        <v/>
      </c>
      <c r="AI186" s="43" t="str">
        <f>IF(AF186&lt;&gt;"已平仓","",(SUMIFS('成交明细'!$H$5:$H$804,'成交明细'!$A$5:$A$804,A186,'成交明细'!$D$5:$D$804,"卖")-SUMIFS('成交明细'!$H$5:$H$804,'成交明细'!$A$5:$A$804,A186,'成交明细'!$D$5:$D$804,"买"))*1-AG186+N(AH186))</f>
        <v/>
      </c>
      <c r="AJ186" s="44" t="str">
        <f>IF(AND(AF186="已平仓",ISNUMBER(Q186)),(SUMIFS('成交明细'!$H$5:$H$804,'成交明细'!$A$5:$A$804,A186,'成交明细'!$D$5:$D$804,"卖")-SUMIFS('成交明细'!$H$5:$H$804,'成交明细'!$A$5:$A$804,A186,'成交明细'!$D$5:$D$804,"买"))*1/Q186,"")</f>
        <v/>
      </c>
      <c r="AK186" s="44" t="str">
        <f>IF(AND(AF186="已平仓",ISNUMBER(Q186)),AI186/Q186,"")</f>
        <v/>
      </c>
      <c r="AL186" s="45" t="str">
        <f>IF(AND(ISNUMBER(AC186),ISNUMBER(K186)),IF(F186="空",K186-AC186,AC186-K186),"")</f>
        <v/>
      </c>
      <c r="AM186" s="45" t="str">
        <f>IF(OR(NOT(ISNUMBER(AI186)),NOT(ISNUMBER(AE186))),"",IF(AI186&lt;0,IF(F186="空",AE186-L186,L186-AE186),IF(NOT(ISNUMBER(M186)),"",IF(F186="空",AE186-M186,M186-AE186))))</f>
        <v/>
      </c>
      <c r="AN186" s="31" t="n"/>
      <c r="AO186" s="31" t="n"/>
      <c r="AP186" s="30" t="n"/>
      <c r="AQ186" s="44" t="str">
        <f>IF(A186="","",SUM(AK$5:AK186))</f>
        <v/>
      </c>
      <c r="AR186" s="46" t="str">
        <f>IF(A186="","",MAX(0,MAX(AQ$5:AQ186))-AQ186)</f>
        <v/>
      </c>
    </row>
    <row r="187">
      <c r="A187" s="24" t="n"/>
      <c r="B187" s="29" t="n"/>
      <c r="C187" s="30" t="n"/>
      <c r="D187" s="31" t="n"/>
      <c r="E187" s="31" t="n"/>
      <c r="F187" s="31" t="n"/>
      <c r="G187" s="21" t="n"/>
      <c r="H187" s="31" t="n"/>
      <c r="I187" s="23" t="n"/>
      <c r="J187" s="31" t="n"/>
      <c r="K187" s="32" t="n"/>
      <c r="L187" s="32" t="n"/>
      <c r="M187" s="32" t="n"/>
      <c r="N187" s="33" t="str">
        <f>IF(AND(ISNUMBER(K187),ISNUMBER(L187),ISNUMBER(M187)),IF(OR(AND(F187="多",K187&gt;L187),AND(F187="空",K187&lt;L187)),ABS(M187-K187)/ABS(K187-L187),"止损方向不对"),"")</f>
        <v/>
      </c>
      <c r="O187" s="34" t="str">
        <f>IF(AND(ISNUMBER(K187),ISNUMBER(L187)),IF(K187=L187,"",IF(INT(ROUND('参数'!$C$7/(ABS(K187-L187)*1+2*K187*'参数'!$C$12)/IF(N(J187)&gt;0,J187,1),6))*IF(N(J187)&gt;0,J187,1)&gt;0,INT(ROUND('参数'!$C$7/(ABS(K187-L187)*1+2*K187*'参数'!$C$12)/IF(N(J187)&gt;0,J187,1),6))*IF(N(J187)&gt;0,J187,1),"预算不足，这笔不做")),"")</f>
        <v/>
      </c>
      <c r="P187" s="35" t="n"/>
      <c r="Q187" s="20" t="str">
        <f>IF(AND(ISNUMBER(K187),ISNUMBER(L187),ISNUMBER(P187)),IF(AND(K187&lt;&gt;L187,P187&gt;0),ABS(K187-L187)*P187*1,""),"")</f>
        <v/>
      </c>
      <c r="R187" s="20" t="str">
        <f>IF(AND(ISNUMBER(K187),ISNUMBER(P187)),K187*P187,"")</f>
        <v/>
      </c>
      <c r="S187" s="20" t="str">
        <f>IF(AND(D187="合约",ISNUMBER(R187),N(G187)&gt;0),R187/G187,"")</f>
        <v/>
      </c>
      <c r="T187" s="36" t="str">
        <f>IF(NOT(D187="合约"),"",IF(H187&lt;&gt;"逐仓","看平台",IF(AND(ISNUMBER(K187),N(G187)&gt;0),IF(F187="空",K187*(1+1/G187-IF(ISNUMBER(I187),I187,'参数'!$C$13)),K187*(1-1/G187+IF(ISNUMBER(I187),I187,'参数'!$C$13))),"")))</f>
        <v/>
      </c>
      <c r="U187" s="37" t="str">
        <f>IF(AND(ISNUMBER(T187),ISNUMBER(L187),ISNUMBER(K187)),IF(F187="空",T187-L187,L187-T187)/K187,"")</f>
        <v/>
      </c>
      <c r="V187" s="38" t="str">
        <f>IF(ISNUMBER(U187),IF(U187&lt;'参数'!$C$15,"先降杠杆或减量","在止损外"),"")</f>
        <v/>
      </c>
      <c r="W187" s="30" t="n"/>
      <c r="X187" s="31" t="n"/>
      <c r="Y187" s="39" t="str">
        <f>IF(N(AB187)&gt;0,SUMPRODUCT(LARGE(('成交明细'!$A$5:$A$804=A187)*('成交明细'!$D$5:$D$804=IF(F187="空","卖","买"))*'成交明细'!$B$5:$B$804,COUNTIFS('成交明细'!$A$5:$A$804,A187,'成交明细'!$D$5:$D$804,IF(F187="空","卖","买")))),"")</f>
        <v/>
      </c>
      <c r="Z187" s="39" t="str">
        <f>IF(AND(N(AB187)&gt;0,N(AD187)&gt;=N(AB187)),SUMPRODUCT(MAX(('成交明细'!$A$5:$A$804=A187)*('成交明细'!$D$5:$D$804=IF(F187="空","买","卖"))*'成交明细'!$B$5:$B$804)),"")</f>
        <v/>
      </c>
      <c r="AA187" s="40" t="str">
        <f>IF(N(AB187)=0,"",IF(SUMPRODUCT(('成交明细'!$A$5:$A$804=A187)*('成交明细'!$D$5:$D$804=IF(F187="空","卖","买"))*ISNUMBER('成交明细'!$C$5:$C$804))=0,"没填时间",IFERROR(VLOOKUP(MOD(SUMPRODUCT(LARGE(('成交明细'!$A$5:$A$804=A187)*('成交明细'!$D$5:$D$804=IF(F187="空","卖","买"))*('成交明细'!$B$5:$B$804+'成交明细'!$C$5:$C$804),COUNTIFS('成交明细'!$A$5:$A$804,A187,'成交明细'!$D$5:$D$804,IF(F187="空","卖","买")))),1),'参数'!$B$39:$C$48,2,TRUE),"")))</f>
        <v/>
      </c>
      <c r="AB187" s="34" t="str">
        <f>IF(A187="","",SUMIFS('成交明细'!$F$5:$F$804,'成交明细'!$A$5:$A$804,A187,'成交明细'!$D$5:$D$804,IF(F187="空","卖","买")))</f>
        <v/>
      </c>
      <c r="AC187" s="41" t="str">
        <f>IF(N(AB187)&gt;0,SUMIFS('成交明细'!$H$5:$H$804,'成交明细'!$A$5:$A$804,A187,'成交明细'!$D$5:$D$804,IF(F187="空","卖","买"))/AB187,"")</f>
        <v/>
      </c>
      <c r="AD187" s="34" t="str">
        <f>IF(A187="","",SUMIFS('成交明细'!$F$5:$F$804,'成交明细'!$A$5:$A$804,A187,'成交明细'!$D$5:$D$804,IF(F187="空","买","卖")))</f>
        <v/>
      </c>
      <c r="AE187" s="41" t="str">
        <f>IF(N(AD187)&gt;0,SUMIFS('成交明细'!$H$5:$H$804,'成交明细'!$A$5:$A$804,A187,'成交明细'!$D$5:$D$804,IF(F187="空","买","卖"))/AD187,"")</f>
        <v/>
      </c>
      <c r="AF187" s="38" t="str">
        <f>IF(A187="","",IF(X187&lt;&gt;"已执行",IF(X187="","未填执行情况",X187),IF(N(AB187)=0,"待录成交",IF(N(AD187)&gt;N(AB187),"平仓多于开仓",IF(N(AD187)&lt;N(AB187),"持仓中","已平仓")))))</f>
        <v/>
      </c>
      <c r="AG187" s="42" t="str">
        <f>IF(N(AB187)=0,"",SUMIFS('成交明细'!$L$5:$L$804,'成交明细'!$A$5:$A$804,A187))</f>
        <v/>
      </c>
      <c r="AH187" s="43" t="str">
        <f>IF(A187="","",SUMIFS('资金费流水'!$F$5:$F$604,'资金费流水'!$B$5:$B$604,A187))</f>
        <v/>
      </c>
      <c r="AI187" s="43" t="str">
        <f>IF(AF187&lt;&gt;"已平仓","",(SUMIFS('成交明细'!$H$5:$H$804,'成交明细'!$A$5:$A$804,A187,'成交明细'!$D$5:$D$804,"卖")-SUMIFS('成交明细'!$H$5:$H$804,'成交明细'!$A$5:$A$804,A187,'成交明细'!$D$5:$D$804,"买"))*1-AG187+N(AH187))</f>
        <v/>
      </c>
      <c r="AJ187" s="44" t="str">
        <f>IF(AND(AF187="已平仓",ISNUMBER(Q187)),(SUMIFS('成交明细'!$H$5:$H$804,'成交明细'!$A$5:$A$804,A187,'成交明细'!$D$5:$D$804,"卖")-SUMIFS('成交明细'!$H$5:$H$804,'成交明细'!$A$5:$A$804,A187,'成交明细'!$D$5:$D$804,"买"))*1/Q187,"")</f>
        <v/>
      </c>
      <c r="AK187" s="44" t="str">
        <f>IF(AND(AF187="已平仓",ISNUMBER(Q187)),AI187/Q187,"")</f>
        <v/>
      </c>
      <c r="AL187" s="45" t="str">
        <f>IF(AND(ISNUMBER(AC187),ISNUMBER(K187)),IF(F187="空",K187-AC187,AC187-K187),"")</f>
        <v/>
      </c>
      <c r="AM187" s="45" t="str">
        <f>IF(OR(NOT(ISNUMBER(AI187)),NOT(ISNUMBER(AE187))),"",IF(AI187&lt;0,IF(F187="空",AE187-L187,L187-AE187),IF(NOT(ISNUMBER(M187)),"",IF(F187="空",AE187-M187,M187-AE187))))</f>
        <v/>
      </c>
      <c r="AN187" s="31" t="n"/>
      <c r="AO187" s="31" t="n"/>
      <c r="AP187" s="30" t="n"/>
      <c r="AQ187" s="44" t="str">
        <f>IF(A187="","",SUM(AK$5:AK187))</f>
        <v/>
      </c>
      <c r="AR187" s="46" t="str">
        <f>IF(A187="","",MAX(0,MAX(AQ$5:AQ187))-AQ187)</f>
        <v/>
      </c>
    </row>
    <row r="188">
      <c r="A188" s="24" t="n"/>
      <c r="B188" s="29" t="n"/>
      <c r="C188" s="30" t="n"/>
      <c r="D188" s="31" t="n"/>
      <c r="E188" s="31" t="n"/>
      <c r="F188" s="31" t="n"/>
      <c r="G188" s="21" t="n"/>
      <c r="H188" s="31" t="n"/>
      <c r="I188" s="23" t="n"/>
      <c r="J188" s="31" t="n"/>
      <c r="K188" s="32" t="n"/>
      <c r="L188" s="32" t="n"/>
      <c r="M188" s="32" t="n"/>
      <c r="N188" s="33" t="str">
        <f>IF(AND(ISNUMBER(K188),ISNUMBER(L188),ISNUMBER(M188)),IF(OR(AND(F188="多",K188&gt;L188),AND(F188="空",K188&lt;L188)),ABS(M188-K188)/ABS(K188-L188),"止损方向不对"),"")</f>
        <v/>
      </c>
      <c r="O188" s="34" t="str">
        <f>IF(AND(ISNUMBER(K188),ISNUMBER(L188)),IF(K188=L188,"",IF(INT(ROUND('参数'!$C$7/(ABS(K188-L188)*1+2*K188*'参数'!$C$12)/IF(N(J188)&gt;0,J188,1),6))*IF(N(J188)&gt;0,J188,1)&gt;0,INT(ROUND('参数'!$C$7/(ABS(K188-L188)*1+2*K188*'参数'!$C$12)/IF(N(J188)&gt;0,J188,1),6))*IF(N(J188)&gt;0,J188,1),"预算不足，这笔不做")),"")</f>
        <v/>
      </c>
      <c r="P188" s="35" t="n"/>
      <c r="Q188" s="20" t="str">
        <f>IF(AND(ISNUMBER(K188),ISNUMBER(L188),ISNUMBER(P188)),IF(AND(K188&lt;&gt;L188,P188&gt;0),ABS(K188-L188)*P188*1,""),"")</f>
        <v/>
      </c>
      <c r="R188" s="20" t="str">
        <f>IF(AND(ISNUMBER(K188),ISNUMBER(P188)),K188*P188,"")</f>
        <v/>
      </c>
      <c r="S188" s="20" t="str">
        <f>IF(AND(D188="合约",ISNUMBER(R188),N(G188)&gt;0),R188/G188,"")</f>
        <v/>
      </c>
      <c r="T188" s="36" t="str">
        <f>IF(NOT(D188="合约"),"",IF(H188&lt;&gt;"逐仓","看平台",IF(AND(ISNUMBER(K188),N(G188)&gt;0),IF(F188="空",K188*(1+1/G188-IF(ISNUMBER(I188),I188,'参数'!$C$13)),K188*(1-1/G188+IF(ISNUMBER(I188),I188,'参数'!$C$13))),"")))</f>
        <v/>
      </c>
      <c r="U188" s="37" t="str">
        <f>IF(AND(ISNUMBER(T188),ISNUMBER(L188),ISNUMBER(K188)),IF(F188="空",T188-L188,L188-T188)/K188,"")</f>
        <v/>
      </c>
      <c r="V188" s="38" t="str">
        <f>IF(ISNUMBER(U188),IF(U188&lt;'参数'!$C$15,"先降杠杆或减量","在止损外"),"")</f>
        <v/>
      </c>
      <c r="W188" s="30" t="n"/>
      <c r="X188" s="31" t="n"/>
      <c r="Y188" s="39" t="str">
        <f>IF(N(AB188)&gt;0,SUMPRODUCT(LARGE(('成交明细'!$A$5:$A$804=A188)*('成交明细'!$D$5:$D$804=IF(F188="空","卖","买"))*'成交明细'!$B$5:$B$804,COUNTIFS('成交明细'!$A$5:$A$804,A188,'成交明细'!$D$5:$D$804,IF(F188="空","卖","买")))),"")</f>
        <v/>
      </c>
      <c r="Z188" s="39" t="str">
        <f>IF(AND(N(AB188)&gt;0,N(AD188)&gt;=N(AB188)),SUMPRODUCT(MAX(('成交明细'!$A$5:$A$804=A188)*('成交明细'!$D$5:$D$804=IF(F188="空","买","卖"))*'成交明细'!$B$5:$B$804)),"")</f>
        <v/>
      </c>
      <c r="AA188" s="40" t="str">
        <f>IF(N(AB188)=0,"",IF(SUMPRODUCT(('成交明细'!$A$5:$A$804=A188)*('成交明细'!$D$5:$D$804=IF(F188="空","卖","买"))*ISNUMBER('成交明细'!$C$5:$C$804))=0,"没填时间",IFERROR(VLOOKUP(MOD(SUMPRODUCT(LARGE(('成交明细'!$A$5:$A$804=A188)*('成交明细'!$D$5:$D$804=IF(F188="空","卖","买"))*('成交明细'!$B$5:$B$804+'成交明细'!$C$5:$C$804),COUNTIFS('成交明细'!$A$5:$A$804,A188,'成交明细'!$D$5:$D$804,IF(F188="空","卖","买")))),1),'参数'!$B$39:$C$48,2,TRUE),"")))</f>
        <v/>
      </c>
      <c r="AB188" s="34" t="str">
        <f>IF(A188="","",SUMIFS('成交明细'!$F$5:$F$804,'成交明细'!$A$5:$A$804,A188,'成交明细'!$D$5:$D$804,IF(F188="空","卖","买")))</f>
        <v/>
      </c>
      <c r="AC188" s="41" t="str">
        <f>IF(N(AB188)&gt;0,SUMIFS('成交明细'!$H$5:$H$804,'成交明细'!$A$5:$A$804,A188,'成交明细'!$D$5:$D$804,IF(F188="空","卖","买"))/AB188,"")</f>
        <v/>
      </c>
      <c r="AD188" s="34" t="str">
        <f>IF(A188="","",SUMIFS('成交明细'!$F$5:$F$804,'成交明细'!$A$5:$A$804,A188,'成交明细'!$D$5:$D$804,IF(F188="空","买","卖")))</f>
        <v/>
      </c>
      <c r="AE188" s="41" t="str">
        <f>IF(N(AD188)&gt;0,SUMIFS('成交明细'!$H$5:$H$804,'成交明细'!$A$5:$A$804,A188,'成交明细'!$D$5:$D$804,IF(F188="空","买","卖"))/AD188,"")</f>
        <v/>
      </c>
      <c r="AF188" s="38" t="str">
        <f>IF(A188="","",IF(X188&lt;&gt;"已执行",IF(X188="","未填执行情况",X188),IF(N(AB188)=0,"待录成交",IF(N(AD188)&gt;N(AB188),"平仓多于开仓",IF(N(AD188)&lt;N(AB188),"持仓中","已平仓")))))</f>
        <v/>
      </c>
      <c r="AG188" s="42" t="str">
        <f>IF(N(AB188)=0,"",SUMIFS('成交明细'!$L$5:$L$804,'成交明细'!$A$5:$A$804,A188))</f>
        <v/>
      </c>
      <c r="AH188" s="43" t="str">
        <f>IF(A188="","",SUMIFS('资金费流水'!$F$5:$F$604,'资金费流水'!$B$5:$B$604,A188))</f>
        <v/>
      </c>
      <c r="AI188" s="43" t="str">
        <f>IF(AF188&lt;&gt;"已平仓","",(SUMIFS('成交明细'!$H$5:$H$804,'成交明细'!$A$5:$A$804,A188,'成交明细'!$D$5:$D$804,"卖")-SUMIFS('成交明细'!$H$5:$H$804,'成交明细'!$A$5:$A$804,A188,'成交明细'!$D$5:$D$804,"买"))*1-AG188+N(AH188))</f>
        <v/>
      </c>
      <c r="AJ188" s="44" t="str">
        <f>IF(AND(AF188="已平仓",ISNUMBER(Q188)),(SUMIFS('成交明细'!$H$5:$H$804,'成交明细'!$A$5:$A$804,A188,'成交明细'!$D$5:$D$804,"卖")-SUMIFS('成交明细'!$H$5:$H$804,'成交明细'!$A$5:$A$804,A188,'成交明细'!$D$5:$D$804,"买"))*1/Q188,"")</f>
        <v/>
      </c>
      <c r="AK188" s="44" t="str">
        <f>IF(AND(AF188="已平仓",ISNUMBER(Q188)),AI188/Q188,"")</f>
        <v/>
      </c>
      <c r="AL188" s="45" t="str">
        <f>IF(AND(ISNUMBER(AC188),ISNUMBER(K188)),IF(F188="空",K188-AC188,AC188-K188),"")</f>
        <v/>
      </c>
      <c r="AM188" s="45" t="str">
        <f>IF(OR(NOT(ISNUMBER(AI188)),NOT(ISNUMBER(AE188))),"",IF(AI188&lt;0,IF(F188="空",AE188-L188,L188-AE188),IF(NOT(ISNUMBER(M188)),"",IF(F188="空",AE188-M188,M188-AE188))))</f>
        <v/>
      </c>
      <c r="AN188" s="31" t="n"/>
      <c r="AO188" s="31" t="n"/>
      <c r="AP188" s="30" t="n"/>
      <c r="AQ188" s="44" t="str">
        <f>IF(A188="","",SUM(AK$5:AK188))</f>
        <v/>
      </c>
      <c r="AR188" s="46" t="str">
        <f>IF(A188="","",MAX(0,MAX(AQ$5:AQ188))-AQ188)</f>
        <v/>
      </c>
    </row>
    <row r="189">
      <c r="A189" s="24" t="n"/>
      <c r="B189" s="29" t="n"/>
      <c r="C189" s="30" t="n"/>
      <c r="D189" s="31" t="n"/>
      <c r="E189" s="31" t="n"/>
      <c r="F189" s="31" t="n"/>
      <c r="G189" s="21" t="n"/>
      <c r="H189" s="31" t="n"/>
      <c r="I189" s="23" t="n"/>
      <c r="J189" s="31" t="n"/>
      <c r="K189" s="32" t="n"/>
      <c r="L189" s="32" t="n"/>
      <c r="M189" s="32" t="n"/>
      <c r="N189" s="33" t="str">
        <f>IF(AND(ISNUMBER(K189),ISNUMBER(L189),ISNUMBER(M189)),IF(OR(AND(F189="多",K189&gt;L189),AND(F189="空",K189&lt;L189)),ABS(M189-K189)/ABS(K189-L189),"止损方向不对"),"")</f>
        <v/>
      </c>
      <c r="O189" s="34" t="str">
        <f>IF(AND(ISNUMBER(K189),ISNUMBER(L189)),IF(K189=L189,"",IF(INT(ROUND('参数'!$C$7/(ABS(K189-L189)*1+2*K189*'参数'!$C$12)/IF(N(J189)&gt;0,J189,1),6))*IF(N(J189)&gt;0,J189,1)&gt;0,INT(ROUND('参数'!$C$7/(ABS(K189-L189)*1+2*K189*'参数'!$C$12)/IF(N(J189)&gt;0,J189,1),6))*IF(N(J189)&gt;0,J189,1),"预算不足，这笔不做")),"")</f>
        <v/>
      </c>
      <c r="P189" s="35" t="n"/>
      <c r="Q189" s="20" t="str">
        <f>IF(AND(ISNUMBER(K189),ISNUMBER(L189),ISNUMBER(P189)),IF(AND(K189&lt;&gt;L189,P189&gt;0),ABS(K189-L189)*P189*1,""),"")</f>
        <v/>
      </c>
      <c r="R189" s="20" t="str">
        <f>IF(AND(ISNUMBER(K189),ISNUMBER(P189)),K189*P189,"")</f>
        <v/>
      </c>
      <c r="S189" s="20" t="str">
        <f>IF(AND(D189="合约",ISNUMBER(R189),N(G189)&gt;0),R189/G189,"")</f>
        <v/>
      </c>
      <c r="T189" s="36" t="str">
        <f>IF(NOT(D189="合约"),"",IF(H189&lt;&gt;"逐仓","看平台",IF(AND(ISNUMBER(K189),N(G189)&gt;0),IF(F189="空",K189*(1+1/G189-IF(ISNUMBER(I189),I189,'参数'!$C$13)),K189*(1-1/G189+IF(ISNUMBER(I189),I189,'参数'!$C$13))),"")))</f>
        <v/>
      </c>
      <c r="U189" s="37" t="str">
        <f>IF(AND(ISNUMBER(T189),ISNUMBER(L189),ISNUMBER(K189)),IF(F189="空",T189-L189,L189-T189)/K189,"")</f>
        <v/>
      </c>
      <c r="V189" s="38" t="str">
        <f>IF(ISNUMBER(U189),IF(U189&lt;'参数'!$C$15,"先降杠杆或减量","在止损外"),"")</f>
        <v/>
      </c>
      <c r="W189" s="30" t="n"/>
      <c r="X189" s="31" t="n"/>
      <c r="Y189" s="39" t="str">
        <f>IF(N(AB189)&gt;0,SUMPRODUCT(LARGE(('成交明细'!$A$5:$A$804=A189)*('成交明细'!$D$5:$D$804=IF(F189="空","卖","买"))*'成交明细'!$B$5:$B$804,COUNTIFS('成交明细'!$A$5:$A$804,A189,'成交明细'!$D$5:$D$804,IF(F189="空","卖","买")))),"")</f>
        <v/>
      </c>
      <c r="Z189" s="39" t="str">
        <f>IF(AND(N(AB189)&gt;0,N(AD189)&gt;=N(AB189)),SUMPRODUCT(MAX(('成交明细'!$A$5:$A$804=A189)*('成交明细'!$D$5:$D$804=IF(F189="空","买","卖"))*'成交明细'!$B$5:$B$804)),"")</f>
        <v/>
      </c>
      <c r="AA189" s="40" t="str">
        <f>IF(N(AB189)=0,"",IF(SUMPRODUCT(('成交明细'!$A$5:$A$804=A189)*('成交明细'!$D$5:$D$804=IF(F189="空","卖","买"))*ISNUMBER('成交明细'!$C$5:$C$804))=0,"没填时间",IFERROR(VLOOKUP(MOD(SUMPRODUCT(LARGE(('成交明细'!$A$5:$A$804=A189)*('成交明细'!$D$5:$D$804=IF(F189="空","卖","买"))*('成交明细'!$B$5:$B$804+'成交明细'!$C$5:$C$804),COUNTIFS('成交明细'!$A$5:$A$804,A189,'成交明细'!$D$5:$D$804,IF(F189="空","卖","买")))),1),'参数'!$B$39:$C$48,2,TRUE),"")))</f>
        <v/>
      </c>
      <c r="AB189" s="34" t="str">
        <f>IF(A189="","",SUMIFS('成交明细'!$F$5:$F$804,'成交明细'!$A$5:$A$804,A189,'成交明细'!$D$5:$D$804,IF(F189="空","卖","买")))</f>
        <v/>
      </c>
      <c r="AC189" s="41" t="str">
        <f>IF(N(AB189)&gt;0,SUMIFS('成交明细'!$H$5:$H$804,'成交明细'!$A$5:$A$804,A189,'成交明细'!$D$5:$D$804,IF(F189="空","卖","买"))/AB189,"")</f>
        <v/>
      </c>
      <c r="AD189" s="34" t="str">
        <f>IF(A189="","",SUMIFS('成交明细'!$F$5:$F$804,'成交明细'!$A$5:$A$804,A189,'成交明细'!$D$5:$D$804,IF(F189="空","买","卖")))</f>
        <v/>
      </c>
      <c r="AE189" s="41" t="str">
        <f>IF(N(AD189)&gt;0,SUMIFS('成交明细'!$H$5:$H$804,'成交明细'!$A$5:$A$804,A189,'成交明细'!$D$5:$D$804,IF(F189="空","买","卖"))/AD189,"")</f>
        <v/>
      </c>
      <c r="AF189" s="38" t="str">
        <f>IF(A189="","",IF(X189&lt;&gt;"已执行",IF(X189="","未填执行情况",X189),IF(N(AB189)=0,"待录成交",IF(N(AD189)&gt;N(AB189),"平仓多于开仓",IF(N(AD189)&lt;N(AB189),"持仓中","已平仓")))))</f>
        <v/>
      </c>
      <c r="AG189" s="42" t="str">
        <f>IF(N(AB189)=0,"",SUMIFS('成交明细'!$L$5:$L$804,'成交明细'!$A$5:$A$804,A189))</f>
        <v/>
      </c>
      <c r="AH189" s="43" t="str">
        <f>IF(A189="","",SUMIFS('资金费流水'!$F$5:$F$604,'资金费流水'!$B$5:$B$604,A189))</f>
        <v/>
      </c>
      <c r="AI189" s="43" t="str">
        <f>IF(AF189&lt;&gt;"已平仓","",(SUMIFS('成交明细'!$H$5:$H$804,'成交明细'!$A$5:$A$804,A189,'成交明细'!$D$5:$D$804,"卖")-SUMIFS('成交明细'!$H$5:$H$804,'成交明细'!$A$5:$A$804,A189,'成交明细'!$D$5:$D$804,"买"))*1-AG189+N(AH189))</f>
        <v/>
      </c>
      <c r="AJ189" s="44" t="str">
        <f>IF(AND(AF189="已平仓",ISNUMBER(Q189)),(SUMIFS('成交明细'!$H$5:$H$804,'成交明细'!$A$5:$A$804,A189,'成交明细'!$D$5:$D$804,"卖")-SUMIFS('成交明细'!$H$5:$H$804,'成交明细'!$A$5:$A$804,A189,'成交明细'!$D$5:$D$804,"买"))*1/Q189,"")</f>
        <v/>
      </c>
      <c r="AK189" s="44" t="str">
        <f>IF(AND(AF189="已平仓",ISNUMBER(Q189)),AI189/Q189,"")</f>
        <v/>
      </c>
      <c r="AL189" s="45" t="str">
        <f>IF(AND(ISNUMBER(AC189),ISNUMBER(K189)),IF(F189="空",K189-AC189,AC189-K189),"")</f>
        <v/>
      </c>
      <c r="AM189" s="45" t="str">
        <f>IF(OR(NOT(ISNUMBER(AI189)),NOT(ISNUMBER(AE189))),"",IF(AI189&lt;0,IF(F189="空",AE189-L189,L189-AE189),IF(NOT(ISNUMBER(M189)),"",IF(F189="空",AE189-M189,M189-AE189))))</f>
        <v/>
      </c>
      <c r="AN189" s="31" t="n"/>
      <c r="AO189" s="31" t="n"/>
      <c r="AP189" s="30" t="n"/>
      <c r="AQ189" s="44" t="str">
        <f>IF(A189="","",SUM(AK$5:AK189))</f>
        <v/>
      </c>
      <c r="AR189" s="46" t="str">
        <f>IF(A189="","",MAX(0,MAX(AQ$5:AQ189))-AQ189)</f>
        <v/>
      </c>
    </row>
    <row r="190">
      <c r="A190" s="24" t="n"/>
      <c r="B190" s="29" t="n"/>
      <c r="C190" s="30" t="n"/>
      <c r="D190" s="31" t="n"/>
      <c r="E190" s="31" t="n"/>
      <c r="F190" s="31" t="n"/>
      <c r="G190" s="21" t="n"/>
      <c r="H190" s="31" t="n"/>
      <c r="I190" s="23" t="n"/>
      <c r="J190" s="31" t="n"/>
      <c r="K190" s="32" t="n"/>
      <c r="L190" s="32" t="n"/>
      <c r="M190" s="32" t="n"/>
      <c r="N190" s="33" t="str">
        <f>IF(AND(ISNUMBER(K190),ISNUMBER(L190),ISNUMBER(M190)),IF(OR(AND(F190="多",K190&gt;L190),AND(F190="空",K190&lt;L190)),ABS(M190-K190)/ABS(K190-L190),"止损方向不对"),"")</f>
        <v/>
      </c>
      <c r="O190" s="34" t="str">
        <f>IF(AND(ISNUMBER(K190),ISNUMBER(L190)),IF(K190=L190,"",IF(INT(ROUND('参数'!$C$7/(ABS(K190-L190)*1+2*K190*'参数'!$C$12)/IF(N(J190)&gt;0,J190,1),6))*IF(N(J190)&gt;0,J190,1)&gt;0,INT(ROUND('参数'!$C$7/(ABS(K190-L190)*1+2*K190*'参数'!$C$12)/IF(N(J190)&gt;0,J190,1),6))*IF(N(J190)&gt;0,J190,1),"预算不足，这笔不做")),"")</f>
        <v/>
      </c>
      <c r="P190" s="35" t="n"/>
      <c r="Q190" s="20" t="str">
        <f>IF(AND(ISNUMBER(K190),ISNUMBER(L190),ISNUMBER(P190)),IF(AND(K190&lt;&gt;L190,P190&gt;0),ABS(K190-L190)*P190*1,""),"")</f>
        <v/>
      </c>
      <c r="R190" s="20" t="str">
        <f>IF(AND(ISNUMBER(K190),ISNUMBER(P190)),K190*P190,"")</f>
        <v/>
      </c>
      <c r="S190" s="20" t="str">
        <f>IF(AND(D190="合约",ISNUMBER(R190),N(G190)&gt;0),R190/G190,"")</f>
        <v/>
      </c>
      <c r="T190" s="36" t="str">
        <f>IF(NOT(D190="合约"),"",IF(H190&lt;&gt;"逐仓","看平台",IF(AND(ISNUMBER(K190),N(G190)&gt;0),IF(F190="空",K190*(1+1/G190-IF(ISNUMBER(I190),I190,'参数'!$C$13)),K190*(1-1/G190+IF(ISNUMBER(I190),I190,'参数'!$C$13))),"")))</f>
        <v/>
      </c>
      <c r="U190" s="37" t="str">
        <f>IF(AND(ISNUMBER(T190),ISNUMBER(L190),ISNUMBER(K190)),IF(F190="空",T190-L190,L190-T190)/K190,"")</f>
        <v/>
      </c>
      <c r="V190" s="38" t="str">
        <f>IF(ISNUMBER(U190),IF(U190&lt;'参数'!$C$15,"先降杠杆或减量","在止损外"),"")</f>
        <v/>
      </c>
      <c r="W190" s="30" t="n"/>
      <c r="X190" s="31" t="n"/>
      <c r="Y190" s="39" t="str">
        <f>IF(N(AB190)&gt;0,SUMPRODUCT(LARGE(('成交明细'!$A$5:$A$804=A190)*('成交明细'!$D$5:$D$804=IF(F190="空","卖","买"))*'成交明细'!$B$5:$B$804,COUNTIFS('成交明细'!$A$5:$A$804,A190,'成交明细'!$D$5:$D$804,IF(F190="空","卖","买")))),"")</f>
        <v/>
      </c>
      <c r="Z190" s="39" t="str">
        <f>IF(AND(N(AB190)&gt;0,N(AD190)&gt;=N(AB190)),SUMPRODUCT(MAX(('成交明细'!$A$5:$A$804=A190)*('成交明细'!$D$5:$D$804=IF(F190="空","买","卖"))*'成交明细'!$B$5:$B$804)),"")</f>
        <v/>
      </c>
      <c r="AA190" s="40" t="str">
        <f>IF(N(AB190)=0,"",IF(SUMPRODUCT(('成交明细'!$A$5:$A$804=A190)*('成交明细'!$D$5:$D$804=IF(F190="空","卖","买"))*ISNUMBER('成交明细'!$C$5:$C$804))=0,"没填时间",IFERROR(VLOOKUP(MOD(SUMPRODUCT(LARGE(('成交明细'!$A$5:$A$804=A190)*('成交明细'!$D$5:$D$804=IF(F190="空","卖","买"))*('成交明细'!$B$5:$B$804+'成交明细'!$C$5:$C$804),COUNTIFS('成交明细'!$A$5:$A$804,A190,'成交明细'!$D$5:$D$804,IF(F190="空","卖","买")))),1),'参数'!$B$39:$C$48,2,TRUE),"")))</f>
        <v/>
      </c>
      <c r="AB190" s="34" t="str">
        <f>IF(A190="","",SUMIFS('成交明细'!$F$5:$F$804,'成交明细'!$A$5:$A$804,A190,'成交明细'!$D$5:$D$804,IF(F190="空","卖","买")))</f>
        <v/>
      </c>
      <c r="AC190" s="41" t="str">
        <f>IF(N(AB190)&gt;0,SUMIFS('成交明细'!$H$5:$H$804,'成交明细'!$A$5:$A$804,A190,'成交明细'!$D$5:$D$804,IF(F190="空","卖","买"))/AB190,"")</f>
        <v/>
      </c>
      <c r="AD190" s="34" t="str">
        <f>IF(A190="","",SUMIFS('成交明细'!$F$5:$F$804,'成交明细'!$A$5:$A$804,A190,'成交明细'!$D$5:$D$804,IF(F190="空","买","卖")))</f>
        <v/>
      </c>
      <c r="AE190" s="41" t="str">
        <f>IF(N(AD190)&gt;0,SUMIFS('成交明细'!$H$5:$H$804,'成交明细'!$A$5:$A$804,A190,'成交明细'!$D$5:$D$804,IF(F190="空","买","卖"))/AD190,"")</f>
        <v/>
      </c>
      <c r="AF190" s="38" t="str">
        <f>IF(A190="","",IF(X190&lt;&gt;"已执行",IF(X190="","未填执行情况",X190),IF(N(AB190)=0,"待录成交",IF(N(AD190)&gt;N(AB190),"平仓多于开仓",IF(N(AD190)&lt;N(AB190),"持仓中","已平仓")))))</f>
        <v/>
      </c>
      <c r="AG190" s="42" t="str">
        <f>IF(N(AB190)=0,"",SUMIFS('成交明细'!$L$5:$L$804,'成交明细'!$A$5:$A$804,A190))</f>
        <v/>
      </c>
      <c r="AH190" s="43" t="str">
        <f>IF(A190="","",SUMIFS('资金费流水'!$F$5:$F$604,'资金费流水'!$B$5:$B$604,A190))</f>
        <v/>
      </c>
      <c r="AI190" s="43" t="str">
        <f>IF(AF190&lt;&gt;"已平仓","",(SUMIFS('成交明细'!$H$5:$H$804,'成交明细'!$A$5:$A$804,A190,'成交明细'!$D$5:$D$804,"卖")-SUMIFS('成交明细'!$H$5:$H$804,'成交明细'!$A$5:$A$804,A190,'成交明细'!$D$5:$D$804,"买"))*1-AG190+N(AH190))</f>
        <v/>
      </c>
      <c r="AJ190" s="44" t="str">
        <f>IF(AND(AF190="已平仓",ISNUMBER(Q190)),(SUMIFS('成交明细'!$H$5:$H$804,'成交明细'!$A$5:$A$804,A190,'成交明细'!$D$5:$D$804,"卖")-SUMIFS('成交明细'!$H$5:$H$804,'成交明细'!$A$5:$A$804,A190,'成交明细'!$D$5:$D$804,"买"))*1/Q190,"")</f>
        <v/>
      </c>
      <c r="AK190" s="44" t="str">
        <f>IF(AND(AF190="已平仓",ISNUMBER(Q190)),AI190/Q190,"")</f>
        <v/>
      </c>
      <c r="AL190" s="45" t="str">
        <f>IF(AND(ISNUMBER(AC190),ISNUMBER(K190)),IF(F190="空",K190-AC190,AC190-K190),"")</f>
        <v/>
      </c>
      <c r="AM190" s="45" t="str">
        <f>IF(OR(NOT(ISNUMBER(AI190)),NOT(ISNUMBER(AE190))),"",IF(AI190&lt;0,IF(F190="空",AE190-L190,L190-AE190),IF(NOT(ISNUMBER(M190)),"",IF(F190="空",AE190-M190,M190-AE190))))</f>
        <v/>
      </c>
      <c r="AN190" s="31" t="n"/>
      <c r="AO190" s="31" t="n"/>
      <c r="AP190" s="30" t="n"/>
      <c r="AQ190" s="44" t="str">
        <f>IF(A190="","",SUM(AK$5:AK190))</f>
        <v/>
      </c>
      <c r="AR190" s="46" t="str">
        <f>IF(A190="","",MAX(0,MAX(AQ$5:AQ190))-AQ190)</f>
        <v/>
      </c>
    </row>
    <row r="191">
      <c r="A191" s="24" t="n"/>
      <c r="B191" s="29" t="n"/>
      <c r="C191" s="30" t="n"/>
      <c r="D191" s="31" t="n"/>
      <c r="E191" s="31" t="n"/>
      <c r="F191" s="31" t="n"/>
      <c r="G191" s="21" t="n"/>
      <c r="H191" s="31" t="n"/>
      <c r="I191" s="23" t="n"/>
      <c r="J191" s="31" t="n"/>
      <c r="K191" s="32" t="n"/>
      <c r="L191" s="32" t="n"/>
      <c r="M191" s="32" t="n"/>
      <c r="N191" s="33" t="str">
        <f>IF(AND(ISNUMBER(K191),ISNUMBER(L191),ISNUMBER(M191)),IF(OR(AND(F191="多",K191&gt;L191),AND(F191="空",K191&lt;L191)),ABS(M191-K191)/ABS(K191-L191),"止损方向不对"),"")</f>
        <v/>
      </c>
      <c r="O191" s="34" t="str">
        <f>IF(AND(ISNUMBER(K191),ISNUMBER(L191)),IF(K191=L191,"",IF(INT(ROUND('参数'!$C$7/(ABS(K191-L191)*1+2*K191*'参数'!$C$12)/IF(N(J191)&gt;0,J191,1),6))*IF(N(J191)&gt;0,J191,1)&gt;0,INT(ROUND('参数'!$C$7/(ABS(K191-L191)*1+2*K191*'参数'!$C$12)/IF(N(J191)&gt;0,J191,1),6))*IF(N(J191)&gt;0,J191,1),"预算不足，这笔不做")),"")</f>
        <v/>
      </c>
      <c r="P191" s="35" t="n"/>
      <c r="Q191" s="20" t="str">
        <f>IF(AND(ISNUMBER(K191),ISNUMBER(L191),ISNUMBER(P191)),IF(AND(K191&lt;&gt;L191,P191&gt;0),ABS(K191-L191)*P191*1,""),"")</f>
        <v/>
      </c>
      <c r="R191" s="20" t="str">
        <f>IF(AND(ISNUMBER(K191),ISNUMBER(P191)),K191*P191,"")</f>
        <v/>
      </c>
      <c r="S191" s="20" t="str">
        <f>IF(AND(D191="合约",ISNUMBER(R191),N(G191)&gt;0),R191/G191,"")</f>
        <v/>
      </c>
      <c r="T191" s="36" t="str">
        <f>IF(NOT(D191="合约"),"",IF(H191&lt;&gt;"逐仓","看平台",IF(AND(ISNUMBER(K191),N(G191)&gt;0),IF(F191="空",K191*(1+1/G191-IF(ISNUMBER(I191),I191,'参数'!$C$13)),K191*(1-1/G191+IF(ISNUMBER(I191),I191,'参数'!$C$13))),"")))</f>
        <v/>
      </c>
      <c r="U191" s="37" t="str">
        <f>IF(AND(ISNUMBER(T191),ISNUMBER(L191),ISNUMBER(K191)),IF(F191="空",T191-L191,L191-T191)/K191,"")</f>
        <v/>
      </c>
      <c r="V191" s="38" t="str">
        <f>IF(ISNUMBER(U191),IF(U191&lt;'参数'!$C$15,"先降杠杆或减量","在止损外"),"")</f>
        <v/>
      </c>
      <c r="W191" s="30" t="n"/>
      <c r="X191" s="31" t="n"/>
      <c r="Y191" s="39" t="str">
        <f>IF(N(AB191)&gt;0,SUMPRODUCT(LARGE(('成交明细'!$A$5:$A$804=A191)*('成交明细'!$D$5:$D$804=IF(F191="空","卖","买"))*'成交明细'!$B$5:$B$804,COUNTIFS('成交明细'!$A$5:$A$804,A191,'成交明细'!$D$5:$D$804,IF(F191="空","卖","买")))),"")</f>
        <v/>
      </c>
      <c r="Z191" s="39" t="str">
        <f>IF(AND(N(AB191)&gt;0,N(AD191)&gt;=N(AB191)),SUMPRODUCT(MAX(('成交明细'!$A$5:$A$804=A191)*('成交明细'!$D$5:$D$804=IF(F191="空","买","卖"))*'成交明细'!$B$5:$B$804)),"")</f>
        <v/>
      </c>
      <c r="AA191" s="40" t="str">
        <f>IF(N(AB191)=0,"",IF(SUMPRODUCT(('成交明细'!$A$5:$A$804=A191)*('成交明细'!$D$5:$D$804=IF(F191="空","卖","买"))*ISNUMBER('成交明细'!$C$5:$C$804))=0,"没填时间",IFERROR(VLOOKUP(MOD(SUMPRODUCT(LARGE(('成交明细'!$A$5:$A$804=A191)*('成交明细'!$D$5:$D$804=IF(F191="空","卖","买"))*('成交明细'!$B$5:$B$804+'成交明细'!$C$5:$C$804),COUNTIFS('成交明细'!$A$5:$A$804,A191,'成交明细'!$D$5:$D$804,IF(F191="空","卖","买")))),1),'参数'!$B$39:$C$48,2,TRUE),"")))</f>
        <v/>
      </c>
      <c r="AB191" s="34" t="str">
        <f>IF(A191="","",SUMIFS('成交明细'!$F$5:$F$804,'成交明细'!$A$5:$A$804,A191,'成交明细'!$D$5:$D$804,IF(F191="空","卖","买")))</f>
        <v/>
      </c>
      <c r="AC191" s="41" t="str">
        <f>IF(N(AB191)&gt;0,SUMIFS('成交明细'!$H$5:$H$804,'成交明细'!$A$5:$A$804,A191,'成交明细'!$D$5:$D$804,IF(F191="空","卖","买"))/AB191,"")</f>
        <v/>
      </c>
      <c r="AD191" s="34" t="str">
        <f>IF(A191="","",SUMIFS('成交明细'!$F$5:$F$804,'成交明细'!$A$5:$A$804,A191,'成交明细'!$D$5:$D$804,IF(F191="空","买","卖")))</f>
        <v/>
      </c>
      <c r="AE191" s="41" t="str">
        <f>IF(N(AD191)&gt;0,SUMIFS('成交明细'!$H$5:$H$804,'成交明细'!$A$5:$A$804,A191,'成交明细'!$D$5:$D$804,IF(F191="空","买","卖"))/AD191,"")</f>
        <v/>
      </c>
      <c r="AF191" s="38" t="str">
        <f>IF(A191="","",IF(X191&lt;&gt;"已执行",IF(X191="","未填执行情况",X191),IF(N(AB191)=0,"待录成交",IF(N(AD191)&gt;N(AB191),"平仓多于开仓",IF(N(AD191)&lt;N(AB191),"持仓中","已平仓")))))</f>
        <v/>
      </c>
      <c r="AG191" s="42" t="str">
        <f>IF(N(AB191)=0,"",SUMIFS('成交明细'!$L$5:$L$804,'成交明细'!$A$5:$A$804,A191))</f>
        <v/>
      </c>
      <c r="AH191" s="43" t="str">
        <f>IF(A191="","",SUMIFS('资金费流水'!$F$5:$F$604,'资金费流水'!$B$5:$B$604,A191))</f>
        <v/>
      </c>
      <c r="AI191" s="43" t="str">
        <f>IF(AF191&lt;&gt;"已平仓","",(SUMIFS('成交明细'!$H$5:$H$804,'成交明细'!$A$5:$A$804,A191,'成交明细'!$D$5:$D$804,"卖")-SUMIFS('成交明细'!$H$5:$H$804,'成交明细'!$A$5:$A$804,A191,'成交明细'!$D$5:$D$804,"买"))*1-AG191+N(AH191))</f>
        <v/>
      </c>
      <c r="AJ191" s="44" t="str">
        <f>IF(AND(AF191="已平仓",ISNUMBER(Q191)),(SUMIFS('成交明细'!$H$5:$H$804,'成交明细'!$A$5:$A$804,A191,'成交明细'!$D$5:$D$804,"卖")-SUMIFS('成交明细'!$H$5:$H$804,'成交明细'!$A$5:$A$804,A191,'成交明细'!$D$5:$D$804,"买"))*1/Q191,"")</f>
        <v/>
      </c>
      <c r="AK191" s="44" t="str">
        <f>IF(AND(AF191="已平仓",ISNUMBER(Q191)),AI191/Q191,"")</f>
        <v/>
      </c>
      <c r="AL191" s="45" t="str">
        <f>IF(AND(ISNUMBER(AC191),ISNUMBER(K191)),IF(F191="空",K191-AC191,AC191-K191),"")</f>
        <v/>
      </c>
      <c r="AM191" s="45" t="str">
        <f>IF(OR(NOT(ISNUMBER(AI191)),NOT(ISNUMBER(AE191))),"",IF(AI191&lt;0,IF(F191="空",AE191-L191,L191-AE191),IF(NOT(ISNUMBER(M191)),"",IF(F191="空",AE191-M191,M191-AE191))))</f>
        <v/>
      </c>
      <c r="AN191" s="31" t="n"/>
      <c r="AO191" s="31" t="n"/>
      <c r="AP191" s="30" t="n"/>
      <c r="AQ191" s="44" t="str">
        <f>IF(A191="","",SUM(AK$5:AK191))</f>
        <v/>
      </c>
      <c r="AR191" s="46" t="str">
        <f>IF(A191="","",MAX(0,MAX(AQ$5:AQ191))-AQ191)</f>
        <v/>
      </c>
    </row>
    <row r="192">
      <c r="A192" s="24" t="n"/>
      <c r="B192" s="29" t="n"/>
      <c r="C192" s="30" t="n"/>
      <c r="D192" s="31" t="n"/>
      <c r="E192" s="31" t="n"/>
      <c r="F192" s="31" t="n"/>
      <c r="G192" s="21" t="n"/>
      <c r="H192" s="31" t="n"/>
      <c r="I192" s="23" t="n"/>
      <c r="J192" s="31" t="n"/>
      <c r="K192" s="32" t="n"/>
      <c r="L192" s="32" t="n"/>
      <c r="M192" s="32" t="n"/>
      <c r="N192" s="33" t="str">
        <f>IF(AND(ISNUMBER(K192),ISNUMBER(L192),ISNUMBER(M192)),IF(OR(AND(F192="多",K192&gt;L192),AND(F192="空",K192&lt;L192)),ABS(M192-K192)/ABS(K192-L192),"止损方向不对"),"")</f>
        <v/>
      </c>
      <c r="O192" s="34" t="str">
        <f>IF(AND(ISNUMBER(K192),ISNUMBER(L192)),IF(K192=L192,"",IF(INT(ROUND('参数'!$C$7/(ABS(K192-L192)*1+2*K192*'参数'!$C$12)/IF(N(J192)&gt;0,J192,1),6))*IF(N(J192)&gt;0,J192,1)&gt;0,INT(ROUND('参数'!$C$7/(ABS(K192-L192)*1+2*K192*'参数'!$C$12)/IF(N(J192)&gt;0,J192,1),6))*IF(N(J192)&gt;0,J192,1),"预算不足，这笔不做")),"")</f>
        <v/>
      </c>
      <c r="P192" s="35" t="n"/>
      <c r="Q192" s="20" t="str">
        <f>IF(AND(ISNUMBER(K192),ISNUMBER(L192),ISNUMBER(P192)),IF(AND(K192&lt;&gt;L192,P192&gt;0),ABS(K192-L192)*P192*1,""),"")</f>
        <v/>
      </c>
      <c r="R192" s="20" t="str">
        <f>IF(AND(ISNUMBER(K192),ISNUMBER(P192)),K192*P192,"")</f>
        <v/>
      </c>
      <c r="S192" s="20" t="str">
        <f>IF(AND(D192="合约",ISNUMBER(R192),N(G192)&gt;0),R192/G192,"")</f>
        <v/>
      </c>
      <c r="T192" s="36" t="str">
        <f>IF(NOT(D192="合约"),"",IF(H192&lt;&gt;"逐仓","看平台",IF(AND(ISNUMBER(K192),N(G192)&gt;0),IF(F192="空",K192*(1+1/G192-IF(ISNUMBER(I192),I192,'参数'!$C$13)),K192*(1-1/G192+IF(ISNUMBER(I192),I192,'参数'!$C$13))),"")))</f>
        <v/>
      </c>
      <c r="U192" s="37" t="str">
        <f>IF(AND(ISNUMBER(T192),ISNUMBER(L192),ISNUMBER(K192)),IF(F192="空",T192-L192,L192-T192)/K192,"")</f>
        <v/>
      </c>
      <c r="V192" s="38" t="str">
        <f>IF(ISNUMBER(U192),IF(U192&lt;'参数'!$C$15,"先降杠杆或减量","在止损外"),"")</f>
        <v/>
      </c>
      <c r="W192" s="30" t="n"/>
      <c r="X192" s="31" t="n"/>
      <c r="Y192" s="39" t="str">
        <f>IF(N(AB192)&gt;0,SUMPRODUCT(LARGE(('成交明细'!$A$5:$A$804=A192)*('成交明细'!$D$5:$D$804=IF(F192="空","卖","买"))*'成交明细'!$B$5:$B$804,COUNTIFS('成交明细'!$A$5:$A$804,A192,'成交明细'!$D$5:$D$804,IF(F192="空","卖","买")))),"")</f>
        <v/>
      </c>
      <c r="Z192" s="39" t="str">
        <f>IF(AND(N(AB192)&gt;0,N(AD192)&gt;=N(AB192)),SUMPRODUCT(MAX(('成交明细'!$A$5:$A$804=A192)*('成交明细'!$D$5:$D$804=IF(F192="空","买","卖"))*'成交明细'!$B$5:$B$804)),"")</f>
        <v/>
      </c>
      <c r="AA192" s="40" t="str">
        <f>IF(N(AB192)=0,"",IF(SUMPRODUCT(('成交明细'!$A$5:$A$804=A192)*('成交明细'!$D$5:$D$804=IF(F192="空","卖","买"))*ISNUMBER('成交明细'!$C$5:$C$804))=0,"没填时间",IFERROR(VLOOKUP(MOD(SUMPRODUCT(LARGE(('成交明细'!$A$5:$A$804=A192)*('成交明细'!$D$5:$D$804=IF(F192="空","卖","买"))*('成交明细'!$B$5:$B$804+'成交明细'!$C$5:$C$804),COUNTIFS('成交明细'!$A$5:$A$804,A192,'成交明细'!$D$5:$D$804,IF(F192="空","卖","买")))),1),'参数'!$B$39:$C$48,2,TRUE),"")))</f>
        <v/>
      </c>
      <c r="AB192" s="34" t="str">
        <f>IF(A192="","",SUMIFS('成交明细'!$F$5:$F$804,'成交明细'!$A$5:$A$804,A192,'成交明细'!$D$5:$D$804,IF(F192="空","卖","买")))</f>
        <v/>
      </c>
      <c r="AC192" s="41" t="str">
        <f>IF(N(AB192)&gt;0,SUMIFS('成交明细'!$H$5:$H$804,'成交明细'!$A$5:$A$804,A192,'成交明细'!$D$5:$D$804,IF(F192="空","卖","买"))/AB192,"")</f>
        <v/>
      </c>
      <c r="AD192" s="34" t="str">
        <f>IF(A192="","",SUMIFS('成交明细'!$F$5:$F$804,'成交明细'!$A$5:$A$804,A192,'成交明细'!$D$5:$D$804,IF(F192="空","买","卖")))</f>
        <v/>
      </c>
      <c r="AE192" s="41" t="str">
        <f>IF(N(AD192)&gt;0,SUMIFS('成交明细'!$H$5:$H$804,'成交明细'!$A$5:$A$804,A192,'成交明细'!$D$5:$D$804,IF(F192="空","买","卖"))/AD192,"")</f>
        <v/>
      </c>
      <c r="AF192" s="38" t="str">
        <f>IF(A192="","",IF(X192&lt;&gt;"已执行",IF(X192="","未填执行情况",X192),IF(N(AB192)=0,"待录成交",IF(N(AD192)&gt;N(AB192),"平仓多于开仓",IF(N(AD192)&lt;N(AB192),"持仓中","已平仓")))))</f>
        <v/>
      </c>
      <c r="AG192" s="42" t="str">
        <f>IF(N(AB192)=0,"",SUMIFS('成交明细'!$L$5:$L$804,'成交明细'!$A$5:$A$804,A192))</f>
        <v/>
      </c>
      <c r="AH192" s="43" t="str">
        <f>IF(A192="","",SUMIFS('资金费流水'!$F$5:$F$604,'资金费流水'!$B$5:$B$604,A192))</f>
        <v/>
      </c>
      <c r="AI192" s="43" t="str">
        <f>IF(AF192&lt;&gt;"已平仓","",(SUMIFS('成交明细'!$H$5:$H$804,'成交明细'!$A$5:$A$804,A192,'成交明细'!$D$5:$D$804,"卖")-SUMIFS('成交明细'!$H$5:$H$804,'成交明细'!$A$5:$A$804,A192,'成交明细'!$D$5:$D$804,"买"))*1-AG192+N(AH192))</f>
        <v/>
      </c>
      <c r="AJ192" s="44" t="str">
        <f>IF(AND(AF192="已平仓",ISNUMBER(Q192)),(SUMIFS('成交明细'!$H$5:$H$804,'成交明细'!$A$5:$A$804,A192,'成交明细'!$D$5:$D$804,"卖")-SUMIFS('成交明细'!$H$5:$H$804,'成交明细'!$A$5:$A$804,A192,'成交明细'!$D$5:$D$804,"买"))*1/Q192,"")</f>
        <v/>
      </c>
      <c r="AK192" s="44" t="str">
        <f>IF(AND(AF192="已平仓",ISNUMBER(Q192)),AI192/Q192,"")</f>
        <v/>
      </c>
      <c r="AL192" s="45" t="str">
        <f>IF(AND(ISNUMBER(AC192),ISNUMBER(K192)),IF(F192="空",K192-AC192,AC192-K192),"")</f>
        <v/>
      </c>
      <c r="AM192" s="45" t="str">
        <f>IF(OR(NOT(ISNUMBER(AI192)),NOT(ISNUMBER(AE192))),"",IF(AI192&lt;0,IF(F192="空",AE192-L192,L192-AE192),IF(NOT(ISNUMBER(M192)),"",IF(F192="空",AE192-M192,M192-AE192))))</f>
        <v/>
      </c>
      <c r="AN192" s="31" t="n"/>
      <c r="AO192" s="31" t="n"/>
      <c r="AP192" s="30" t="n"/>
      <c r="AQ192" s="44" t="str">
        <f>IF(A192="","",SUM(AK$5:AK192))</f>
        <v/>
      </c>
      <c r="AR192" s="46" t="str">
        <f>IF(A192="","",MAX(0,MAX(AQ$5:AQ192))-AQ192)</f>
        <v/>
      </c>
    </row>
    <row r="193">
      <c r="A193" s="24" t="n"/>
      <c r="B193" s="29" t="n"/>
      <c r="C193" s="30" t="n"/>
      <c r="D193" s="31" t="n"/>
      <c r="E193" s="31" t="n"/>
      <c r="F193" s="31" t="n"/>
      <c r="G193" s="21" t="n"/>
      <c r="H193" s="31" t="n"/>
      <c r="I193" s="23" t="n"/>
      <c r="J193" s="31" t="n"/>
      <c r="K193" s="32" t="n"/>
      <c r="L193" s="32" t="n"/>
      <c r="M193" s="32" t="n"/>
      <c r="N193" s="33" t="str">
        <f>IF(AND(ISNUMBER(K193),ISNUMBER(L193),ISNUMBER(M193)),IF(OR(AND(F193="多",K193&gt;L193),AND(F193="空",K193&lt;L193)),ABS(M193-K193)/ABS(K193-L193),"止损方向不对"),"")</f>
        <v/>
      </c>
      <c r="O193" s="34" t="str">
        <f>IF(AND(ISNUMBER(K193),ISNUMBER(L193)),IF(K193=L193,"",IF(INT(ROUND('参数'!$C$7/(ABS(K193-L193)*1+2*K193*'参数'!$C$12)/IF(N(J193)&gt;0,J193,1),6))*IF(N(J193)&gt;0,J193,1)&gt;0,INT(ROUND('参数'!$C$7/(ABS(K193-L193)*1+2*K193*'参数'!$C$12)/IF(N(J193)&gt;0,J193,1),6))*IF(N(J193)&gt;0,J193,1),"预算不足，这笔不做")),"")</f>
        <v/>
      </c>
      <c r="P193" s="35" t="n"/>
      <c r="Q193" s="20" t="str">
        <f>IF(AND(ISNUMBER(K193),ISNUMBER(L193),ISNUMBER(P193)),IF(AND(K193&lt;&gt;L193,P193&gt;0),ABS(K193-L193)*P193*1,""),"")</f>
        <v/>
      </c>
      <c r="R193" s="20" t="str">
        <f>IF(AND(ISNUMBER(K193),ISNUMBER(P193)),K193*P193,"")</f>
        <v/>
      </c>
      <c r="S193" s="20" t="str">
        <f>IF(AND(D193="合约",ISNUMBER(R193),N(G193)&gt;0),R193/G193,"")</f>
        <v/>
      </c>
      <c r="T193" s="36" t="str">
        <f>IF(NOT(D193="合约"),"",IF(H193&lt;&gt;"逐仓","看平台",IF(AND(ISNUMBER(K193),N(G193)&gt;0),IF(F193="空",K193*(1+1/G193-IF(ISNUMBER(I193),I193,'参数'!$C$13)),K193*(1-1/G193+IF(ISNUMBER(I193),I193,'参数'!$C$13))),"")))</f>
        <v/>
      </c>
      <c r="U193" s="37" t="str">
        <f>IF(AND(ISNUMBER(T193),ISNUMBER(L193),ISNUMBER(K193)),IF(F193="空",T193-L193,L193-T193)/K193,"")</f>
        <v/>
      </c>
      <c r="V193" s="38" t="str">
        <f>IF(ISNUMBER(U193),IF(U193&lt;'参数'!$C$15,"先降杠杆或减量","在止损外"),"")</f>
        <v/>
      </c>
      <c r="W193" s="30" t="n"/>
      <c r="X193" s="31" t="n"/>
      <c r="Y193" s="39" t="str">
        <f>IF(N(AB193)&gt;0,SUMPRODUCT(LARGE(('成交明细'!$A$5:$A$804=A193)*('成交明细'!$D$5:$D$804=IF(F193="空","卖","买"))*'成交明细'!$B$5:$B$804,COUNTIFS('成交明细'!$A$5:$A$804,A193,'成交明细'!$D$5:$D$804,IF(F193="空","卖","买")))),"")</f>
        <v/>
      </c>
      <c r="Z193" s="39" t="str">
        <f>IF(AND(N(AB193)&gt;0,N(AD193)&gt;=N(AB193)),SUMPRODUCT(MAX(('成交明细'!$A$5:$A$804=A193)*('成交明细'!$D$5:$D$804=IF(F193="空","买","卖"))*'成交明细'!$B$5:$B$804)),"")</f>
        <v/>
      </c>
      <c r="AA193" s="40" t="str">
        <f>IF(N(AB193)=0,"",IF(SUMPRODUCT(('成交明细'!$A$5:$A$804=A193)*('成交明细'!$D$5:$D$804=IF(F193="空","卖","买"))*ISNUMBER('成交明细'!$C$5:$C$804))=0,"没填时间",IFERROR(VLOOKUP(MOD(SUMPRODUCT(LARGE(('成交明细'!$A$5:$A$804=A193)*('成交明细'!$D$5:$D$804=IF(F193="空","卖","买"))*('成交明细'!$B$5:$B$804+'成交明细'!$C$5:$C$804),COUNTIFS('成交明细'!$A$5:$A$804,A193,'成交明细'!$D$5:$D$804,IF(F193="空","卖","买")))),1),'参数'!$B$39:$C$48,2,TRUE),"")))</f>
        <v/>
      </c>
      <c r="AB193" s="34" t="str">
        <f>IF(A193="","",SUMIFS('成交明细'!$F$5:$F$804,'成交明细'!$A$5:$A$804,A193,'成交明细'!$D$5:$D$804,IF(F193="空","卖","买")))</f>
        <v/>
      </c>
      <c r="AC193" s="41" t="str">
        <f>IF(N(AB193)&gt;0,SUMIFS('成交明细'!$H$5:$H$804,'成交明细'!$A$5:$A$804,A193,'成交明细'!$D$5:$D$804,IF(F193="空","卖","买"))/AB193,"")</f>
        <v/>
      </c>
      <c r="AD193" s="34" t="str">
        <f>IF(A193="","",SUMIFS('成交明细'!$F$5:$F$804,'成交明细'!$A$5:$A$804,A193,'成交明细'!$D$5:$D$804,IF(F193="空","买","卖")))</f>
        <v/>
      </c>
      <c r="AE193" s="41" t="str">
        <f>IF(N(AD193)&gt;0,SUMIFS('成交明细'!$H$5:$H$804,'成交明细'!$A$5:$A$804,A193,'成交明细'!$D$5:$D$804,IF(F193="空","买","卖"))/AD193,"")</f>
        <v/>
      </c>
      <c r="AF193" s="38" t="str">
        <f>IF(A193="","",IF(X193&lt;&gt;"已执行",IF(X193="","未填执行情况",X193),IF(N(AB193)=0,"待录成交",IF(N(AD193)&gt;N(AB193),"平仓多于开仓",IF(N(AD193)&lt;N(AB193),"持仓中","已平仓")))))</f>
        <v/>
      </c>
      <c r="AG193" s="42" t="str">
        <f>IF(N(AB193)=0,"",SUMIFS('成交明细'!$L$5:$L$804,'成交明细'!$A$5:$A$804,A193))</f>
        <v/>
      </c>
      <c r="AH193" s="43" t="str">
        <f>IF(A193="","",SUMIFS('资金费流水'!$F$5:$F$604,'资金费流水'!$B$5:$B$604,A193))</f>
        <v/>
      </c>
      <c r="AI193" s="43" t="str">
        <f>IF(AF193&lt;&gt;"已平仓","",(SUMIFS('成交明细'!$H$5:$H$804,'成交明细'!$A$5:$A$804,A193,'成交明细'!$D$5:$D$804,"卖")-SUMIFS('成交明细'!$H$5:$H$804,'成交明细'!$A$5:$A$804,A193,'成交明细'!$D$5:$D$804,"买"))*1-AG193+N(AH193))</f>
        <v/>
      </c>
      <c r="AJ193" s="44" t="str">
        <f>IF(AND(AF193="已平仓",ISNUMBER(Q193)),(SUMIFS('成交明细'!$H$5:$H$804,'成交明细'!$A$5:$A$804,A193,'成交明细'!$D$5:$D$804,"卖")-SUMIFS('成交明细'!$H$5:$H$804,'成交明细'!$A$5:$A$804,A193,'成交明细'!$D$5:$D$804,"买"))*1/Q193,"")</f>
        <v/>
      </c>
      <c r="AK193" s="44" t="str">
        <f>IF(AND(AF193="已平仓",ISNUMBER(Q193)),AI193/Q193,"")</f>
        <v/>
      </c>
      <c r="AL193" s="45" t="str">
        <f>IF(AND(ISNUMBER(AC193),ISNUMBER(K193)),IF(F193="空",K193-AC193,AC193-K193),"")</f>
        <v/>
      </c>
      <c r="AM193" s="45" t="str">
        <f>IF(OR(NOT(ISNUMBER(AI193)),NOT(ISNUMBER(AE193))),"",IF(AI193&lt;0,IF(F193="空",AE193-L193,L193-AE193),IF(NOT(ISNUMBER(M193)),"",IF(F193="空",AE193-M193,M193-AE193))))</f>
        <v/>
      </c>
      <c r="AN193" s="31" t="n"/>
      <c r="AO193" s="31" t="n"/>
      <c r="AP193" s="30" t="n"/>
      <c r="AQ193" s="44" t="str">
        <f>IF(A193="","",SUM(AK$5:AK193))</f>
        <v/>
      </c>
      <c r="AR193" s="46" t="str">
        <f>IF(A193="","",MAX(0,MAX(AQ$5:AQ193))-AQ193)</f>
        <v/>
      </c>
    </row>
    <row r="194">
      <c r="A194" s="24" t="n"/>
      <c r="B194" s="29" t="n"/>
      <c r="C194" s="30" t="n"/>
      <c r="D194" s="31" t="n"/>
      <c r="E194" s="31" t="n"/>
      <c r="F194" s="31" t="n"/>
      <c r="G194" s="21" t="n"/>
      <c r="H194" s="31" t="n"/>
      <c r="I194" s="23" t="n"/>
      <c r="J194" s="31" t="n"/>
      <c r="K194" s="32" t="n"/>
      <c r="L194" s="32" t="n"/>
      <c r="M194" s="32" t="n"/>
      <c r="N194" s="33" t="str">
        <f>IF(AND(ISNUMBER(K194),ISNUMBER(L194),ISNUMBER(M194)),IF(OR(AND(F194="多",K194&gt;L194),AND(F194="空",K194&lt;L194)),ABS(M194-K194)/ABS(K194-L194),"止损方向不对"),"")</f>
        <v/>
      </c>
      <c r="O194" s="34" t="str">
        <f>IF(AND(ISNUMBER(K194),ISNUMBER(L194)),IF(K194=L194,"",IF(INT(ROUND('参数'!$C$7/(ABS(K194-L194)*1+2*K194*'参数'!$C$12)/IF(N(J194)&gt;0,J194,1),6))*IF(N(J194)&gt;0,J194,1)&gt;0,INT(ROUND('参数'!$C$7/(ABS(K194-L194)*1+2*K194*'参数'!$C$12)/IF(N(J194)&gt;0,J194,1),6))*IF(N(J194)&gt;0,J194,1),"预算不足，这笔不做")),"")</f>
        <v/>
      </c>
      <c r="P194" s="35" t="n"/>
      <c r="Q194" s="20" t="str">
        <f>IF(AND(ISNUMBER(K194),ISNUMBER(L194),ISNUMBER(P194)),IF(AND(K194&lt;&gt;L194,P194&gt;0),ABS(K194-L194)*P194*1,""),"")</f>
        <v/>
      </c>
      <c r="R194" s="20" t="str">
        <f>IF(AND(ISNUMBER(K194),ISNUMBER(P194)),K194*P194,"")</f>
        <v/>
      </c>
      <c r="S194" s="20" t="str">
        <f>IF(AND(D194="合约",ISNUMBER(R194),N(G194)&gt;0),R194/G194,"")</f>
        <v/>
      </c>
      <c r="T194" s="36" t="str">
        <f>IF(NOT(D194="合约"),"",IF(H194&lt;&gt;"逐仓","看平台",IF(AND(ISNUMBER(K194),N(G194)&gt;0),IF(F194="空",K194*(1+1/G194-IF(ISNUMBER(I194),I194,'参数'!$C$13)),K194*(1-1/G194+IF(ISNUMBER(I194),I194,'参数'!$C$13))),"")))</f>
        <v/>
      </c>
      <c r="U194" s="37" t="str">
        <f>IF(AND(ISNUMBER(T194),ISNUMBER(L194),ISNUMBER(K194)),IF(F194="空",T194-L194,L194-T194)/K194,"")</f>
        <v/>
      </c>
      <c r="V194" s="38" t="str">
        <f>IF(ISNUMBER(U194),IF(U194&lt;'参数'!$C$15,"先降杠杆或减量","在止损外"),"")</f>
        <v/>
      </c>
      <c r="W194" s="30" t="n"/>
      <c r="X194" s="31" t="n"/>
      <c r="Y194" s="39" t="str">
        <f>IF(N(AB194)&gt;0,SUMPRODUCT(LARGE(('成交明细'!$A$5:$A$804=A194)*('成交明细'!$D$5:$D$804=IF(F194="空","卖","买"))*'成交明细'!$B$5:$B$804,COUNTIFS('成交明细'!$A$5:$A$804,A194,'成交明细'!$D$5:$D$804,IF(F194="空","卖","买")))),"")</f>
        <v/>
      </c>
      <c r="Z194" s="39" t="str">
        <f>IF(AND(N(AB194)&gt;0,N(AD194)&gt;=N(AB194)),SUMPRODUCT(MAX(('成交明细'!$A$5:$A$804=A194)*('成交明细'!$D$5:$D$804=IF(F194="空","买","卖"))*'成交明细'!$B$5:$B$804)),"")</f>
        <v/>
      </c>
      <c r="AA194" s="40" t="str">
        <f>IF(N(AB194)=0,"",IF(SUMPRODUCT(('成交明细'!$A$5:$A$804=A194)*('成交明细'!$D$5:$D$804=IF(F194="空","卖","买"))*ISNUMBER('成交明细'!$C$5:$C$804))=0,"没填时间",IFERROR(VLOOKUP(MOD(SUMPRODUCT(LARGE(('成交明细'!$A$5:$A$804=A194)*('成交明细'!$D$5:$D$804=IF(F194="空","卖","买"))*('成交明细'!$B$5:$B$804+'成交明细'!$C$5:$C$804),COUNTIFS('成交明细'!$A$5:$A$804,A194,'成交明细'!$D$5:$D$804,IF(F194="空","卖","买")))),1),'参数'!$B$39:$C$48,2,TRUE),"")))</f>
        <v/>
      </c>
      <c r="AB194" s="34" t="str">
        <f>IF(A194="","",SUMIFS('成交明细'!$F$5:$F$804,'成交明细'!$A$5:$A$804,A194,'成交明细'!$D$5:$D$804,IF(F194="空","卖","买")))</f>
        <v/>
      </c>
      <c r="AC194" s="41" t="str">
        <f>IF(N(AB194)&gt;0,SUMIFS('成交明细'!$H$5:$H$804,'成交明细'!$A$5:$A$804,A194,'成交明细'!$D$5:$D$804,IF(F194="空","卖","买"))/AB194,"")</f>
        <v/>
      </c>
      <c r="AD194" s="34" t="str">
        <f>IF(A194="","",SUMIFS('成交明细'!$F$5:$F$804,'成交明细'!$A$5:$A$804,A194,'成交明细'!$D$5:$D$804,IF(F194="空","买","卖")))</f>
        <v/>
      </c>
      <c r="AE194" s="41" t="str">
        <f>IF(N(AD194)&gt;0,SUMIFS('成交明细'!$H$5:$H$804,'成交明细'!$A$5:$A$804,A194,'成交明细'!$D$5:$D$804,IF(F194="空","买","卖"))/AD194,"")</f>
        <v/>
      </c>
      <c r="AF194" s="38" t="str">
        <f>IF(A194="","",IF(X194&lt;&gt;"已执行",IF(X194="","未填执行情况",X194),IF(N(AB194)=0,"待录成交",IF(N(AD194)&gt;N(AB194),"平仓多于开仓",IF(N(AD194)&lt;N(AB194),"持仓中","已平仓")))))</f>
        <v/>
      </c>
      <c r="AG194" s="42" t="str">
        <f>IF(N(AB194)=0,"",SUMIFS('成交明细'!$L$5:$L$804,'成交明细'!$A$5:$A$804,A194))</f>
        <v/>
      </c>
      <c r="AH194" s="43" t="str">
        <f>IF(A194="","",SUMIFS('资金费流水'!$F$5:$F$604,'资金费流水'!$B$5:$B$604,A194))</f>
        <v/>
      </c>
      <c r="AI194" s="43" t="str">
        <f>IF(AF194&lt;&gt;"已平仓","",(SUMIFS('成交明细'!$H$5:$H$804,'成交明细'!$A$5:$A$804,A194,'成交明细'!$D$5:$D$804,"卖")-SUMIFS('成交明细'!$H$5:$H$804,'成交明细'!$A$5:$A$804,A194,'成交明细'!$D$5:$D$804,"买"))*1-AG194+N(AH194))</f>
        <v/>
      </c>
      <c r="AJ194" s="44" t="str">
        <f>IF(AND(AF194="已平仓",ISNUMBER(Q194)),(SUMIFS('成交明细'!$H$5:$H$804,'成交明细'!$A$5:$A$804,A194,'成交明细'!$D$5:$D$804,"卖")-SUMIFS('成交明细'!$H$5:$H$804,'成交明细'!$A$5:$A$804,A194,'成交明细'!$D$5:$D$804,"买"))*1/Q194,"")</f>
        <v/>
      </c>
      <c r="AK194" s="44" t="str">
        <f>IF(AND(AF194="已平仓",ISNUMBER(Q194)),AI194/Q194,"")</f>
        <v/>
      </c>
      <c r="AL194" s="45" t="str">
        <f>IF(AND(ISNUMBER(AC194),ISNUMBER(K194)),IF(F194="空",K194-AC194,AC194-K194),"")</f>
        <v/>
      </c>
      <c r="AM194" s="45" t="str">
        <f>IF(OR(NOT(ISNUMBER(AI194)),NOT(ISNUMBER(AE194))),"",IF(AI194&lt;0,IF(F194="空",AE194-L194,L194-AE194),IF(NOT(ISNUMBER(M194)),"",IF(F194="空",AE194-M194,M194-AE194))))</f>
        <v/>
      </c>
      <c r="AN194" s="31" t="n"/>
      <c r="AO194" s="31" t="n"/>
      <c r="AP194" s="30" t="n"/>
      <c r="AQ194" s="44" t="str">
        <f>IF(A194="","",SUM(AK$5:AK194))</f>
        <v/>
      </c>
      <c r="AR194" s="46" t="str">
        <f>IF(A194="","",MAX(0,MAX(AQ$5:AQ194))-AQ194)</f>
        <v/>
      </c>
    </row>
    <row r="195">
      <c r="A195" s="24" t="n"/>
      <c r="B195" s="29" t="n"/>
      <c r="C195" s="30" t="n"/>
      <c r="D195" s="31" t="n"/>
      <c r="E195" s="31" t="n"/>
      <c r="F195" s="31" t="n"/>
      <c r="G195" s="21" t="n"/>
      <c r="H195" s="31" t="n"/>
      <c r="I195" s="23" t="n"/>
      <c r="J195" s="31" t="n"/>
      <c r="K195" s="32" t="n"/>
      <c r="L195" s="32" t="n"/>
      <c r="M195" s="32" t="n"/>
      <c r="N195" s="33" t="str">
        <f>IF(AND(ISNUMBER(K195),ISNUMBER(L195),ISNUMBER(M195)),IF(OR(AND(F195="多",K195&gt;L195),AND(F195="空",K195&lt;L195)),ABS(M195-K195)/ABS(K195-L195),"止损方向不对"),"")</f>
        <v/>
      </c>
      <c r="O195" s="34" t="str">
        <f>IF(AND(ISNUMBER(K195),ISNUMBER(L195)),IF(K195=L195,"",IF(INT(ROUND('参数'!$C$7/(ABS(K195-L195)*1+2*K195*'参数'!$C$12)/IF(N(J195)&gt;0,J195,1),6))*IF(N(J195)&gt;0,J195,1)&gt;0,INT(ROUND('参数'!$C$7/(ABS(K195-L195)*1+2*K195*'参数'!$C$12)/IF(N(J195)&gt;0,J195,1),6))*IF(N(J195)&gt;0,J195,1),"预算不足，这笔不做")),"")</f>
        <v/>
      </c>
      <c r="P195" s="35" t="n"/>
      <c r="Q195" s="20" t="str">
        <f>IF(AND(ISNUMBER(K195),ISNUMBER(L195),ISNUMBER(P195)),IF(AND(K195&lt;&gt;L195,P195&gt;0),ABS(K195-L195)*P195*1,""),"")</f>
        <v/>
      </c>
      <c r="R195" s="20" t="str">
        <f>IF(AND(ISNUMBER(K195),ISNUMBER(P195)),K195*P195,"")</f>
        <v/>
      </c>
      <c r="S195" s="20" t="str">
        <f>IF(AND(D195="合约",ISNUMBER(R195),N(G195)&gt;0),R195/G195,"")</f>
        <v/>
      </c>
      <c r="T195" s="36" t="str">
        <f>IF(NOT(D195="合约"),"",IF(H195&lt;&gt;"逐仓","看平台",IF(AND(ISNUMBER(K195),N(G195)&gt;0),IF(F195="空",K195*(1+1/G195-IF(ISNUMBER(I195),I195,'参数'!$C$13)),K195*(1-1/G195+IF(ISNUMBER(I195),I195,'参数'!$C$13))),"")))</f>
        <v/>
      </c>
      <c r="U195" s="37" t="str">
        <f>IF(AND(ISNUMBER(T195),ISNUMBER(L195),ISNUMBER(K195)),IF(F195="空",T195-L195,L195-T195)/K195,"")</f>
        <v/>
      </c>
      <c r="V195" s="38" t="str">
        <f>IF(ISNUMBER(U195),IF(U195&lt;'参数'!$C$15,"先降杠杆或减量","在止损外"),"")</f>
        <v/>
      </c>
      <c r="W195" s="30" t="n"/>
      <c r="X195" s="31" t="n"/>
      <c r="Y195" s="39" t="str">
        <f>IF(N(AB195)&gt;0,SUMPRODUCT(LARGE(('成交明细'!$A$5:$A$804=A195)*('成交明细'!$D$5:$D$804=IF(F195="空","卖","买"))*'成交明细'!$B$5:$B$804,COUNTIFS('成交明细'!$A$5:$A$804,A195,'成交明细'!$D$5:$D$804,IF(F195="空","卖","买")))),"")</f>
        <v/>
      </c>
      <c r="Z195" s="39" t="str">
        <f>IF(AND(N(AB195)&gt;0,N(AD195)&gt;=N(AB195)),SUMPRODUCT(MAX(('成交明细'!$A$5:$A$804=A195)*('成交明细'!$D$5:$D$804=IF(F195="空","买","卖"))*'成交明细'!$B$5:$B$804)),"")</f>
        <v/>
      </c>
      <c r="AA195" s="40" t="str">
        <f>IF(N(AB195)=0,"",IF(SUMPRODUCT(('成交明细'!$A$5:$A$804=A195)*('成交明细'!$D$5:$D$804=IF(F195="空","卖","买"))*ISNUMBER('成交明细'!$C$5:$C$804))=0,"没填时间",IFERROR(VLOOKUP(MOD(SUMPRODUCT(LARGE(('成交明细'!$A$5:$A$804=A195)*('成交明细'!$D$5:$D$804=IF(F195="空","卖","买"))*('成交明细'!$B$5:$B$804+'成交明细'!$C$5:$C$804),COUNTIFS('成交明细'!$A$5:$A$804,A195,'成交明细'!$D$5:$D$804,IF(F195="空","卖","买")))),1),'参数'!$B$39:$C$48,2,TRUE),"")))</f>
        <v/>
      </c>
      <c r="AB195" s="34" t="str">
        <f>IF(A195="","",SUMIFS('成交明细'!$F$5:$F$804,'成交明细'!$A$5:$A$804,A195,'成交明细'!$D$5:$D$804,IF(F195="空","卖","买")))</f>
        <v/>
      </c>
      <c r="AC195" s="41" t="str">
        <f>IF(N(AB195)&gt;0,SUMIFS('成交明细'!$H$5:$H$804,'成交明细'!$A$5:$A$804,A195,'成交明细'!$D$5:$D$804,IF(F195="空","卖","买"))/AB195,"")</f>
        <v/>
      </c>
      <c r="AD195" s="34" t="str">
        <f>IF(A195="","",SUMIFS('成交明细'!$F$5:$F$804,'成交明细'!$A$5:$A$804,A195,'成交明细'!$D$5:$D$804,IF(F195="空","买","卖")))</f>
        <v/>
      </c>
      <c r="AE195" s="41" t="str">
        <f>IF(N(AD195)&gt;0,SUMIFS('成交明细'!$H$5:$H$804,'成交明细'!$A$5:$A$804,A195,'成交明细'!$D$5:$D$804,IF(F195="空","买","卖"))/AD195,"")</f>
        <v/>
      </c>
      <c r="AF195" s="38" t="str">
        <f>IF(A195="","",IF(X195&lt;&gt;"已执行",IF(X195="","未填执行情况",X195),IF(N(AB195)=0,"待录成交",IF(N(AD195)&gt;N(AB195),"平仓多于开仓",IF(N(AD195)&lt;N(AB195),"持仓中","已平仓")))))</f>
        <v/>
      </c>
      <c r="AG195" s="42" t="str">
        <f>IF(N(AB195)=0,"",SUMIFS('成交明细'!$L$5:$L$804,'成交明细'!$A$5:$A$804,A195))</f>
        <v/>
      </c>
      <c r="AH195" s="43" t="str">
        <f>IF(A195="","",SUMIFS('资金费流水'!$F$5:$F$604,'资金费流水'!$B$5:$B$604,A195))</f>
        <v/>
      </c>
      <c r="AI195" s="43" t="str">
        <f>IF(AF195&lt;&gt;"已平仓","",(SUMIFS('成交明细'!$H$5:$H$804,'成交明细'!$A$5:$A$804,A195,'成交明细'!$D$5:$D$804,"卖")-SUMIFS('成交明细'!$H$5:$H$804,'成交明细'!$A$5:$A$804,A195,'成交明细'!$D$5:$D$804,"买"))*1-AG195+N(AH195))</f>
        <v/>
      </c>
      <c r="AJ195" s="44" t="str">
        <f>IF(AND(AF195="已平仓",ISNUMBER(Q195)),(SUMIFS('成交明细'!$H$5:$H$804,'成交明细'!$A$5:$A$804,A195,'成交明细'!$D$5:$D$804,"卖")-SUMIFS('成交明细'!$H$5:$H$804,'成交明细'!$A$5:$A$804,A195,'成交明细'!$D$5:$D$804,"买"))*1/Q195,"")</f>
        <v/>
      </c>
      <c r="AK195" s="44" t="str">
        <f>IF(AND(AF195="已平仓",ISNUMBER(Q195)),AI195/Q195,"")</f>
        <v/>
      </c>
      <c r="AL195" s="45" t="str">
        <f>IF(AND(ISNUMBER(AC195),ISNUMBER(K195)),IF(F195="空",K195-AC195,AC195-K195),"")</f>
        <v/>
      </c>
      <c r="AM195" s="45" t="str">
        <f>IF(OR(NOT(ISNUMBER(AI195)),NOT(ISNUMBER(AE195))),"",IF(AI195&lt;0,IF(F195="空",AE195-L195,L195-AE195),IF(NOT(ISNUMBER(M195)),"",IF(F195="空",AE195-M195,M195-AE195))))</f>
        <v/>
      </c>
      <c r="AN195" s="31" t="n"/>
      <c r="AO195" s="31" t="n"/>
      <c r="AP195" s="30" t="n"/>
      <c r="AQ195" s="44" t="str">
        <f>IF(A195="","",SUM(AK$5:AK195))</f>
        <v/>
      </c>
      <c r="AR195" s="46" t="str">
        <f>IF(A195="","",MAX(0,MAX(AQ$5:AQ195))-AQ195)</f>
        <v/>
      </c>
    </row>
    <row r="196">
      <c r="A196" s="24" t="n"/>
      <c r="B196" s="29" t="n"/>
      <c r="C196" s="30" t="n"/>
      <c r="D196" s="31" t="n"/>
      <c r="E196" s="31" t="n"/>
      <c r="F196" s="31" t="n"/>
      <c r="G196" s="21" t="n"/>
      <c r="H196" s="31" t="n"/>
      <c r="I196" s="23" t="n"/>
      <c r="J196" s="31" t="n"/>
      <c r="K196" s="32" t="n"/>
      <c r="L196" s="32" t="n"/>
      <c r="M196" s="32" t="n"/>
      <c r="N196" s="33" t="str">
        <f>IF(AND(ISNUMBER(K196),ISNUMBER(L196),ISNUMBER(M196)),IF(OR(AND(F196="多",K196&gt;L196),AND(F196="空",K196&lt;L196)),ABS(M196-K196)/ABS(K196-L196),"止损方向不对"),"")</f>
        <v/>
      </c>
      <c r="O196" s="34" t="str">
        <f>IF(AND(ISNUMBER(K196),ISNUMBER(L196)),IF(K196=L196,"",IF(INT(ROUND('参数'!$C$7/(ABS(K196-L196)*1+2*K196*'参数'!$C$12)/IF(N(J196)&gt;0,J196,1),6))*IF(N(J196)&gt;0,J196,1)&gt;0,INT(ROUND('参数'!$C$7/(ABS(K196-L196)*1+2*K196*'参数'!$C$12)/IF(N(J196)&gt;0,J196,1),6))*IF(N(J196)&gt;0,J196,1),"预算不足，这笔不做")),"")</f>
        <v/>
      </c>
      <c r="P196" s="35" t="n"/>
      <c r="Q196" s="20" t="str">
        <f>IF(AND(ISNUMBER(K196),ISNUMBER(L196),ISNUMBER(P196)),IF(AND(K196&lt;&gt;L196,P196&gt;0),ABS(K196-L196)*P196*1,""),"")</f>
        <v/>
      </c>
      <c r="R196" s="20" t="str">
        <f>IF(AND(ISNUMBER(K196),ISNUMBER(P196)),K196*P196,"")</f>
        <v/>
      </c>
      <c r="S196" s="20" t="str">
        <f>IF(AND(D196="合约",ISNUMBER(R196),N(G196)&gt;0),R196/G196,"")</f>
        <v/>
      </c>
      <c r="T196" s="36" t="str">
        <f>IF(NOT(D196="合约"),"",IF(H196&lt;&gt;"逐仓","看平台",IF(AND(ISNUMBER(K196),N(G196)&gt;0),IF(F196="空",K196*(1+1/G196-IF(ISNUMBER(I196),I196,'参数'!$C$13)),K196*(1-1/G196+IF(ISNUMBER(I196),I196,'参数'!$C$13))),"")))</f>
        <v/>
      </c>
      <c r="U196" s="37" t="str">
        <f>IF(AND(ISNUMBER(T196),ISNUMBER(L196),ISNUMBER(K196)),IF(F196="空",T196-L196,L196-T196)/K196,"")</f>
        <v/>
      </c>
      <c r="V196" s="38" t="str">
        <f>IF(ISNUMBER(U196),IF(U196&lt;'参数'!$C$15,"先降杠杆或减量","在止损外"),"")</f>
        <v/>
      </c>
      <c r="W196" s="30" t="n"/>
      <c r="X196" s="31" t="n"/>
      <c r="Y196" s="39" t="str">
        <f>IF(N(AB196)&gt;0,SUMPRODUCT(LARGE(('成交明细'!$A$5:$A$804=A196)*('成交明细'!$D$5:$D$804=IF(F196="空","卖","买"))*'成交明细'!$B$5:$B$804,COUNTIFS('成交明细'!$A$5:$A$804,A196,'成交明细'!$D$5:$D$804,IF(F196="空","卖","买")))),"")</f>
        <v/>
      </c>
      <c r="Z196" s="39" t="str">
        <f>IF(AND(N(AB196)&gt;0,N(AD196)&gt;=N(AB196)),SUMPRODUCT(MAX(('成交明细'!$A$5:$A$804=A196)*('成交明细'!$D$5:$D$804=IF(F196="空","买","卖"))*'成交明细'!$B$5:$B$804)),"")</f>
        <v/>
      </c>
      <c r="AA196" s="40" t="str">
        <f>IF(N(AB196)=0,"",IF(SUMPRODUCT(('成交明细'!$A$5:$A$804=A196)*('成交明细'!$D$5:$D$804=IF(F196="空","卖","买"))*ISNUMBER('成交明细'!$C$5:$C$804))=0,"没填时间",IFERROR(VLOOKUP(MOD(SUMPRODUCT(LARGE(('成交明细'!$A$5:$A$804=A196)*('成交明细'!$D$5:$D$804=IF(F196="空","卖","买"))*('成交明细'!$B$5:$B$804+'成交明细'!$C$5:$C$804),COUNTIFS('成交明细'!$A$5:$A$804,A196,'成交明细'!$D$5:$D$804,IF(F196="空","卖","买")))),1),'参数'!$B$39:$C$48,2,TRUE),"")))</f>
        <v/>
      </c>
      <c r="AB196" s="34" t="str">
        <f>IF(A196="","",SUMIFS('成交明细'!$F$5:$F$804,'成交明细'!$A$5:$A$804,A196,'成交明细'!$D$5:$D$804,IF(F196="空","卖","买")))</f>
        <v/>
      </c>
      <c r="AC196" s="41" t="str">
        <f>IF(N(AB196)&gt;0,SUMIFS('成交明细'!$H$5:$H$804,'成交明细'!$A$5:$A$804,A196,'成交明细'!$D$5:$D$804,IF(F196="空","卖","买"))/AB196,"")</f>
        <v/>
      </c>
      <c r="AD196" s="34" t="str">
        <f>IF(A196="","",SUMIFS('成交明细'!$F$5:$F$804,'成交明细'!$A$5:$A$804,A196,'成交明细'!$D$5:$D$804,IF(F196="空","买","卖")))</f>
        <v/>
      </c>
      <c r="AE196" s="41" t="str">
        <f>IF(N(AD196)&gt;0,SUMIFS('成交明细'!$H$5:$H$804,'成交明细'!$A$5:$A$804,A196,'成交明细'!$D$5:$D$804,IF(F196="空","买","卖"))/AD196,"")</f>
        <v/>
      </c>
      <c r="AF196" s="38" t="str">
        <f>IF(A196="","",IF(X196&lt;&gt;"已执行",IF(X196="","未填执行情况",X196),IF(N(AB196)=0,"待录成交",IF(N(AD196)&gt;N(AB196),"平仓多于开仓",IF(N(AD196)&lt;N(AB196),"持仓中","已平仓")))))</f>
        <v/>
      </c>
      <c r="AG196" s="42" t="str">
        <f>IF(N(AB196)=0,"",SUMIFS('成交明细'!$L$5:$L$804,'成交明细'!$A$5:$A$804,A196))</f>
        <v/>
      </c>
      <c r="AH196" s="43" t="str">
        <f>IF(A196="","",SUMIFS('资金费流水'!$F$5:$F$604,'资金费流水'!$B$5:$B$604,A196))</f>
        <v/>
      </c>
      <c r="AI196" s="43" t="str">
        <f>IF(AF196&lt;&gt;"已平仓","",(SUMIFS('成交明细'!$H$5:$H$804,'成交明细'!$A$5:$A$804,A196,'成交明细'!$D$5:$D$804,"卖")-SUMIFS('成交明细'!$H$5:$H$804,'成交明细'!$A$5:$A$804,A196,'成交明细'!$D$5:$D$804,"买"))*1-AG196+N(AH196))</f>
        <v/>
      </c>
      <c r="AJ196" s="44" t="str">
        <f>IF(AND(AF196="已平仓",ISNUMBER(Q196)),(SUMIFS('成交明细'!$H$5:$H$804,'成交明细'!$A$5:$A$804,A196,'成交明细'!$D$5:$D$804,"卖")-SUMIFS('成交明细'!$H$5:$H$804,'成交明细'!$A$5:$A$804,A196,'成交明细'!$D$5:$D$804,"买"))*1/Q196,"")</f>
        <v/>
      </c>
      <c r="AK196" s="44" t="str">
        <f>IF(AND(AF196="已平仓",ISNUMBER(Q196)),AI196/Q196,"")</f>
        <v/>
      </c>
      <c r="AL196" s="45" t="str">
        <f>IF(AND(ISNUMBER(AC196),ISNUMBER(K196)),IF(F196="空",K196-AC196,AC196-K196),"")</f>
        <v/>
      </c>
      <c r="AM196" s="45" t="str">
        <f>IF(OR(NOT(ISNUMBER(AI196)),NOT(ISNUMBER(AE196))),"",IF(AI196&lt;0,IF(F196="空",AE196-L196,L196-AE196),IF(NOT(ISNUMBER(M196)),"",IF(F196="空",AE196-M196,M196-AE196))))</f>
        <v/>
      </c>
      <c r="AN196" s="31" t="n"/>
      <c r="AO196" s="31" t="n"/>
      <c r="AP196" s="30" t="n"/>
      <c r="AQ196" s="44" t="str">
        <f>IF(A196="","",SUM(AK$5:AK196))</f>
        <v/>
      </c>
      <c r="AR196" s="46" t="str">
        <f>IF(A196="","",MAX(0,MAX(AQ$5:AQ196))-AQ196)</f>
        <v/>
      </c>
    </row>
    <row r="197">
      <c r="A197" s="24" t="n"/>
      <c r="B197" s="29" t="n"/>
      <c r="C197" s="30" t="n"/>
      <c r="D197" s="31" t="n"/>
      <c r="E197" s="31" t="n"/>
      <c r="F197" s="31" t="n"/>
      <c r="G197" s="21" t="n"/>
      <c r="H197" s="31" t="n"/>
      <c r="I197" s="23" t="n"/>
      <c r="J197" s="31" t="n"/>
      <c r="K197" s="32" t="n"/>
      <c r="L197" s="32" t="n"/>
      <c r="M197" s="32" t="n"/>
      <c r="N197" s="33" t="str">
        <f>IF(AND(ISNUMBER(K197),ISNUMBER(L197),ISNUMBER(M197)),IF(OR(AND(F197="多",K197&gt;L197),AND(F197="空",K197&lt;L197)),ABS(M197-K197)/ABS(K197-L197),"止损方向不对"),"")</f>
        <v/>
      </c>
      <c r="O197" s="34" t="str">
        <f>IF(AND(ISNUMBER(K197),ISNUMBER(L197)),IF(K197=L197,"",IF(INT(ROUND('参数'!$C$7/(ABS(K197-L197)*1+2*K197*'参数'!$C$12)/IF(N(J197)&gt;0,J197,1),6))*IF(N(J197)&gt;0,J197,1)&gt;0,INT(ROUND('参数'!$C$7/(ABS(K197-L197)*1+2*K197*'参数'!$C$12)/IF(N(J197)&gt;0,J197,1),6))*IF(N(J197)&gt;0,J197,1),"预算不足，这笔不做")),"")</f>
        <v/>
      </c>
      <c r="P197" s="35" t="n"/>
      <c r="Q197" s="20" t="str">
        <f>IF(AND(ISNUMBER(K197),ISNUMBER(L197),ISNUMBER(P197)),IF(AND(K197&lt;&gt;L197,P197&gt;0),ABS(K197-L197)*P197*1,""),"")</f>
        <v/>
      </c>
      <c r="R197" s="20" t="str">
        <f>IF(AND(ISNUMBER(K197),ISNUMBER(P197)),K197*P197,"")</f>
        <v/>
      </c>
      <c r="S197" s="20" t="str">
        <f>IF(AND(D197="合约",ISNUMBER(R197),N(G197)&gt;0),R197/G197,"")</f>
        <v/>
      </c>
      <c r="T197" s="36" t="str">
        <f>IF(NOT(D197="合约"),"",IF(H197&lt;&gt;"逐仓","看平台",IF(AND(ISNUMBER(K197),N(G197)&gt;0),IF(F197="空",K197*(1+1/G197-IF(ISNUMBER(I197),I197,'参数'!$C$13)),K197*(1-1/G197+IF(ISNUMBER(I197),I197,'参数'!$C$13))),"")))</f>
        <v/>
      </c>
      <c r="U197" s="37" t="str">
        <f>IF(AND(ISNUMBER(T197),ISNUMBER(L197),ISNUMBER(K197)),IF(F197="空",T197-L197,L197-T197)/K197,"")</f>
        <v/>
      </c>
      <c r="V197" s="38" t="str">
        <f>IF(ISNUMBER(U197),IF(U197&lt;'参数'!$C$15,"先降杠杆或减量","在止损外"),"")</f>
        <v/>
      </c>
      <c r="W197" s="30" t="n"/>
      <c r="X197" s="31" t="n"/>
      <c r="Y197" s="39" t="str">
        <f>IF(N(AB197)&gt;0,SUMPRODUCT(LARGE(('成交明细'!$A$5:$A$804=A197)*('成交明细'!$D$5:$D$804=IF(F197="空","卖","买"))*'成交明细'!$B$5:$B$804,COUNTIFS('成交明细'!$A$5:$A$804,A197,'成交明细'!$D$5:$D$804,IF(F197="空","卖","买")))),"")</f>
        <v/>
      </c>
      <c r="Z197" s="39" t="str">
        <f>IF(AND(N(AB197)&gt;0,N(AD197)&gt;=N(AB197)),SUMPRODUCT(MAX(('成交明细'!$A$5:$A$804=A197)*('成交明细'!$D$5:$D$804=IF(F197="空","买","卖"))*'成交明细'!$B$5:$B$804)),"")</f>
        <v/>
      </c>
      <c r="AA197" s="40" t="str">
        <f>IF(N(AB197)=0,"",IF(SUMPRODUCT(('成交明细'!$A$5:$A$804=A197)*('成交明细'!$D$5:$D$804=IF(F197="空","卖","买"))*ISNUMBER('成交明细'!$C$5:$C$804))=0,"没填时间",IFERROR(VLOOKUP(MOD(SUMPRODUCT(LARGE(('成交明细'!$A$5:$A$804=A197)*('成交明细'!$D$5:$D$804=IF(F197="空","卖","买"))*('成交明细'!$B$5:$B$804+'成交明细'!$C$5:$C$804),COUNTIFS('成交明细'!$A$5:$A$804,A197,'成交明细'!$D$5:$D$804,IF(F197="空","卖","买")))),1),'参数'!$B$39:$C$48,2,TRUE),"")))</f>
        <v/>
      </c>
      <c r="AB197" s="34" t="str">
        <f>IF(A197="","",SUMIFS('成交明细'!$F$5:$F$804,'成交明细'!$A$5:$A$804,A197,'成交明细'!$D$5:$D$804,IF(F197="空","卖","买")))</f>
        <v/>
      </c>
      <c r="AC197" s="41" t="str">
        <f>IF(N(AB197)&gt;0,SUMIFS('成交明细'!$H$5:$H$804,'成交明细'!$A$5:$A$804,A197,'成交明细'!$D$5:$D$804,IF(F197="空","卖","买"))/AB197,"")</f>
        <v/>
      </c>
      <c r="AD197" s="34" t="str">
        <f>IF(A197="","",SUMIFS('成交明细'!$F$5:$F$804,'成交明细'!$A$5:$A$804,A197,'成交明细'!$D$5:$D$804,IF(F197="空","买","卖")))</f>
        <v/>
      </c>
      <c r="AE197" s="41" t="str">
        <f>IF(N(AD197)&gt;0,SUMIFS('成交明细'!$H$5:$H$804,'成交明细'!$A$5:$A$804,A197,'成交明细'!$D$5:$D$804,IF(F197="空","买","卖"))/AD197,"")</f>
        <v/>
      </c>
      <c r="AF197" s="38" t="str">
        <f>IF(A197="","",IF(X197&lt;&gt;"已执行",IF(X197="","未填执行情况",X197),IF(N(AB197)=0,"待录成交",IF(N(AD197)&gt;N(AB197),"平仓多于开仓",IF(N(AD197)&lt;N(AB197),"持仓中","已平仓")))))</f>
        <v/>
      </c>
      <c r="AG197" s="42" t="str">
        <f>IF(N(AB197)=0,"",SUMIFS('成交明细'!$L$5:$L$804,'成交明细'!$A$5:$A$804,A197))</f>
        <v/>
      </c>
      <c r="AH197" s="43" t="str">
        <f>IF(A197="","",SUMIFS('资金费流水'!$F$5:$F$604,'资金费流水'!$B$5:$B$604,A197))</f>
        <v/>
      </c>
      <c r="AI197" s="43" t="str">
        <f>IF(AF197&lt;&gt;"已平仓","",(SUMIFS('成交明细'!$H$5:$H$804,'成交明细'!$A$5:$A$804,A197,'成交明细'!$D$5:$D$804,"卖")-SUMIFS('成交明细'!$H$5:$H$804,'成交明细'!$A$5:$A$804,A197,'成交明细'!$D$5:$D$804,"买"))*1-AG197+N(AH197))</f>
        <v/>
      </c>
      <c r="AJ197" s="44" t="str">
        <f>IF(AND(AF197="已平仓",ISNUMBER(Q197)),(SUMIFS('成交明细'!$H$5:$H$804,'成交明细'!$A$5:$A$804,A197,'成交明细'!$D$5:$D$804,"卖")-SUMIFS('成交明细'!$H$5:$H$804,'成交明细'!$A$5:$A$804,A197,'成交明细'!$D$5:$D$804,"买"))*1/Q197,"")</f>
        <v/>
      </c>
      <c r="AK197" s="44" t="str">
        <f>IF(AND(AF197="已平仓",ISNUMBER(Q197)),AI197/Q197,"")</f>
        <v/>
      </c>
      <c r="AL197" s="45" t="str">
        <f>IF(AND(ISNUMBER(AC197),ISNUMBER(K197)),IF(F197="空",K197-AC197,AC197-K197),"")</f>
        <v/>
      </c>
      <c r="AM197" s="45" t="str">
        <f>IF(OR(NOT(ISNUMBER(AI197)),NOT(ISNUMBER(AE197))),"",IF(AI197&lt;0,IF(F197="空",AE197-L197,L197-AE197),IF(NOT(ISNUMBER(M197)),"",IF(F197="空",AE197-M197,M197-AE197))))</f>
        <v/>
      </c>
      <c r="AN197" s="31" t="n"/>
      <c r="AO197" s="31" t="n"/>
      <c r="AP197" s="30" t="n"/>
      <c r="AQ197" s="44" t="str">
        <f>IF(A197="","",SUM(AK$5:AK197))</f>
        <v/>
      </c>
      <c r="AR197" s="46" t="str">
        <f>IF(A197="","",MAX(0,MAX(AQ$5:AQ197))-AQ197)</f>
        <v/>
      </c>
    </row>
    <row r="198">
      <c r="A198" s="24" t="n"/>
      <c r="B198" s="29" t="n"/>
      <c r="C198" s="30" t="n"/>
      <c r="D198" s="31" t="n"/>
      <c r="E198" s="31" t="n"/>
      <c r="F198" s="31" t="n"/>
      <c r="G198" s="21" t="n"/>
      <c r="H198" s="31" t="n"/>
      <c r="I198" s="23" t="n"/>
      <c r="J198" s="31" t="n"/>
      <c r="K198" s="32" t="n"/>
      <c r="L198" s="32" t="n"/>
      <c r="M198" s="32" t="n"/>
      <c r="N198" s="33" t="str">
        <f>IF(AND(ISNUMBER(K198),ISNUMBER(L198),ISNUMBER(M198)),IF(OR(AND(F198="多",K198&gt;L198),AND(F198="空",K198&lt;L198)),ABS(M198-K198)/ABS(K198-L198),"止损方向不对"),"")</f>
        <v/>
      </c>
      <c r="O198" s="34" t="str">
        <f>IF(AND(ISNUMBER(K198),ISNUMBER(L198)),IF(K198=L198,"",IF(INT(ROUND('参数'!$C$7/(ABS(K198-L198)*1+2*K198*'参数'!$C$12)/IF(N(J198)&gt;0,J198,1),6))*IF(N(J198)&gt;0,J198,1)&gt;0,INT(ROUND('参数'!$C$7/(ABS(K198-L198)*1+2*K198*'参数'!$C$12)/IF(N(J198)&gt;0,J198,1),6))*IF(N(J198)&gt;0,J198,1),"预算不足，这笔不做")),"")</f>
        <v/>
      </c>
      <c r="P198" s="35" t="n"/>
      <c r="Q198" s="20" t="str">
        <f>IF(AND(ISNUMBER(K198),ISNUMBER(L198),ISNUMBER(P198)),IF(AND(K198&lt;&gt;L198,P198&gt;0),ABS(K198-L198)*P198*1,""),"")</f>
        <v/>
      </c>
      <c r="R198" s="20" t="str">
        <f>IF(AND(ISNUMBER(K198),ISNUMBER(P198)),K198*P198,"")</f>
        <v/>
      </c>
      <c r="S198" s="20" t="str">
        <f>IF(AND(D198="合约",ISNUMBER(R198),N(G198)&gt;0),R198/G198,"")</f>
        <v/>
      </c>
      <c r="T198" s="36" t="str">
        <f>IF(NOT(D198="合约"),"",IF(H198&lt;&gt;"逐仓","看平台",IF(AND(ISNUMBER(K198),N(G198)&gt;0),IF(F198="空",K198*(1+1/G198-IF(ISNUMBER(I198),I198,'参数'!$C$13)),K198*(1-1/G198+IF(ISNUMBER(I198),I198,'参数'!$C$13))),"")))</f>
        <v/>
      </c>
      <c r="U198" s="37" t="str">
        <f>IF(AND(ISNUMBER(T198),ISNUMBER(L198),ISNUMBER(K198)),IF(F198="空",T198-L198,L198-T198)/K198,"")</f>
        <v/>
      </c>
      <c r="V198" s="38" t="str">
        <f>IF(ISNUMBER(U198),IF(U198&lt;'参数'!$C$15,"先降杠杆或减量","在止损外"),"")</f>
        <v/>
      </c>
      <c r="W198" s="30" t="n"/>
      <c r="X198" s="31" t="n"/>
      <c r="Y198" s="39" t="str">
        <f>IF(N(AB198)&gt;0,SUMPRODUCT(LARGE(('成交明细'!$A$5:$A$804=A198)*('成交明细'!$D$5:$D$804=IF(F198="空","卖","买"))*'成交明细'!$B$5:$B$804,COUNTIFS('成交明细'!$A$5:$A$804,A198,'成交明细'!$D$5:$D$804,IF(F198="空","卖","买")))),"")</f>
        <v/>
      </c>
      <c r="Z198" s="39" t="str">
        <f>IF(AND(N(AB198)&gt;0,N(AD198)&gt;=N(AB198)),SUMPRODUCT(MAX(('成交明细'!$A$5:$A$804=A198)*('成交明细'!$D$5:$D$804=IF(F198="空","买","卖"))*'成交明细'!$B$5:$B$804)),"")</f>
        <v/>
      </c>
      <c r="AA198" s="40" t="str">
        <f>IF(N(AB198)=0,"",IF(SUMPRODUCT(('成交明细'!$A$5:$A$804=A198)*('成交明细'!$D$5:$D$804=IF(F198="空","卖","买"))*ISNUMBER('成交明细'!$C$5:$C$804))=0,"没填时间",IFERROR(VLOOKUP(MOD(SUMPRODUCT(LARGE(('成交明细'!$A$5:$A$804=A198)*('成交明细'!$D$5:$D$804=IF(F198="空","卖","买"))*('成交明细'!$B$5:$B$804+'成交明细'!$C$5:$C$804),COUNTIFS('成交明细'!$A$5:$A$804,A198,'成交明细'!$D$5:$D$804,IF(F198="空","卖","买")))),1),'参数'!$B$39:$C$48,2,TRUE),"")))</f>
        <v/>
      </c>
      <c r="AB198" s="34" t="str">
        <f>IF(A198="","",SUMIFS('成交明细'!$F$5:$F$804,'成交明细'!$A$5:$A$804,A198,'成交明细'!$D$5:$D$804,IF(F198="空","卖","买")))</f>
        <v/>
      </c>
      <c r="AC198" s="41" t="str">
        <f>IF(N(AB198)&gt;0,SUMIFS('成交明细'!$H$5:$H$804,'成交明细'!$A$5:$A$804,A198,'成交明细'!$D$5:$D$804,IF(F198="空","卖","买"))/AB198,"")</f>
        <v/>
      </c>
      <c r="AD198" s="34" t="str">
        <f>IF(A198="","",SUMIFS('成交明细'!$F$5:$F$804,'成交明细'!$A$5:$A$804,A198,'成交明细'!$D$5:$D$804,IF(F198="空","买","卖")))</f>
        <v/>
      </c>
      <c r="AE198" s="41" t="str">
        <f>IF(N(AD198)&gt;0,SUMIFS('成交明细'!$H$5:$H$804,'成交明细'!$A$5:$A$804,A198,'成交明细'!$D$5:$D$804,IF(F198="空","买","卖"))/AD198,"")</f>
        <v/>
      </c>
      <c r="AF198" s="38" t="str">
        <f>IF(A198="","",IF(X198&lt;&gt;"已执行",IF(X198="","未填执行情况",X198),IF(N(AB198)=0,"待录成交",IF(N(AD198)&gt;N(AB198),"平仓多于开仓",IF(N(AD198)&lt;N(AB198),"持仓中","已平仓")))))</f>
        <v/>
      </c>
      <c r="AG198" s="42" t="str">
        <f>IF(N(AB198)=0,"",SUMIFS('成交明细'!$L$5:$L$804,'成交明细'!$A$5:$A$804,A198))</f>
        <v/>
      </c>
      <c r="AH198" s="43" t="str">
        <f>IF(A198="","",SUMIFS('资金费流水'!$F$5:$F$604,'资金费流水'!$B$5:$B$604,A198))</f>
        <v/>
      </c>
      <c r="AI198" s="43" t="str">
        <f>IF(AF198&lt;&gt;"已平仓","",(SUMIFS('成交明细'!$H$5:$H$804,'成交明细'!$A$5:$A$804,A198,'成交明细'!$D$5:$D$804,"卖")-SUMIFS('成交明细'!$H$5:$H$804,'成交明细'!$A$5:$A$804,A198,'成交明细'!$D$5:$D$804,"买"))*1-AG198+N(AH198))</f>
        <v/>
      </c>
      <c r="AJ198" s="44" t="str">
        <f>IF(AND(AF198="已平仓",ISNUMBER(Q198)),(SUMIFS('成交明细'!$H$5:$H$804,'成交明细'!$A$5:$A$804,A198,'成交明细'!$D$5:$D$804,"卖")-SUMIFS('成交明细'!$H$5:$H$804,'成交明细'!$A$5:$A$804,A198,'成交明细'!$D$5:$D$804,"买"))*1/Q198,"")</f>
        <v/>
      </c>
      <c r="AK198" s="44" t="str">
        <f>IF(AND(AF198="已平仓",ISNUMBER(Q198)),AI198/Q198,"")</f>
        <v/>
      </c>
      <c r="AL198" s="45" t="str">
        <f>IF(AND(ISNUMBER(AC198),ISNUMBER(K198)),IF(F198="空",K198-AC198,AC198-K198),"")</f>
        <v/>
      </c>
      <c r="AM198" s="45" t="str">
        <f>IF(OR(NOT(ISNUMBER(AI198)),NOT(ISNUMBER(AE198))),"",IF(AI198&lt;0,IF(F198="空",AE198-L198,L198-AE198),IF(NOT(ISNUMBER(M198)),"",IF(F198="空",AE198-M198,M198-AE198))))</f>
        <v/>
      </c>
      <c r="AN198" s="31" t="n"/>
      <c r="AO198" s="31" t="n"/>
      <c r="AP198" s="30" t="n"/>
      <c r="AQ198" s="44" t="str">
        <f>IF(A198="","",SUM(AK$5:AK198))</f>
        <v/>
      </c>
      <c r="AR198" s="46" t="str">
        <f>IF(A198="","",MAX(0,MAX(AQ$5:AQ198))-AQ198)</f>
        <v/>
      </c>
    </row>
    <row r="199">
      <c r="A199" s="24" t="n"/>
      <c r="B199" s="29" t="n"/>
      <c r="C199" s="30" t="n"/>
      <c r="D199" s="31" t="n"/>
      <c r="E199" s="31" t="n"/>
      <c r="F199" s="31" t="n"/>
      <c r="G199" s="21" t="n"/>
      <c r="H199" s="31" t="n"/>
      <c r="I199" s="23" t="n"/>
      <c r="J199" s="31" t="n"/>
      <c r="K199" s="32" t="n"/>
      <c r="L199" s="32" t="n"/>
      <c r="M199" s="32" t="n"/>
      <c r="N199" s="33" t="str">
        <f>IF(AND(ISNUMBER(K199),ISNUMBER(L199),ISNUMBER(M199)),IF(OR(AND(F199="多",K199&gt;L199),AND(F199="空",K199&lt;L199)),ABS(M199-K199)/ABS(K199-L199),"止损方向不对"),"")</f>
        <v/>
      </c>
      <c r="O199" s="34" t="str">
        <f>IF(AND(ISNUMBER(K199),ISNUMBER(L199)),IF(K199=L199,"",IF(INT(ROUND('参数'!$C$7/(ABS(K199-L199)*1+2*K199*'参数'!$C$12)/IF(N(J199)&gt;0,J199,1),6))*IF(N(J199)&gt;0,J199,1)&gt;0,INT(ROUND('参数'!$C$7/(ABS(K199-L199)*1+2*K199*'参数'!$C$12)/IF(N(J199)&gt;0,J199,1),6))*IF(N(J199)&gt;0,J199,1),"预算不足，这笔不做")),"")</f>
        <v/>
      </c>
      <c r="P199" s="35" t="n"/>
      <c r="Q199" s="20" t="str">
        <f>IF(AND(ISNUMBER(K199),ISNUMBER(L199),ISNUMBER(P199)),IF(AND(K199&lt;&gt;L199,P199&gt;0),ABS(K199-L199)*P199*1,""),"")</f>
        <v/>
      </c>
      <c r="R199" s="20" t="str">
        <f>IF(AND(ISNUMBER(K199),ISNUMBER(P199)),K199*P199,"")</f>
        <v/>
      </c>
      <c r="S199" s="20" t="str">
        <f>IF(AND(D199="合约",ISNUMBER(R199),N(G199)&gt;0),R199/G199,"")</f>
        <v/>
      </c>
      <c r="T199" s="36" t="str">
        <f>IF(NOT(D199="合约"),"",IF(H199&lt;&gt;"逐仓","看平台",IF(AND(ISNUMBER(K199),N(G199)&gt;0),IF(F199="空",K199*(1+1/G199-IF(ISNUMBER(I199),I199,'参数'!$C$13)),K199*(1-1/G199+IF(ISNUMBER(I199),I199,'参数'!$C$13))),"")))</f>
        <v/>
      </c>
      <c r="U199" s="37" t="str">
        <f>IF(AND(ISNUMBER(T199),ISNUMBER(L199),ISNUMBER(K199)),IF(F199="空",T199-L199,L199-T199)/K199,"")</f>
        <v/>
      </c>
      <c r="V199" s="38" t="str">
        <f>IF(ISNUMBER(U199),IF(U199&lt;'参数'!$C$15,"先降杠杆或减量","在止损外"),"")</f>
        <v/>
      </c>
      <c r="W199" s="30" t="n"/>
      <c r="X199" s="31" t="n"/>
      <c r="Y199" s="39" t="str">
        <f>IF(N(AB199)&gt;0,SUMPRODUCT(LARGE(('成交明细'!$A$5:$A$804=A199)*('成交明细'!$D$5:$D$804=IF(F199="空","卖","买"))*'成交明细'!$B$5:$B$804,COUNTIFS('成交明细'!$A$5:$A$804,A199,'成交明细'!$D$5:$D$804,IF(F199="空","卖","买")))),"")</f>
        <v/>
      </c>
      <c r="Z199" s="39" t="str">
        <f>IF(AND(N(AB199)&gt;0,N(AD199)&gt;=N(AB199)),SUMPRODUCT(MAX(('成交明细'!$A$5:$A$804=A199)*('成交明细'!$D$5:$D$804=IF(F199="空","买","卖"))*'成交明细'!$B$5:$B$804)),"")</f>
        <v/>
      </c>
      <c r="AA199" s="40" t="str">
        <f>IF(N(AB199)=0,"",IF(SUMPRODUCT(('成交明细'!$A$5:$A$804=A199)*('成交明细'!$D$5:$D$804=IF(F199="空","卖","买"))*ISNUMBER('成交明细'!$C$5:$C$804))=0,"没填时间",IFERROR(VLOOKUP(MOD(SUMPRODUCT(LARGE(('成交明细'!$A$5:$A$804=A199)*('成交明细'!$D$5:$D$804=IF(F199="空","卖","买"))*('成交明细'!$B$5:$B$804+'成交明细'!$C$5:$C$804),COUNTIFS('成交明细'!$A$5:$A$804,A199,'成交明细'!$D$5:$D$804,IF(F199="空","卖","买")))),1),'参数'!$B$39:$C$48,2,TRUE),"")))</f>
        <v/>
      </c>
      <c r="AB199" s="34" t="str">
        <f>IF(A199="","",SUMIFS('成交明细'!$F$5:$F$804,'成交明细'!$A$5:$A$804,A199,'成交明细'!$D$5:$D$804,IF(F199="空","卖","买")))</f>
        <v/>
      </c>
      <c r="AC199" s="41" t="str">
        <f>IF(N(AB199)&gt;0,SUMIFS('成交明细'!$H$5:$H$804,'成交明细'!$A$5:$A$804,A199,'成交明细'!$D$5:$D$804,IF(F199="空","卖","买"))/AB199,"")</f>
        <v/>
      </c>
      <c r="AD199" s="34" t="str">
        <f>IF(A199="","",SUMIFS('成交明细'!$F$5:$F$804,'成交明细'!$A$5:$A$804,A199,'成交明细'!$D$5:$D$804,IF(F199="空","买","卖")))</f>
        <v/>
      </c>
      <c r="AE199" s="41" t="str">
        <f>IF(N(AD199)&gt;0,SUMIFS('成交明细'!$H$5:$H$804,'成交明细'!$A$5:$A$804,A199,'成交明细'!$D$5:$D$804,IF(F199="空","买","卖"))/AD199,"")</f>
        <v/>
      </c>
      <c r="AF199" s="38" t="str">
        <f>IF(A199="","",IF(X199&lt;&gt;"已执行",IF(X199="","未填执行情况",X199),IF(N(AB199)=0,"待录成交",IF(N(AD199)&gt;N(AB199),"平仓多于开仓",IF(N(AD199)&lt;N(AB199),"持仓中","已平仓")))))</f>
        <v/>
      </c>
      <c r="AG199" s="42" t="str">
        <f>IF(N(AB199)=0,"",SUMIFS('成交明细'!$L$5:$L$804,'成交明细'!$A$5:$A$804,A199))</f>
        <v/>
      </c>
      <c r="AH199" s="43" t="str">
        <f>IF(A199="","",SUMIFS('资金费流水'!$F$5:$F$604,'资金费流水'!$B$5:$B$604,A199))</f>
        <v/>
      </c>
      <c r="AI199" s="43" t="str">
        <f>IF(AF199&lt;&gt;"已平仓","",(SUMIFS('成交明细'!$H$5:$H$804,'成交明细'!$A$5:$A$804,A199,'成交明细'!$D$5:$D$804,"卖")-SUMIFS('成交明细'!$H$5:$H$804,'成交明细'!$A$5:$A$804,A199,'成交明细'!$D$5:$D$804,"买"))*1-AG199+N(AH199))</f>
        <v/>
      </c>
      <c r="AJ199" s="44" t="str">
        <f>IF(AND(AF199="已平仓",ISNUMBER(Q199)),(SUMIFS('成交明细'!$H$5:$H$804,'成交明细'!$A$5:$A$804,A199,'成交明细'!$D$5:$D$804,"卖")-SUMIFS('成交明细'!$H$5:$H$804,'成交明细'!$A$5:$A$804,A199,'成交明细'!$D$5:$D$804,"买"))*1/Q199,"")</f>
        <v/>
      </c>
      <c r="AK199" s="44" t="str">
        <f>IF(AND(AF199="已平仓",ISNUMBER(Q199)),AI199/Q199,"")</f>
        <v/>
      </c>
      <c r="AL199" s="45" t="str">
        <f>IF(AND(ISNUMBER(AC199),ISNUMBER(K199)),IF(F199="空",K199-AC199,AC199-K199),"")</f>
        <v/>
      </c>
      <c r="AM199" s="45" t="str">
        <f>IF(OR(NOT(ISNUMBER(AI199)),NOT(ISNUMBER(AE199))),"",IF(AI199&lt;0,IF(F199="空",AE199-L199,L199-AE199),IF(NOT(ISNUMBER(M199)),"",IF(F199="空",AE199-M199,M199-AE199))))</f>
        <v/>
      </c>
      <c r="AN199" s="31" t="n"/>
      <c r="AO199" s="31" t="n"/>
      <c r="AP199" s="30" t="n"/>
      <c r="AQ199" s="44" t="str">
        <f>IF(A199="","",SUM(AK$5:AK199))</f>
        <v/>
      </c>
      <c r="AR199" s="46" t="str">
        <f>IF(A199="","",MAX(0,MAX(AQ$5:AQ199))-AQ199)</f>
        <v/>
      </c>
    </row>
    <row r="200">
      <c r="A200" s="24" t="n"/>
      <c r="B200" s="29" t="n"/>
      <c r="C200" s="30" t="n"/>
      <c r="D200" s="31" t="n"/>
      <c r="E200" s="31" t="n"/>
      <c r="F200" s="31" t="n"/>
      <c r="G200" s="21" t="n"/>
      <c r="H200" s="31" t="n"/>
      <c r="I200" s="23" t="n"/>
      <c r="J200" s="31" t="n"/>
      <c r="K200" s="32" t="n"/>
      <c r="L200" s="32" t="n"/>
      <c r="M200" s="32" t="n"/>
      <c r="N200" s="33" t="str">
        <f>IF(AND(ISNUMBER(K200),ISNUMBER(L200),ISNUMBER(M200)),IF(OR(AND(F200="多",K200&gt;L200),AND(F200="空",K200&lt;L200)),ABS(M200-K200)/ABS(K200-L200),"止损方向不对"),"")</f>
        <v/>
      </c>
      <c r="O200" s="34" t="str">
        <f>IF(AND(ISNUMBER(K200),ISNUMBER(L200)),IF(K200=L200,"",IF(INT(ROUND('参数'!$C$7/(ABS(K200-L200)*1+2*K200*'参数'!$C$12)/IF(N(J200)&gt;0,J200,1),6))*IF(N(J200)&gt;0,J200,1)&gt;0,INT(ROUND('参数'!$C$7/(ABS(K200-L200)*1+2*K200*'参数'!$C$12)/IF(N(J200)&gt;0,J200,1),6))*IF(N(J200)&gt;0,J200,1),"预算不足，这笔不做")),"")</f>
        <v/>
      </c>
      <c r="P200" s="35" t="n"/>
      <c r="Q200" s="20" t="str">
        <f>IF(AND(ISNUMBER(K200),ISNUMBER(L200),ISNUMBER(P200)),IF(AND(K200&lt;&gt;L200,P200&gt;0),ABS(K200-L200)*P200*1,""),"")</f>
        <v/>
      </c>
      <c r="R200" s="20" t="str">
        <f>IF(AND(ISNUMBER(K200),ISNUMBER(P200)),K200*P200,"")</f>
        <v/>
      </c>
      <c r="S200" s="20" t="str">
        <f>IF(AND(D200="合约",ISNUMBER(R200),N(G200)&gt;0),R200/G200,"")</f>
        <v/>
      </c>
      <c r="T200" s="36" t="str">
        <f>IF(NOT(D200="合约"),"",IF(H200&lt;&gt;"逐仓","看平台",IF(AND(ISNUMBER(K200),N(G200)&gt;0),IF(F200="空",K200*(1+1/G200-IF(ISNUMBER(I200),I200,'参数'!$C$13)),K200*(1-1/G200+IF(ISNUMBER(I200),I200,'参数'!$C$13))),"")))</f>
        <v/>
      </c>
      <c r="U200" s="37" t="str">
        <f>IF(AND(ISNUMBER(T200),ISNUMBER(L200),ISNUMBER(K200)),IF(F200="空",T200-L200,L200-T200)/K200,"")</f>
        <v/>
      </c>
      <c r="V200" s="38" t="str">
        <f>IF(ISNUMBER(U200),IF(U200&lt;'参数'!$C$15,"先降杠杆或减量","在止损外"),"")</f>
        <v/>
      </c>
      <c r="W200" s="30" t="n"/>
      <c r="X200" s="31" t="n"/>
      <c r="Y200" s="39" t="str">
        <f>IF(N(AB200)&gt;0,SUMPRODUCT(LARGE(('成交明细'!$A$5:$A$804=A200)*('成交明细'!$D$5:$D$804=IF(F200="空","卖","买"))*'成交明细'!$B$5:$B$804,COUNTIFS('成交明细'!$A$5:$A$804,A200,'成交明细'!$D$5:$D$804,IF(F200="空","卖","买")))),"")</f>
        <v/>
      </c>
      <c r="Z200" s="39" t="str">
        <f>IF(AND(N(AB200)&gt;0,N(AD200)&gt;=N(AB200)),SUMPRODUCT(MAX(('成交明细'!$A$5:$A$804=A200)*('成交明细'!$D$5:$D$804=IF(F200="空","买","卖"))*'成交明细'!$B$5:$B$804)),"")</f>
        <v/>
      </c>
      <c r="AA200" s="40" t="str">
        <f>IF(N(AB200)=0,"",IF(SUMPRODUCT(('成交明细'!$A$5:$A$804=A200)*('成交明细'!$D$5:$D$804=IF(F200="空","卖","买"))*ISNUMBER('成交明细'!$C$5:$C$804))=0,"没填时间",IFERROR(VLOOKUP(MOD(SUMPRODUCT(LARGE(('成交明细'!$A$5:$A$804=A200)*('成交明细'!$D$5:$D$804=IF(F200="空","卖","买"))*('成交明细'!$B$5:$B$804+'成交明细'!$C$5:$C$804),COUNTIFS('成交明细'!$A$5:$A$804,A200,'成交明细'!$D$5:$D$804,IF(F200="空","卖","买")))),1),'参数'!$B$39:$C$48,2,TRUE),"")))</f>
        <v/>
      </c>
      <c r="AB200" s="34" t="str">
        <f>IF(A200="","",SUMIFS('成交明细'!$F$5:$F$804,'成交明细'!$A$5:$A$804,A200,'成交明细'!$D$5:$D$804,IF(F200="空","卖","买")))</f>
        <v/>
      </c>
      <c r="AC200" s="41" t="str">
        <f>IF(N(AB200)&gt;0,SUMIFS('成交明细'!$H$5:$H$804,'成交明细'!$A$5:$A$804,A200,'成交明细'!$D$5:$D$804,IF(F200="空","卖","买"))/AB200,"")</f>
        <v/>
      </c>
      <c r="AD200" s="34" t="str">
        <f>IF(A200="","",SUMIFS('成交明细'!$F$5:$F$804,'成交明细'!$A$5:$A$804,A200,'成交明细'!$D$5:$D$804,IF(F200="空","买","卖")))</f>
        <v/>
      </c>
      <c r="AE200" s="41" t="str">
        <f>IF(N(AD200)&gt;0,SUMIFS('成交明细'!$H$5:$H$804,'成交明细'!$A$5:$A$804,A200,'成交明细'!$D$5:$D$804,IF(F200="空","买","卖"))/AD200,"")</f>
        <v/>
      </c>
      <c r="AF200" s="38" t="str">
        <f>IF(A200="","",IF(X200&lt;&gt;"已执行",IF(X200="","未填执行情况",X200),IF(N(AB200)=0,"待录成交",IF(N(AD200)&gt;N(AB200),"平仓多于开仓",IF(N(AD200)&lt;N(AB200),"持仓中","已平仓")))))</f>
        <v/>
      </c>
      <c r="AG200" s="42" t="str">
        <f>IF(N(AB200)=0,"",SUMIFS('成交明细'!$L$5:$L$804,'成交明细'!$A$5:$A$804,A200))</f>
        <v/>
      </c>
      <c r="AH200" s="43" t="str">
        <f>IF(A200="","",SUMIFS('资金费流水'!$F$5:$F$604,'资金费流水'!$B$5:$B$604,A200))</f>
        <v/>
      </c>
      <c r="AI200" s="43" t="str">
        <f>IF(AF200&lt;&gt;"已平仓","",(SUMIFS('成交明细'!$H$5:$H$804,'成交明细'!$A$5:$A$804,A200,'成交明细'!$D$5:$D$804,"卖")-SUMIFS('成交明细'!$H$5:$H$804,'成交明细'!$A$5:$A$804,A200,'成交明细'!$D$5:$D$804,"买"))*1-AG200+N(AH200))</f>
        <v/>
      </c>
      <c r="AJ200" s="44" t="str">
        <f>IF(AND(AF200="已平仓",ISNUMBER(Q200)),(SUMIFS('成交明细'!$H$5:$H$804,'成交明细'!$A$5:$A$804,A200,'成交明细'!$D$5:$D$804,"卖")-SUMIFS('成交明细'!$H$5:$H$804,'成交明细'!$A$5:$A$804,A200,'成交明细'!$D$5:$D$804,"买"))*1/Q200,"")</f>
        <v/>
      </c>
      <c r="AK200" s="44" t="str">
        <f>IF(AND(AF200="已平仓",ISNUMBER(Q200)),AI200/Q200,"")</f>
        <v/>
      </c>
      <c r="AL200" s="45" t="str">
        <f>IF(AND(ISNUMBER(AC200),ISNUMBER(K200)),IF(F200="空",K200-AC200,AC200-K200),"")</f>
        <v/>
      </c>
      <c r="AM200" s="45" t="str">
        <f>IF(OR(NOT(ISNUMBER(AI200)),NOT(ISNUMBER(AE200))),"",IF(AI200&lt;0,IF(F200="空",AE200-L200,L200-AE200),IF(NOT(ISNUMBER(M200)),"",IF(F200="空",AE200-M200,M200-AE200))))</f>
        <v/>
      </c>
      <c r="AN200" s="31" t="n"/>
      <c r="AO200" s="31" t="n"/>
      <c r="AP200" s="30" t="n"/>
      <c r="AQ200" s="44" t="str">
        <f>IF(A200="","",SUM(AK$5:AK200))</f>
        <v/>
      </c>
      <c r="AR200" s="46" t="str">
        <f>IF(A200="","",MAX(0,MAX(AQ$5:AQ200))-AQ200)</f>
        <v/>
      </c>
    </row>
    <row r="201">
      <c r="A201" s="24" t="n"/>
      <c r="B201" s="29" t="n"/>
      <c r="C201" s="30" t="n"/>
      <c r="D201" s="31" t="n"/>
      <c r="E201" s="31" t="n"/>
      <c r="F201" s="31" t="n"/>
      <c r="G201" s="21" t="n"/>
      <c r="H201" s="31" t="n"/>
      <c r="I201" s="23" t="n"/>
      <c r="J201" s="31" t="n"/>
      <c r="K201" s="32" t="n"/>
      <c r="L201" s="32" t="n"/>
      <c r="M201" s="32" t="n"/>
      <c r="N201" s="33" t="str">
        <f>IF(AND(ISNUMBER(K201),ISNUMBER(L201),ISNUMBER(M201)),IF(OR(AND(F201="多",K201&gt;L201),AND(F201="空",K201&lt;L201)),ABS(M201-K201)/ABS(K201-L201),"止损方向不对"),"")</f>
        <v/>
      </c>
      <c r="O201" s="34" t="str">
        <f>IF(AND(ISNUMBER(K201),ISNUMBER(L201)),IF(K201=L201,"",IF(INT(ROUND('参数'!$C$7/(ABS(K201-L201)*1+2*K201*'参数'!$C$12)/IF(N(J201)&gt;0,J201,1),6))*IF(N(J201)&gt;0,J201,1)&gt;0,INT(ROUND('参数'!$C$7/(ABS(K201-L201)*1+2*K201*'参数'!$C$12)/IF(N(J201)&gt;0,J201,1),6))*IF(N(J201)&gt;0,J201,1),"预算不足，这笔不做")),"")</f>
        <v/>
      </c>
      <c r="P201" s="35" t="n"/>
      <c r="Q201" s="20" t="str">
        <f>IF(AND(ISNUMBER(K201),ISNUMBER(L201),ISNUMBER(P201)),IF(AND(K201&lt;&gt;L201,P201&gt;0),ABS(K201-L201)*P201*1,""),"")</f>
        <v/>
      </c>
      <c r="R201" s="20" t="str">
        <f>IF(AND(ISNUMBER(K201),ISNUMBER(P201)),K201*P201,"")</f>
        <v/>
      </c>
      <c r="S201" s="20" t="str">
        <f>IF(AND(D201="合约",ISNUMBER(R201),N(G201)&gt;0),R201/G201,"")</f>
        <v/>
      </c>
      <c r="T201" s="36" t="str">
        <f>IF(NOT(D201="合约"),"",IF(H201&lt;&gt;"逐仓","看平台",IF(AND(ISNUMBER(K201),N(G201)&gt;0),IF(F201="空",K201*(1+1/G201-IF(ISNUMBER(I201),I201,'参数'!$C$13)),K201*(1-1/G201+IF(ISNUMBER(I201),I201,'参数'!$C$13))),"")))</f>
        <v/>
      </c>
      <c r="U201" s="37" t="str">
        <f>IF(AND(ISNUMBER(T201),ISNUMBER(L201),ISNUMBER(K201)),IF(F201="空",T201-L201,L201-T201)/K201,"")</f>
        <v/>
      </c>
      <c r="V201" s="38" t="str">
        <f>IF(ISNUMBER(U201),IF(U201&lt;'参数'!$C$15,"先降杠杆或减量","在止损外"),"")</f>
        <v/>
      </c>
      <c r="W201" s="30" t="n"/>
      <c r="X201" s="31" t="n"/>
      <c r="Y201" s="39" t="str">
        <f>IF(N(AB201)&gt;0,SUMPRODUCT(LARGE(('成交明细'!$A$5:$A$804=A201)*('成交明细'!$D$5:$D$804=IF(F201="空","卖","买"))*'成交明细'!$B$5:$B$804,COUNTIFS('成交明细'!$A$5:$A$804,A201,'成交明细'!$D$5:$D$804,IF(F201="空","卖","买")))),"")</f>
        <v/>
      </c>
      <c r="Z201" s="39" t="str">
        <f>IF(AND(N(AB201)&gt;0,N(AD201)&gt;=N(AB201)),SUMPRODUCT(MAX(('成交明细'!$A$5:$A$804=A201)*('成交明细'!$D$5:$D$804=IF(F201="空","买","卖"))*'成交明细'!$B$5:$B$804)),"")</f>
        <v/>
      </c>
      <c r="AA201" s="40" t="str">
        <f>IF(N(AB201)=0,"",IF(SUMPRODUCT(('成交明细'!$A$5:$A$804=A201)*('成交明细'!$D$5:$D$804=IF(F201="空","卖","买"))*ISNUMBER('成交明细'!$C$5:$C$804))=0,"没填时间",IFERROR(VLOOKUP(MOD(SUMPRODUCT(LARGE(('成交明细'!$A$5:$A$804=A201)*('成交明细'!$D$5:$D$804=IF(F201="空","卖","买"))*('成交明细'!$B$5:$B$804+'成交明细'!$C$5:$C$804),COUNTIFS('成交明细'!$A$5:$A$804,A201,'成交明细'!$D$5:$D$804,IF(F201="空","卖","买")))),1),'参数'!$B$39:$C$48,2,TRUE),"")))</f>
        <v/>
      </c>
      <c r="AB201" s="34" t="str">
        <f>IF(A201="","",SUMIFS('成交明细'!$F$5:$F$804,'成交明细'!$A$5:$A$804,A201,'成交明细'!$D$5:$D$804,IF(F201="空","卖","买")))</f>
        <v/>
      </c>
      <c r="AC201" s="41" t="str">
        <f>IF(N(AB201)&gt;0,SUMIFS('成交明细'!$H$5:$H$804,'成交明细'!$A$5:$A$804,A201,'成交明细'!$D$5:$D$804,IF(F201="空","卖","买"))/AB201,"")</f>
        <v/>
      </c>
      <c r="AD201" s="34" t="str">
        <f>IF(A201="","",SUMIFS('成交明细'!$F$5:$F$804,'成交明细'!$A$5:$A$804,A201,'成交明细'!$D$5:$D$804,IF(F201="空","买","卖")))</f>
        <v/>
      </c>
      <c r="AE201" s="41" t="str">
        <f>IF(N(AD201)&gt;0,SUMIFS('成交明细'!$H$5:$H$804,'成交明细'!$A$5:$A$804,A201,'成交明细'!$D$5:$D$804,IF(F201="空","买","卖"))/AD201,"")</f>
        <v/>
      </c>
      <c r="AF201" s="38" t="str">
        <f>IF(A201="","",IF(X201&lt;&gt;"已执行",IF(X201="","未填执行情况",X201),IF(N(AB201)=0,"待录成交",IF(N(AD201)&gt;N(AB201),"平仓多于开仓",IF(N(AD201)&lt;N(AB201),"持仓中","已平仓")))))</f>
        <v/>
      </c>
      <c r="AG201" s="42" t="str">
        <f>IF(N(AB201)=0,"",SUMIFS('成交明细'!$L$5:$L$804,'成交明细'!$A$5:$A$804,A201))</f>
        <v/>
      </c>
      <c r="AH201" s="43" t="str">
        <f>IF(A201="","",SUMIFS('资金费流水'!$F$5:$F$604,'资金费流水'!$B$5:$B$604,A201))</f>
        <v/>
      </c>
      <c r="AI201" s="43" t="str">
        <f>IF(AF201&lt;&gt;"已平仓","",(SUMIFS('成交明细'!$H$5:$H$804,'成交明细'!$A$5:$A$804,A201,'成交明细'!$D$5:$D$804,"卖")-SUMIFS('成交明细'!$H$5:$H$804,'成交明细'!$A$5:$A$804,A201,'成交明细'!$D$5:$D$804,"买"))*1-AG201+N(AH201))</f>
        <v/>
      </c>
      <c r="AJ201" s="44" t="str">
        <f>IF(AND(AF201="已平仓",ISNUMBER(Q201)),(SUMIFS('成交明细'!$H$5:$H$804,'成交明细'!$A$5:$A$804,A201,'成交明细'!$D$5:$D$804,"卖")-SUMIFS('成交明细'!$H$5:$H$804,'成交明细'!$A$5:$A$804,A201,'成交明细'!$D$5:$D$804,"买"))*1/Q201,"")</f>
        <v/>
      </c>
      <c r="AK201" s="44" t="str">
        <f>IF(AND(AF201="已平仓",ISNUMBER(Q201)),AI201/Q201,"")</f>
        <v/>
      </c>
      <c r="AL201" s="45" t="str">
        <f>IF(AND(ISNUMBER(AC201),ISNUMBER(K201)),IF(F201="空",K201-AC201,AC201-K201),"")</f>
        <v/>
      </c>
      <c r="AM201" s="45" t="str">
        <f>IF(OR(NOT(ISNUMBER(AI201)),NOT(ISNUMBER(AE201))),"",IF(AI201&lt;0,IF(F201="空",AE201-L201,L201-AE201),IF(NOT(ISNUMBER(M201)),"",IF(F201="空",AE201-M201,M201-AE201))))</f>
        <v/>
      </c>
      <c r="AN201" s="31" t="n"/>
      <c r="AO201" s="31" t="n"/>
      <c r="AP201" s="30" t="n"/>
      <c r="AQ201" s="44" t="str">
        <f>IF(A201="","",SUM(AK$5:AK201))</f>
        <v/>
      </c>
      <c r="AR201" s="46" t="str">
        <f>IF(A201="","",MAX(0,MAX(AQ$5:AQ201))-AQ201)</f>
        <v/>
      </c>
    </row>
    <row r="202">
      <c r="A202" s="24" t="n"/>
      <c r="B202" s="29" t="n"/>
      <c r="C202" s="30" t="n"/>
      <c r="D202" s="31" t="n"/>
      <c r="E202" s="31" t="n"/>
      <c r="F202" s="31" t="n"/>
      <c r="G202" s="21" t="n"/>
      <c r="H202" s="31" t="n"/>
      <c r="I202" s="23" t="n"/>
      <c r="J202" s="31" t="n"/>
      <c r="K202" s="32" t="n"/>
      <c r="L202" s="32" t="n"/>
      <c r="M202" s="32" t="n"/>
      <c r="N202" s="33" t="str">
        <f>IF(AND(ISNUMBER(K202),ISNUMBER(L202),ISNUMBER(M202)),IF(OR(AND(F202="多",K202&gt;L202),AND(F202="空",K202&lt;L202)),ABS(M202-K202)/ABS(K202-L202),"止损方向不对"),"")</f>
        <v/>
      </c>
      <c r="O202" s="34" t="str">
        <f>IF(AND(ISNUMBER(K202),ISNUMBER(L202)),IF(K202=L202,"",IF(INT(ROUND('参数'!$C$7/(ABS(K202-L202)*1+2*K202*'参数'!$C$12)/IF(N(J202)&gt;0,J202,1),6))*IF(N(J202)&gt;0,J202,1)&gt;0,INT(ROUND('参数'!$C$7/(ABS(K202-L202)*1+2*K202*'参数'!$C$12)/IF(N(J202)&gt;0,J202,1),6))*IF(N(J202)&gt;0,J202,1),"预算不足，这笔不做")),"")</f>
        <v/>
      </c>
      <c r="P202" s="35" t="n"/>
      <c r="Q202" s="20" t="str">
        <f>IF(AND(ISNUMBER(K202),ISNUMBER(L202),ISNUMBER(P202)),IF(AND(K202&lt;&gt;L202,P202&gt;0),ABS(K202-L202)*P202*1,""),"")</f>
        <v/>
      </c>
      <c r="R202" s="20" t="str">
        <f>IF(AND(ISNUMBER(K202),ISNUMBER(P202)),K202*P202,"")</f>
        <v/>
      </c>
      <c r="S202" s="20" t="str">
        <f>IF(AND(D202="合约",ISNUMBER(R202),N(G202)&gt;0),R202/G202,"")</f>
        <v/>
      </c>
      <c r="T202" s="36" t="str">
        <f>IF(NOT(D202="合约"),"",IF(H202&lt;&gt;"逐仓","看平台",IF(AND(ISNUMBER(K202),N(G202)&gt;0),IF(F202="空",K202*(1+1/G202-IF(ISNUMBER(I202),I202,'参数'!$C$13)),K202*(1-1/G202+IF(ISNUMBER(I202),I202,'参数'!$C$13))),"")))</f>
        <v/>
      </c>
      <c r="U202" s="37" t="str">
        <f>IF(AND(ISNUMBER(T202),ISNUMBER(L202),ISNUMBER(K202)),IF(F202="空",T202-L202,L202-T202)/K202,"")</f>
        <v/>
      </c>
      <c r="V202" s="38" t="str">
        <f>IF(ISNUMBER(U202),IF(U202&lt;'参数'!$C$15,"先降杠杆或减量","在止损外"),"")</f>
        <v/>
      </c>
      <c r="W202" s="30" t="n"/>
      <c r="X202" s="31" t="n"/>
      <c r="Y202" s="39" t="str">
        <f>IF(N(AB202)&gt;0,SUMPRODUCT(LARGE(('成交明细'!$A$5:$A$804=A202)*('成交明细'!$D$5:$D$804=IF(F202="空","卖","买"))*'成交明细'!$B$5:$B$804,COUNTIFS('成交明细'!$A$5:$A$804,A202,'成交明细'!$D$5:$D$804,IF(F202="空","卖","买")))),"")</f>
        <v/>
      </c>
      <c r="Z202" s="39" t="str">
        <f>IF(AND(N(AB202)&gt;0,N(AD202)&gt;=N(AB202)),SUMPRODUCT(MAX(('成交明细'!$A$5:$A$804=A202)*('成交明细'!$D$5:$D$804=IF(F202="空","买","卖"))*'成交明细'!$B$5:$B$804)),"")</f>
        <v/>
      </c>
      <c r="AA202" s="40" t="str">
        <f>IF(N(AB202)=0,"",IF(SUMPRODUCT(('成交明细'!$A$5:$A$804=A202)*('成交明细'!$D$5:$D$804=IF(F202="空","卖","买"))*ISNUMBER('成交明细'!$C$5:$C$804))=0,"没填时间",IFERROR(VLOOKUP(MOD(SUMPRODUCT(LARGE(('成交明细'!$A$5:$A$804=A202)*('成交明细'!$D$5:$D$804=IF(F202="空","卖","买"))*('成交明细'!$B$5:$B$804+'成交明细'!$C$5:$C$804),COUNTIFS('成交明细'!$A$5:$A$804,A202,'成交明细'!$D$5:$D$804,IF(F202="空","卖","买")))),1),'参数'!$B$39:$C$48,2,TRUE),"")))</f>
        <v/>
      </c>
      <c r="AB202" s="34" t="str">
        <f>IF(A202="","",SUMIFS('成交明细'!$F$5:$F$804,'成交明细'!$A$5:$A$804,A202,'成交明细'!$D$5:$D$804,IF(F202="空","卖","买")))</f>
        <v/>
      </c>
      <c r="AC202" s="41" t="str">
        <f>IF(N(AB202)&gt;0,SUMIFS('成交明细'!$H$5:$H$804,'成交明细'!$A$5:$A$804,A202,'成交明细'!$D$5:$D$804,IF(F202="空","卖","买"))/AB202,"")</f>
        <v/>
      </c>
      <c r="AD202" s="34" t="str">
        <f>IF(A202="","",SUMIFS('成交明细'!$F$5:$F$804,'成交明细'!$A$5:$A$804,A202,'成交明细'!$D$5:$D$804,IF(F202="空","买","卖")))</f>
        <v/>
      </c>
      <c r="AE202" s="41" t="str">
        <f>IF(N(AD202)&gt;0,SUMIFS('成交明细'!$H$5:$H$804,'成交明细'!$A$5:$A$804,A202,'成交明细'!$D$5:$D$804,IF(F202="空","买","卖"))/AD202,"")</f>
        <v/>
      </c>
      <c r="AF202" s="38" t="str">
        <f>IF(A202="","",IF(X202&lt;&gt;"已执行",IF(X202="","未填执行情况",X202),IF(N(AB202)=0,"待录成交",IF(N(AD202)&gt;N(AB202),"平仓多于开仓",IF(N(AD202)&lt;N(AB202),"持仓中","已平仓")))))</f>
        <v/>
      </c>
      <c r="AG202" s="42" t="str">
        <f>IF(N(AB202)=0,"",SUMIFS('成交明细'!$L$5:$L$804,'成交明细'!$A$5:$A$804,A202))</f>
        <v/>
      </c>
      <c r="AH202" s="43" t="str">
        <f>IF(A202="","",SUMIFS('资金费流水'!$F$5:$F$604,'资金费流水'!$B$5:$B$604,A202))</f>
        <v/>
      </c>
      <c r="AI202" s="43" t="str">
        <f>IF(AF202&lt;&gt;"已平仓","",(SUMIFS('成交明细'!$H$5:$H$804,'成交明细'!$A$5:$A$804,A202,'成交明细'!$D$5:$D$804,"卖")-SUMIFS('成交明细'!$H$5:$H$804,'成交明细'!$A$5:$A$804,A202,'成交明细'!$D$5:$D$804,"买"))*1-AG202+N(AH202))</f>
        <v/>
      </c>
      <c r="AJ202" s="44" t="str">
        <f>IF(AND(AF202="已平仓",ISNUMBER(Q202)),(SUMIFS('成交明细'!$H$5:$H$804,'成交明细'!$A$5:$A$804,A202,'成交明细'!$D$5:$D$804,"卖")-SUMIFS('成交明细'!$H$5:$H$804,'成交明细'!$A$5:$A$804,A202,'成交明细'!$D$5:$D$804,"买"))*1/Q202,"")</f>
        <v/>
      </c>
      <c r="AK202" s="44" t="str">
        <f>IF(AND(AF202="已平仓",ISNUMBER(Q202)),AI202/Q202,"")</f>
        <v/>
      </c>
      <c r="AL202" s="45" t="str">
        <f>IF(AND(ISNUMBER(AC202),ISNUMBER(K202)),IF(F202="空",K202-AC202,AC202-K202),"")</f>
        <v/>
      </c>
      <c r="AM202" s="45" t="str">
        <f>IF(OR(NOT(ISNUMBER(AI202)),NOT(ISNUMBER(AE202))),"",IF(AI202&lt;0,IF(F202="空",AE202-L202,L202-AE202),IF(NOT(ISNUMBER(M202)),"",IF(F202="空",AE202-M202,M202-AE202))))</f>
        <v/>
      </c>
      <c r="AN202" s="31" t="n"/>
      <c r="AO202" s="31" t="n"/>
      <c r="AP202" s="30" t="n"/>
      <c r="AQ202" s="44" t="str">
        <f>IF(A202="","",SUM(AK$5:AK202))</f>
        <v/>
      </c>
      <c r="AR202" s="46" t="str">
        <f>IF(A202="","",MAX(0,MAX(AQ$5:AQ202))-AQ202)</f>
        <v/>
      </c>
    </row>
    <row r="203">
      <c r="A203" s="24" t="n"/>
      <c r="B203" s="29" t="n"/>
      <c r="C203" s="30" t="n"/>
      <c r="D203" s="31" t="n"/>
      <c r="E203" s="31" t="n"/>
      <c r="F203" s="31" t="n"/>
      <c r="G203" s="21" t="n"/>
      <c r="H203" s="31" t="n"/>
      <c r="I203" s="23" t="n"/>
      <c r="J203" s="31" t="n"/>
      <c r="K203" s="32" t="n"/>
      <c r="L203" s="32" t="n"/>
      <c r="M203" s="32" t="n"/>
      <c r="N203" s="33" t="str">
        <f>IF(AND(ISNUMBER(K203),ISNUMBER(L203),ISNUMBER(M203)),IF(OR(AND(F203="多",K203&gt;L203),AND(F203="空",K203&lt;L203)),ABS(M203-K203)/ABS(K203-L203),"止损方向不对"),"")</f>
        <v/>
      </c>
      <c r="O203" s="34" t="str">
        <f>IF(AND(ISNUMBER(K203),ISNUMBER(L203)),IF(K203=L203,"",IF(INT(ROUND('参数'!$C$7/(ABS(K203-L203)*1+2*K203*'参数'!$C$12)/IF(N(J203)&gt;0,J203,1),6))*IF(N(J203)&gt;0,J203,1)&gt;0,INT(ROUND('参数'!$C$7/(ABS(K203-L203)*1+2*K203*'参数'!$C$12)/IF(N(J203)&gt;0,J203,1),6))*IF(N(J203)&gt;0,J203,1),"预算不足，这笔不做")),"")</f>
        <v/>
      </c>
      <c r="P203" s="35" t="n"/>
      <c r="Q203" s="20" t="str">
        <f>IF(AND(ISNUMBER(K203),ISNUMBER(L203),ISNUMBER(P203)),IF(AND(K203&lt;&gt;L203,P203&gt;0),ABS(K203-L203)*P203*1,""),"")</f>
        <v/>
      </c>
      <c r="R203" s="20" t="str">
        <f>IF(AND(ISNUMBER(K203),ISNUMBER(P203)),K203*P203,"")</f>
        <v/>
      </c>
      <c r="S203" s="20" t="str">
        <f>IF(AND(D203="合约",ISNUMBER(R203),N(G203)&gt;0),R203/G203,"")</f>
        <v/>
      </c>
      <c r="T203" s="36" t="str">
        <f>IF(NOT(D203="合约"),"",IF(H203&lt;&gt;"逐仓","看平台",IF(AND(ISNUMBER(K203),N(G203)&gt;0),IF(F203="空",K203*(1+1/G203-IF(ISNUMBER(I203),I203,'参数'!$C$13)),K203*(1-1/G203+IF(ISNUMBER(I203),I203,'参数'!$C$13))),"")))</f>
        <v/>
      </c>
      <c r="U203" s="37" t="str">
        <f>IF(AND(ISNUMBER(T203),ISNUMBER(L203),ISNUMBER(K203)),IF(F203="空",T203-L203,L203-T203)/K203,"")</f>
        <v/>
      </c>
      <c r="V203" s="38" t="str">
        <f>IF(ISNUMBER(U203),IF(U203&lt;'参数'!$C$15,"先降杠杆或减量","在止损外"),"")</f>
        <v/>
      </c>
      <c r="W203" s="30" t="n"/>
      <c r="X203" s="31" t="n"/>
      <c r="Y203" s="39" t="str">
        <f>IF(N(AB203)&gt;0,SUMPRODUCT(LARGE(('成交明细'!$A$5:$A$804=A203)*('成交明细'!$D$5:$D$804=IF(F203="空","卖","买"))*'成交明细'!$B$5:$B$804,COUNTIFS('成交明细'!$A$5:$A$804,A203,'成交明细'!$D$5:$D$804,IF(F203="空","卖","买")))),"")</f>
        <v/>
      </c>
      <c r="Z203" s="39" t="str">
        <f>IF(AND(N(AB203)&gt;0,N(AD203)&gt;=N(AB203)),SUMPRODUCT(MAX(('成交明细'!$A$5:$A$804=A203)*('成交明细'!$D$5:$D$804=IF(F203="空","买","卖"))*'成交明细'!$B$5:$B$804)),"")</f>
        <v/>
      </c>
      <c r="AA203" s="40" t="str">
        <f>IF(N(AB203)=0,"",IF(SUMPRODUCT(('成交明细'!$A$5:$A$804=A203)*('成交明细'!$D$5:$D$804=IF(F203="空","卖","买"))*ISNUMBER('成交明细'!$C$5:$C$804))=0,"没填时间",IFERROR(VLOOKUP(MOD(SUMPRODUCT(LARGE(('成交明细'!$A$5:$A$804=A203)*('成交明细'!$D$5:$D$804=IF(F203="空","卖","买"))*('成交明细'!$B$5:$B$804+'成交明细'!$C$5:$C$804),COUNTIFS('成交明细'!$A$5:$A$804,A203,'成交明细'!$D$5:$D$804,IF(F203="空","卖","买")))),1),'参数'!$B$39:$C$48,2,TRUE),"")))</f>
        <v/>
      </c>
      <c r="AB203" s="34" t="str">
        <f>IF(A203="","",SUMIFS('成交明细'!$F$5:$F$804,'成交明细'!$A$5:$A$804,A203,'成交明细'!$D$5:$D$804,IF(F203="空","卖","买")))</f>
        <v/>
      </c>
      <c r="AC203" s="41" t="str">
        <f>IF(N(AB203)&gt;0,SUMIFS('成交明细'!$H$5:$H$804,'成交明细'!$A$5:$A$804,A203,'成交明细'!$D$5:$D$804,IF(F203="空","卖","买"))/AB203,"")</f>
        <v/>
      </c>
      <c r="AD203" s="34" t="str">
        <f>IF(A203="","",SUMIFS('成交明细'!$F$5:$F$804,'成交明细'!$A$5:$A$804,A203,'成交明细'!$D$5:$D$804,IF(F203="空","买","卖")))</f>
        <v/>
      </c>
      <c r="AE203" s="41" t="str">
        <f>IF(N(AD203)&gt;0,SUMIFS('成交明细'!$H$5:$H$804,'成交明细'!$A$5:$A$804,A203,'成交明细'!$D$5:$D$804,IF(F203="空","买","卖"))/AD203,"")</f>
        <v/>
      </c>
      <c r="AF203" s="38" t="str">
        <f>IF(A203="","",IF(X203&lt;&gt;"已执行",IF(X203="","未填执行情况",X203),IF(N(AB203)=0,"待录成交",IF(N(AD203)&gt;N(AB203),"平仓多于开仓",IF(N(AD203)&lt;N(AB203),"持仓中","已平仓")))))</f>
        <v/>
      </c>
      <c r="AG203" s="42" t="str">
        <f>IF(N(AB203)=0,"",SUMIFS('成交明细'!$L$5:$L$804,'成交明细'!$A$5:$A$804,A203))</f>
        <v/>
      </c>
      <c r="AH203" s="43" t="str">
        <f>IF(A203="","",SUMIFS('资金费流水'!$F$5:$F$604,'资金费流水'!$B$5:$B$604,A203))</f>
        <v/>
      </c>
      <c r="AI203" s="43" t="str">
        <f>IF(AF203&lt;&gt;"已平仓","",(SUMIFS('成交明细'!$H$5:$H$804,'成交明细'!$A$5:$A$804,A203,'成交明细'!$D$5:$D$804,"卖")-SUMIFS('成交明细'!$H$5:$H$804,'成交明细'!$A$5:$A$804,A203,'成交明细'!$D$5:$D$804,"买"))*1-AG203+N(AH203))</f>
        <v/>
      </c>
      <c r="AJ203" s="44" t="str">
        <f>IF(AND(AF203="已平仓",ISNUMBER(Q203)),(SUMIFS('成交明细'!$H$5:$H$804,'成交明细'!$A$5:$A$804,A203,'成交明细'!$D$5:$D$804,"卖")-SUMIFS('成交明细'!$H$5:$H$804,'成交明细'!$A$5:$A$804,A203,'成交明细'!$D$5:$D$804,"买"))*1/Q203,"")</f>
        <v/>
      </c>
      <c r="AK203" s="44" t="str">
        <f>IF(AND(AF203="已平仓",ISNUMBER(Q203)),AI203/Q203,"")</f>
        <v/>
      </c>
      <c r="AL203" s="45" t="str">
        <f>IF(AND(ISNUMBER(AC203),ISNUMBER(K203)),IF(F203="空",K203-AC203,AC203-K203),"")</f>
        <v/>
      </c>
      <c r="AM203" s="45" t="str">
        <f>IF(OR(NOT(ISNUMBER(AI203)),NOT(ISNUMBER(AE203))),"",IF(AI203&lt;0,IF(F203="空",AE203-L203,L203-AE203),IF(NOT(ISNUMBER(M203)),"",IF(F203="空",AE203-M203,M203-AE203))))</f>
        <v/>
      </c>
      <c r="AN203" s="31" t="n"/>
      <c r="AO203" s="31" t="n"/>
      <c r="AP203" s="30" t="n"/>
      <c r="AQ203" s="44" t="str">
        <f>IF(A203="","",SUM(AK$5:AK203))</f>
        <v/>
      </c>
      <c r="AR203" s="46" t="str">
        <f>IF(A203="","",MAX(0,MAX(AQ$5:AQ203))-AQ203)</f>
        <v/>
      </c>
    </row>
    <row r="204">
      <c r="A204" s="24" t="n"/>
      <c r="B204" s="29" t="n"/>
      <c r="C204" s="30" t="n"/>
      <c r="D204" s="31" t="n"/>
      <c r="E204" s="31" t="n"/>
      <c r="F204" s="31" t="n"/>
      <c r="G204" s="21" t="n"/>
      <c r="H204" s="31" t="n"/>
      <c r="I204" s="23" t="n"/>
      <c r="J204" s="31" t="n"/>
      <c r="K204" s="32" t="n"/>
      <c r="L204" s="32" t="n"/>
      <c r="M204" s="32" t="n"/>
      <c r="N204" s="33" t="str">
        <f>IF(AND(ISNUMBER(K204),ISNUMBER(L204),ISNUMBER(M204)),IF(OR(AND(F204="多",K204&gt;L204),AND(F204="空",K204&lt;L204)),ABS(M204-K204)/ABS(K204-L204),"止损方向不对"),"")</f>
        <v/>
      </c>
      <c r="O204" s="34" t="str">
        <f>IF(AND(ISNUMBER(K204),ISNUMBER(L204)),IF(K204=L204,"",IF(INT(ROUND('参数'!$C$7/(ABS(K204-L204)*1+2*K204*'参数'!$C$12)/IF(N(J204)&gt;0,J204,1),6))*IF(N(J204)&gt;0,J204,1)&gt;0,INT(ROUND('参数'!$C$7/(ABS(K204-L204)*1+2*K204*'参数'!$C$12)/IF(N(J204)&gt;0,J204,1),6))*IF(N(J204)&gt;0,J204,1),"预算不足，这笔不做")),"")</f>
        <v/>
      </c>
      <c r="P204" s="35" t="n"/>
      <c r="Q204" s="20" t="str">
        <f>IF(AND(ISNUMBER(K204),ISNUMBER(L204),ISNUMBER(P204)),IF(AND(K204&lt;&gt;L204,P204&gt;0),ABS(K204-L204)*P204*1,""),"")</f>
        <v/>
      </c>
      <c r="R204" s="20" t="str">
        <f>IF(AND(ISNUMBER(K204),ISNUMBER(P204)),K204*P204,"")</f>
        <v/>
      </c>
      <c r="S204" s="20" t="str">
        <f>IF(AND(D204="合约",ISNUMBER(R204),N(G204)&gt;0),R204/G204,"")</f>
        <v/>
      </c>
      <c r="T204" s="36" t="str">
        <f>IF(NOT(D204="合约"),"",IF(H204&lt;&gt;"逐仓","看平台",IF(AND(ISNUMBER(K204),N(G204)&gt;0),IF(F204="空",K204*(1+1/G204-IF(ISNUMBER(I204),I204,'参数'!$C$13)),K204*(1-1/G204+IF(ISNUMBER(I204),I204,'参数'!$C$13))),"")))</f>
        <v/>
      </c>
      <c r="U204" s="37" t="str">
        <f>IF(AND(ISNUMBER(T204),ISNUMBER(L204),ISNUMBER(K204)),IF(F204="空",T204-L204,L204-T204)/K204,"")</f>
        <v/>
      </c>
      <c r="V204" s="38" t="str">
        <f>IF(ISNUMBER(U204),IF(U204&lt;'参数'!$C$15,"先降杠杆或减量","在止损外"),"")</f>
        <v/>
      </c>
      <c r="W204" s="30" t="n"/>
      <c r="X204" s="31" t="n"/>
      <c r="Y204" s="39" t="str">
        <f>IF(N(AB204)&gt;0,SUMPRODUCT(LARGE(('成交明细'!$A$5:$A$804=A204)*('成交明细'!$D$5:$D$804=IF(F204="空","卖","买"))*'成交明细'!$B$5:$B$804,COUNTIFS('成交明细'!$A$5:$A$804,A204,'成交明细'!$D$5:$D$804,IF(F204="空","卖","买")))),"")</f>
        <v/>
      </c>
      <c r="Z204" s="39" t="str">
        <f>IF(AND(N(AB204)&gt;0,N(AD204)&gt;=N(AB204)),SUMPRODUCT(MAX(('成交明细'!$A$5:$A$804=A204)*('成交明细'!$D$5:$D$804=IF(F204="空","买","卖"))*'成交明细'!$B$5:$B$804)),"")</f>
        <v/>
      </c>
      <c r="AA204" s="40" t="str">
        <f>IF(N(AB204)=0,"",IF(SUMPRODUCT(('成交明细'!$A$5:$A$804=A204)*('成交明细'!$D$5:$D$804=IF(F204="空","卖","买"))*ISNUMBER('成交明细'!$C$5:$C$804))=0,"没填时间",IFERROR(VLOOKUP(MOD(SUMPRODUCT(LARGE(('成交明细'!$A$5:$A$804=A204)*('成交明细'!$D$5:$D$804=IF(F204="空","卖","买"))*('成交明细'!$B$5:$B$804+'成交明细'!$C$5:$C$804),COUNTIFS('成交明细'!$A$5:$A$804,A204,'成交明细'!$D$5:$D$804,IF(F204="空","卖","买")))),1),'参数'!$B$39:$C$48,2,TRUE),"")))</f>
        <v/>
      </c>
      <c r="AB204" s="34" t="str">
        <f>IF(A204="","",SUMIFS('成交明细'!$F$5:$F$804,'成交明细'!$A$5:$A$804,A204,'成交明细'!$D$5:$D$804,IF(F204="空","卖","买")))</f>
        <v/>
      </c>
      <c r="AC204" s="41" t="str">
        <f>IF(N(AB204)&gt;0,SUMIFS('成交明细'!$H$5:$H$804,'成交明细'!$A$5:$A$804,A204,'成交明细'!$D$5:$D$804,IF(F204="空","卖","买"))/AB204,"")</f>
        <v/>
      </c>
      <c r="AD204" s="34" t="str">
        <f>IF(A204="","",SUMIFS('成交明细'!$F$5:$F$804,'成交明细'!$A$5:$A$804,A204,'成交明细'!$D$5:$D$804,IF(F204="空","买","卖")))</f>
        <v/>
      </c>
      <c r="AE204" s="41" t="str">
        <f>IF(N(AD204)&gt;0,SUMIFS('成交明细'!$H$5:$H$804,'成交明细'!$A$5:$A$804,A204,'成交明细'!$D$5:$D$804,IF(F204="空","买","卖"))/AD204,"")</f>
        <v/>
      </c>
      <c r="AF204" s="38" t="str">
        <f>IF(A204="","",IF(X204&lt;&gt;"已执行",IF(X204="","未填执行情况",X204),IF(N(AB204)=0,"待录成交",IF(N(AD204)&gt;N(AB204),"平仓多于开仓",IF(N(AD204)&lt;N(AB204),"持仓中","已平仓")))))</f>
        <v/>
      </c>
      <c r="AG204" s="42" t="str">
        <f>IF(N(AB204)=0,"",SUMIFS('成交明细'!$L$5:$L$804,'成交明细'!$A$5:$A$804,A204))</f>
        <v/>
      </c>
      <c r="AH204" s="43" t="str">
        <f>IF(A204="","",SUMIFS('资金费流水'!$F$5:$F$604,'资金费流水'!$B$5:$B$604,A204))</f>
        <v/>
      </c>
      <c r="AI204" s="43" t="str">
        <f>IF(AF204&lt;&gt;"已平仓","",(SUMIFS('成交明细'!$H$5:$H$804,'成交明细'!$A$5:$A$804,A204,'成交明细'!$D$5:$D$804,"卖")-SUMIFS('成交明细'!$H$5:$H$804,'成交明细'!$A$5:$A$804,A204,'成交明细'!$D$5:$D$804,"买"))*1-AG204+N(AH204))</f>
        <v/>
      </c>
      <c r="AJ204" s="44" t="str">
        <f>IF(AND(AF204="已平仓",ISNUMBER(Q204)),(SUMIFS('成交明细'!$H$5:$H$804,'成交明细'!$A$5:$A$804,A204,'成交明细'!$D$5:$D$804,"卖")-SUMIFS('成交明细'!$H$5:$H$804,'成交明细'!$A$5:$A$804,A204,'成交明细'!$D$5:$D$804,"买"))*1/Q204,"")</f>
        <v/>
      </c>
      <c r="AK204" s="44" t="str">
        <f>IF(AND(AF204="已平仓",ISNUMBER(Q204)),AI204/Q204,"")</f>
        <v/>
      </c>
      <c r="AL204" s="45" t="str">
        <f>IF(AND(ISNUMBER(AC204),ISNUMBER(K204)),IF(F204="空",K204-AC204,AC204-K204),"")</f>
        <v/>
      </c>
      <c r="AM204" s="45" t="str">
        <f>IF(OR(NOT(ISNUMBER(AI204)),NOT(ISNUMBER(AE204))),"",IF(AI204&lt;0,IF(F204="空",AE204-L204,L204-AE204),IF(NOT(ISNUMBER(M204)),"",IF(F204="空",AE204-M204,M204-AE204))))</f>
        <v/>
      </c>
      <c r="AN204" s="31" t="n"/>
      <c r="AO204" s="31" t="n"/>
      <c r="AP204" s="30" t="n"/>
      <c r="AQ204" s="44" t="str">
        <f>IF(A204="","",SUM(AK$5:AK204))</f>
        <v/>
      </c>
      <c r="AR204" s="46" t="str">
        <f>IF(A204="","",MAX(0,MAX(AQ$5:AQ204))-AQ204)</f>
        <v/>
      </c>
    </row>
    <row r="205">
      <c r="A205" s="24" t="n"/>
      <c r="B205" s="29" t="n"/>
      <c r="C205" s="30" t="n"/>
      <c r="D205" s="31" t="n"/>
      <c r="E205" s="31" t="n"/>
      <c r="F205" s="31" t="n"/>
      <c r="G205" s="21" t="n"/>
      <c r="H205" s="31" t="n"/>
      <c r="I205" s="23" t="n"/>
      <c r="J205" s="31" t="n"/>
      <c r="K205" s="32" t="n"/>
      <c r="L205" s="32" t="n"/>
      <c r="M205" s="32" t="n"/>
      <c r="N205" s="33" t="str">
        <f>IF(AND(ISNUMBER(K205),ISNUMBER(L205),ISNUMBER(M205)),IF(OR(AND(F205="多",K205&gt;L205),AND(F205="空",K205&lt;L205)),ABS(M205-K205)/ABS(K205-L205),"止损方向不对"),"")</f>
        <v/>
      </c>
      <c r="O205" s="34" t="str">
        <f>IF(AND(ISNUMBER(K205),ISNUMBER(L205)),IF(K205=L205,"",IF(INT(ROUND('参数'!$C$7/(ABS(K205-L205)*1+2*K205*'参数'!$C$12)/IF(N(J205)&gt;0,J205,1),6))*IF(N(J205)&gt;0,J205,1)&gt;0,INT(ROUND('参数'!$C$7/(ABS(K205-L205)*1+2*K205*'参数'!$C$12)/IF(N(J205)&gt;0,J205,1),6))*IF(N(J205)&gt;0,J205,1),"预算不足，这笔不做")),"")</f>
        <v/>
      </c>
      <c r="P205" s="35" t="n"/>
      <c r="Q205" s="20" t="str">
        <f>IF(AND(ISNUMBER(K205),ISNUMBER(L205),ISNUMBER(P205)),IF(AND(K205&lt;&gt;L205,P205&gt;0),ABS(K205-L205)*P205*1,""),"")</f>
        <v/>
      </c>
      <c r="R205" s="20" t="str">
        <f>IF(AND(ISNUMBER(K205),ISNUMBER(P205)),K205*P205,"")</f>
        <v/>
      </c>
      <c r="S205" s="20" t="str">
        <f>IF(AND(D205="合约",ISNUMBER(R205),N(G205)&gt;0),R205/G205,"")</f>
        <v/>
      </c>
      <c r="T205" s="36" t="str">
        <f>IF(NOT(D205="合约"),"",IF(H205&lt;&gt;"逐仓","看平台",IF(AND(ISNUMBER(K205),N(G205)&gt;0),IF(F205="空",K205*(1+1/G205-IF(ISNUMBER(I205),I205,'参数'!$C$13)),K205*(1-1/G205+IF(ISNUMBER(I205),I205,'参数'!$C$13))),"")))</f>
        <v/>
      </c>
      <c r="U205" s="37" t="str">
        <f>IF(AND(ISNUMBER(T205),ISNUMBER(L205),ISNUMBER(K205)),IF(F205="空",T205-L205,L205-T205)/K205,"")</f>
        <v/>
      </c>
      <c r="V205" s="38" t="str">
        <f>IF(ISNUMBER(U205),IF(U205&lt;'参数'!$C$15,"先降杠杆或减量","在止损外"),"")</f>
        <v/>
      </c>
      <c r="W205" s="30" t="n"/>
      <c r="X205" s="31" t="n"/>
      <c r="Y205" s="39" t="str">
        <f>IF(N(AB205)&gt;0,SUMPRODUCT(LARGE(('成交明细'!$A$5:$A$804=A205)*('成交明细'!$D$5:$D$804=IF(F205="空","卖","买"))*'成交明细'!$B$5:$B$804,COUNTIFS('成交明细'!$A$5:$A$804,A205,'成交明细'!$D$5:$D$804,IF(F205="空","卖","买")))),"")</f>
        <v/>
      </c>
      <c r="Z205" s="39" t="str">
        <f>IF(AND(N(AB205)&gt;0,N(AD205)&gt;=N(AB205)),SUMPRODUCT(MAX(('成交明细'!$A$5:$A$804=A205)*('成交明细'!$D$5:$D$804=IF(F205="空","买","卖"))*'成交明细'!$B$5:$B$804)),"")</f>
        <v/>
      </c>
      <c r="AA205" s="40" t="str">
        <f>IF(N(AB205)=0,"",IF(SUMPRODUCT(('成交明细'!$A$5:$A$804=A205)*('成交明细'!$D$5:$D$804=IF(F205="空","卖","买"))*ISNUMBER('成交明细'!$C$5:$C$804))=0,"没填时间",IFERROR(VLOOKUP(MOD(SUMPRODUCT(LARGE(('成交明细'!$A$5:$A$804=A205)*('成交明细'!$D$5:$D$804=IF(F205="空","卖","买"))*('成交明细'!$B$5:$B$804+'成交明细'!$C$5:$C$804),COUNTIFS('成交明细'!$A$5:$A$804,A205,'成交明细'!$D$5:$D$804,IF(F205="空","卖","买")))),1),'参数'!$B$39:$C$48,2,TRUE),"")))</f>
        <v/>
      </c>
      <c r="AB205" s="34" t="str">
        <f>IF(A205="","",SUMIFS('成交明细'!$F$5:$F$804,'成交明细'!$A$5:$A$804,A205,'成交明细'!$D$5:$D$804,IF(F205="空","卖","买")))</f>
        <v/>
      </c>
      <c r="AC205" s="41" t="str">
        <f>IF(N(AB205)&gt;0,SUMIFS('成交明细'!$H$5:$H$804,'成交明细'!$A$5:$A$804,A205,'成交明细'!$D$5:$D$804,IF(F205="空","卖","买"))/AB205,"")</f>
        <v/>
      </c>
      <c r="AD205" s="34" t="str">
        <f>IF(A205="","",SUMIFS('成交明细'!$F$5:$F$804,'成交明细'!$A$5:$A$804,A205,'成交明细'!$D$5:$D$804,IF(F205="空","买","卖")))</f>
        <v/>
      </c>
      <c r="AE205" s="41" t="str">
        <f>IF(N(AD205)&gt;0,SUMIFS('成交明细'!$H$5:$H$804,'成交明细'!$A$5:$A$804,A205,'成交明细'!$D$5:$D$804,IF(F205="空","买","卖"))/AD205,"")</f>
        <v/>
      </c>
      <c r="AF205" s="38" t="str">
        <f>IF(A205="","",IF(X205&lt;&gt;"已执行",IF(X205="","未填执行情况",X205),IF(N(AB205)=0,"待录成交",IF(N(AD205)&gt;N(AB205),"平仓多于开仓",IF(N(AD205)&lt;N(AB205),"持仓中","已平仓")))))</f>
        <v/>
      </c>
      <c r="AG205" s="42" t="str">
        <f>IF(N(AB205)=0,"",SUMIFS('成交明细'!$L$5:$L$804,'成交明细'!$A$5:$A$804,A205))</f>
        <v/>
      </c>
      <c r="AH205" s="43" t="str">
        <f>IF(A205="","",SUMIFS('资金费流水'!$F$5:$F$604,'资金费流水'!$B$5:$B$604,A205))</f>
        <v/>
      </c>
      <c r="AI205" s="43" t="str">
        <f>IF(AF205&lt;&gt;"已平仓","",(SUMIFS('成交明细'!$H$5:$H$804,'成交明细'!$A$5:$A$804,A205,'成交明细'!$D$5:$D$804,"卖")-SUMIFS('成交明细'!$H$5:$H$804,'成交明细'!$A$5:$A$804,A205,'成交明细'!$D$5:$D$804,"买"))*1-AG205+N(AH205))</f>
        <v/>
      </c>
      <c r="AJ205" s="44" t="str">
        <f>IF(AND(AF205="已平仓",ISNUMBER(Q205)),(SUMIFS('成交明细'!$H$5:$H$804,'成交明细'!$A$5:$A$804,A205,'成交明细'!$D$5:$D$804,"卖")-SUMIFS('成交明细'!$H$5:$H$804,'成交明细'!$A$5:$A$804,A205,'成交明细'!$D$5:$D$804,"买"))*1/Q205,"")</f>
        <v/>
      </c>
      <c r="AK205" s="44" t="str">
        <f>IF(AND(AF205="已平仓",ISNUMBER(Q205)),AI205/Q205,"")</f>
        <v/>
      </c>
      <c r="AL205" s="45" t="str">
        <f>IF(AND(ISNUMBER(AC205),ISNUMBER(K205)),IF(F205="空",K205-AC205,AC205-K205),"")</f>
        <v/>
      </c>
      <c r="AM205" s="45" t="str">
        <f>IF(OR(NOT(ISNUMBER(AI205)),NOT(ISNUMBER(AE205))),"",IF(AI205&lt;0,IF(F205="空",AE205-L205,L205-AE205),IF(NOT(ISNUMBER(M205)),"",IF(F205="空",AE205-M205,M205-AE205))))</f>
        <v/>
      </c>
      <c r="AN205" s="31" t="n"/>
      <c r="AO205" s="31" t="n"/>
      <c r="AP205" s="30" t="n"/>
      <c r="AQ205" s="44" t="str">
        <f>IF(A205="","",SUM(AK$5:AK205))</f>
        <v/>
      </c>
      <c r="AR205" s="46" t="str">
        <f>IF(A205="","",MAX(0,MAX(AQ$5:AQ205))-AQ205)</f>
        <v/>
      </c>
    </row>
    <row r="206">
      <c r="A206" s="24" t="n"/>
      <c r="B206" s="29" t="n"/>
      <c r="C206" s="30" t="n"/>
      <c r="D206" s="31" t="n"/>
      <c r="E206" s="31" t="n"/>
      <c r="F206" s="31" t="n"/>
      <c r="G206" s="21" t="n"/>
      <c r="H206" s="31" t="n"/>
      <c r="I206" s="23" t="n"/>
      <c r="J206" s="31" t="n"/>
      <c r="K206" s="32" t="n"/>
      <c r="L206" s="32" t="n"/>
      <c r="M206" s="32" t="n"/>
      <c r="N206" s="33" t="str">
        <f>IF(AND(ISNUMBER(K206),ISNUMBER(L206),ISNUMBER(M206)),IF(OR(AND(F206="多",K206&gt;L206),AND(F206="空",K206&lt;L206)),ABS(M206-K206)/ABS(K206-L206),"止损方向不对"),"")</f>
        <v/>
      </c>
      <c r="O206" s="34" t="str">
        <f>IF(AND(ISNUMBER(K206),ISNUMBER(L206)),IF(K206=L206,"",IF(INT(ROUND('参数'!$C$7/(ABS(K206-L206)*1+2*K206*'参数'!$C$12)/IF(N(J206)&gt;0,J206,1),6))*IF(N(J206)&gt;0,J206,1)&gt;0,INT(ROUND('参数'!$C$7/(ABS(K206-L206)*1+2*K206*'参数'!$C$12)/IF(N(J206)&gt;0,J206,1),6))*IF(N(J206)&gt;0,J206,1),"预算不足，这笔不做")),"")</f>
        <v/>
      </c>
      <c r="P206" s="35" t="n"/>
      <c r="Q206" s="20" t="str">
        <f>IF(AND(ISNUMBER(K206),ISNUMBER(L206),ISNUMBER(P206)),IF(AND(K206&lt;&gt;L206,P206&gt;0),ABS(K206-L206)*P206*1,""),"")</f>
        <v/>
      </c>
      <c r="R206" s="20" t="str">
        <f>IF(AND(ISNUMBER(K206),ISNUMBER(P206)),K206*P206,"")</f>
        <v/>
      </c>
      <c r="S206" s="20" t="str">
        <f>IF(AND(D206="合约",ISNUMBER(R206),N(G206)&gt;0),R206/G206,"")</f>
        <v/>
      </c>
      <c r="T206" s="36" t="str">
        <f>IF(NOT(D206="合约"),"",IF(H206&lt;&gt;"逐仓","看平台",IF(AND(ISNUMBER(K206),N(G206)&gt;0),IF(F206="空",K206*(1+1/G206-IF(ISNUMBER(I206),I206,'参数'!$C$13)),K206*(1-1/G206+IF(ISNUMBER(I206),I206,'参数'!$C$13))),"")))</f>
        <v/>
      </c>
      <c r="U206" s="37" t="str">
        <f>IF(AND(ISNUMBER(T206),ISNUMBER(L206),ISNUMBER(K206)),IF(F206="空",T206-L206,L206-T206)/K206,"")</f>
        <v/>
      </c>
      <c r="V206" s="38" t="str">
        <f>IF(ISNUMBER(U206),IF(U206&lt;'参数'!$C$15,"先降杠杆或减量","在止损外"),"")</f>
        <v/>
      </c>
      <c r="W206" s="30" t="n"/>
      <c r="X206" s="31" t="n"/>
      <c r="Y206" s="39" t="str">
        <f>IF(N(AB206)&gt;0,SUMPRODUCT(LARGE(('成交明细'!$A$5:$A$804=A206)*('成交明细'!$D$5:$D$804=IF(F206="空","卖","买"))*'成交明细'!$B$5:$B$804,COUNTIFS('成交明细'!$A$5:$A$804,A206,'成交明细'!$D$5:$D$804,IF(F206="空","卖","买")))),"")</f>
        <v/>
      </c>
      <c r="Z206" s="39" t="str">
        <f>IF(AND(N(AB206)&gt;0,N(AD206)&gt;=N(AB206)),SUMPRODUCT(MAX(('成交明细'!$A$5:$A$804=A206)*('成交明细'!$D$5:$D$804=IF(F206="空","买","卖"))*'成交明细'!$B$5:$B$804)),"")</f>
        <v/>
      </c>
      <c r="AA206" s="40" t="str">
        <f>IF(N(AB206)=0,"",IF(SUMPRODUCT(('成交明细'!$A$5:$A$804=A206)*('成交明细'!$D$5:$D$804=IF(F206="空","卖","买"))*ISNUMBER('成交明细'!$C$5:$C$804))=0,"没填时间",IFERROR(VLOOKUP(MOD(SUMPRODUCT(LARGE(('成交明细'!$A$5:$A$804=A206)*('成交明细'!$D$5:$D$804=IF(F206="空","卖","买"))*('成交明细'!$B$5:$B$804+'成交明细'!$C$5:$C$804),COUNTIFS('成交明细'!$A$5:$A$804,A206,'成交明细'!$D$5:$D$804,IF(F206="空","卖","买")))),1),'参数'!$B$39:$C$48,2,TRUE),"")))</f>
        <v/>
      </c>
      <c r="AB206" s="34" t="str">
        <f>IF(A206="","",SUMIFS('成交明细'!$F$5:$F$804,'成交明细'!$A$5:$A$804,A206,'成交明细'!$D$5:$D$804,IF(F206="空","卖","买")))</f>
        <v/>
      </c>
      <c r="AC206" s="41" t="str">
        <f>IF(N(AB206)&gt;0,SUMIFS('成交明细'!$H$5:$H$804,'成交明细'!$A$5:$A$804,A206,'成交明细'!$D$5:$D$804,IF(F206="空","卖","买"))/AB206,"")</f>
        <v/>
      </c>
      <c r="AD206" s="34" t="str">
        <f>IF(A206="","",SUMIFS('成交明细'!$F$5:$F$804,'成交明细'!$A$5:$A$804,A206,'成交明细'!$D$5:$D$804,IF(F206="空","买","卖")))</f>
        <v/>
      </c>
      <c r="AE206" s="41" t="str">
        <f>IF(N(AD206)&gt;0,SUMIFS('成交明细'!$H$5:$H$804,'成交明细'!$A$5:$A$804,A206,'成交明细'!$D$5:$D$804,IF(F206="空","买","卖"))/AD206,"")</f>
        <v/>
      </c>
      <c r="AF206" s="38" t="str">
        <f>IF(A206="","",IF(X206&lt;&gt;"已执行",IF(X206="","未填执行情况",X206),IF(N(AB206)=0,"待录成交",IF(N(AD206)&gt;N(AB206),"平仓多于开仓",IF(N(AD206)&lt;N(AB206),"持仓中","已平仓")))))</f>
        <v/>
      </c>
      <c r="AG206" s="42" t="str">
        <f>IF(N(AB206)=0,"",SUMIFS('成交明细'!$L$5:$L$804,'成交明细'!$A$5:$A$804,A206))</f>
        <v/>
      </c>
      <c r="AH206" s="43" t="str">
        <f>IF(A206="","",SUMIFS('资金费流水'!$F$5:$F$604,'资金费流水'!$B$5:$B$604,A206))</f>
        <v/>
      </c>
      <c r="AI206" s="43" t="str">
        <f>IF(AF206&lt;&gt;"已平仓","",(SUMIFS('成交明细'!$H$5:$H$804,'成交明细'!$A$5:$A$804,A206,'成交明细'!$D$5:$D$804,"卖")-SUMIFS('成交明细'!$H$5:$H$804,'成交明细'!$A$5:$A$804,A206,'成交明细'!$D$5:$D$804,"买"))*1-AG206+N(AH206))</f>
        <v/>
      </c>
      <c r="AJ206" s="44" t="str">
        <f>IF(AND(AF206="已平仓",ISNUMBER(Q206)),(SUMIFS('成交明细'!$H$5:$H$804,'成交明细'!$A$5:$A$804,A206,'成交明细'!$D$5:$D$804,"卖")-SUMIFS('成交明细'!$H$5:$H$804,'成交明细'!$A$5:$A$804,A206,'成交明细'!$D$5:$D$804,"买"))*1/Q206,"")</f>
        <v/>
      </c>
      <c r="AK206" s="44" t="str">
        <f>IF(AND(AF206="已平仓",ISNUMBER(Q206)),AI206/Q206,"")</f>
        <v/>
      </c>
      <c r="AL206" s="45" t="str">
        <f>IF(AND(ISNUMBER(AC206),ISNUMBER(K206)),IF(F206="空",K206-AC206,AC206-K206),"")</f>
        <v/>
      </c>
      <c r="AM206" s="45" t="str">
        <f>IF(OR(NOT(ISNUMBER(AI206)),NOT(ISNUMBER(AE206))),"",IF(AI206&lt;0,IF(F206="空",AE206-L206,L206-AE206),IF(NOT(ISNUMBER(M206)),"",IF(F206="空",AE206-M206,M206-AE206))))</f>
        <v/>
      </c>
      <c r="AN206" s="31" t="n"/>
      <c r="AO206" s="31" t="n"/>
      <c r="AP206" s="30" t="n"/>
      <c r="AQ206" s="44" t="str">
        <f>IF(A206="","",SUM(AK$5:AK206))</f>
        <v/>
      </c>
      <c r="AR206" s="46" t="str">
        <f>IF(A206="","",MAX(0,MAX(AQ$5:AQ206))-AQ206)</f>
        <v/>
      </c>
    </row>
    <row r="207">
      <c r="A207" s="24" t="n"/>
      <c r="B207" s="29" t="n"/>
      <c r="C207" s="30" t="n"/>
      <c r="D207" s="31" t="n"/>
      <c r="E207" s="31" t="n"/>
      <c r="F207" s="31" t="n"/>
      <c r="G207" s="21" t="n"/>
      <c r="H207" s="31" t="n"/>
      <c r="I207" s="23" t="n"/>
      <c r="J207" s="31" t="n"/>
      <c r="K207" s="32" t="n"/>
      <c r="L207" s="32" t="n"/>
      <c r="M207" s="32" t="n"/>
      <c r="N207" s="33" t="str">
        <f>IF(AND(ISNUMBER(K207),ISNUMBER(L207),ISNUMBER(M207)),IF(OR(AND(F207="多",K207&gt;L207),AND(F207="空",K207&lt;L207)),ABS(M207-K207)/ABS(K207-L207),"止损方向不对"),"")</f>
        <v/>
      </c>
      <c r="O207" s="34" t="str">
        <f>IF(AND(ISNUMBER(K207),ISNUMBER(L207)),IF(K207=L207,"",IF(INT(ROUND('参数'!$C$7/(ABS(K207-L207)*1+2*K207*'参数'!$C$12)/IF(N(J207)&gt;0,J207,1),6))*IF(N(J207)&gt;0,J207,1)&gt;0,INT(ROUND('参数'!$C$7/(ABS(K207-L207)*1+2*K207*'参数'!$C$12)/IF(N(J207)&gt;0,J207,1),6))*IF(N(J207)&gt;0,J207,1),"预算不足，这笔不做")),"")</f>
        <v/>
      </c>
      <c r="P207" s="35" t="n"/>
      <c r="Q207" s="20" t="str">
        <f>IF(AND(ISNUMBER(K207),ISNUMBER(L207),ISNUMBER(P207)),IF(AND(K207&lt;&gt;L207,P207&gt;0),ABS(K207-L207)*P207*1,""),"")</f>
        <v/>
      </c>
      <c r="R207" s="20" t="str">
        <f>IF(AND(ISNUMBER(K207),ISNUMBER(P207)),K207*P207,"")</f>
        <v/>
      </c>
      <c r="S207" s="20" t="str">
        <f>IF(AND(D207="合约",ISNUMBER(R207),N(G207)&gt;0),R207/G207,"")</f>
        <v/>
      </c>
      <c r="T207" s="36" t="str">
        <f>IF(NOT(D207="合约"),"",IF(H207&lt;&gt;"逐仓","看平台",IF(AND(ISNUMBER(K207),N(G207)&gt;0),IF(F207="空",K207*(1+1/G207-IF(ISNUMBER(I207),I207,'参数'!$C$13)),K207*(1-1/G207+IF(ISNUMBER(I207),I207,'参数'!$C$13))),"")))</f>
        <v/>
      </c>
      <c r="U207" s="37" t="str">
        <f>IF(AND(ISNUMBER(T207),ISNUMBER(L207),ISNUMBER(K207)),IF(F207="空",T207-L207,L207-T207)/K207,"")</f>
        <v/>
      </c>
      <c r="V207" s="38" t="str">
        <f>IF(ISNUMBER(U207),IF(U207&lt;'参数'!$C$15,"先降杠杆或减量","在止损外"),"")</f>
        <v/>
      </c>
      <c r="W207" s="30" t="n"/>
      <c r="X207" s="31" t="n"/>
      <c r="Y207" s="39" t="str">
        <f>IF(N(AB207)&gt;0,SUMPRODUCT(LARGE(('成交明细'!$A$5:$A$804=A207)*('成交明细'!$D$5:$D$804=IF(F207="空","卖","买"))*'成交明细'!$B$5:$B$804,COUNTIFS('成交明细'!$A$5:$A$804,A207,'成交明细'!$D$5:$D$804,IF(F207="空","卖","买")))),"")</f>
        <v/>
      </c>
      <c r="Z207" s="39" t="str">
        <f>IF(AND(N(AB207)&gt;0,N(AD207)&gt;=N(AB207)),SUMPRODUCT(MAX(('成交明细'!$A$5:$A$804=A207)*('成交明细'!$D$5:$D$804=IF(F207="空","买","卖"))*'成交明细'!$B$5:$B$804)),"")</f>
        <v/>
      </c>
      <c r="AA207" s="40" t="str">
        <f>IF(N(AB207)=0,"",IF(SUMPRODUCT(('成交明细'!$A$5:$A$804=A207)*('成交明细'!$D$5:$D$804=IF(F207="空","卖","买"))*ISNUMBER('成交明细'!$C$5:$C$804))=0,"没填时间",IFERROR(VLOOKUP(MOD(SUMPRODUCT(LARGE(('成交明细'!$A$5:$A$804=A207)*('成交明细'!$D$5:$D$804=IF(F207="空","卖","买"))*('成交明细'!$B$5:$B$804+'成交明细'!$C$5:$C$804),COUNTIFS('成交明细'!$A$5:$A$804,A207,'成交明细'!$D$5:$D$804,IF(F207="空","卖","买")))),1),'参数'!$B$39:$C$48,2,TRUE),"")))</f>
        <v/>
      </c>
      <c r="AB207" s="34" t="str">
        <f>IF(A207="","",SUMIFS('成交明细'!$F$5:$F$804,'成交明细'!$A$5:$A$804,A207,'成交明细'!$D$5:$D$804,IF(F207="空","卖","买")))</f>
        <v/>
      </c>
      <c r="AC207" s="41" t="str">
        <f>IF(N(AB207)&gt;0,SUMIFS('成交明细'!$H$5:$H$804,'成交明细'!$A$5:$A$804,A207,'成交明细'!$D$5:$D$804,IF(F207="空","卖","买"))/AB207,"")</f>
        <v/>
      </c>
      <c r="AD207" s="34" t="str">
        <f>IF(A207="","",SUMIFS('成交明细'!$F$5:$F$804,'成交明细'!$A$5:$A$804,A207,'成交明细'!$D$5:$D$804,IF(F207="空","买","卖")))</f>
        <v/>
      </c>
      <c r="AE207" s="41" t="str">
        <f>IF(N(AD207)&gt;0,SUMIFS('成交明细'!$H$5:$H$804,'成交明细'!$A$5:$A$804,A207,'成交明细'!$D$5:$D$804,IF(F207="空","买","卖"))/AD207,"")</f>
        <v/>
      </c>
      <c r="AF207" s="38" t="str">
        <f>IF(A207="","",IF(X207&lt;&gt;"已执行",IF(X207="","未填执行情况",X207),IF(N(AB207)=0,"待录成交",IF(N(AD207)&gt;N(AB207),"平仓多于开仓",IF(N(AD207)&lt;N(AB207),"持仓中","已平仓")))))</f>
        <v/>
      </c>
      <c r="AG207" s="42" t="str">
        <f>IF(N(AB207)=0,"",SUMIFS('成交明细'!$L$5:$L$804,'成交明细'!$A$5:$A$804,A207))</f>
        <v/>
      </c>
      <c r="AH207" s="43" t="str">
        <f>IF(A207="","",SUMIFS('资金费流水'!$F$5:$F$604,'资金费流水'!$B$5:$B$604,A207))</f>
        <v/>
      </c>
      <c r="AI207" s="43" t="str">
        <f>IF(AF207&lt;&gt;"已平仓","",(SUMIFS('成交明细'!$H$5:$H$804,'成交明细'!$A$5:$A$804,A207,'成交明细'!$D$5:$D$804,"卖")-SUMIFS('成交明细'!$H$5:$H$804,'成交明细'!$A$5:$A$804,A207,'成交明细'!$D$5:$D$804,"买"))*1-AG207+N(AH207))</f>
        <v/>
      </c>
      <c r="AJ207" s="44" t="str">
        <f>IF(AND(AF207="已平仓",ISNUMBER(Q207)),(SUMIFS('成交明细'!$H$5:$H$804,'成交明细'!$A$5:$A$804,A207,'成交明细'!$D$5:$D$804,"卖")-SUMIFS('成交明细'!$H$5:$H$804,'成交明细'!$A$5:$A$804,A207,'成交明细'!$D$5:$D$804,"买"))*1/Q207,"")</f>
        <v/>
      </c>
      <c r="AK207" s="44" t="str">
        <f>IF(AND(AF207="已平仓",ISNUMBER(Q207)),AI207/Q207,"")</f>
        <v/>
      </c>
      <c r="AL207" s="45" t="str">
        <f>IF(AND(ISNUMBER(AC207),ISNUMBER(K207)),IF(F207="空",K207-AC207,AC207-K207),"")</f>
        <v/>
      </c>
      <c r="AM207" s="45" t="str">
        <f>IF(OR(NOT(ISNUMBER(AI207)),NOT(ISNUMBER(AE207))),"",IF(AI207&lt;0,IF(F207="空",AE207-L207,L207-AE207),IF(NOT(ISNUMBER(M207)),"",IF(F207="空",AE207-M207,M207-AE207))))</f>
        <v/>
      </c>
      <c r="AN207" s="31" t="n"/>
      <c r="AO207" s="31" t="n"/>
      <c r="AP207" s="30" t="n"/>
      <c r="AQ207" s="44" t="str">
        <f>IF(A207="","",SUM(AK$5:AK207))</f>
        <v/>
      </c>
      <c r="AR207" s="46" t="str">
        <f>IF(A207="","",MAX(0,MAX(AQ$5:AQ207))-AQ207)</f>
        <v/>
      </c>
    </row>
    <row r="208">
      <c r="A208" s="24" t="n"/>
      <c r="B208" s="29" t="n"/>
      <c r="C208" s="30" t="n"/>
      <c r="D208" s="31" t="n"/>
      <c r="E208" s="31" t="n"/>
      <c r="F208" s="31" t="n"/>
      <c r="G208" s="21" t="n"/>
      <c r="H208" s="31" t="n"/>
      <c r="I208" s="23" t="n"/>
      <c r="J208" s="31" t="n"/>
      <c r="K208" s="32" t="n"/>
      <c r="L208" s="32" t="n"/>
      <c r="M208" s="32" t="n"/>
      <c r="N208" s="33" t="str">
        <f>IF(AND(ISNUMBER(K208),ISNUMBER(L208),ISNUMBER(M208)),IF(OR(AND(F208="多",K208&gt;L208),AND(F208="空",K208&lt;L208)),ABS(M208-K208)/ABS(K208-L208),"止损方向不对"),"")</f>
        <v/>
      </c>
      <c r="O208" s="34" t="str">
        <f>IF(AND(ISNUMBER(K208),ISNUMBER(L208)),IF(K208=L208,"",IF(INT(ROUND('参数'!$C$7/(ABS(K208-L208)*1+2*K208*'参数'!$C$12)/IF(N(J208)&gt;0,J208,1),6))*IF(N(J208)&gt;0,J208,1)&gt;0,INT(ROUND('参数'!$C$7/(ABS(K208-L208)*1+2*K208*'参数'!$C$12)/IF(N(J208)&gt;0,J208,1),6))*IF(N(J208)&gt;0,J208,1),"预算不足，这笔不做")),"")</f>
        <v/>
      </c>
      <c r="P208" s="35" t="n"/>
      <c r="Q208" s="20" t="str">
        <f>IF(AND(ISNUMBER(K208),ISNUMBER(L208),ISNUMBER(P208)),IF(AND(K208&lt;&gt;L208,P208&gt;0),ABS(K208-L208)*P208*1,""),"")</f>
        <v/>
      </c>
      <c r="R208" s="20" t="str">
        <f>IF(AND(ISNUMBER(K208),ISNUMBER(P208)),K208*P208,"")</f>
        <v/>
      </c>
      <c r="S208" s="20" t="str">
        <f>IF(AND(D208="合约",ISNUMBER(R208),N(G208)&gt;0),R208/G208,"")</f>
        <v/>
      </c>
      <c r="T208" s="36" t="str">
        <f>IF(NOT(D208="合约"),"",IF(H208&lt;&gt;"逐仓","看平台",IF(AND(ISNUMBER(K208),N(G208)&gt;0),IF(F208="空",K208*(1+1/G208-IF(ISNUMBER(I208),I208,'参数'!$C$13)),K208*(1-1/G208+IF(ISNUMBER(I208),I208,'参数'!$C$13))),"")))</f>
        <v/>
      </c>
      <c r="U208" s="37" t="str">
        <f>IF(AND(ISNUMBER(T208),ISNUMBER(L208),ISNUMBER(K208)),IF(F208="空",T208-L208,L208-T208)/K208,"")</f>
        <v/>
      </c>
      <c r="V208" s="38" t="str">
        <f>IF(ISNUMBER(U208),IF(U208&lt;'参数'!$C$15,"先降杠杆或减量","在止损外"),"")</f>
        <v/>
      </c>
      <c r="W208" s="30" t="n"/>
      <c r="X208" s="31" t="n"/>
      <c r="Y208" s="39" t="str">
        <f>IF(N(AB208)&gt;0,SUMPRODUCT(LARGE(('成交明细'!$A$5:$A$804=A208)*('成交明细'!$D$5:$D$804=IF(F208="空","卖","买"))*'成交明细'!$B$5:$B$804,COUNTIFS('成交明细'!$A$5:$A$804,A208,'成交明细'!$D$5:$D$804,IF(F208="空","卖","买")))),"")</f>
        <v/>
      </c>
      <c r="Z208" s="39" t="str">
        <f>IF(AND(N(AB208)&gt;0,N(AD208)&gt;=N(AB208)),SUMPRODUCT(MAX(('成交明细'!$A$5:$A$804=A208)*('成交明细'!$D$5:$D$804=IF(F208="空","买","卖"))*'成交明细'!$B$5:$B$804)),"")</f>
        <v/>
      </c>
      <c r="AA208" s="40" t="str">
        <f>IF(N(AB208)=0,"",IF(SUMPRODUCT(('成交明细'!$A$5:$A$804=A208)*('成交明细'!$D$5:$D$804=IF(F208="空","卖","买"))*ISNUMBER('成交明细'!$C$5:$C$804))=0,"没填时间",IFERROR(VLOOKUP(MOD(SUMPRODUCT(LARGE(('成交明细'!$A$5:$A$804=A208)*('成交明细'!$D$5:$D$804=IF(F208="空","卖","买"))*('成交明细'!$B$5:$B$804+'成交明细'!$C$5:$C$804),COUNTIFS('成交明细'!$A$5:$A$804,A208,'成交明细'!$D$5:$D$804,IF(F208="空","卖","买")))),1),'参数'!$B$39:$C$48,2,TRUE),"")))</f>
        <v/>
      </c>
      <c r="AB208" s="34" t="str">
        <f>IF(A208="","",SUMIFS('成交明细'!$F$5:$F$804,'成交明细'!$A$5:$A$804,A208,'成交明细'!$D$5:$D$804,IF(F208="空","卖","买")))</f>
        <v/>
      </c>
      <c r="AC208" s="41" t="str">
        <f>IF(N(AB208)&gt;0,SUMIFS('成交明细'!$H$5:$H$804,'成交明细'!$A$5:$A$804,A208,'成交明细'!$D$5:$D$804,IF(F208="空","卖","买"))/AB208,"")</f>
        <v/>
      </c>
      <c r="AD208" s="34" t="str">
        <f>IF(A208="","",SUMIFS('成交明细'!$F$5:$F$804,'成交明细'!$A$5:$A$804,A208,'成交明细'!$D$5:$D$804,IF(F208="空","买","卖")))</f>
        <v/>
      </c>
      <c r="AE208" s="41" t="str">
        <f>IF(N(AD208)&gt;0,SUMIFS('成交明细'!$H$5:$H$804,'成交明细'!$A$5:$A$804,A208,'成交明细'!$D$5:$D$804,IF(F208="空","买","卖"))/AD208,"")</f>
        <v/>
      </c>
      <c r="AF208" s="38" t="str">
        <f>IF(A208="","",IF(X208&lt;&gt;"已执行",IF(X208="","未填执行情况",X208),IF(N(AB208)=0,"待录成交",IF(N(AD208)&gt;N(AB208),"平仓多于开仓",IF(N(AD208)&lt;N(AB208),"持仓中","已平仓")))))</f>
        <v/>
      </c>
      <c r="AG208" s="42" t="str">
        <f>IF(N(AB208)=0,"",SUMIFS('成交明细'!$L$5:$L$804,'成交明细'!$A$5:$A$804,A208))</f>
        <v/>
      </c>
      <c r="AH208" s="43" t="str">
        <f>IF(A208="","",SUMIFS('资金费流水'!$F$5:$F$604,'资金费流水'!$B$5:$B$604,A208))</f>
        <v/>
      </c>
      <c r="AI208" s="43" t="str">
        <f>IF(AF208&lt;&gt;"已平仓","",(SUMIFS('成交明细'!$H$5:$H$804,'成交明细'!$A$5:$A$804,A208,'成交明细'!$D$5:$D$804,"卖")-SUMIFS('成交明细'!$H$5:$H$804,'成交明细'!$A$5:$A$804,A208,'成交明细'!$D$5:$D$804,"买"))*1-AG208+N(AH208))</f>
        <v/>
      </c>
      <c r="AJ208" s="44" t="str">
        <f>IF(AND(AF208="已平仓",ISNUMBER(Q208)),(SUMIFS('成交明细'!$H$5:$H$804,'成交明细'!$A$5:$A$804,A208,'成交明细'!$D$5:$D$804,"卖")-SUMIFS('成交明细'!$H$5:$H$804,'成交明细'!$A$5:$A$804,A208,'成交明细'!$D$5:$D$804,"买"))*1/Q208,"")</f>
        <v/>
      </c>
      <c r="AK208" s="44" t="str">
        <f>IF(AND(AF208="已平仓",ISNUMBER(Q208)),AI208/Q208,"")</f>
        <v/>
      </c>
      <c r="AL208" s="45" t="str">
        <f>IF(AND(ISNUMBER(AC208),ISNUMBER(K208)),IF(F208="空",K208-AC208,AC208-K208),"")</f>
        <v/>
      </c>
      <c r="AM208" s="45" t="str">
        <f>IF(OR(NOT(ISNUMBER(AI208)),NOT(ISNUMBER(AE208))),"",IF(AI208&lt;0,IF(F208="空",AE208-L208,L208-AE208),IF(NOT(ISNUMBER(M208)),"",IF(F208="空",AE208-M208,M208-AE208))))</f>
        <v/>
      </c>
      <c r="AN208" s="31" t="n"/>
      <c r="AO208" s="31" t="n"/>
      <c r="AP208" s="30" t="n"/>
      <c r="AQ208" s="44" t="str">
        <f>IF(A208="","",SUM(AK$5:AK208))</f>
        <v/>
      </c>
      <c r="AR208" s="46" t="str">
        <f>IF(A208="","",MAX(0,MAX(AQ$5:AQ208))-AQ208)</f>
        <v/>
      </c>
    </row>
    <row r="209">
      <c r="A209" s="24" t="n"/>
      <c r="B209" s="29" t="n"/>
      <c r="C209" s="30" t="n"/>
      <c r="D209" s="31" t="n"/>
      <c r="E209" s="31" t="n"/>
      <c r="F209" s="31" t="n"/>
      <c r="G209" s="21" t="n"/>
      <c r="H209" s="31" t="n"/>
      <c r="I209" s="23" t="n"/>
      <c r="J209" s="31" t="n"/>
      <c r="K209" s="32" t="n"/>
      <c r="L209" s="32" t="n"/>
      <c r="M209" s="32" t="n"/>
      <c r="N209" s="33" t="str">
        <f>IF(AND(ISNUMBER(K209),ISNUMBER(L209),ISNUMBER(M209)),IF(OR(AND(F209="多",K209&gt;L209),AND(F209="空",K209&lt;L209)),ABS(M209-K209)/ABS(K209-L209),"止损方向不对"),"")</f>
        <v/>
      </c>
      <c r="O209" s="34" t="str">
        <f>IF(AND(ISNUMBER(K209),ISNUMBER(L209)),IF(K209=L209,"",IF(INT(ROUND('参数'!$C$7/(ABS(K209-L209)*1+2*K209*'参数'!$C$12)/IF(N(J209)&gt;0,J209,1),6))*IF(N(J209)&gt;0,J209,1)&gt;0,INT(ROUND('参数'!$C$7/(ABS(K209-L209)*1+2*K209*'参数'!$C$12)/IF(N(J209)&gt;0,J209,1),6))*IF(N(J209)&gt;0,J209,1),"预算不足，这笔不做")),"")</f>
        <v/>
      </c>
      <c r="P209" s="35" t="n"/>
      <c r="Q209" s="20" t="str">
        <f>IF(AND(ISNUMBER(K209),ISNUMBER(L209),ISNUMBER(P209)),IF(AND(K209&lt;&gt;L209,P209&gt;0),ABS(K209-L209)*P209*1,""),"")</f>
        <v/>
      </c>
      <c r="R209" s="20" t="str">
        <f>IF(AND(ISNUMBER(K209),ISNUMBER(P209)),K209*P209,"")</f>
        <v/>
      </c>
      <c r="S209" s="20" t="str">
        <f>IF(AND(D209="合约",ISNUMBER(R209),N(G209)&gt;0),R209/G209,"")</f>
        <v/>
      </c>
      <c r="T209" s="36" t="str">
        <f>IF(NOT(D209="合约"),"",IF(H209&lt;&gt;"逐仓","看平台",IF(AND(ISNUMBER(K209),N(G209)&gt;0),IF(F209="空",K209*(1+1/G209-IF(ISNUMBER(I209),I209,'参数'!$C$13)),K209*(1-1/G209+IF(ISNUMBER(I209),I209,'参数'!$C$13))),"")))</f>
        <v/>
      </c>
      <c r="U209" s="37" t="str">
        <f>IF(AND(ISNUMBER(T209),ISNUMBER(L209),ISNUMBER(K209)),IF(F209="空",T209-L209,L209-T209)/K209,"")</f>
        <v/>
      </c>
      <c r="V209" s="38" t="str">
        <f>IF(ISNUMBER(U209),IF(U209&lt;'参数'!$C$15,"先降杠杆或减量","在止损外"),"")</f>
        <v/>
      </c>
      <c r="W209" s="30" t="n"/>
      <c r="X209" s="31" t="n"/>
      <c r="Y209" s="39" t="str">
        <f>IF(N(AB209)&gt;0,SUMPRODUCT(LARGE(('成交明细'!$A$5:$A$804=A209)*('成交明细'!$D$5:$D$804=IF(F209="空","卖","买"))*'成交明细'!$B$5:$B$804,COUNTIFS('成交明细'!$A$5:$A$804,A209,'成交明细'!$D$5:$D$804,IF(F209="空","卖","买")))),"")</f>
        <v/>
      </c>
      <c r="Z209" s="39" t="str">
        <f>IF(AND(N(AB209)&gt;0,N(AD209)&gt;=N(AB209)),SUMPRODUCT(MAX(('成交明细'!$A$5:$A$804=A209)*('成交明细'!$D$5:$D$804=IF(F209="空","买","卖"))*'成交明细'!$B$5:$B$804)),"")</f>
        <v/>
      </c>
      <c r="AA209" s="40" t="str">
        <f>IF(N(AB209)=0,"",IF(SUMPRODUCT(('成交明细'!$A$5:$A$804=A209)*('成交明细'!$D$5:$D$804=IF(F209="空","卖","买"))*ISNUMBER('成交明细'!$C$5:$C$804))=0,"没填时间",IFERROR(VLOOKUP(MOD(SUMPRODUCT(LARGE(('成交明细'!$A$5:$A$804=A209)*('成交明细'!$D$5:$D$804=IF(F209="空","卖","买"))*('成交明细'!$B$5:$B$804+'成交明细'!$C$5:$C$804),COUNTIFS('成交明细'!$A$5:$A$804,A209,'成交明细'!$D$5:$D$804,IF(F209="空","卖","买")))),1),'参数'!$B$39:$C$48,2,TRUE),"")))</f>
        <v/>
      </c>
      <c r="AB209" s="34" t="str">
        <f>IF(A209="","",SUMIFS('成交明细'!$F$5:$F$804,'成交明细'!$A$5:$A$804,A209,'成交明细'!$D$5:$D$804,IF(F209="空","卖","买")))</f>
        <v/>
      </c>
      <c r="AC209" s="41" t="str">
        <f>IF(N(AB209)&gt;0,SUMIFS('成交明细'!$H$5:$H$804,'成交明细'!$A$5:$A$804,A209,'成交明细'!$D$5:$D$804,IF(F209="空","卖","买"))/AB209,"")</f>
        <v/>
      </c>
      <c r="AD209" s="34" t="str">
        <f>IF(A209="","",SUMIFS('成交明细'!$F$5:$F$804,'成交明细'!$A$5:$A$804,A209,'成交明细'!$D$5:$D$804,IF(F209="空","买","卖")))</f>
        <v/>
      </c>
      <c r="AE209" s="41" t="str">
        <f>IF(N(AD209)&gt;0,SUMIFS('成交明细'!$H$5:$H$804,'成交明细'!$A$5:$A$804,A209,'成交明细'!$D$5:$D$804,IF(F209="空","买","卖"))/AD209,"")</f>
        <v/>
      </c>
      <c r="AF209" s="38" t="str">
        <f>IF(A209="","",IF(X209&lt;&gt;"已执行",IF(X209="","未填执行情况",X209),IF(N(AB209)=0,"待录成交",IF(N(AD209)&gt;N(AB209),"平仓多于开仓",IF(N(AD209)&lt;N(AB209),"持仓中","已平仓")))))</f>
        <v/>
      </c>
      <c r="AG209" s="42" t="str">
        <f>IF(N(AB209)=0,"",SUMIFS('成交明细'!$L$5:$L$804,'成交明细'!$A$5:$A$804,A209))</f>
        <v/>
      </c>
      <c r="AH209" s="43" t="str">
        <f>IF(A209="","",SUMIFS('资金费流水'!$F$5:$F$604,'资金费流水'!$B$5:$B$604,A209))</f>
        <v/>
      </c>
      <c r="AI209" s="43" t="str">
        <f>IF(AF209&lt;&gt;"已平仓","",(SUMIFS('成交明细'!$H$5:$H$804,'成交明细'!$A$5:$A$804,A209,'成交明细'!$D$5:$D$804,"卖")-SUMIFS('成交明细'!$H$5:$H$804,'成交明细'!$A$5:$A$804,A209,'成交明细'!$D$5:$D$804,"买"))*1-AG209+N(AH209))</f>
        <v/>
      </c>
      <c r="AJ209" s="44" t="str">
        <f>IF(AND(AF209="已平仓",ISNUMBER(Q209)),(SUMIFS('成交明细'!$H$5:$H$804,'成交明细'!$A$5:$A$804,A209,'成交明细'!$D$5:$D$804,"卖")-SUMIFS('成交明细'!$H$5:$H$804,'成交明细'!$A$5:$A$804,A209,'成交明细'!$D$5:$D$804,"买"))*1/Q209,"")</f>
        <v/>
      </c>
      <c r="AK209" s="44" t="str">
        <f>IF(AND(AF209="已平仓",ISNUMBER(Q209)),AI209/Q209,"")</f>
        <v/>
      </c>
      <c r="AL209" s="45" t="str">
        <f>IF(AND(ISNUMBER(AC209),ISNUMBER(K209)),IF(F209="空",K209-AC209,AC209-K209),"")</f>
        <v/>
      </c>
      <c r="AM209" s="45" t="str">
        <f>IF(OR(NOT(ISNUMBER(AI209)),NOT(ISNUMBER(AE209))),"",IF(AI209&lt;0,IF(F209="空",AE209-L209,L209-AE209),IF(NOT(ISNUMBER(M209)),"",IF(F209="空",AE209-M209,M209-AE209))))</f>
        <v/>
      </c>
      <c r="AN209" s="31" t="n"/>
      <c r="AO209" s="31" t="n"/>
      <c r="AP209" s="30" t="n"/>
      <c r="AQ209" s="44" t="str">
        <f>IF(A209="","",SUM(AK$5:AK209))</f>
        <v/>
      </c>
      <c r="AR209" s="46" t="str">
        <f>IF(A209="","",MAX(0,MAX(AQ$5:AQ209))-AQ209)</f>
        <v/>
      </c>
    </row>
    <row r="210">
      <c r="A210" s="24" t="n"/>
      <c r="B210" s="29" t="n"/>
      <c r="C210" s="30" t="n"/>
      <c r="D210" s="31" t="n"/>
      <c r="E210" s="31" t="n"/>
      <c r="F210" s="31" t="n"/>
      <c r="G210" s="21" t="n"/>
      <c r="H210" s="31" t="n"/>
      <c r="I210" s="23" t="n"/>
      <c r="J210" s="31" t="n"/>
      <c r="K210" s="32" t="n"/>
      <c r="L210" s="32" t="n"/>
      <c r="M210" s="32" t="n"/>
      <c r="N210" s="33" t="str">
        <f>IF(AND(ISNUMBER(K210),ISNUMBER(L210),ISNUMBER(M210)),IF(OR(AND(F210="多",K210&gt;L210),AND(F210="空",K210&lt;L210)),ABS(M210-K210)/ABS(K210-L210),"止损方向不对"),"")</f>
        <v/>
      </c>
      <c r="O210" s="34" t="str">
        <f>IF(AND(ISNUMBER(K210),ISNUMBER(L210)),IF(K210=L210,"",IF(INT(ROUND('参数'!$C$7/(ABS(K210-L210)*1+2*K210*'参数'!$C$12)/IF(N(J210)&gt;0,J210,1),6))*IF(N(J210)&gt;0,J210,1)&gt;0,INT(ROUND('参数'!$C$7/(ABS(K210-L210)*1+2*K210*'参数'!$C$12)/IF(N(J210)&gt;0,J210,1),6))*IF(N(J210)&gt;0,J210,1),"预算不足，这笔不做")),"")</f>
        <v/>
      </c>
      <c r="P210" s="35" t="n"/>
      <c r="Q210" s="20" t="str">
        <f>IF(AND(ISNUMBER(K210),ISNUMBER(L210),ISNUMBER(P210)),IF(AND(K210&lt;&gt;L210,P210&gt;0),ABS(K210-L210)*P210*1,""),"")</f>
        <v/>
      </c>
      <c r="R210" s="20" t="str">
        <f>IF(AND(ISNUMBER(K210),ISNUMBER(P210)),K210*P210,"")</f>
        <v/>
      </c>
      <c r="S210" s="20" t="str">
        <f>IF(AND(D210="合约",ISNUMBER(R210),N(G210)&gt;0),R210/G210,"")</f>
        <v/>
      </c>
      <c r="T210" s="36" t="str">
        <f>IF(NOT(D210="合约"),"",IF(H210&lt;&gt;"逐仓","看平台",IF(AND(ISNUMBER(K210),N(G210)&gt;0),IF(F210="空",K210*(1+1/G210-IF(ISNUMBER(I210),I210,'参数'!$C$13)),K210*(1-1/G210+IF(ISNUMBER(I210),I210,'参数'!$C$13))),"")))</f>
        <v/>
      </c>
      <c r="U210" s="37" t="str">
        <f>IF(AND(ISNUMBER(T210),ISNUMBER(L210),ISNUMBER(K210)),IF(F210="空",T210-L210,L210-T210)/K210,"")</f>
        <v/>
      </c>
      <c r="V210" s="38" t="str">
        <f>IF(ISNUMBER(U210),IF(U210&lt;'参数'!$C$15,"先降杠杆或减量","在止损外"),"")</f>
        <v/>
      </c>
      <c r="W210" s="30" t="n"/>
      <c r="X210" s="31" t="n"/>
      <c r="Y210" s="39" t="str">
        <f>IF(N(AB210)&gt;0,SUMPRODUCT(LARGE(('成交明细'!$A$5:$A$804=A210)*('成交明细'!$D$5:$D$804=IF(F210="空","卖","买"))*'成交明细'!$B$5:$B$804,COUNTIFS('成交明细'!$A$5:$A$804,A210,'成交明细'!$D$5:$D$804,IF(F210="空","卖","买")))),"")</f>
        <v/>
      </c>
      <c r="Z210" s="39" t="str">
        <f>IF(AND(N(AB210)&gt;0,N(AD210)&gt;=N(AB210)),SUMPRODUCT(MAX(('成交明细'!$A$5:$A$804=A210)*('成交明细'!$D$5:$D$804=IF(F210="空","买","卖"))*'成交明细'!$B$5:$B$804)),"")</f>
        <v/>
      </c>
      <c r="AA210" s="40" t="str">
        <f>IF(N(AB210)=0,"",IF(SUMPRODUCT(('成交明细'!$A$5:$A$804=A210)*('成交明细'!$D$5:$D$804=IF(F210="空","卖","买"))*ISNUMBER('成交明细'!$C$5:$C$804))=0,"没填时间",IFERROR(VLOOKUP(MOD(SUMPRODUCT(LARGE(('成交明细'!$A$5:$A$804=A210)*('成交明细'!$D$5:$D$804=IF(F210="空","卖","买"))*('成交明细'!$B$5:$B$804+'成交明细'!$C$5:$C$804),COUNTIFS('成交明细'!$A$5:$A$804,A210,'成交明细'!$D$5:$D$804,IF(F210="空","卖","买")))),1),'参数'!$B$39:$C$48,2,TRUE),"")))</f>
        <v/>
      </c>
      <c r="AB210" s="34" t="str">
        <f>IF(A210="","",SUMIFS('成交明细'!$F$5:$F$804,'成交明细'!$A$5:$A$804,A210,'成交明细'!$D$5:$D$804,IF(F210="空","卖","买")))</f>
        <v/>
      </c>
      <c r="AC210" s="41" t="str">
        <f>IF(N(AB210)&gt;0,SUMIFS('成交明细'!$H$5:$H$804,'成交明细'!$A$5:$A$804,A210,'成交明细'!$D$5:$D$804,IF(F210="空","卖","买"))/AB210,"")</f>
        <v/>
      </c>
      <c r="AD210" s="34" t="str">
        <f>IF(A210="","",SUMIFS('成交明细'!$F$5:$F$804,'成交明细'!$A$5:$A$804,A210,'成交明细'!$D$5:$D$804,IF(F210="空","买","卖")))</f>
        <v/>
      </c>
      <c r="AE210" s="41" t="str">
        <f>IF(N(AD210)&gt;0,SUMIFS('成交明细'!$H$5:$H$804,'成交明细'!$A$5:$A$804,A210,'成交明细'!$D$5:$D$804,IF(F210="空","买","卖"))/AD210,"")</f>
        <v/>
      </c>
      <c r="AF210" s="38" t="str">
        <f>IF(A210="","",IF(X210&lt;&gt;"已执行",IF(X210="","未填执行情况",X210),IF(N(AB210)=0,"待录成交",IF(N(AD210)&gt;N(AB210),"平仓多于开仓",IF(N(AD210)&lt;N(AB210),"持仓中","已平仓")))))</f>
        <v/>
      </c>
      <c r="AG210" s="42" t="str">
        <f>IF(N(AB210)=0,"",SUMIFS('成交明细'!$L$5:$L$804,'成交明细'!$A$5:$A$804,A210))</f>
        <v/>
      </c>
      <c r="AH210" s="43" t="str">
        <f>IF(A210="","",SUMIFS('资金费流水'!$F$5:$F$604,'资金费流水'!$B$5:$B$604,A210))</f>
        <v/>
      </c>
      <c r="AI210" s="43" t="str">
        <f>IF(AF210&lt;&gt;"已平仓","",(SUMIFS('成交明细'!$H$5:$H$804,'成交明细'!$A$5:$A$804,A210,'成交明细'!$D$5:$D$804,"卖")-SUMIFS('成交明细'!$H$5:$H$804,'成交明细'!$A$5:$A$804,A210,'成交明细'!$D$5:$D$804,"买"))*1-AG210+N(AH210))</f>
        <v/>
      </c>
      <c r="AJ210" s="44" t="str">
        <f>IF(AND(AF210="已平仓",ISNUMBER(Q210)),(SUMIFS('成交明细'!$H$5:$H$804,'成交明细'!$A$5:$A$804,A210,'成交明细'!$D$5:$D$804,"卖")-SUMIFS('成交明细'!$H$5:$H$804,'成交明细'!$A$5:$A$804,A210,'成交明细'!$D$5:$D$804,"买"))*1/Q210,"")</f>
        <v/>
      </c>
      <c r="AK210" s="44" t="str">
        <f>IF(AND(AF210="已平仓",ISNUMBER(Q210)),AI210/Q210,"")</f>
        <v/>
      </c>
      <c r="AL210" s="45" t="str">
        <f>IF(AND(ISNUMBER(AC210),ISNUMBER(K210)),IF(F210="空",K210-AC210,AC210-K210),"")</f>
        <v/>
      </c>
      <c r="AM210" s="45" t="str">
        <f>IF(OR(NOT(ISNUMBER(AI210)),NOT(ISNUMBER(AE210))),"",IF(AI210&lt;0,IF(F210="空",AE210-L210,L210-AE210),IF(NOT(ISNUMBER(M210)),"",IF(F210="空",AE210-M210,M210-AE210))))</f>
        <v/>
      </c>
      <c r="AN210" s="31" t="n"/>
      <c r="AO210" s="31" t="n"/>
      <c r="AP210" s="30" t="n"/>
      <c r="AQ210" s="44" t="str">
        <f>IF(A210="","",SUM(AK$5:AK210))</f>
        <v/>
      </c>
      <c r="AR210" s="46" t="str">
        <f>IF(A210="","",MAX(0,MAX(AQ$5:AQ210))-AQ210)</f>
        <v/>
      </c>
    </row>
    <row r="211">
      <c r="A211" s="24" t="n"/>
      <c r="B211" s="29" t="n"/>
      <c r="C211" s="30" t="n"/>
      <c r="D211" s="31" t="n"/>
      <c r="E211" s="31" t="n"/>
      <c r="F211" s="31" t="n"/>
      <c r="G211" s="21" t="n"/>
      <c r="H211" s="31" t="n"/>
      <c r="I211" s="23" t="n"/>
      <c r="J211" s="31" t="n"/>
      <c r="K211" s="32" t="n"/>
      <c r="L211" s="32" t="n"/>
      <c r="M211" s="32" t="n"/>
      <c r="N211" s="33" t="str">
        <f>IF(AND(ISNUMBER(K211),ISNUMBER(L211),ISNUMBER(M211)),IF(OR(AND(F211="多",K211&gt;L211),AND(F211="空",K211&lt;L211)),ABS(M211-K211)/ABS(K211-L211),"止损方向不对"),"")</f>
        <v/>
      </c>
      <c r="O211" s="34" t="str">
        <f>IF(AND(ISNUMBER(K211),ISNUMBER(L211)),IF(K211=L211,"",IF(INT(ROUND('参数'!$C$7/(ABS(K211-L211)*1+2*K211*'参数'!$C$12)/IF(N(J211)&gt;0,J211,1),6))*IF(N(J211)&gt;0,J211,1)&gt;0,INT(ROUND('参数'!$C$7/(ABS(K211-L211)*1+2*K211*'参数'!$C$12)/IF(N(J211)&gt;0,J211,1),6))*IF(N(J211)&gt;0,J211,1),"预算不足，这笔不做")),"")</f>
        <v/>
      </c>
      <c r="P211" s="35" t="n"/>
      <c r="Q211" s="20" t="str">
        <f>IF(AND(ISNUMBER(K211),ISNUMBER(L211),ISNUMBER(P211)),IF(AND(K211&lt;&gt;L211,P211&gt;0),ABS(K211-L211)*P211*1,""),"")</f>
        <v/>
      </c>
      <c r="R211" s="20" t="str">
        <f>IF(AND(ISNUMBER(K211),ISNUMBER(P211)),K211*P211,"")</f>
        <v/>
      </c>
      <c r="S211" s="20" t="str">
        <f>IF(AND(D211="合约",ISNUMBER(R211),N(G211)&gt;0),R211/G211,"")</f>
        <v/>
      </c>
      <c r="T211" s="36" t="str">
        <f>IF(NOT(D211="合约"),"",IF(H211&lt;&gt;"逐仓","看平台",IF(AND(ISNUMBER(K211),N(G211)&gt;0),IF(F211="空",K211*(1+1/G211-IF(ISNUMBER(I211),I211,'参数'!$C$13)),K211*(1-1/G211+IF(ISNUMBER(I211),I211,'参数'!$C$13))),"")))</f>
        <v/>
      </c>
      <c r="U211" s="37" t="str">
        <f>IF(AND(ISNUMBER(T211),ISNUMBER(L211),ISNUMBER(K211)),IF(F211="空",T211-L211,L211-T211)/K211,"")</f>
        <v/>
      </c>
      <c r="V211" s="38" t="str">
        <f>IF(ISNUMBER(U211),IF(U211&lt;'参数'!$C$15,"先降杠杆或减量","在止损外"),"")</f>
        <v/>
      </c>
      <c r="W211" s="30" t="n"/>
      <c r="X211" s="31" t="n"/>
      <c r="Y211" s="39" t="str">
        <f>IF(N(AB211)&gt;0,SUMPRODUCT(LARGE(('成交明细'!$A$5:$A$804=A211)*('成交明细'!$D$5:$D$804=IF(F211="空","卖","买"))*'成交明细'!$B$5:$B$804,COUNTIFS('成交明细'!$A$5:$A$804,A211,'成交明细'!$D$5:$D$804,IF(F211="空","卖","买")))),"")</f>
        <v/>
      </c>
      <c r="Z211" s="39" t="str">
        <f>IF(AND(N(AB211)&gt;0,N(AD211)&gt;=N(AB211)),SUMPRODUCT(MAX(('成交明细'!$A$5:$A$804=A211)*('成交明细'!$D$5:$D$804=IF(F211="空","买","卖"))*'成交明细'!$B$5:$B$804)),"")</f>
        <v/>
      </c>
      <c r="AA211" s="40" t="str">
        <f>IF(N(AB211)=0,"",IF(SUMPRODUCT(('成交明细'!$A$5:$A$804=A211)*('成交明细'!$D$5:$D$804=IF(F211="空","卖","买"))*ISNUMBER('成交明细'!$C$5:$C$804))=0,"没填时间",IFERROR(VLOOKUP(MOD(SUMPRODUCT(LARGE(('成交明细'!$A$5:$A$804=A211)*('成交明细'!$D$5:$D$804=IF(F211="空","卖","买"))*('成交明细'!$B$5:$B$804+'成交明细'!$C$5:$C$804),COUNTIFS('成交明细'!$A$5:$A$804,A211,'成交明细'!$D$5:$D$804,IF(F211="空","卖","买")))),1),'参数'!$B$39:$C$48,2,TRUE),"")))</f>
        <v/>
      </c>
      <c r="AB211" s="34" t="str">
        <f>IF(A211="","",SUMIFS('成交明细'!$F$5:$F$804,'成交明细'!$A$5:$A$804,A211,'成交明细'!$D$5:$D$804,IF(F211="空","卖","买")))</f>
        <v/>
      </c>
      <c r="AC211" s="41" t="str">
        <f>IF(N(AB211)&gt;0,SUMIFS('成交明细'!$H$5:$H$804,'成交明细'!$A$5:$A$804,A211,'成交明细'!$D$5:$D$804,IF(F211="空","卖","买"))/AB211,"")</f>
        <v/>
      </c>
      <c r="AD211" s="34" t="str">
        <f>IF(A211="","",SUMIFS('成交明细'!$F$5:$F$804,'成交明细'!$A$5:$A$804,A211,'成交明细'!$D$5:$D$804,IF(F211="空","买","卖")))</f>
        <v/>
      </c>
      <c r="AE211" s="41" t="str">
        <f>IF(N(AD211)&gt;0,SUMIFS('成交明细'!$H$5:$H$804,'成交明细'!$A$5:$A$804,A211,'成交明细'!$D$5:$D$804,IF(F211="空","买","卖"))/AD211,"")</f>
        <v/>
      </c>
      <c r="AF211" s="38" t="str">
        <f>IF(A211="","",IF(X211&lt;&gt;"已执行",IF(X211="","未填执行情况",X211),IF(N(AB211)=0,"待录成交",IF(N(AD211)&gt;N(AB211),"平仓多于开仓",IF(N(AD211)&lt;N(AB211),"持仓中","已平仓")))))</f>
        <v/>
      </c>
      <c r="AG211" s="42" t="str">
        <f>IF(N(AB211)=0,"",SUMIFS('成交明细'!$L$5:$L$804,'成交明细'!$A$5:$A$804,A211))</f>
        <v/>
      </c>
      <c r="AH211" s="43" t="str">
        <f>IF(A211="","",SUMIFS('资金费流水'!$F$5:$F$604,'资金费流水'!$B$5:$B$604,A211))</f>
        <v/>
      </c>
      <c r="AI211" s="43" t="str">
        <f>IF(AF211&lt;&gt;"已平仓","",(SUMIFS('成交明细'!$H$5:$H$804,'成交明细'!$A$5:$A$804,A211,'成交明细'!$D$5:$D$804,"卖")-SUMIFS('成交明细'!$H$5:$H$804,'成交明细'!$A$5:$A$804,A211,'成交明细'!$D$5:$D$804,"买"))*1-AG211+N(AH211))</f>
        <v/>
      </c>
      <c r="AJ211" s="44" t="str">
        <f>IF(AND(AF211="已平仓",ISNUMBER(Q211)),(SUMIFS('成交明细'!$H$5:$H$804,'成交明细'!$A$5:$A$804,A211,'成交明细'!$D$5:$D$804,"卖")-SUMIFS('成交明细'!$H$5:$H$804,'成交明细'!$A$5:$A$804,A211,'成交明细'!$D$5:$D$804,"买"))*1/Q211,"")</f>
        <v/>
      </c>
      <c r="AK211" s="44" t="str">
        <f>IF(AND(AF211="已平仓",ISNUMBER(Q211)),AI211/Q211,"")</f>
        <v/>
      </c>
      <c r="AL211" s="45" t="str">
        <f>IF(AND(ISNUMBER(AC211),ISNUMBER(K211)),IF(F211="空",K211-AC211,AC211-K211),"")</f>
        <v/>
      </c>
      <c r="AM211" s="45" t="str">
        <f>IF(OR(NOT(ISNUMBER(AI211)),NOT(ISNUMBER(AE211))),"",IF(AI211&lt;0,IF(F211="空",AE211-L211,L211-AE211),IF(NOT(ISNUMBER(M211)),"",IF(F211="空",AE211-M211,M211-AE211))))</f>
        <v/>
      </c>
      <c r="AN211" s="31" t="n"/>
      <c r="AO211" s="31" t="n"/>
      <c r="AP211" s="30" t="n"/>
      <c r="AQ211" s="44" t="str">
        <f>IF(A211="","",SUM(AK$5:AK211))</f>
        <v/>
      </c>
      <c r="AR211" s="46" t="str">
        <f>IF(A211="","",MAX(0,MAX(AQ$5:AQ211))-AQ211)</f>
        <v/>
      </c>
    </row>
    <row r="212">
      <c r="A212" s="24" t="n"/>
      <c r="B212" s="29" t="n"/>
      <c r="C212" s="30" t="n"/>
      <c r="D212" s="31" t="n"/>
      <c r="E212" s="31" t="n"/>
      <c r="F212" s="31" t="n"/>
      <c r="G212" s="21" t="n"/>
      <c r="H212" s="31" t="n"/>
      <c r="I212" s="23" t="n"/>
      <c r="J212" s="31" t="n"/>
      <c r="K212" s="32" t="n"/>
      <c r="L212" s="32" t="n"/>
      <c r="M212" s="32" t="n"/>
      <c r="N212" s="33" t="str">
        <f>IF(AND(ISNUMBER(K212),ISNUMBER(L212),ISNUMBER(M212)),IF(OR(AND(F212="多",K212&gt;L212),AND(F212="空",K212&lt;L212)),ABS(M212-K212)/ABS(K212-L212),"止损方向不对"),"")</f>
        <v/>
      </c>
      <c r="O212" s="34" t="str">
        <f>IF(AND(ISNUMBER(K212),ISNUMBER(L212)),IF(K212=L212,"",IF(INT(ROUND('参数'!$C$7/(ABS(K212-L212)*1+2*K212*'参数'!$C$12)/IF(N(J212)&gt;0,J212,1),6))*IF(N(J212)&gt;0,J212,1)&gt;0,INT(ROUND('参数'!$C$7/(ABS(K212-L212)*1+2*K212*'参数'!$C$12)/IF(N(J212)&gt;0,J212,1),6))*IF(N(J212)&gt;0,J212,1),"预算不足，这笔不做")),"")</f>
        <v/>
      </c>
      <c r="P212" s="35" t="n"/>
      <c r="Q212" s="20" t="str">
        <f>IF(AND(ISNUMBER(K212),ISNUMBER(L212),ISNUMBER(P212)),IF(AND(K212&lt;&gt;L212,P212&gt;0),ABS(K212-L212)*P212*1,""),"")</f>
        <v/>
      </c>
      <c r="R212" s="20" t="str">
        <f>IF(AND(ISNUMBER(K212),ISNUMBER(P212)),K212*P212,"")</f>
        <v/>
      </c>
      <c r="S212" s="20" t="str">
        <f>IF(AND(D212="合约",ISNUMBER(R212),N(G212)&gt;0),R212/G212,"")</f>
        <v/>
      </c>
      <c r="T212" s="36" t="str">
        <f>IF(NOT(D212="合约"),"",IF(H212&lt;&gt;"逐仓","看平台",IF(AND(ISNUMBER(K212),N(G212)&gt;0),IF(F212="空",K212*(1+1/G212-IF(ISNUMBER(I212),I212,'参数'!$C$13)),K212*(1-1/G212+IF(ISNUMBER(I212),I212,'参数'!$C$13))),"")))</f>
        <v/>
      </c>
      <c r="U212" s="37" t="str">
        <f>IF(AND(ISNUMBER(T212),ISNUMBER(L212),ISNUMBER(K212)),IF(F212="空",T212-L212,L212-T212)/K212,"")</f>
        <v/>
      </c>
      <c r="V212" s="38" t="str">
        <f>IF(ISNUMBER(U212),IF(U212&lt;'参数'!$C$15,"先降杠杆或减量","在止损外"),"")</f>
        <v/>
      </c>
      <c r="W212" s="30" t="n"/>
      <c r="X212" s="31" t="n"/>
      <c r="Y212" s="39" t="str">
        <f>IF(N(AB212)&gt;0,SUMPRODUCT(LARGE(('成交明细'!$A$5:$A$804=A212)*('成交明细'!$D$5:$D$804=IF(F212="空","卖","买"))*'成交明细'!$B$5:$B$804,COUNTIFS('成交明细'!$A$5:$A$804,A212,'成交明细'!$D$5:$D$804,IF(F212="空","卖","买")))),"")</f>
        <v/>
      </c>
      <c r="Z212" s="39" t="str">
        <f>IF(AND(N(AB212)&gt;0,N(AD212)&gt;=N(AB212)),SUMPRODUCT(MAX(('成交明细'!$A$5:$A$804=A212)*('成交明细'!$D$5:$D$804=IF(F212="空","买","卖"))*'成交明细'!$B$5:$B$804)),"")</f>
        <v/>
      </c>
      <c r="AA212" s="40" t="str">
        <f>IF(N(AB212)=0,"",IF(SUMPRODUCT(('成交明细'!$A$5:$A$804=A212)*('成交明细'!$D$5:$D$804=IF(F212="空","卖","买"))*ISNUMBER('成交明细'!$C$5:$C$804))=0,"没填时间",IFERROR(VLOOKUP(MOD(SUMPRODUCT(LARGE(('成交明细'!$A$5:$A$804=A212)*('成交明细'!$D$5:$D$804=IF(F212="空","卖","买"))*('成交明细'!$B$5:$B$804+'成交明细'!$C$5:$C$804),COUNTIFS('成交明细'!$A$5:$A$804,A212,'成交明细'!$D$5:$D$804,IF(F212="空","卖","买")))),1),'参数'!$B$39:$C$48,2,TRUE),"")))</f>
        <v/>
      </c>
      <c r="AB212" s="34" t="str">
        <f>IF(A212="","",SUMIFS('成交明细'!$F$5:$F$804,'成交明细'!$A$5:$A$804,A212,'成交明细'!$D$5:$D$804,IF(F212="空","卖","买")))</f>
        <v/>
      </c>
      <c r="AC212" s="41" t="str">
        <f>IF(N(AB212)&gt;0,SUMIFS('成交明细'!$H$5:$H$804,'成交明细'!$A$5:$A$804,A212,'成交明细'!$D$5:$D$804,IF(F212="空","卖","买"))/AB212,"")</f>
        <v/>
      </c>
      <c r="AD212" s="34" t="str">
        <f>IF(A212="","",SUMIFS('成交明细'!$F$5:$F$804,'成交明细'!$A$5:$A$804,A212,'成交明细'!$D$5:$D$804,IF(F212="空","买","卖")))</f>
        <v/>
      </c>
      <c r="AE212" s="41" t="str">
        <f>IF(N(AD212)&gt;0,SUMIFS('成交明细'!$H$5:$H$804,'成交明细'!$A$5:$A$804,A212,'成交明细'!$D$5:$D$804,IF(F212="空","买","卖"))/AD212,"")</f>
        <v/>
      </c>
      <c r="AF212" s="38" t="str">
        <f>IF(A212="","",IF(X212&lt;&gt;"已执行",IF(X212="","未填执行情况",X212),IF(N(AB212)=0,"待录成交",IF(N(AD212)&gt;N(AB212),"平仓多于开仓",IF(N(AD212)&lt;N(AB212),"持仓中","已平仓")))))</f>
        <v/>
      </c>
      <c r="AG212" s="42" t="str">
        <f>IF(N(AB212)=0,"",SUMIFS('成交明细'!$L$5:$L$804,'成交明细'!$A$5:$A$804,A212))</f>
        <v/>
      </c>
      <c r="AH212" s="43" t="str">
        <f>IF(A212="","",SUMIFS('资金费流水'!$F$5:$F$604,'资金费流水'!$B$5:$B$604,A212))</f>
        <v/>
      </c>
      <c r="AI212" s="43" t="str">
        <f>IF(AF212&lt;&gt;"已平仓","",(SUMIFS('成交明细'!$H$5:$H$804,'成交明细'!$A$5:$A$804,A212,'成交明细'!$D$5:$D$804,"卖")-SUMIFS('成交明细'!$H$5:$H$804,'成交明细'!$A$5:$A$804,A212,'成交明细'!$D$5:$D$804,"买"))*1-AG212+N(AH212))</f>
        <v/>
      </c>
      <c r="AJ212" s="44" t="str">
        <f>IF(AND(AF212="已平仓",ISNUMBER(Q212)),(SUMIFS('成交明细'!$H$5:$H$804,'成交明细'!$A$5:$A$804,A212,'成交明细'!$D$5:$D$804,"卖")-SUMIFS('成交明细'!$H$5:$H$804,'成交明细'!$A$5:$A$804,A212,'成交明细'!$D$5:$D$804,"买"))*1/Q212,"")</f>
        <v/>
      </c>
      <c r="AK212" s="44" t="str">
        <f>IF(AND(AF212="已平仓",ISNUMBER(Q212)),AI212/Q212,"")</f>
        <v/>
      </c>
      <c r="AL212" s="45" t="str">
        <f>IF(AND(ISNUMBER(AC212),ISNUMBER(K212)),IF(F212="空",K212-AC212,AC212-K212),"")</f>
        <v/>
      </c>
      <c r="AM212" s="45" t="str">
        <f>IF(OR(NOT(ISNUMBER(AI212)),NOT(ISNUMBER(AE212))),"",IF(AI212&lt;0,IF(F212="空",AE212-L212,L212-AE212),IF(NOT(ISNUMBER(M212)),"",IF(F212="空",AE212-M212,M212-AE212))))</f>
        <v/>
      </c>
      <c r="AN212" s="31" t="n"/>
      <c r="AO212" s="31" t="n"/>
      <c r="AP212" s="30" t="n"/>
      <c r="AQ212" s="44" t="str">
        <f>IF(A212="","",SUM(AK$5:AK212))</f>
        <v/>
      </c>
      <c r="AR212" s="46" t="str">
        <f>IF(A212="","",MAX(0,MAX(AQ$5:AQ212))-AQ212)</f>
        <v/>
      </c>
    </row>
    <row r="213">
      <c r="A213" s="24" t="n"/>
      <c r="B213" s="29" t="n"/>
      <c r="C213" s="30" t="n"/>
      <c r="D213" s="31" t="n"/>
      <c r="E213" s="31" t="n"/>
      <c r="F213" s="31" t="n"/>
      <c r="G213" s="21" t="n"/>
      <c r="H213" s="31" t="n"/>
      <c r="I213" s="23" t="n"/>
      <c r="J213" s="31" t="n"/>
      <c r="K213" s="32" t="n"/>
      <c r="L213" s="32" t="n"/>
      <c r="M213" s="32" t="n"/>
      <c r="N213" s="33" t="str">
        <f>IF(AND(ISNUMBER(K213),ISNUMBER(L213),ISNUMBER(M213)),IF(OR(AND(F213="多",K213&gt;L213),AND(F213="空",K213&lt;L213)),ABS(M213-K213)/ABS(K213-L213),"止损方向不对"),"")</f>
        <v/>
      </c>
      <c r="O213" s="34" t="str">
        <f>IF(AND(ISNUMBER(K213),ISNUMBER(L213)),IF(K213=L213,"",IF(INT(ROUND('参数'!$C$7/(ABS(K213-L213)*1+2*K213*'参数'!$C$12)/IF(N(J213)&gt;0,J213,1),6))*IF(N(J213)&gt;0,J213,1)&gt;0,INT(ROUND('参数'!$C$7/(ABS(K213-L213)*1+2*K213*'参数'!$C$12)/IF(N(J213)&gt;0,J213,1),6))*IF(N(J213)&gt;0,J213,1),"预算不足，这笔不做")),"")</f>
        <v/>
      </c>
      <c r="P213" s="35" t="n"/>
      <c r="Q213" s="20" t="str">
        <f>IF(AND(ISNUMBER(K213),ISNUMBER(L213),ISNUMBER(P213)),IF(AND(K213&lt;&gt;L213,P213&gt;0),ABS(K213-L213)*P213*1,""),"")</f>
        <v/>
      </c>
      <c r="R213" s="20" t="str">
        <f>IF(AND(ISNUMBER(K213),ISNUMBER(P213)),K213*P213,"")</f>
        <v/>
      </c>
      <c r="S213" s="20" t="str">
        <f>IF(AND(D213="合约",ISNUMBER(R213),N(G213)&gt;0),R213/G213,"")</f>
        <v/>
      </c>
      <c r="T213" s="36" t="str">
        <f>IF(NOT(D213="合约"),"",IF(H213&lt;&gt;"逐仓","看平台",IF(AND(ISNUMBER(K213),N(G213)&gt;0),IF(F213="空",K213*(1+1/G213-IF(ISNUMBER(I213),I213,'参数'!$C$13)),K213*(1-1/G213+IF(ISNUMBER(I213),I213,'参数'!$C$13))),"")))</f>
        <v/>
      </c>
      <c r="U213" s="37" t="str">
        <f>IF(AND(ISNUMBER(T213),ISNUMBER(L213),ISNUMBER(K213)),IF(F213="空",T213-L213,L213-T213)/K213,"")</f>
        <v/>
      </c>
      <c r="V213" s="38" t="str">
        <f>IF(ISNUMBER(U213),IF(U213&lt;'参数'!$C$15,"先降杠杆或减量","在止损外"),"")</f>
        <v/>
      </c>
      <c r="W213" s="30" t="n"/>
      <c r="X213" s="31" t="n"/>
      <c r="Y213" s="39" t="str">
        <f>IF(N(AB213)&gt;0,SUMPRODUCT(LARGE(('成交明细'!$A$5:$A$804=A213)*('成交明细'!$D$5:$D$804=IF(F213="空","卖","买"))*'成交明细'!$B$5:$B$804,COUNTIFS('成交明细'!$A$5:$A$804,A213,'成交明细'!$D$5:$D$804,IF(F213="空","卖","买")))),"")</f>
        <v/>
      </c>
      <c r="Z213" s="39" t="str">
        <f>IF(AND(N(AB213)&gt;0,N(AD213)&gt;=N(AB213)),SUMPRODUCT(MAX(('成交明细'!$A$5:$A$804=A213)*('成交明细'!$D$5:$D$804=IF(F213="空","买","卖"))*'成交明细'!$B$5:$B$804)),"")</f>
        <v/>
      </c>
      <c r="AA213" s="40" t="str">
        <f>IF(N(AB213)=0,"",IF(SUMPRODUCT(('成交明细'!$A$5:$A$804=A213)*('成交明细'!$D$5:$D$804=IF(F213="空","卖","买"))*ISNUMBER('成交明细'!$C$5:$C$804))=0,"没填时间",IFERROR(VLOOKUP(MOD(SUMPRODUCT(LARGE(('成交明细'!$A$5:$A$804=A213)*('成交明细'!$D$5:$D$804=IF(F213="空","卖","买"))*('成交明细'!$B$5:$B$804+'成交明细'!$C$5:$C$804),COUNTIFS('成交明细'!$A$5:$A$804,A213,'成交明细'!$D$5:$D$804,IF(F213="空","卖","买")))),1),'参数'!$B$39:$C$48,2,TRUE),"")))</f>
        <v/>
      </c>
      <c r="AB213" s="34" t="str">
        <f>IF(A213="","",SUMIFS('成交明细'!$F$5:$F$804,'成交明细'!$A$5:$A$804,A213,'成交明细'!$D$5:$D$804,IF(F213="空","卖","买")))</f>
        <v/>
      </c>
      <c r="AC213" s="41" t="str">
        <f>IF(N(AB213)&gt;0,SUMIFS('成交明细'!$H$5:$H$804,'成交明细'!$A$5:$A$804,A213,'成交明细'!$D$5:$D$804,IF(F213="空","卖","买"))/AB213,"")</f>
        <v/>
      </c>
      <c r="AD213" s="34" t="str">
        <f>IF(A213="","",SUMIFS('成交明细'!$F$5:$F$804,'成交明细'!$A$5:$A$804,A213,'成交明细'!$D$5:$D$804,IF(F213="空","买","卖")))</f>
        <v/>
      </c>
      <c r="AE213" s="41" t="str">
        <f>IF(N(AD213)&gt;0,SUMIFS('成交明细'!$H$5:$H$804,'成交明细'!$A$5:$A$804,A213,'成交明细'!$D$5:$D$804,IF(F213="空","买","卖"))/AD213,"")</f>
        <v/>
      </c>
      <c r="AF213" s="38" t="str">
        <f>IF(A213="","",IF(X213&lt;&gt;"已执行",IF(X213="","未填执行情况",X213),IF(N(AB213)=0,"待录成交",IF(N(AD213)&gt;N(AB213),"平仓多于开仓",IF(N(AD213)&lt;N(AB213),"持仓中","已平仓")))))</f>
        <v/>
      </c>
      <c r="AG213" s="42" t="str">
        <f>IF(N(AB213)=0,"",SUMIFS('成交明细'!$L$5:$L$804,'成交明细'!$A$5:$A$804,A213))</f>
        <v/>
      </c>
      <c r="AH213" s="43" t="str">
        <f>IF(A213="","",SUMIFS('资金费流水'!$F$5:$F$604,'资金费流水'!$B$5:$B$604,A213))</f>
        <v/>
      </c>
      <c r="AI213" s="43" t="str">
        <f>IF(AF213&lt;&gt;"已平仓","",(SUMIFS('成交明细'!$H$5:$H$804,'成交明细'!$A$5:$A$804,A213,'成交明细'!$D$5:$D$804,"卖")-SUMIFS('成交明细'!$H$5:$H$804,'成交明细'!$A$5:$A$804,A213,'成交明细'!$D$5:$D$804,"买"))*1-AG213+N(AH213))</f>
        <v/>
      </c>
      <c r="AJ213" s="44" t="str">
        <f>IF(AND(AF213="已平仓",ISNUMBER(Q213)),(SUMIFS('成交明细'!$H$5:$H$804,'成交明细'!$A$5:$A$804,A213,'成交明细'!$D$5:$D$804,"卖")-SUMIFS('成交明细'!$H$5:$H$804,'成交明细'!$A$5:$A$804,A213,'成交明细'!$D$5:$D$804,"买"))*1/Q213,"")</f>
        <v/>
      </c>
      <c r="AK213" s="44" t="str">
        <f>IF(AND(AF213="已平仓",ISNUMBER(Q213)),AI213/Q213,"")</f>
        <v/>
      </c>
      <c r="AL213" s="45" t="str">
        <f>IF(AND(ISNUMBER(AC213),ISNUMBER(K213)),IF(F213="空",K213-AC213,AC213-K213),"")</f>
        <v/>
      </c>
      <c r="AM213" s="45" t="str">
        <f>IF(OR(NOT(ISNUMBER(AI213)),NOT(ISNUMBER(AE213))),"",IF(AI213&lt;0,IF(F213="空",AE213-L213,L213-AE213),IF(NOT(ISNUMBER(M213)),"",IF(F213="空",AE213-M213,M213-AE213))))</f>
        <v/>
      </c>
      <c r="AN213" s="31" t="n"/>
      <c r="AO213" s="31" t="n"/>
      <c r="AP213" s="30" t="n"/>
      <c r="AQ213" s="44" t="str">
        <f>IF(A213="","",SUM(AK$5:AK213))</f>
        <v/>
      </c>
      <c r="AR213" s="46" t="str">
        <f>IF(A213="","",MAX(0,MAX(AQ$5:AQ213))-AQ213)</f>
        <v/>
      </c>
    </row>
    <row r="214">
      <c r="A214" s="24" t="n"/>
      <c r="B214" s="29" t="n"/>
      <c r="C214" s="30" t="n"/>
      <c r="D214" s="31" t="n"/>
      <c r="E214" s="31" t="n"/>
      <c r="F214" s="31" t="n"/>
      <c r="G214" s="21" t="n"/>
      <c r="H214" s="31" t="n"/>
      <c r="I214" s="23" t="n"/>
      <c r="J214" s="31" t="n"/>
      <c r="K214" s="32" t="n"/>
      <c r="L214" s="32" t="n"/>
      <c r="M214" s="32" t="n"/>
      <c r="N214" s="33" t="str">
        <f>IF(AND(ISNUMBER(K214),ISNUMBER(L214),ISNUMBER(M214)),IF(OR(AND(F214="多",K214&gt;L214),AND(F214="空",K214&lt;L214)),ABS(M214-K214)/ABS(K214-L214),"止损方向不对"),"")</f>
        <v/>
      </c>
      <c r="O214" s="34" t="str">
        <f>IF(AND(ISNUMBER(K214),ISNUMBER(L214)),IF(K214=L214,"",IF(INT(ROUND('参数'!$C$7/(ABS(K214-L214)*1+2*K214*'参数'!$C$12)/IF(N(J214)&gt;0,J214,1),6))*IF(N(J214)&gt;0,J214,1)&gt;0,INT(ROUND('参数'!$C$7/(ABS(K214-L214)*1+2*K214*'参数'!$C$12)/IF(N(J214)&gt;0,J214,1),6))*IF(N(J214)&gt;0,J214,1),"预算不足，这笔不做")),"")</f>
        <v/>
      </c>
      <c r="P214" s="35" t="n"/>
      <c r="Q214" s="20" t="str">
        <f>IF(AND(ISNUMBER(K214),ISNUMBER(L214),ISNUMBER(P214)),IF(AND(K214&lt;&gt;L214,P214&gt;0),ABS(K214-L214)*P214*1,""),"")</f>
        <v/>
      </c>
      <c r="R214" s="20" t="str">
        <f>IF(AND(ISNUMBER(K214),ISNUMBER(P214)),K214*P214,"")</f>
        <v/>
      </c>
      <c r="S214" s="20" t="str">
        <f>IF(AND(D214="合约",ISNUMBER(R214),N(G214)&gt;0),R214/G214,"")</f>
        <v/>
      </c>
      <c r="T214" s="36" t="str">
        <f>IF(NOT(D214="合约"),"",IF(H214&lt;&gt;"逐仓","看平台",IF(AND(ISNUMBER(K214),N(G214)&gt;0),IF(F214="空",K214*(1+1/G214-IF(ISNUMBER(I214),I214,'参数'!$C$13)),K214*(1-1/G214+IF(ISNUMBER(I214),I214,'参数'!$C$13))),"")))</f>
        <v/>
      </c>
      <c r="U214" s="37" t="str">
        <f>IF(AND(ISNUMBER(T214),ISNUMBER(L214),ISNUMBER(K214)),IF(F214="空",T214-L214,L214-T214)/K214,"")</f>
        <v/>
      </c>
      <c r="V214" s="38" t="str">
        <f>IF(ISNUMBER(U214),IF(U214&lt;'参数'!$C$15,"先降杠杆或减量","在止损外"),"")</f>
        <v/>
      </c>
      <c r="W214" s="30" t="n"/>
      <c r="X214" s="31" t="n"/>
      <c r="Y214" s="39" t="str">
        <f>IF(N(AB214)&gt;0,SUMPRODUCT(LARGE(('成交明细'!$A$5:$A$804=A214)*('成交明细'!$D$5:$D$804=IF(F214="空","卖","买"))*'成交明细'!$B$5:$B$804,COUNTIFS('成交明细'!$A$5:$A$804,A214,'成交明细'!$D$5:$D$804,IF(F214="空","卖","买")))),"")</f>
        <v/>
      </c>
      <c r="Z214" s="39" t="str">
        <f>IF(AND(N(AB214)&gt;0,N(AD214)&gt;=N(AB214)),SUMPRODUCT(MAX(('成交明细'!$A$5:$A$804=A214)*('成交明细'!$D$5:$D$804=IF(F214="空","买","卖"))*'成交明细'!$B$5:$B$804)),"")</f>
        <v/>
      </c>
      <c r="AA214" s="40" t="str">
        <f>IF(N(AB214)=0,"",IF(SUMPRODUCT(('成交明细'!$A$5:$A$804=A214)*('成交明细'!$D$5:$D$804=IF(F214="空","卖","买"))*ISNUMBER('成交明细'!$C$5:$C$804))=0,"没填时间",IFERROR(VLOOKUP(MOD(SUMPRODUCT(LARGE(('成交明细'!$A$5:$A$804=A214)*('成交明细'!$D$5:$D$804=IF(F214="空","卖","买"))*('成交明细'!$B$5:$B$804+'成交明细'!$C$5:$C$804),COUNTIFS('成交明细'!$A$5:$A$804,A214,'成交明细'!$D$5:$D$804,IF(F214="空","卖","买")))),1),'参数'!$B$39:$C$48,2,TRUE),"")))</f>
        <v/>
      </c>
      <c r="AB214" s="34" t="str">
        <f>IF(A214="","",SUMIFS('成交明细'!$F$5:$F$804,'成交明细'!$A$5:$A$804,A214,'成交明细'!$D$5:$D$804,IF(F214="空","卖","买")))</f>
        <v/>
      </c>
      <c r="AC214" s="41" t="str">
        <f>IF(N(AB214)&gt;0,SUMIFS('成交明细'!$H$5:$H$804,'成交明细'!$A$5:$A$804,A214,'成交明细'!$D$5:$D$804,IF(F214="空","卖","买"))/AB214,"")</f>
        <v/>
      </c>
      <c r="AD214" s="34" t="str">
        <f>IF(A214="","",SUMIFS('成交明细'!$F$5:$F$804,'成交明细'!$A$5:$A$804,A214,'成交明细'!$D$5:$D$804,IF(F214="空","买","卖")))</f>
        <v/>
      </c>
      <c r="AE214" s="41" t="str">
        <f>IF(N(AD214)&gt;0,SUMIFS('成交明细'!$H$5:$H$804,'成交明细'!$A$5:$A$804,A214,'成交明细'!$D$5:$D$804,IF(F214="空","买","卖"))/AD214,"")</f>
        <v/>
      </c>
      <c r="AF214" s="38" t="str">
        <f>IF(A214="","",IF(X214&lt;&gt;"已执行",IF(X214="","未填执行情况",X214),IF(N(AB214)=0,"待录成交",IF(N(AD214)&gt;N(AB214),"平仓多于开仓",IF(N(AD214)&lt;N(AB214),"持仓中","已平仓")))))</f>
        <v/>
      </c>
      <c r="AG214" s="42" t="str">
        <f>IF(N(AB214)=0,"",SUMIFS('成交明细'!$L$5:$L$804,'成交明细'!$A$5:$A$804,A214))</f>
        <v/>
      </c>
      <c r="AH214" s="43" t="str">
        <f>IF(A214="","",SUMIFS('资金费流水'!$F$5:$F$604,'资金费流水'!$B$5:$B$604,A214))</f>
        <v/>
      </c>
      <c r="AI214" s="43" t="str">
        <f>IF(AF214&lt;&gt;"已平仓","",(SUMIFS('成交明细'!$H$5:$H$804,'成交明细'!$A$5:$A$804,A214,'成交明细'!$D$5:$D$804,"卖")-SUMIFS('成交明细'!$H$5:$H$804,'成交明细'!$A$5:$A$804,A214,'成交明细'!$D$5:$D$804,"买"))*1-AG214+N(AH214))</f>
        <v/>
      </c>
      <c r="AJ214" s="44" t="str">
        <f>IF(AND(AF214="已平仓",ISNUMBER(Q214)),(SUMIFS('成交明细'!$H$5:$H$804,'成交明细'!$A$5:$A$804,A214,'成交明细'!$D$5:$D$804,"卖")-SUMIFS('成交明细'!$H$5:$H$804,'成交明细'!$A$5:$A$804,A214,'成交明细'!$D$5:$D$804,"买"))*1/Q214,"")</f>
        <v/>
      </c>
      <c r="AK214" s="44" t="str">
        <f>IF(AND(AF214="已平仓",ISNUMBER(Q214)),AI214/Q214,"")</f>
        <v/>
      </c>
      <c r="AL214" s="45" t="str">
        <f>IF(AND(ISNUMBER(AC214),ISNUMBER(K214)),IF(F214="空",K214-AC214,AC214-K214),"")</f>
        <v/>
      </c>
      <c r="AM214" s="45" t="str">
        <f>IF(OR(NOT(ISNUMBER(AI214)),NOT(ISNUMBER(AE214))),"",IF(AI214&lt;0,IF(F214="空",AE214-L214,L214-AE214),IF(NOT(ISNUMBER(M214)),"",IF(F214="空",AE214-M214,M214-AE214))))</f>
        <v/>
      </c>
      <c r="AN214" s="31" t="n"/>
      <c r="AO214" s="31" t="n"/>
      <c r="AP214" s="30" t="n"/>
      <c r="AQ214" s="44" t="str">
        <f>IF(A214="","",SUM(AK$5:AK214))</f>
        <v/>
      </c>
      <c r="AR214" s="46" t="str">
        <f>IF(A214="","",MAX(0,MAX(AQ$5:AQ214))-AQ214)</f>
        <v/>
      </c>
    </row>
    <row r="215">
      <c r="A215" s="24" t="n"/>
      <c r="B215" s="29" t="n"/>
      <c r="C215" s="30" t="n"/>
      <c r="D215" s="31" t="n"/>
      <c r="E215" s="31" t="n"/>
      <c r="F215" s="31" t="n"/>
      <c r="G215" s="21" t="n"/>
      <c r="H215" s="31" t="n"/>
      <c r="I215" s="23" t="n"/>
      <c r="J215" s="31" t="n"/>
      <c r="K215" s="32" t="n"/>
      <c r="L215" s="32" t="n"/>
      <c r="M215" s="32" t="n"/>
      <c r="N215" s="33" t="str">
        <f>IF(AND(ISNUMBER(K215),ISNUMBER(L215),ISNUMBER(M215)),IF(OR(AND(F215="多",K215&gt;L215),AND(F215="空",K215&lt;L215)),ABS(M215-K215)/ABS(K215-L215),"止损方向不对"),"")</f>
        <v/>
      </c>
      <c r="O215" s="34" t="str">
        <f>IF(AND(ISNUMBER(K215),ISNUMBER(L215)),IF(K215=L215,"",IF(INT(ROUND('参数'!$C$7/(ABS(K215-L215)*1+2*K215*'参数'!$C$12)/IF(N(J215)&gt;0,J215,1),6))*IF(N(J215)&gt;0,J215,1)&gt;0,INT(ROUND('参数'!$C$7/(ABS(K215-L215)*1+2*K215*'参数'!$C$12)/IF(N(J215)&gt;0,J215,1),6))*IF(N(J215)&gt;0,J215,1),"预算不足，这笔不做")),"")</f>
        <v/>
      </c>
      <c r="P215" s="35" t="n"/>
      <c r="Q215" s="20" t="str">
        <f>IF(AND(ISNUMBER(K215),ISNUMBER(L215),ISNUMBER(P215)),IF(AND(K215&lt;&gt;L215,P215&gt;0),ABS(K215-L215)*P215*1,""),"")</f>
        <v/>
      </c>
      <c r="R215" s="20" t="str">
        <f>IF(AND(ISNUMBER(K215),ISNUMBER(P215)),K215*P215,"")</f>
        <v/>
      </c>
      <c r="S215" s="20" t="str">
        <f>IF(AND(D215="合约",ISNUMBER(R215),N(G215)&gt;0),R215/G215,"")</f>
        <v/>
      </c>
      <c r="T215" s="36" t="str">
        <f>IF(NOT(D215="合约"),"",IF(H215&lt;&gt;"逐仓","看平台",IF(AND(ISNUMBER(K215),N(G215)&gt;0),IF(F215="空",K215*(1+1/G215-IF(ISNUMBER(I215),I215,'参数'!$C$13)),K215*(1-1/G215+IF(ISNUMBER(I215),I215,'参数'!$C$13))),"")))</f>
        <v/>
      </c>
      <c r="U215" s="37" t="str">
        <f>IF(AND(ISNUMBER(T215),ISNUMBER(L215),ISNUMBER(K215)),IF(F215="空",T215-L215,L215-T215)/K215,"")</f>
        <v/>
      </c>
      <c r="V215" s="38" t="str">
        <f>IF(ISNUMBER(U215),IF(U215&lt;'参数'!$C$15,"先降杠杆或减量","在止损外"),"")</f>
        <v/>
      </c>
      <c r="W215" s="30" t="n"/>
      <c r="X215" s="31" t="n"/>
      <c r="Y215" s="39" t="str">
        <f>IF(N(AB215)&gt;0,SUMPRODUCT(LARGE(('成交明细'!$A$5:$A$804=A215)*('成交明细'!$D$5:$D$804=IF(F215="空","卖","买"))*'成交明细'!$B$5:$B$804,COUNTIFS('成交明细'!$A$5:$A$804,A215,'成交明细'!$D$5:$D$804,IF(F215="空","卖","买")))),"")</f>
        <v/>
      </c>
      <c r="Z215" s="39" t="str">
        <f>IF(AND(N(AB215)&gt;0,N(AD215)&gt;=N(AB215)),SUMPRODUCT(MAX(('成交明细'!$A$5:$A$804=A215)*('成交明细'!$D$5:$D$804=IF(F215="空","买","卖"))*'成交明细'!$B$5:$B$804)),"")</f>
        <v/>
      </c>
      <c r="AA215" s="40" t="str">
        <f>IF(N(AB215)=0,"",IF(SUMPRODUCT(('成交明细'!$A$5:$A$804=A215)*('成交明细'!$D$5:$D$804=IF(F215="空","卖","买"))*ISNUMBER('成交明细'!$C$5:$C$804))=0,"没填时间",IFERROR(VLOOKUP(MOD(SUMPRODUCT(LARGE(('成交明细'!$A$5:$A$804=A215)*('成交明细'!$D$5:$D$804=IF(F215="空","卖","买"))*('成交明细'!$B$5:$B$804+'成交明细'!$C$5:$C$804),COUNTIFS('成交明细'!$A$5:$A$804,A215,'成交明细'!$D$5:$D$804,IF(F215="空","卖","买")))),1),'参数'!$B$39:$C$48,2,TRUE),"")))</f>
        <v/>
      </c>
      <c r="AB215" s="34" t="str">
        <f>IF(A215="","",SUMIFS('成交明细'!$F$5:$F$804,'成交明细'!$A$5:$A$804,A215,'成交明细'!$D$5:$D$804,IF(F215="空","卖","买")))</f>
        <v/>
      </c>
      <c r="AC215" s="41" t="str">
        <f>IF(N(AB215)&gt;0,SUMIFS('成交明细'!$H$5:$H$804,'成交明细'!$A$5:$A$804,A215,'成交明细'!$D$5:$D$804,IF(F215="空","卖","买"))/AB215,"")</f>
        <v/>
      </c>
      <c r="AD215" s="34" t="str">
        <f>IF(A215="","",SUMIFS('成交明细'!$F$5:$F$804,'成交明细'!$A$5:$A$804,A215,'成交明细'!$D$5:$D$804,IF(F215="空","买","卖")))</f>
        <v/>
      </c>
      <c r="AE215" s="41" t="str">
        <f>IF(N(AD215)&gt;0,SUMIFS('成交明细'!$H$5:$H$804,'成交明细'!$A$5:$A$804,A215,'成交明细'!$D$5:$D$804,IF(F215="空","买","卖"))/AD215,"")</f>
        <v/>
      </c>
      <c r="AF215" s="38" t="str">
        <f>IF(A215="","",IF(X215&lt;&gt;"已执行",IF(X215="","未填执行情况",X215),IF(N(AB215)=0,"待录成交",IF(N(AD215)&gt;N(AB215),"平仓多于开仓",IF(N(AD215)&lt;N(AB215),"持仓中","已平仓")))))</f>
        <v/>
      </c>
      <c r="AG215" s="42" t="str">
        <f>IF(N(AB215)=0,"",SUMIFS('成交明细'!$L$5:$L$804,'成交明细'!$A$5:$A$804,A215))</f>
        <v/>
      </c>
      <c r="AH215" s="43" t="str">
        <f>IF(A215="","",SUMIFS('资金费流水'!$F$5:$F$604,'资金费流水'!$B$5:$B$604,A215))</f>
        <v/>
      </c>
      <c r="AI215" s="43" t="str">
        <f>IF(AF215&lt;&gt;"已平仓","",(SUMIFS('成交明细'!$H$5:$H$804,'成交明细'!$A$5:$A$804,A215,'成交明细'!$D$5:$D$804,"卖")-SUMIFS('成交明细'!$H$5:$H$804,'成交明细'!$A$5:$A$804,A215,'成交明细'!$D$5:$D$804,"买"))*1-AG215+N(AH215))</f>
        <v/>
      </c>
      <c r="AJ215" s="44" t="str">
        <f>IF(AND(AF215="已平仓",ISNUMBER(Q215)),(SUMIFS('成交明细'!$H$5:$H$804,'成交明细'!$A$5:$A$804,A215,'成交明细'!$D$5:$D$804,"卖")-SUMIFS('成交明细'!$H$5:$H$804,'成交明细'!$A$5:$A$804,A215,'成交明细'!$D$5:$D$804,"买"))*1/Q215,"")</f>
        <v/>
      </c>
      <c r="AK215" s="44" t="str">
        <f>IF(AND(AF215="已平仓",ISNUMBER(Q215)),AI215/Q215,"")</f>
        <v/>
      </c>
      <c r="AL215" s="45" t="str">
        <f>IF(AND(ISNUMBER(AC215),ISNUMBER(K215)),IF(F215="空",K215-AC215,AC215-K215),"")</f>
        <v/>
      </c>
      <c r="AM215" s="45" t="str">
        <f>IF(OR(NOT(ISNUMBER(AI215)),NOT(ISNUMBER(AE215))),"",IF(AI215&lt;0,IF(F215="空",AE215-L215,L215-AE215),IF(NOT(ISNUMBER(M215)),"",IF(F215="空",AE215-M215,M215-AE215))))</f>
        <v/>
      </c>
      <c r="AN215" s="31" t="n"/>
      <c r="AO215" s="31" t="n"/>
      <c r="AP215" s="30" t="n"/>
      <c r="AQ215" s="44" t="str">
        <f>IF(A215="","",SUM(AK$5:AK215))</f>
        <v/>
      </c>
      <c r="AR215" s="46" t="str">
        <f>IF(A215="","",MAX(0,MAX(AQ$5:AQ215))-AQ215)</f>
        <v/>
      </c>
    </row>
    <row r="216">
      <c r="A216" s="24" t="n"/>
      <c r="B216" s="29" t="n"/>
      <c r="C216" s="30" t="n"/>
      <c r="D216" s="31" t="n"/>
      <c r="E216" s="31" t="n"/>
      <c r="F216" s="31" t="n"/>
      <c r="G216" s="21" t="n"/>
      <c r="H216" s="31" t="n"/>
      <c r="I216" s="23" t="n"/>
      <c r="J216" s="31" t="n"/>
      <c r="K216" s="32" t="n"/>
      <c r="L216" s="32" t="n"/>
      <c r="M216" s="32" t="n"/>
      <c r="N216" s="33" t="str">
        <f>IF(AND(ISNUMBER(K216),ISNUMBER(L216),ISNUMBER(M216)),IF(OR(AND(F216="多",K216&gt;L216),AND(F216="空",K216&lt;L216)),ABS(M216-K216)/ABS(K216-L216),"止损方向不对"),"")</f>
        <v/>
      </c>
      <c r="O216" s="34" t="str">
        <f>IF(AND(ISNUMBER(K216),ISNUMBER(L216)),IF(K216=L216,"",IF(INT(ROUND('参数'!$C$7/(ABS(K216-L216)*1+2*K216*'参数'!$C$12)/IF(N(J216)&gt;0,J216,1),6))*IF(N(J216)&gt;0,J216,1)&gt;0,INT(ROUND('参数'!$C$7/(ABS(K216-L216)*1+2*K216*'参数'!$C$12)/IF(N(J216)&gt;0,J216,1),6))*IF(N(J216)&gt;0,J216,1),"预算不足，这笔不做")),"")</f>
        <v/>
      </c>
      <c r="P216" s="35" t="n"/>
      <c r="Q216" s="20" t="str">
        <f>IF(AND(ISNUMBER(K216),ISNUMBER(L216),ISNUMBER(P216)),IF(AND(K216&lt;&gt;L216,P216&gt;0),ABS(K216-L216)*P216*1,""),"")</f>
        <v/>
      </c>
      <c r="R216" s="20" t="str">
        <f>IF(AND(ISNUMBER(K216),ISNUMBER(P216)),K216*P216,"")</f>
        <v/>
      </c>
      <c r="S216" s="20" t="str">
        <f>IF(AND(D216="合约",ISNUMBER(R216),N(G216)&gt;0),R216/G216,"")</f>
        <v/>
      </c>
      <c r="T216" s="36" t="str">
        <f>IF(NOT(D216="合约"),"",IF(H216&lt;&gt;"逐仓","看平台",IF(AND(ISNUMBER(K216),N(G216)&gt;0),IF(F216="空",K216*(1+1/G216-IF(ISNUMBER(I216),I216,'参数'!$C$13)),K216*(1-1/G216+IF(ISNUMBER(I216),I216,'参数'!$C$13))),"")))</f>
        <v/>
      </c>
      <c r="U216" s="37" t="str">
        <f>IF(AND(ISNUMBER(T216),ISNUMBER(L216),ISNUMBER(K216)),IF(F216="空",T216-L216,L216-T216)/K216,"")</f>
        <v/>
      </c>
      <c r="V216" s="38" t="str">
        <f>IF(ISNUMBER(U216),IF(U216&lt;'参数'!$C$15,"先降杠杆或减量","在止损外"),"")</f>
        <v/>
      </c>
      <c r="W216" s="30" t="n"/>
      <c r="X216" s="31" t="n"/>
      <c r="Y216" s="39" t="str">
        <f>IF(N(AB216)&gt;0,SUMPRODUCT(LARGE(('成交明细'!$A$5:$A$804=A216)*('成交明细'!$D$5:$D$804=IF(F216="空","卖","买"))*'成交明细'!$B$5:$B$804,COUNTIFS('成交明细'!$A$5:$A$804,A216,'成交明细'!$D$5:$D$804,IF(F216="空","卖","买")))),"")</f>
        <v/>
      </c>
      <c r="Z216" s="39" t="str">
        <f>IF(AND(N(AB216)&gt;0,N(AD216)&gt;=N(AB216)),SUMPRODUCT(MAX(('成交明细'!$A$5:$A$804=A216)*('成交明细'!$D$5:$D$804=IF(F216="空","买","卖"))*'成交明细'!$B$5:$B$804)),"")</f>
        <v/>
      </c>
      <c r="AA216" s="40" t="str">
        <f>IF(N(AB216)=0,"",IF(SUMPRODUCT(('成交明细'!$A$5:$A$804=A216)*('成交明细'!$D$5:$D$804=IF(F216="空","卖","买"))*ISNUMBER('成交明细'!$C$5:$C$804))=0,"没填时间",IFERROR(VLOOKUP(MOD(SUMPRODUCT(LARGE(('成交明细'!$A$5:$A$804=A216)*('成交明细'!$D$5:$D$804=IF(F216="空","卖","买"))*('成交明细'!$B$5:$B$804+'成交明细'!$C$5:$C$804),COUNTIFS('成交明细'!$A$5:$A$804,A216,'成交明细'!$D$5:$D$804,IF(F216="空","卖","买")))),1),'参数'!$B$39:$C$48,2,TRUE),"")))</f>
        <v/>
      </c>
      <c r="AB216" s="34" t="str">
        <f>IF(A216="","",SUMIFS('成交明细'!$F$5:$F$804,'成交明细'!$A$5:$A$804,A216,'成交明细'!$D$5:$D$804,IF(F216="空","卖","买")))</f>
        <v/>
      </c>
      <c r="AC216" s="41" t="str">
        <f>IF(N(AB216)&gt;0,SUMIFS('成交明细'!$H$5:$H$804,'成交明细'!$A$5:$A$804,A216,'成交明细'!$D$5:$D$804,IF(F216="空","卖","买"))/AB216,"")</f>
        <v/>
      </c>
      <c r="AD216" s="34" t="str">
        <f>IF(A216="","",SUMIFS('成交明细'!$F$5:$F$804,'成交明细'!$A$5:$A$804,A216,'成交明细'!$D$5:$D$804,IF(F216="空","买","卖")))</f>
        <v/>
      </c>
      <c r="AE216" s="41" t="str">
        <f>IF(N(AD216)&gt;0,SUMIFS('成交明细'!$H$5:$H$804,'成交明细'!$A$5:$A$804,A216,'成交明细'!$D$5:$D$804,IF(F216="空","买","卖"))/AD216,"")</f>
        <v/>
      </c>
      <c r="AF216" s="38" t="str">
        <f>IF(A216="","",IF(X216&lt;&gt;"已执行",IF(X216="","未填执行情况",X216),IF(N(AB216)=0,"待录成交",IF(N(AD216)&gt;N(AB216),"平仓多于开仓",IF(N(AD216)&lt;N(AB216),"持仓中","已平仓")))))</f>
        <v/>
      </c>
      <c r="AG216" s="42" t="str">
        <f>IF(N(AB216)=0,"",SUMIFS('成交明细'!$L$5:$L$804,'成交明细'!$A$5:$A$804,A216))</f>
        <v/>
      </c>
      <c r="AH216" s="43" t="str">
        <f>IF(A216="","",SUMIFS('资金费流水'!$F$5:$F$604,'资金费流水'!$B$5:$B$604,A216))</f>
        <v/>
      </c>
      <c r="AI216" s="43" t="str">
        <f>IF(AF216&lt;&gt;"已平仓","",(SUMIFS('成交明细'!$H$5:$H$804,'成交明细'!$A$5:$A$804,A216,'成交明细'!$D$5:$D$804,"卖")-SUMIFS('成交明细'!$H$5:$H$804,'成交明细'!$A$5:$A$804,A216,'成交明细'!$D$5:$D$804,"买"))*1-AG216+N(AH216))</f>
        <v/>
      </c>
      <c r="AJ216" s="44" t="str">
        <f>IF(AND(AF216="已平仓",ISNUMBER(Q216)),(SUMIFS('成交明细'!$H$5:$H$804,'成交明细'!$A$5:$A$804,A216,'成交明细'!$D$5:$D$804,"卖")-SUMIFS('成交明细'!$H$5:$H$804,'成交明细'!$A$5:$A$804,A216,'成交明细'!$D$5:$D$804,"买"))*1/Q216,"")</f>
        <v/>
      </c>
      <c r="AK216" s="44" t="str">
        <f>IF(AND(AF216="已平仓",ISNUMBER(Q216)),AI216/Q216,"")</f>
        <v/>
      </c>
      <c r="AL216" s="45" t="str">
        <f>IF(AND(ISNUMBER(AC216),ISNUMBER(K216)),IF(F216="空",K216-AC216,AC216-K216),"")</f>
        <v/>
      </c>
      <c r="AM216" s="45" t="str">
        <f>IF(OR(NOT(ISNUMBER(AI216)),NOT(ISNUMBER(AE216))),"",IF(AI216&lt;0,IF(F216="空",AE216-L216,L216-AE216),IF(NOT(ISNUMBER(M216)),"",IF(F216="空",AE216-M216,M216-AE216))))</f>
        <v/>
      </c>
      <c r="AN216" s="31" t="n"/>
      <c r="AO216" s="31" t="n"/>
      <c r="AP216" s="30" t="n"/>
      <c r="AQ216" s="44" t="str">
        <f>IF(A216="","",SUM(AK$5:AK216))</f>
        <v/>
      </c>
      <c r="AR216" s="46" t="str">
        <f>IF(A216="","",MAX(0,MAX(AQ$5:AQ216))-AQ216)</f>
        <v/>
      </c>
    </row>
    <row r="217">
      <c r="A217" s="24" t="n"/>
      <c r="B217" s="29" t="n"/>
      <c r="C217" s="30" t="n"/>
      <c r="D217" s="31" t="n"/>
      <c r="E217" s="31" t="n"/>
      <c r="F217" s="31" t="n"/>
      <c r="G217" s="21" t="n"/>
      <c r="H217" s="31" t="n"/>
      <c r="I217" s="23" t="n"/>
      <c r="J217" s="31" t="n"/>
      <c r="K217" s="32" t="n"/>
      <c r="L217" s="32" t="n"/>
      <c r="M217" s="32" t="n"/>
      <c r="N217" s="33" t="str">
        <f>IF(AND(ISNUMBER(K217),ISNUMBER(L217),ISNUMBER(M217)),IF(OR(AND(F217="多",K217&gt;L217),AND(F217="空",K217&lt;L217)),ABS(M217-K217)/ABS(K217-L217),"止损方向不对"),"")</f>
        <v/>
      </c>
      <c r="O217" s="34" t="str">
        <f>IF(AND(ISNUMBER(K217),ISNUMBER(L217)),IF(K217=L217,"",IF(INT(ROUND('参数'!$C$7/(ABS(K217-L217)*1+2*K217*'参数'!$C$12)/IF(N(J217)&gt;0,J217,1),6))*IF(N(J217)&gt;0,J217,1)&gt;0,INT(ROUND('参数'!$C$7/(ABS(K217-L217)*1+2*K217*'参数'!$C$12)/IF(N(J217)&gt;0,J217,1),6))*IF(N(J217)&gt;0,J217,1),"预算不足，这笔不做")),"")</f>
        <v/>
      </c>
      <c r="P217" s="35" t="n"/>
      <c r="Q217" s="20" t="str">
        <f>IF(AND(ISNUMBER(K217),ISNUMBER(L217),ISNUMBER(P217)),IF(AND(K217&lt;&gt;L217,P217&gt;0),ABS(K217-L217)*P217*1,""),"")</f>
        <v/>
      </c>
      <c r="R217" s="20" t="str">
        <f>IF(AND(ISNUMBER(K217),ISNUMBER(P217)),K217*P217,"")</f>
        <v/>
      </c>
      <c r="S217" s="20" t="str">
        <f>IF(AND(D217="合约",ISNUMBER(R217),N(G217)&gt;0),R217/G217,"")</f>
        <v/>
      </c>
      <c r="T217" s="36" t="str">
        <f>IF(NOT(D217="合约"),"",IF(H217&lt;&gt;"逐仓","看平台",IF(AND(ISNUMBER(K217),N(G217)&gt;0),IF(F217="空",K217*(1+1/G217-IF(ISNUMBER(I217),I217,'参数'!$C$13)),K217*(1-1/G217+IF(ISNUMBER(I217),I217,'参数'!$C$13))),"")))</f>
        <v/>
      </c>
      <c r="U217" s="37" t="str">
        <f>IF(AND(ISNUMBER(T217),ISNUMBER(L217),ISNUMBER(K217)),IF(F217="空",T217-L217,L217-T217)/K217,"")</f>
        <v/>
      </c>
      <c r="V217" s="38" t="str">
        <f>IF(ISNUMBER(U217),IF(U217&lt;'参数'!$C$15,"先降杠杆或减量","在止损外"),"")</f>
        <v/>
      </c>
      <c r="W217" s="30" t="n"/>
      <c r="X217" s="31" t="n"/>
      <c r="Y217" s="39" t="str">
        <f>IF(N(AB217)&gt;0,SUMPRODUCT(LARGE(('成交明细'!$A$5:$A$804=A217)*('成交明细'!$D$5:$D$804=IF(F217="空","卖","买"))*'成交明细'!$B$5:$B$804,COUNTIFS('成交明细'!$A$5:$A$804,A217,'成交明细'!$D$5:$D$804,IF(F217="空","卖","买")))),"")</f>
        <v/>
      </c>
      <c r="Z217" s="39" t="str">
        <f>IF(AND(N(AB217)&gt;0,N(AD217)&gt;=N(AB217)),SUMPRODUCT(MAX(('成交明细'!$A$5:$A$804=A217)*('成交明细'!$D$5:$D$804=IF(F217="空","买","卖"))*'成交明细'!$B$5:$B$804)),"")</f>
        <v/>
      </c>
      <c r="AA217" s="40" t="str">
        <f>IF(N(AB217)=0,"",IF(SUMPRODUCT(('成交明细'!$A$5:$A$804=A217)*('成交明细'!$D$5:$D$804=IF(F217="空","卖","买"))*ISNUMBER('成交明细'!$C$5:$C$804))=0,"没填时间",IFERROR(VLOOKUP(MOD(SUMPRODUCT(LARGE(('成交明细'!$A$5:$A$804=A217)*('成交明细'!$D$5:$D$804=IF(F217="空","卖","买"))*('成交明细'!$B$5:$B$804+'成交明细'!$C$5:$C$804),COUNTIFS('成交明细'!$A$5:$A$804,A217,'成交明细'!$D$5:$D$804,IF(F217="空","卖","买")))),1),'参数'!$B$39:$C$48,2,TRUE),"")))</f>
        <v/>
      </c>
      <c r="AB217" s="34" t="str">
        <f>IF(A217="","",SUMIFS('成交明细'!$F$5:$F$804,'成交明细'!$A$5:$A$804,A217,'成交明细'!$D$5:$D$804,IF(F217="空","卖","买")))</f>
        <v/>
      </c>
      <c r="AC217" s="41" t="str">
        <f>IF(N(AB217)&gt;0,SUMIFS('成交明细'!$H$5:$H$804,'成交明细'!$A$5:$A$804,A217,'成交明细'!$D$5:$D$804,IF(F217="空","卖","买"))/AB217,"")</f>
        <v/>
      </c>
      <c r="AD217" s="34" t="str">
        <f>IF(A217="","",SUMIFS('成交明细'!$F$5:$F$804,'成交明细'!$A$5:$A$804,A217,'成交明细'!$D$5:$D$804,IF(F217="空","买","卖")))</f>
        <v/>
      </c>
      <c r="AE217" s="41" t="str">
        <f>IF(N(AD217)&gt;0,SUMIFS('成交明细'!$H$5:$H$804,'成交明细'!$A$5:$A$804,A217,'成交明细'!$D$5:$D$804,IF(F217="空","买","卖"))/AD217,"")</f>
        <v/>
      </c>
      <c r="AF217" s="38" t="str">
        <f>IF(A217="","",IF(X217&lt;&gt;"已执行",IF(X217="","未填执行情况",X217),IF(N(AB217)=0,"待录成交",IF(N(AD217)&gt;N(AB217),"平仓多于开仓",IF(N(AD217)&lt;N(AB217),"持仓中","已平仓")))))</f>
        <v/>
      </c>
      <c r="AG217" s="42" t="str">
        <f>IF(N(AB217)=0,"",SUMIFS('成交明细'!$L$5:$L$804,'成交明细'!$A$5:$A$804,A217))</f>
        <v/>
      </c>
      <c r="AH217" s="43" t="str">
        <f>IF(A217="","",SUMIFS('资金费流水'!$F$5:$F$604,'资金费流水'!$B$5:$B$604,A217))</f>
        <v/>
      </c>
      <c r="AI217" s="43" t="str">
        <f>IF(AF217&lt;&gt;"已平仓","",(SUMIFS('成交明细'!$H$5:$H$804,'成交明细'!$A$5:$A$804,A217,'成交明细'!$D$5:$D$804,"卖")-SUMIFS('成交明细'!$H$5:$H$804,'成交明细'!$A$5:$A$804,A217,'成交明细'!$D$5:$D$804,"买"))*1-AG217+N(AH217))</f>
        <v/>
      </c>
      <c r="AJ217" s="44" t="str">
        <f>IF(AND(AF217="已平仓",ISNUMBER(Q217)),(SUMIFS('成交明细'!$H$5:$H$804,'成交明细'!$A$5:$A$804,A217,'成交明细'!$D$5:$D$804,"卖")-SUMIFS('成交明细'!$H$5:$H$804,'成交明细'!$A$5:$A$804,A217,'成交明细'!$D$5:$D$804,"买"))*1/Q217,"")</f>
        <v/>
      </c>
      <c r="AK217" s="44" t="str">
        <f>IF(AND(AF217="已平仓",ISNUMBER(Q217)),AI217/Q217,"")</f>
        <v/>
      </c>
      <c r="AL217" s="45" t="str">
        <f>IF(AND(ISNUMBER(AC217),ISNUMBER(K217)),IF(F217="空",K217-AC217,AC217-K217),"")</f>
        <v/>
      </c>
      <c r="AM217" s="45" t="str">
        <f>IF(OR(NOT(ISNUMBER(AI217)),NOT(ISNUMBER(AE217))),"",IF(AI217&lt;0,IF(F217="空",AE217-L217,L217-AE217),IF(NOT(ISNUMBER(M217)),"",IF(F217="空",AE217-M217,M217-AE217))))</f>
        <v/>
      </c>
      <c r="AN217" s="31" t="n"/>
      <c r="AO217" s="31" t="n"/>
      <c r="AP217" s="30" t="n"/>
      <c r="AQ217" s="44" t="str">
        <f>IF(A217="","",SUM(AK$5:AK217))</f>
        <v/>
      </c>
      <c r="AR217" s="46" t="str">
        <f>IF(A217="","",MAX(0,MAX(AQ$5:AQ217))-AQ217)</f>
        <v/>
      </c>
    </row>
    <row r="218">
      <c r="A218" s="24" t="n"/>
      <c r="B218" s="29" t="n"/>
      <c r="C218" s="30" t="n"/>
      <c r="D218" s="31" t="n"/>
      <c r="E218" s="31" t="n"/>
      <c r="F218" s="31" t="n"/>
      <c r="G218" s="21" t="n"/>
      <c r="H218" s="31" t="n"/>
      <c r="I218" s="23" t="n"/>
      <c r="J218" s="31" t="n"/>
      <c r="K218" s="32" t="n"/>
      <c r="L218" s="32" t="n"/>
      <c r="M218" s="32" t="n"/>
      <c r="N218" s="33" t="str">
        <f>IF(AND(ISNUMBER(K218),ISNUMBER(L218),ISNUMBER(M218)),IF(OR(AND(F218="多",K218&gt;L218),AND(F218="空",K218&lt;L218)),ABS(M218-K218)/ABS(K218-L218),"止损方向不对"),"")</f>
        <v/>
      </c>
      <c r="O218" s="34" t="str">
        <f>IF(AND(ISNUMBER(K218),ISNUMBER(L218)),IF(K218=L218,"",IF(INT(ROUND('参数'!$C$7/(ABS(K218-L218)*1+2*K218*'参数'!$C$12)/IF(N(J218)&gt;0,J218,1),6))*IF(N(J218)&gt;0,J218,1)&gt;0,INT(ROUND('参数'!$C$7/(ABS(K218-L218)*1+2*K218*'参数'!$C$12)/IF(N(J218)&gt;0,J218,1),6))*IF(N(J218)&gt;0,J218,1),"预算不足，这笔不做")),"")</f>
        <v/>
      </c>
      <c r="P218" s="35" t="n"/>
      <c r="Q218" s="20" t="str">
        <f>IF(AND(ISNUMBER(K218),ISNUMBER(L218),ISNUMBER(P218)),IF(AND(K218&lt;&gt;L218,P218&gt;0),ABS(K218-L218)*P218*1,""),"")</f>
        <v/>
      </c>
      <c r="R218" s="20" t="str">
        <f>IF(AND(ISNUMBER(K218),ISNUMBER(P218)),K218*P218,"")</f>
        <v/>
      </c>
      <c r="S218" s="20" t="str">
        <f>IF(AND(D218="合约",ISNUMBER(R218),N(G218)&gt;0),R218/G218,"")</f>
        <v/>
      </c>
      <c r="T218" s="36" t="str">
        <f>IF(NOT(D218="合约"),"",IF(H218&lt;&gt;"逐仓","看平台",IF(AND(ISNUMBER(K218),N(G218)&gt;0),IF(F218="空",K218*(1+1/G218-IF(ISNUMBER(I218),I218,'参数'!$C$13)),K218*(1-1/G218+IF(ISNUMBER(I218),I218,'参数'!$C$13))),"")))</f>
        <v/>
      </c>
      <c r="U218" s="37" t="str">
        <f>IF(AND(ISNUMBER(T218),ISNUMBER(L218),ISNUMBER(K218)),IF(F218="空",T218-L218,L218-T218)/K218,"")</f>
        <v/>
      </c>
      <c r="V218" s="38" t="str">
        <f>IF(ISNUMBER(U218),IF(U218&lt;'参数'!$C$15,"先降杠杆或减量","在止损外"),"")</f>
        <v/>
      </c>
      <c r="W218" s="30" t="n"/>
      <c r="X218" s="31" t="n"/>
      <c r="Y218" s="39" t="str">
        <f>IF(N(AB218)&gt;0,SUMPRODUCT(LARGE(('成交明细'!$A$5:$A$804=A218)*('成交明细'!$D$5:$D$804=IF(F218="空","卖","买"))*'成交明细'!$B$5:$B$804,COUNTIFS('成交明细'!$A$5:$A$804,A218,'成交明细'!$D$5:$D$804,IF(F218="空","卖","买")))),"")</f>
        <v/>
      </c>
      <c r="Z218" s="39" t="str">
        <f>IF(AND(N(AB218)&gt;0,N(AD218)&gt;=N(AB218)),SUMPRODUCT(MAX(('成交明细'!$A$5:$A$804=A218)*('成交明细'!$D$5:$D$804=IF(F218="空","买","卖"))*'成交明细'!$B$5:$B$804)),"")</f>
        <v/>
      </c>
      <c r="AA218" s="40" t="str">
        <f>IF(N(AB218)=0,"",IF(SUMPRODUCT(('成交明细'!$A$5:$A$804=A218)*('成交明细'!$D$5:$D$804=IF(F218="空","卖","买"))*ISNUMBER('成交明细'!$C$5:$C$804))=0,"没填时间",IFERROR(VLOOKUP(MOD(SUMPRODUCT(LARGE(('成交明细'!$A$5:$A$804=A218)*('成交明细'!$D$5:$D$804=IF(F218="空","卖","买"))*('成交明细'!$B$5:$B$804+'成交明细'!$C$5:$C$804),COUNTIFS('成交明细'!$A$5:$A$804,A218,'成交明细'!$D$5:$D$804,IF(F218="空","卖","买")))),1),'参数'!$B$39:$C$48,2,TRUE),"")))</f>
        <v/>
      </c>
      <c r="AB218" s="34" t="str">
        <f>IF(A218="","",SUMIFS('成交明细'!$F$5:$F$804,'成交明细'!$A$5:$A$804,A218,'成交明细'!$D$5:$D$804,IF(F218="空","卖","买")))</f>
        <v/>
      </c>
      <c r="AC218" s="41" t="str">
        <f>IF(N(AB218)&gt;0,SUMIFS('成交明细'!$H$5:$H$804,'成交明细'!$A$5:$A$804,A218,'成交明细'!$D$5:$D$804,IF(F218="空","卖","买"))/AB218,"")</f>
        <v/>
      </c>
      <c r="AD218" s="34" t="str">
        <f>IF(A218="","",SUMIFS('成交明细'!$F$5:$F$804,'成交明细'!$A$5:$A$804,A218,'成交明细'!$D$5:$D$804,IF(F218="空","买","卖")))</f>
        <v/>
      </c>
      <c r="AE218" s="41" t="str">
        <f>IF(N(AD218)&gt;0,SUMIFS('成交明细'!$H$5:$H$804,'成交明细'!$A$5:$A$804,A218,'成交明细'!$D$5:$D$804,IF(F218="空","买","卖"))/AD218,"")</f>
        <v/>
      </c>
      <c r="AF218" s="38" t="str">
        <f>IF(A218="","",IF(X218&lt;&gt;"已执行",IF(X218="","未填执行情况",X218),IF(N(AB218)=0,"待录成交",IF(N(AD218)&gt;N(AB218),"平仓多于开仓",IF(N(AD218)&lt;N(AB218),"持仓中","已平仓")))))</f>
        <v/>
      </c>
      <c r="AG218" s="42" t="str">
        <f>IF(N(AB218)=0,"",SUMIFS('成交明细'!$L$5:$L$804,'成交明细'!$A$5:$A$804,A218))</f>
        <v/>
      </c>
      <c r="AH218" s="43" t="str">
        <f>IF(A218="","",SUMIFS('资金费流水'!$F$5:$F$604,'资金费流水'!$B$5:$B$604,A218))</f>
        <v/>
      </c>
      <c r="AI218" s="43" t="str">
        <f>IF(AF218&lt;&gt;"已平仓","",(SUMIFS('成交明细'!$H$5:$H$804,'成交明细'!$A$5:$A$804,A218,'成交明细'!$D$5:$D$804,"卖")-SUMIFS('成交明细'!$H$5:$H$804,'成交明细'!$A$5:$A$804,A218,'成交明细'!$D$5:$D$804,"买"))*1-AG218+N(AH218))</f>
        <v/>
      </c>
      <c r="AJ218" s="44" t="str">
        <f>IF(AND(AF218="已平仓",ISNUMBER(Q218)),(SUMIFS('成交明细'!$H$5:$H$804,'成交明细'!$A$5:$A$804,A218,'成交明细'!$D$5:$D$804,"卖")-SUMIFS('成交明细'!$H$5:$H$804,'成交明细'!$A$5:$A$804,A218,'成交明细'!$D$5:$D$804,"买"))*1/Q218,"")</f>
        <v/>
      </c>
      <c r="AK218" s="44" t="str">
        <f>IF(AND(AF218="已平仓",ISNUMBER(Q218)),AI218/Q218,"")</f>
        <v/>
      </c>
      <c r="AL218" s="45" t="str">
        <f>IF(AND(ISNUMBER(AC218),ISNUMBER(K218)),IF(F218="空",K218-AC218,AC218-K218),"")</f>
        <v/>
      </c>
      <c r="AM218" s="45" t="str">
        <f>IF(OR(NOT(ISNUMBER(AI218)),NOT(ISNUMBER(AE218))),"",IF(AI218&lt;0,IF(F218="空",AE218-L218,L218-AE218),IF(NOT(ISNUMBER(M218)),"",IF(F218="空",AE218-M218,M218-AE218))))</f>
        <v/>
      </c>
      <c r="AN218" s="31" t="n"/>
      <c r="AO218" s="31" t="n"/>
      <c r="AP218" s="30" t="n"/>
      <c r="AQ218" s="44" t="str">
        <f>IF(A218="","",SUM(AK$5:AK218))</f>
        <v/>
      </c>
      <c r="AR218" s="46" t="str">
        <f>IF(A218="","",MAX(0,MAX(AQ$5:AQ218))-AQ218)</f>
        <v/>
      </c>
    </row>
    <row r="219">
      <c r="A219" s="24" t="n"/>
      <c r="B219" s="29" t="n"/>
      <c r="C219" s="30" t="n"/>
      <c r="D219" s="31" t="n"/>
      <c r="E219" s="31" t="n"/>
      <c r="F219" s="31" t="n"/>
      <c r="G219" s="21" t="n"/>
      <c r="H219" s="31" t="n"/>
      <c r="I219" s="23" t="n"/>
      <c r="J219" s="31" t="n"/>
      <c r="K219" s="32" t="n"/>
      <c r="L219" s="32" t="n"/>
      <c r="M219" s="32" t="n"/>
      <c r="N219" s="33" t="str">
        <f>IF(AND(ISNUMBER(K219),ISNUMBER(L219),ISNUMBER(M219)),IF(OR(AND(F219="多",K219&gt;L219),AND(F219="空",K219&lt;L219)),ABS(M219-K219)/ABS(K219-L219),"止损方向不对"),"")</f>
        <v/>
      </c>
      <c r="O219" s="34" t="str">
        <f>IF(AND(ISNUMBER(K219),ISNUMBER(L219)),IF(K219=L219,"",IF(INT(ROUND('参数'!$C$7/(ABS(K219-L219)*1+2*K219*'参数'!$C$12)/IF(N(J219)&gt;0,J219,1),6))*IF(N(J219)&gt;0,J219,1)&gt;0,INT(ROUND('参数'!$C$7/(ABS(K219-L219)*1+2*K219*'参数'!$C$12)/IF(N(J219)&gt;0,J219,1),6))*IF(N(J219)&gt;0,J219,1),"预算不足，这笔不做")),"")</f>
        <v/>
      </c>
      <c r="P219" s="35" t="n"/>
      <c r="Q219" s="20" t="str">
        <f>IF(AND(ISNUMBER(K219),ISNUMBER(L219),ISNUMBER(P219)),IF(AND(K219&lt;&gt;L219,P219&gt;0),ABS(K219-L219)*P219*1,""),"")</f>
        <v/>
      </c>
      <c r="R219" s="20" t="str">
        <f>IF(AND(ISNUMBER(K219),ISNUMBER(P219)),K219*P219,"")</f>
        <v/>
      </c>
      <c r="S219" s="20" t="str">
        <f>IF(AND(D219="合约",ISNUMBER(R219),N(G219)&gt;0),R219/G219,"")</f>
        <v/>
      </c>
      <c r="T219" s="36" t="str">
        <f>IF(NOT(D219="合约"),"",IF(H219&lt;&gt;"逐仓","看平台",IF(AND(ISNUMBER(K219),N(G219)&gt;0),IF(F219="空",K219*(1+1/G219-IF(ISNUMBER(I219),I219,'参数'!$C$13)),K219*(1-1/G219+IF(ISNUMBER(I219),I219,'参数'!$C$13))),"")))</f>
        <v/>
      </c>
      <c r="U219" s="37" t="str">
        <f>IF(AND(ISNUMBER(T219),ISNUMBER(L219),ISNUMBER(K219)),IF(F219="空",T219-L219,L219-T219)/K219,"")</f>
        <v/>
      </c>
      <c r="V219" s="38" t="str">
        <f>IF(ISNUMBER(U219),IF(U219&lt;'参数'!$C$15,"先降杠杆或减量","在止损外"),"")</f>
        <v/>
      </c>
      <c r="W219" s="30" t="n"/>
      <c r="X219" s="31" t="n"/>
      <c r="Y219" s="39" t="str">
        <f>IF(N(AB219)&gt;0,SUMPRODUCT(LARGE(('成交明细'!$A$5:$A$804=A219)*('成交明细'!$D$5:$D$804=IF(F219="空","卖","买"))*'成交明细'!$B$5:$B$804,COUNTIFS('成交明细'!$A$5:$A$804,A219,'成交明细'!$D$5:$D$804,IF(F219="空","卖","买")))),"")</f>
        <v/>
      </c>
      <c r="Z219" s="39" t="str">
        <f>IF(AND(N(AB219)&gt;0,N(AD219)&gt;=N(AB219)),SUMPRODUCT(MAX(('成交明细'!$A$5:$A$804=A219)*('成交明细'!$D$5:$D$804=IF(F219="空","买","卖"))*'成交明细'!$B$5:$B$804)),"")</f>
        <v/>
      </c>
      <c r="AA219" s="40" t="str">
        <f>IF(N(AB219)=0,"",IF(SUMPRODUCT(('成交明细'!$A$5:$A$804=A219)*('成交明细'!$D$5:$D$804=IF(F219="空","卖","买"))*ISNUMBER('成交明细'!$C$5:$C$804))=0,"没填时间",IFERROR(VLOOKUP(MOD(SUMPRODUCT(LARGE(('成交明细'!$A$5:$A$804=A219)*('成交明细'!$D$5:$D$804=IF(F219="空","卖","买"))*('成交明细'!$B$5:$B$804+'成交明细'!$C$5:$C$804),COUNTIFS('成交明细'!$A$5:$A$804,A219,'成交明细'!$D$5:$D$804,IF(F219="空","卖","买")))),1),'参数'!$B$39:$C$48,2,TRUE),"")))</f>
        <v/>
      </c>
      <c r="AB219" s="34" t="str">
        <f>IF(A219="","",SUMIFS('成交明细'!$F$5:$F$804,'成交明细'!$A$5:$A$804,A219,'成交明细'!$D$5:$D$804,IF(F219="空","卖","买")))</f>
        <v/>
      </c>
      <c r="AC219" s="41" t="str">
        <f>IF(N(AB219)&gt;0,SUMIFS('成交明细'!$H$5:$H$804,'成交明细'!$A$5:$A$804,A219,'成交明细'!$D$5:$D$804,IF(F219="空","卖","买"))/AB219,"")</f>
        <v/>
      </c>
      <c r="AD219" s="34" t="str">
        <f>IF(A219="","",SUMIFS('成交明细'!$F$5:$F$804,'成交明细'!$A$5:$A$804,A219,'成交明细'!$D$5:$D$804,IF(F219="空","买","卖")))</f>
        <v/>
      </c>
      <c r="AE219" s="41" t="str">
        <f>IF(N(AD219)&gt;0,SUMIFS('成交明细'!$H$5:$H$804,'成交明细'!$A$5:$A$804,A219,'成交明细'!$D$5:$D$804,IF(F219="空","买","卖"))/AD219,"")</f>
        <v/>
      </c>
      <c r="AF219" s="38" t="str">
        <f>IF(A219="","",IF(X219&lt;&gt;"已执行",IF(X219="","未填执行情况",X219),IF(N(AB219)=0,"待录成交",IF(N(AD219)&gt;N(AB219),"平仓多于开仓",IF(N(AD219)&lt;N(AB219),"持仓中","已平仓")))))</f>
        <v/>
      </c>
      <c r="AG219" s="42" t="str">
        <f>IF(N(AB219)=0,"",SUMIFS('成交明细'!$L$5:$L$804,'成交明细'!$A$5:$A$804,A219))</f>
        <v/>
      </c>
      <c r="AH219" s="43" t="str">
        <f>IF(A219="","",SUMIFS('资金费流水'!$F$5:$F$604,'资金费流水'!$B$5:$B$604,A219))</f>
        <v/>
      </c>
      <c r="AI219" s="43" t="str">
        <f>IF(AF219&lt;&gt;"已平仓","",(SUMIFS('成交明细'!$H$5:$H$804,'成交明细'!$A$5:$A$804,A219,'成交明细'!$D$5:$D$804,"卖")-SUMIFS('成交明细'!$H$5:$H$804,'成交明细'!$A$5:$A$804,A219,'成交明细'!$D$5:$D$804,"买"))*1-AG219+N(AH219))</f>
        <v/>
      </c>
      <c r="AJ219" s="44" t="str">
        <f>IF(AND(AF219="已平仓",ISNUMBER(Q219)),(SUMIFS('成交明细'!$H$5:$H$804,'成交明细'!$A$5:$A$804,A219,'成交明细'!$D$5:$D$804,"卖")-SUMIFS('成交明细'!$H$5:$H$804,'成交明细'!$A$5:$A$804,A219,'成交明细'!$D$5:$D$804,"买"))*1/Q219,"")</f>
        <v/>
      </c>
      <c r="AK219" s="44" t="str">
        <f>IF(AND(AF219="已平仓",ISNUMBER(Q219)),AI219/Q219,"")</f>
        <v/>
      </c>
      <c r="AL219" s="45" t="str">
        <f>IF(AND(ISNUMBER(AC219),ISNUMBER(K219)),IF(F219="空",K219-AC219,AC219-K219),"")</f>
        <v/>
      </c>
      <c r="AM219" s="45" t="str">
        <f>IF(OR(NOT(ISNUMBER(AI219)),NOT(ISNUMBER(AE219))),"",IF(AI219&lt;0,IF(F219="空",AE219-L219,L219-AE219),IF(NOT(ISNUMBER(M219)),"",IF(F219="空",AE219-M219,M219-AE219))))</f>
        <v/>
      </c>
      <c r="AN219" s="31" t="n"/>
      <c r="AO219" s="31" t="n"/>
      <c r="AP219" s="30" t="n"/>
      <c r="AQ219" s="44" t="str">
        <f>IF(A219="","",SUM(AK$5:AK219))</f>
        <v/>
      </c>
      <c r="AR219" s="46" t="str">
        <f>IF(A219="","",MAX(0,MAX(AQ$5:AQ219))-AQ219)</f>
        <v/>
      </c>
    </row>
    <row r="220">
      <c r="A220" s="24" t="n"/>
      <c r="B220" s="29" t="n"/>
      <c r="C220" s="30" t="n"/>
      <c r="D220" s="31" t="n"/>
      <c r="E220" s="31" t="n"/>
      <c r="F220" s="31" t="n"/>
      <c r="G220" s="21" t="n"/>
      <c r="H220" s="31" t="n"/>
      <c r="I220" s="23" t="n"/>
      <c r="J220" s="31" t="n"/>
      <c r="K220" s="32" t="n"/>
      <c r="L220" s="32" t="n"/>
      <c r="M220" s="32" t="n"/>
      <c r="N220" s="33" t="str">
        <f>IF(AND(ISNUMBER(K220),ISNUMBER(L220),ISNUMBER(M220)),IF(OR(AND(F220="多",K220&gt;L220),AND(F220="空",K220&lt;L220)),ABS(M220-K220)/ABS(K220-L220),"止损方向不对"),"")</f>
        <v/>
      </c>
      <c r="O220" s="34" t="str">
        <f>IF(AND(ISNUMBER(K220),ISNUMBER(L220)),IF(K220=L220,"",IF(INT(ROUND('参数'!$C$7/(ABS(K220-L220)*1+2*K220*'参数'!$C$12)/IF(N(J220)&gt;0,J220,1),6))*IF(N(J220)&gt;0,J220,1)&gt;0,INT(ROUND('参数'!$C$7/(ABS(K220-L220)*1+2*K220*'参数'!$C$12)/IF(N(J220)&gt;0,J220,1),6))*IF(N(J220)&gt;0,J220,1),"预算不足，这笔不做")),"")</f>
        <v/>
      </c>
      <c r="P220" s="35" t="n"/>
      <c r="Q220" s="20" t="str">
        <f>IF(AND(ISNUMBER(K220),ISNUMBER(L220),ISNUMBER(P220)),IF(AND(K220&lt;&gt;L220,P220&gt;0),ABS(K220-L220)*P220*1,""),"")</f>
        <v/>
      </c>
      <c r="R220" s="20" t="str">
        <f>IF(AND(ISNUMBER(K220),ISNUMBER(P220)),K220*P220,"")</f>
        <v/>
      </c>
      <c r="S220" s="20" t="str">
        <f>IF(AND(D220="合约",ISNUMBER(R220),N(G220)&gt;0),R220/G220,"")</f>
        <v/>
      </c>
      <c r="T220" s="36" t="str">
        <f>IF(NOT(D220="合约"),"",IF(H220&lt;&gt;"逐仓","看平台",IF(AND(ISNUMBER(K220),N(G220)&gt;0),IF(F220="空",K220*(1+1/G220-IF(ISNUMBER(I220),I220,'参数'!$C$13)),K220*(1-1/G220+IF(ISNUMBER(I220),I220,'参数'!$C$13))),"")))</f>
        <v/>
      </c>
      <c r="U220" s="37" t="str">
        <f>IF(AND(ISNUMBER(T220),ISNUMBER(L220),ISNUMBER(K220)),IF(F220="空",T220-L220,L220-T220)/K220,"")</f>
        <v/>
      </c>
      <c r="V220" s="38" t="str">
        <f>IF(ISNUMBER(U220),IF(U220&lt;'参数'!$C$15,"先降杠杆或减量","在止损外"),"")</f>
        <v/>
      </c>
      <c r="W220" s="30" t="n"/>
      <c r="X220" s="31" t="n"/>
      <c r="Y220" s="39" t="str">
        <f>IF(N(AB220)&gt;0,SUMPRODUCT(LARGE(('成交明细'!$A$5:$A$804=A220)*('成交明细'!$D$5:$D$804=IF(F220="空","卖","买"))*'成交明细'!$B$5:$B$804,COUNTIFS('成交明细'!$A$5:$A$804,A220,'成交明细'!$D$5:$D$804,IF(F220="空","卖","买")))),"")</f>
        <v/>
      </c>
      <c r="Z220" s="39" t="str">
        <f>IF(AND(N(AB220)&gt;0,N(AD220)&gt;=N(AB220)),SUMPRODUCT(MAX(('成交明细'!$A$5:$A$804=A220)*('成交明细'!$D$5:$D$804=IF(F220="空","买","卖"))*'成交明细'!$B$5:$B$804)),"")</f>
        <v/>
      </c>
      <c r="AA220" s="40" t="str">
        <f>IF(N(AB220)=0,"",IF(SUMPRODUCT(('成交明细'!$A$5:$A$804=A220)*('成交明细'!$D$5:$D$804=IF(F220="空","卖","买"))*ISNUMBER('成交明细'!$C$5:$C$804))=0,"没填时间",IFERROR(VLOOKUP(MOD(SUMPRODUCT(LARGE(('成交明细'!$A$5:$A$804=A220)*('成交明细'!$D$5:$D$804=IF(F220="空","卖","买"))*('成交明细'!$B$5:$B$804+'成交明细'!$C$5:$C$804),COUNTIFS('成交明细'!$A$5:$A$804,A220,'成交明细'!$D$5:$D$804,IF(F220="空","卖","买")))),1),'参数'!$B$39:$C$48,2,TRUE),"")))</f>
        <v/>
      </c>
      <c r="AB220" s="34" t="str">
        <f>IF(A220="","",SUMIFS('成交明细'!$F$5:$F$804,'成交明细'!$A$5:$A$804,A220,'成交明细'!$D$5:$D$804,IF(F220="空","卖","买")))</f>
        <v/>
      </c>
      <c r="AC220" s="41" t="str">
        <f>IF(N(AB220)&gt;0,SUMIFS('成交明细'!$H$5:$H$804,'成交明细'!$A$5:$A$804,A220,'成交明细'!$D$5:$D$804,IF(F220="空","卖","买"))/AB220,"")</f>
        <v/>
      </c>
      <c r="AD220" s="34" t="str">
        <f>IF(A220="","",SUMIFS('成交明细'!$F$5:$F$804,'成交明细'!$A$5:$A$804,A220,'成交明细'!$D$5:$D$804,IF(F220="空","买","卖")))</f>
        <v/>
      </c>
      <c r="AE220" s="41" t="str">
        <f>IF(N(AD220)&gt;0,SUMIFS('成交明细'!$H$5:$H$804,'成交明细'!$A$5:$A$804,A220,'成交明细'!$D$5:$D$804,IF(F220="空","买","卖"))/AD220,"")</f>
        <v/>
      </c>
      <c r="AF220" s="38" t="str">
        <f>IF(A220="","",IF(X220&lt;&gt;"已执行",IF(X220="","未填执行情况",X220),IF(N(AB220)=0,"待录成交",IF(N(AD220)&gt;N(AB220),"平仓多于开仓",IF(N(AD220)&lt;N(AB220),"持仓中","已平仓")))))</f>
        <v/>
      </c>
      <c r="AG220" s="42" t="str">
        <f>IF(N(AB220)=0,"",SUMIFS('成交明细'!$L$5:$L$804,'成交明细'!$A$5:$A$804,A220))</f>
        <v/>
      </c>
      <c r="AH220" s="43" t="str">
        <f>IF(A220="","",SUMIFS('资金费流水'!$F$5:$F$604,'资金费流水'!$B$5:$B$604,A220))</f>
        <v/>
      </c>
      <c r="AI220" s="43" t="str">
        <f>IF(AF220&lt;&gt;"已平仓","",(SUMIFS('成交明细'!$H$5:$H$804,'成交明细'!$A$5:$A$804,A220,'成交明细'!$D$5:$D$804,"卖")-SUMIFS('成交明细'!$H$5:$H$804,'成交明细'!$A$5:$A$804,A220,'成交明细'!$D$5:$D$804,"买"))*1-AG220+N(AH220))</f>
        <v/>
      </c>
      <c r="AJ220" s="44" t="str">
        <f>IF(AND(AF220="已平仓",ISNUMBER(Q220)),(SUMIFS('成交明细'!$H$5:$H$804,'成交明细'!$A$5:$A$804,A220,'成交明细'!$D$5:$D$804,"卖")-SUMIFS('成交明细'!$H$5:$H$804,'成交明细'!$A$5:$A$804,A220,'成交明细'!$D$5:$D$804,"买"))*1/Q220,"")</f>
        <v/>
      </c>
      <c r="AK220" s="44" t="str">
        <f>IF(AND(AF220="已平仓",ISNUMBER(Q220)),AI220/Q220,"")</f>
        <v/>
      </c>
      <c r="AL220" s="45" t="str">
        <f>IF(AND(ISNUMBER(AC220),ISNUMBER(K220)),IF(F220="空",K220-AC220,AC220-K220),"")</f>
        <v/>
      </c>
      <c r="AM220" s="45" t="str">
        <f>IF(OR(NOT(ISNUMBER(AI220)),NOT(ISNUMBER(AE220))),"",IF(AI220&lt;0,IF(F220="空",AE220-L220,L220-AE220),IF(NOT(ISNUMBER(M220)),"",IF(F220="空",AE220-M220,M220-AE220))))</f>
        <v/>
      </c>
      <c r="AN220" s="31" t="n"/>
      <c r="AO220" s="31" t="n"/>
      <c r="AP220" s="30" t="n"/>
      <c r="AQ220" s="44" t="str">
        <f>IF(A220="","",SUM(AK$5:AK220))</f>
        <v/>
      </c>
      <c r="AR220" s="46" t="str">
        <f>IF(A220="","",MAX(0,MAX(AQ$5:AQ220))-AQ220)</f>
        <v/>
      </c>
    </row>
    <row r="221">
      <c r="A221" s="24" t="n"/>
      <c r="B221" s="29" t="n"/>
      <c r="C221" s="30" t="n"/>
      <c r="D221" s="31" t="n"/>
      <c r="E221" s="31" t="n"/>
      <c r="F221" s="31" t="n"/>
      <c r="G221" s="21" t="n"/>
      <c r="H221" s="31" t="n"/>
      <c r="I221" s="23" t="n"/>
      <c r="J221" s="31" t="n"/>
      <c r="K221" s="32" t="n"/>
      <c r="L221" s="32" t="n"/>
      <c r="M221" s="32" t="n"/>
      <c r="N221" s="33" t="str">
        <f>IF(AND(ISNUMBER(K221),ISNUMBER(L221),ISNUMBER(M221)),IF(OR(AND(F221="多",K221&gt;L221),AND(F221="空",K221&lt;L221)),ABS(M221-K221)/ABS(K221-L221),"止损方向不对"),"")</f>
        <v/>
      </c>
      <c r="O221" s="34" t="str">
        <f>IF(AND(ISNUMBER(K221),ISNUMBER(L221)),IF(K221=L221,"",IF(INT(ROUND('参数'!$C$7/(ABS(K221-L221)*1+2*K221*'参数'!$C$12)/IF(N(J221)&gt;0,J221,1),6))*IF(N(J221)&gt;0,J221,1)&gt;0,INT(ROUND('参数'!$C$7/(ABS(K221-L221)*1+2*K221*'参数'!$C$12)/IF(N(J221)&gt;0,J221,1),6))*IF(N(J221)&gt;0,J221,1),"预算不足，这笔不做")),"")</f>
        <v/>
      </c>
      <c r="P221" s="35" t="n"/>
      <c r="Q221" s="20" t="str">
        <f>IF(AND(ISNUMBER(K221),ISNUMBER(L221),ISNUMBER(P221)),IF(AND(K221&lt;&gt;L221,P221&gt;0),ABS(K221-L221)*P221*1,""),"")</f>
        <v/>
      </c>
      <c r="R221" s="20" t="str">
        <f>IF(AND(ISNUMBER(K221),ISNUMBER(P221)),K221*P221,"")</f>
        <v/>
      </c>
      <c r="S221" s="20" t="str">
        <f>IF(AND(D221="合约",ISNUMBER(R221),N(G221)&gt;0),R221/G221,"")</f>
        <v/>
      </c>
      <c r="T221" s="36" t="str">
        <f>IF(NOT(D221="合约"),"",IF(H221&lt;&gt;"逐仓","看平台",IF(AND(ISNUMBER(K221),N(G221)&gt;0),IF(F221="空",K221*(1+1/G221-IF(ISNUMBER(I221),I221,'参数'!$C$13)),K221*(1-1/G221+IF(ISNUMBER(I221),I221,'参数'!$C$13))),"")))</f>
        <v/>
      </c>
      <c r="U221" s="37" t="str">
        <f>IF(AND(ISNUMBER(T221),ISNUMBER(L221),ISNUMBER(K221)),IF(F221="空",T221-L221,L221-T221)/K221,"")</f>
        <v/>
      </c>
      <c r="V221" s="38" t="str">
        <f>IF(ISNUMBER(U221),IF(U221&lt;'参数'!$C$15,"先降杠杆或减量","在止损外"),"")</f>
        <v/>
      </c>
      <c r="W221" s="30" t="n"/>
      <c r="X221" s="31" t="n"/>
      <c r="Y221" s="39" t="str">
        <f>IF(N(AB221)&gt;0,SUMPRODUCT(LARGE(('成交明细'!$A$5:$A$804=A221)*('成交明细'!$D$5:$D$804=IF(F221="空","卖","买"))*'成交明细'!$B$5:$B$804,COUNTIFS('成交明细'!$A$5:$A$804,A221,'成交明细'!$D$5:$D$804,IF(F221="空","卖","买")))),"")</f>
        <v/>
      </c>
      <c r="Z221" s="39" t="str">
        <f>IF(AND(N(AB221)&gt;0,N(AD221)&gt;=N(AB221)),SUMPRODUCT(MAX(('成交明细'!$A$5:$A$804=A221)*('成交明细'!$D$5:$D$804=IF(F221="空","买","卖"))*'成交明细'!$B$5:$B$804)),"")</f>
        <v/>
      </c>
      <c r="AA221" s="40" t="str">
        <f>IF(N(AB221)=0,"",IF(SUMPRODUCT(('成交明细'!$A$5:$A$804=A221)*('成交明细'!$D$5:$D$804=IF(F221="空","卖","买"))*ISNUMBER('成交明细'!$C$5:$C$804))=0,"没填时间",IFERROR(VLOOKUP(MOD(SUMPRODUCT(LARGE(('成交明细'!$A$5:$A$804=A221)*('成交明细'!$D$5:$D$804=IF(F221="空","卖","买"))*('成交明细'!$B$5:$B$804+'成交明细'!$C$5:$C$804),COUNTIFS('成交明细'!$A$5:$A$804,A221,'成交明细'!$D$5:$D$804,IF(F221="空","卖","买")))),1),'参数'!$B$39:$C$48,2,TRUE),"")))</f>
        <v/>
      </c>
      <c r="AB221" s="34" t="str">
        <f>IF(A221="","",SUMIFS('成交明细'!$F$5:$F$804,'成交明细'!$A$5:$A$804,A221,'成交明细'!$D$5:$D$804,IF(F221="空","卖","买")))</f>
        <v/>
      </c>
      <c r="AC221" s="41" t="str">
        <f>IF(N(AB221)&gt;0,SUMIFS('成交明细'!$H$5:$H$804,'成交明细'!$A$5:$A$804,A221,'成交明细'!$D$5:$D$804,IF(F221="空","卖","买"))/AB221,"")</f>
        <v/>
      </c>
      <c r="AD221" s="34" t="str">
        <f>IF(A221="","",SUMIFS('成交明细'!$F$5:$F$804,'成交明细'!$A$5:$A$804,A221,'成交明细'!$D$5:$D$804,IF(F221="空","买","卖")))</f>
        <v/>
      </c>
      <c r="AE221" s="41" t="str">
        <f>IF(N(AD221)&gt;0,SUMIFS('成交明细'!$H$5:$H$804,'成交明细'!$A$5:$A$804,A221,'成交明细'!$D$5:$D$804,IF(F221="空","买","卖"))/AD221,"")</f>
        <v/>
      </c>
      <c r="AF221" s="38" t="str">
        <f>IF(A221="","",IF(X221&lt;&gt;"已执行",IF(X221="","未填执行情况",X221),IF(N(AB221)=0,"待录成交",IF(N(AD221)&gt;N(AB221),"平仓多于开仓",IF(N(AD221)&lt;N(AB221),"持仓中","已平仓")))))</f>
        <v/>
      </c>
      <c r="AG221" s="42" t="str">
        <f>IF(N(AB221)=0,"",SUMIFS('成交明细'!$L$5:$L$804,'成交明细'!$A$5:$A$804,A221))</f>
        <v/>
      </c>
      <c r="AH221" s="43" t="str">
        <f>IF(A221="","",SUMIFS('资金费流水'!$F$5:$F$604,'资金费流水'!$B$5:$B$604,A221))</f>
        <v/>
      </c>
      <c r="AI221" s="43" t="str">
        <f>IF(AF221&lt;&gt;"已平仓","",(SUMIFS('成交明细'!$H$5:$H$804,'成交明细'!$A$5:$A$804,A221,'成交明细'!$D$5:$D$804,"卖")-SUMIFS('成交明细'!$H$5:$H$804,'成交明细'!$A$5:$A$804,A221,'成交明细'!$D$5:$D$804,"买"))*1-AG221+N(AH221))</f>
        <v/>
      </c>
      <c r="AJ221" s="44" t="str">
        <f>IF(AND(AF221="已平仓",ISNUMBER(Q221)),(SUMIFS('成交明细'!$H$5:$H$804,'成交明细'!$A$5:$A$804,A221,'成交明细'!$D$5:$D$804,"卖")-SUMIFS('成交明细'!$H$5:$H$804,'成交明细'!$A$5:$A$804,A221,'成交明细'!$D$5:$D$804,"买"))*1/Q221,"")</f>
        <v/>
      </c>
      <c r="AK221" s="44" t="str">
        <f>IF(AND(AF221="已平仓",ISNUMBER(Q221)),AI221/Q221,"")</f>
        <v/>
      </c>
      <c r="AL221" s="45" t="str">
        <f>IF(AND(ISNUMBER(AC221),ISNUMBER(K221)),IF(F221="空",K221-AC221,AC221-K221),"")</f>
        <v/>
      </c>
      <c r="AM221" s="45" t="str">
        <f>IF(OR(NOT(ISNUMBER(AI221)),NOT(ISNUMBER(AE221))),"",IF(AI221&lt;0,IF(F221="空",AE221-L221,L221-AE221),IF(NOT(ISNUMBER(M221)),"",IF(F221="空",AE221-M221,M221-AE221))))</f>
        <v/>
      </c>
      <c r="AN221" s="31" t="n"/>
      <c r="AO221" s="31" t="n"/>
      <c r="AP221" s="30" t="n"/>
      <c r="AQ221" s="44" t="str">
        <f>IF(A221="","",SUM(AK$5:AK221))</f>
        <v/>
      </c>
      <c r="AR221" s="46" t="str">
        <f>IF(A221="","",MAX(0,MAX(AQ$5:AQ221))-AQ221)</f>
        <v/>
      </c>
    </row>
    <row r="222">
      <c r="A222" s="24" t="n"/>
      <c r="B222" s="29" t="n"/>
      <c r="C222" s="30" t="n"/>
      <c r="D222" s="31" t="n"/>
      <c r="E222" s="31" t="n"/>
      <c r="F222" s="31" t="n"/>
      <c r="G222" s="21" t="n"/>
      <c r="H222" s="31" t="n"/>
      <c r="I222" s="23" t="n"/>
      <c r="J222" s="31" t="n"/>
      <c r="K222" s="32" t="n"/>
      <c r="L222" s="32" t="n"/>
      <c r="M222" s="32" t="n"/>
      <c r="N222" s="33" t="str">
        <f>IF(AND(ISNUMBER(K222),ISNUMBER(L222),ISNUMBER(M222)),IF(OR(AND(F222="多",K222&gt;L222),AND(F222="空",K222&lt;L222)),ABS(M222-K222)/ABS(K222-L222),"止损方向不对"),"")</f>
        <v/>
      </c>
      <c r="O222" s="34" t="str">
        <f>IF(AND(ISNUMBER(K222),ISNUMBER(L222)),IF(K222=L222,"",IF(INT(ROUND('参数'!$C$7/(ABS(K222-L222)*1+2*K222*'参数'!$C$12)/IF(N(J222)&gt;0,J222,1),6))*IF(N(J222)&gt;0,J222,1)&gt;0,INT(ROUND('参数'!$C$7/(ABS(K222-L222)*1+2*K222*'参数'!$C$12)/IF(N(J222)&gt;0,J222,1),6))*IF(N(J222)&gt;0,J222,1),"预算不足，这笔不做")),"")</f>
        <v/>
      </c>
      <c r="P222" s="35" t="n"/>
      <c r="Q222" s="20" t="str">
        <f>IF(AND(ISNUMBER(K222),ISNUMBER(L222),ISNUMBER(P222)),IF(AND(K222&lt;&gt;L222,P222&gt;0),ABS(K222-L222)*P222*1,""),"")</f>
        <v/>
      </c>
      <c r="R222" s="20" t="str">
        <f>IF(AND(ISNUMBER(K222),ISNUMBER(P222)),K222*P222,"")</f>
        <v/>
      </c>
      <c r="S222" s="20" t="str">
        <f>IF(AND(D222="合约",ISNUMBER(R222),N(G222)&gt;0),R222/G222,"")</f>
        <v/>
      </c>
      <c r="T222" s="36" t="str">
        <f>IF(NOT(D222="合约"),"",IF(H222&lt;&gt;"逐仓","看平台",IF(AND(ISNUMBER(K222),N(G222)&gt;0),IF(F222="空",K222*(1+1/G222-IF(ISNUMBER(I222),I222,'参数'!$C$13)),K222*(1-1/G222+IF(ISNUMBER(I222),I222,'参数'!$C$13))),"")))</f>
        <v/>
      </c>
      <c r="U222" s="37" t="str">
        <f>IF(AND(ISNUMBER(T222),ISNUMBER(L222),ISNUMBER(K222)),IF(F222="空",T222-L222,L222-T222)/K222,"")</f>
        <v/>
      </c>
      <c r="V222" s="38" t="str">
        <f>IF(ISNUMBER(U222),IF(U222&lt;'参数'!$C$15,"先降杠杆或减量","在止损外"),"")</f>
        <v/>
      </c>
      <c r="W222" s="30" t="n"/>
      <c r="X222" s="31" t="n"/>
      <c r="Y222" s="39" t="str">
        <f>IF(N(AB222)&gt;0,SUMPRODUCT(LARGE(('成交明细'!$A$5:$A$804=A222)*('成交明细'!$D$5:$D$804=IF(F222="空","卖","买"))*'成交明细'!$B$5:$B$804,COUNTIFS('成交明细'!$A$5:$A$804,A222,'成交明细'!$D$5:$D$804,IF(F222="空","卖","买")))),"")</f>
        <v/>
      </c>
      <c r="Z222" s="39" t="str">
        <f>IF(AND(N(AB222)&gt;0,N(AD222)&gt;=N(AB222)),SUMPRODUCT(MAX(('成交明细'!$A$5:$A$804=A222)*('成交明细'!$D$5:$D$804=IF(F222="空","买","卖"))*'成交明细'!$B$5:$B$804)),"")</f>
        <v/>
      </c>
      <c r="AA222" s="40" t="str">
        <f>IF(N(AB222)=0,"",IF(SUMPRODUCT(('成交明细'!$A$5:$A$804=A222)*('成交明细'!$D$5:$D$804=IF(F222="空","卖","买"))*ISNUMBER('成交明细'!$C$5:$C$804))=0,"没填时间",IFERROR(VLOOKUP(MOD(SUMPRODUCT(LARGE(('成交明细'!$A$5:$A$804=A222)*('成交明细'!$D$5:$D$804=IF(F222="空","卖","买"))*('成交明细'!$B$5:$B$804+'成交明细'!$C$5:$C$804),COUNTIFS('成交明细'!$A$5:$A$804,A222,'成交明细'!$D$5:$D$804,IF(F222="空","卖","买")))),1),'参数'!$B$39:$C$48,2,TRUE),"")))</f>
        <v/>
      </c>
      <c r="AB222" s="34" t="str">
        <f>IF(A222="","",SUMIFS('成交明细'!$F$5:$F$804,'成交明细'!$A$5:$A$804,A222,'成交明细'!$D$5:$D$804,IF(F222="空","卖","买")))</f>
        <v/>
      </c>
      <c r="AC222" s="41" t="str">
        <f>IF(N(AB222)&gt;0,SUMIFS('成交明细'!$H$5:$H$804,'成交明细'!$A$5:$A$804,A222,'成交明细'!$D$5:$D$804,IF(F222="空","卖","买"))/AB222,"")</f>
        <v/>
      </c>
      <c r="AD222" s="34" t="str">
        <f>IF(A222="","",SUMIFS('成交明细'!$F$5:$F$804,'成交明细'!$A$5:$A$804,A222,'成交明细'!$D$5:$D$804,IF(F222="空","买","卖")))</f>
        <v/>
      </c>
      <c r="AE222" s="41" t="str">
        <f>IF(N(AD222)&gt;0,SUMIFS('成交明细'!$H$5:$H$804,'成交明细'!$A$5:$A$804,A222,'成交明细'!$D$5:$D$804,IF(F222="空","买","卖"))/AD222,"")</f>
        <v/>
      </c>
      <c r="AF222" s="38" t="str">
        <f>IF(A222="","",IF(X222&lt;&gt;"已执行",IF(X222="","未填执行情况",X222),IF(N(AB222)=0,"待录成交",IF(N(AD222)&gt;N(AB222),"平仓多于开仓",IF(N(AD222)&lt;N(AB222),"持仓中","已平仓")))))</f>
        <v/>
      </c>
      <c r="AG222" s="42" t="str">
        <f>IF(N(AB222)=0,"",SUMIFS('成交明细'!$L$5:$L$804,'成交明细'!$A$5:$A$804,A222))</f>
        <v/>
      </c>
      <c r="AH222" s="43" t="str">
        <f>IF(A222="","",SUMIFS('资金费流水'!$F$5:$F$604,'资金费流水'!$B$5:$B$604,A222))</f>
        <v/>
      </c>
      <c r="AI222" s="43" t="str">
        <f>IF(AF222&lt;&gt;"已平仓","",(SUMIFS('成交明细'!$H$5:$H$804,'成交明细'!$A$5:$A$804,A222,'成交明细'!$D$5:$D$804,"卖")-SUMIFS('成交明细'!$H$5:$H$804,'成交明细'!$A$5:$A$804,A222,'成交明细'!$D$5:$D$804,"买"))*1-AG222+N(AH222))</f>
        <v/>
      </c>
      <c r="AJ222" s="44" t="str">
        <f>IF(AND(AF222="已平仓",ISNUMBER(Q222)),(SUMIFS('成交明细'!$H$5:$H$804,'成交明细'!$A$5:$A$804,A222,'成交明细'!$D$5:$D$804,"卖")-SUMIFS('成交明细'!$H$5:$H$804,'成交明细'!$A$5:$A$804,A222,'成交明细'!$D$5:$D$804,"买"))*1/Q222,"")</f>
        <v/>
      </c>
      <c r="AK222" s="44" t="str">
        <f>IF(AND(AF222="已平仓",ISNUMBER(Q222)),AI222/Q222,"")</f>
        <v/>
      </c>
      <c r="AL222" s="45" t="str">
        <f>IF(AND(ISNUMBER(AC222),ISNUMBER(K222)),IF(F222="空",K222-AC222,AC222-K222),"")</f>
        <v/>
      </c>
      <c r="AM222" s="45" t="str">
        <f>IF(OR(NOT(ISNUMBER(AI222)),NOT(ISNUMBER(AE222))),"",IF(AI222&lt;0,IF(F222="空",AE222-L222,L222-AE222),IF(NOT(ISNUMBER(M222)),"",IF(F222="空",AE222-M222,M222-AE222))))</f>
        <v/>
      </c>
      <c r="AN222" s="31" t="n"/>
      <c r="AO222" s="31" t="n"/>
      <c r="AP222" s="30" t="n"/>
      <c r="AQ222" s="44" t="str">
        <f>IF(A222="","",SUM(AK$5:AK222))</f>
        <v/>
      </c>
      <c r="AR222" s="46" t="str">
        <f>IF(A222="","",MAX(0,MAX(AQ$5:AQ222))-AQ222)</f>
        <v/>
      </c>
    </row>
    <row r="223">
      <c r="A223" s="24" t="n"/>
      <c r="B223" s="29" t="n"/>
      <c r="C223" s="30" t="n"/>
      <c r="D223" s="31" t="n"/>
      <c r="E223" s="31" t="n"/>
      <c r="F223" s="31" t="n"/>
      <c r="G223" s="21" t="n"/>
      <c r="H223" s="31" t="n"/>
      <c r="I223" s="23" t="n"/>
      <c r="J223" s="31" t="n"/>
      <c r="K223" s="32" t="n"/>
      <c r="L223" s="32" t="n"/>
      <c r="M223" s="32" t="n"/>
      <c r="N223" s="33" t="str">
        <f>IF(AND(ISNUMBER(K223),ISNUMBER(L223),ISNUMBER(M223)),IF(OR(AND(F223="多",K223&gt;L223),AND(F223="空",K223&lt;L223)),ABS(M223-K223)/ABS(K223-L223),"止损方向不对"),"")</f>
        <v/>
      </c>
      <c r="O223" s="34" t="str">
        <f>IF(AND(ISNUMBER(K223),ISNUMBER(L223)),IF(K223=L223,"",IF(INT(ROUND('参数'!$C$7/(ABS(K223-L223)*1+2*K223*'参数'!$C$12)/IF(N(J223)&gt;0,J223,1),6))*IF(N(J223)&gt;0,J223,1)&gt;0,INT(ROUND('参数'!$C$7/(ABS(K223-L223)*1+2*K223*'参数'!$C$12)/IF(N(J223)&gt;0,J223,1),6))*IF(N(J223)&gt;0,J223,1),"预算不足，这笔不做")),"")</f>
        <v/>
      </c>
      <c r="P223" s="35" t="n"/>
      <c r="Q223" s="20" t="str">
        <f>IF(AND(ISNUMBER(K223),ISNUMBER(L223),ISNUMBER(P223)),IF(AND(K223&lt;&gt;L223,P223&gt;0),ABS(K223-L223)*P223*1,""),"")</f>
        <v/>
      </c>
      <c r="R223" s="20" t="str">
        <f>IF(AND(ISNUMBER(K223),ISNUMBER(P223)),K223*P223,"")</f>
        <v/>
      </c>
      <c r="S223" s="20" t="str">
        <f>IF(AND(D223="合约",ISNUMBER(R223),N(G223)&gt;0),R223/G223,"")</f>
        <v/>
      </c>
      <c r="T223" s="36" t="str">
        <f>IF(NOT(D223="合约"),"",IF(H223&lt;&gt;"逐仓","看平台",IF(AND(ISNUMBER(K223),N(G223)&gt;0),IF(F223="空",K223*(1+1/G223-IF(ISNUMBER(I223),I223,'参数'!$C$13)),K223*(1-1/G223+IF(ISNUMBER(I223),I223,'参数'!$C$13))),"")))</f>
        <v/>
      </c>
      <c r="U223" s="37" t="str">
        <f>IF(AND(ISNUMBER(T223),ISNUMBER(L223),ISNUMBER(K223)),IF(F223="空",T223-L223,L223-T223)/K223,"")</f>
        <v/>
      </c>
      <c r="V223" s="38" t="str">
        <f>IF(ISNUMBER(U223),IF(U223&lt;'参数'!$C$15,"先降杠杆或减量","在止损外"),"")</f>
        <v/>
      </c>
      <c r="W223" s="30" t="n"/>
      <c r="X223" s="31" t="n"/>
      <c r="Y223" s="39" t="str">
        <f>IF(N(AB223)&gt;0,SUMPRODUCT(LARGE(('成交明细'!$A$5:$A$804=A223)*('成交明细'!$D$5:$D$804=IF(F223="空","卖","买"))*'成交明细'!$B$5:$B$804,COUNTIFS('成交明细'!$A$5:$A$804,A223,'成交明细'!$D$5:$D$804,IF(F223="空","卖","买")))),"")</f>
        <v/>
      </c>
      <c r="Z223" s="39" t="str">
        <f>IF(AND(N(AB223)&gt;0,N(AD223)&gt;=N(AB223)),SUMPRODUCT(MAX(('成交明细'!$A$5:$A$804=A223)*('成交明细'!$D$5:$D$804=IF(F223="空","买","卖"))*'成交明细'!$B$5:$B$804)),"")</f>
        <v/>
      </c>
      <c r="AA223" s="40" t="str">
        <f>IF(N(AB223)=0,"",IF(SUMPRODUCT(('成交明细'!$A$5:$A$804=A223)*('成交明细'!$D$5:$D$804=IF(F223="空","卖","买"))*ISNUMBER('成交明细'!$C$5:$C$804))=0,"没填时间",IFERROR(VLOOKUP(MOD(SUMPRODUCT(LARGE(('成交明细'!$A$5:$A$804=A223)*('成交明细'!$D$5:$D$804=IF(F223="空","卖","买"))*('成交明细'!$B$5:$B$804+'成交明细'!$C$5:$C$804),COUNTIFS('成交明细'!$A$5:$A$804,A223,'成交明细'!$D$5:$D$804,IF(F223="空","卖","买")))),1),'参数'!$B$39:$C$48,2,TRUE),"")))</f>
        <v/>
      </c>
      <c r="AB223" s="34" t="str">
        <f>IF(A223="","",SUMIFS('成交明细'!$F$5:$F$804,'成交明细'!$A$5:$A$804,A223,'成交明细'!$D$5:$D$804,IF(F223="空","卖","买")))</f>
        <v/>
      </c>
      <c r="AC223" s="41" t="str">
        <f>IF(N(AB223)&gt;0,SUMIFS('成交明细'!$H$5:$H$804,'成交明细'!$A$5:$A$804,A223,'成交明细'!$D$5:$D$804,IF(F223="空","卖","买"))/AB223,"")</f>
        <v/>
      </c>
      <c r="AD223" s="34" t="str">
        <f>IF(A223="","",SUMIFS('成交明细'!$F$5:$F$804,'成交明细'!$A$5:$A$804,A223,'成交明细'!$D$5:$D$804,IF(F223="空","买","卖")))</f>
        <v/>
      </c>
      <c r="AE223" s="41" t="str">
        <f>IF(N(AD223)&gt;0,SUMIFS('成交明细'!$H$5:$H$804,'成交明细'!$A$5:$A$804,A223,'成交明细'!$D$5:$D$804,IF(F223="空","买","卖"))/AD223,"")</f>
        <v/>
      </c>
      <c r="AF223" s="38" t="str">
        <f>IF(A223="","",IF(X223&lt;&gt;"已执行",IF(X223="","未填执行情况",X223),IF(N(AB223)=0,"待录成交",IF(N(AD223)&gt;N(AB223),"平仓多于开仓",IF(N(AD223)&lt;N(AB223),"持仓中","已平仓")))))</f>
        <v/>
      </c>
      <c r="AG223" s="42" t="str">
        <f>IF(N(AB223)=0,"",SUMIFS('成交明细'!$L$5:$L$804,'成交明细'!$A$5:$A$804,A223))</f>
        <v/>
      </c>
      <c r="AH223" s="43" t="str">
        <f>IF(A223="","",SUMIFS('资金费流水'!$F$5:$F$604,'资金费流水'!$B$5:$B$604,A223))</f>
        <v/>
      </c>
      <c r="AI223" s="43" t="str">
        <f>IF(AF223&lt;&gt;"已平仓","",(SUMIFS('成交明细'!$H$5:$H$804,'成交明细'!$A$5:$A$804,A223,'成交明细'!$D$5:$D$804,"卖")-SUMIFS('成交明细'!$H$5:$H$804,'成交明细'!$A$5:$A$804,A223,'成交明细'!$D$5:$D$804,"买"))*1-AG223+N(AH223))</f>
        <v/>
      </c>
      <c r="AJ223" s="44" t="str">
        <f>IF(AND(AF223="已平仓",ISNUMBER(Q223)),(SUMIFS('成交明细'!$H$5:$H$804,'成交明细'!$A$5:$A$804,A223,'成交明细'!$D$5:$D$804,"卖")-SUMIFS('成交明细'!$H$5:$H$804,'成交明细'!$A$5:$A$804,A223,'成交明细'!$D$5:$D$804,"买"))*1/Q223,"")</f>
        <v/>
      </c>
      <c r="AK223" s="44" t="str">
        <f>IF(AND(AF223="已平仓",ISNUMBER(Q223)),AI223/Q223,"")</f>
        <v/>
      </c>
      <c r="AL223" s="45" t="str">
        <f>IF(AND(ISNUMBER(AC223),ISNUMBER(K223)),IF(F223="空",K223-AC223,AC223-K223),"")</f>
        <v/>
      </c>
      <c r="AM223" s="45" t="str">
        <f>IF(OR(NOT(ISNUMBER(AI223)),NOT(ISNUMBER(AE223))),"",IF(AI223&lt;0,IF(F223="空",AE223-L223,L223-AE223),IF(NOT(ISNUMBER(M223)),"",IF(F223="空",AE223-M223,M223-AE223))))</f>
        <v/>
      </c>
      <c r="AN223" s="31" t="n"/>
      <c r="AO223" s="31" t="n"/>
      <c r="AP223" s="30" t="n"/>
      <c r="AQ223" s="44" t="str">
        <f>IF(A223="","",SUM(AK$5:AK223))</f>
        <v/>
      </c>
      <c r="AR223" s="46" t="str">
        <f>IF(A223="","",MAX(0,MAX(AQ$5:AQ223))-AQ223)</f>
        <v/>
      </c>
    </row>
    <row r="224">
      <c r="A224" s="24" t="n"/>
      <c r="B224" s="29" t="n"/>
      <c r="C224" s="30" t="n"/>
      <c r="D224" s="31" t="n"/>
      <c r="E224" s="31" t="n"/>
      <c r="F224" s="31" t="n"/>
      <c r="G224" s="21" t="n"/>
      <c r="H224" s="31" t="n"/>
      <c r="I224" s="23" t="n"/>
      <c r="J224" s="31" t="n"/>
      <c r="K224" s="32" t="n"/>
      <c r="L224" s="32" t="n"/>
      <c r="M224" s="32" t="n"/>
      <c r="N224" s="33" t="str">
        <f>IF(AND(ISNUMBER(K224),ISNUMBER(L224),ISNUMBER(M224)),IF(OR(AND(F224="多",K224&gt;L224),AND(F224="空",K224&lt;L224)),ABS(M224-K224)/ABS(K224-L224),"止损方向不对"),"")</f>
        <v/>
      </c>
      <c r="O224" s="34" t="str">
        <f>IF(AND(ISNUMBER(K224),ISNUMBER(L224)),IF(K224=L224,"",IF(INT(ROUND('参数'!$C$7/(ABS(K224-L224)*1+2*K224*'参数'!$C$12)/IF(N(J224)&gt;0,J224,1),6))*IF(N(J224)&gt;0,J224,1)&gt;0,INT(ROUND('参数'!$C$7/(ABS(K224-L224)*1+2*K224*'参数'!$C$12)/IF(N(J224)&gt;0,J224,1),6))*IF(N(J224)&gt;0,J224,1),"预算不足，这笔不做")),"")</f>
        <v/>
      </c>
      <c r="P224" s="35" t="n"/>
      <c r="Q224" s="20" t="str">
        <f>IF(AND(ISNUMBER(K224),ISNUMBER(L224),ISNUMBER(P224)),IF(AND(K224&lt;&gt;L224,P224&gt;0),ABS(K224-L224)*P224*1,""),"")</f>
        <v/>
      </c>
      <c r="R224" s="20" t="str">
        <f>IF(AND(ISNUMBER(K224),ISNUMBER(P224)),K224*P224,"")</f>
        <v/>
      </c>
      <c r="S224" s="20" t="str">
        <f>IF(AND(D224="合约",ISNUMBER(R224),N(G224)&gt;0),R224/G224,"")</f>
        <v/>
      </c>
      <c r="T224" s="36" t="str">
        <f>IF(NOT(D224="合约"),"",IF(H224&lt;&gt;"逐仓","看平台",IF(AND(ISNUMBER(K224),N(G224)&gt;0),IF(F224="空",K224*(1+1/G224-IF(ISNUMBER(I224),I224,'参数'!$C$13)),K224*(1-1/G224+IF(ISNUMBER(I224),I224,'参数'!$C$13))),"")))</f>
        <v/>
      </c>
      <c r="U224" s="37" t="str">
        <f>IF(AND(ISNUMBER(T224),ISNUMBER(L224),ISNUMBER(K224)),IF(F224="空",T224-L224,L224-T224)/K224,"")</f>
        <v/>
      </c>
      <c r="V224" s="38" t="str">
        <f>IF(ISNUMBER(U224),IF(U224&lt;'参数'!$C$15,"先降杠杆或减量","在止损外"),"")</f>
        <v/>
      </c>
      <c r="W224" s="30" t="n"/>
      <c r="X224" s="31" t="n"/>
      <c r="Y224" s="39" t="str">
        <f>IF(N(AB224)&gt;0,SUMPRODUCT(LARGE(('成交明细'!$A$5:$A$804=A224)*('成交明细'!$D$5:$D$804=IF(F224="空","卖","买"))*'成交明细'!$B$5:$B$804,COUNTIFS('成交明细'!$A$5:$A$804,A224,'成交明细'!$D$5:$D$804,IF(F224="空","卖","买")))),"")</f>
        <v/>
      </c>
      <c r="Z224" s="39" t="str">
        <f>IF(AND(N(AB224)&gt;0,N(AD224)&gt;=N(AB224)),SUMPRODUCT(MAX(('成交明细'!$A$5:$A$804=A224)*('成交明细'!$D$5:$D$804=IF(F224="空","买","卖"))*'成交明细'!$B$5:$B$804)),"")</f>
        <v/>
      </c>
      <c r="AA224" s="40" t="str">
        <f>IF(N(AB224)=0,"",IF(SUMPRODUCT(('成交明细'!$A$5:$A$804=A224)*('成交明细'!$D$5:$D$804=IF(F224="空","卖","买"))*ISNUMBER('成交明细'!$C$5:$C$804))=0,"没填时间",IFERROR(VLOOKUP(MOD(SUMPRODUCT(LARGE(('成交明细'!$A$5:$A$804=A224)*('成交明细'!$D$5:$D$804=IF(F224="空","卖","买"))*('成交明细'!$B$5:$B$804+'成交明细'!$C$5:$C$804),COUNTIFS('成交明细'!$A$5:$A$804,A224,'成交明细'!$D$5:$D$804,IF(F224="空","卖","买")))),1),'参数'!$B$39:$C$48,2,TRUE),"")))</f>
        <v/>
      </c>
      <c r="AB224" s="34" t="str">
        <f>IF(A224="","",SUMIFS('成交明细'!$F$5:$F$804,'成交明细'!$A$5:$A$804,A224,'成交明细'!$D$5:$D$804,IF(F224="空","卖","买")))</f>
        <v/>
      </c>
      <c r="AC224" s="41" t="str">
        <f>IF(N(AB224)&gt;0,SUMIFS('成交明细'!$H$5:$H$804,'成交明细'!$A$5:$A$804,A224,'成交明细'!$D$5:$D$804,IF(F224="空","卖","买"))/AB224,"")</f>
        <v/>
      </c>
      <c r="AD224" s="34" t="str">
        <f>IF(A224="","",SUMIFS('成交明细'!$F$5:$F$804,'成交明细'!$A$5:$A$804,A224,'成交明细'!$D$5:$D$804,IF(F224="空","买","卖")))</f>
        <v/>
      </c>
      <c r="AE224" s="41" t="str">
        <f>IF(N(AD224)&gt;0,SUMIFS('成交明细'!$H$5:$H$804,'成交明细'!$A$5:$A$804,A224,'成交明细'!$D$5:$D$804,IF(F224="空","买","卖"))/AD224,"")</f>
        <v/>
      </c>
      <c r="AF224" s="38" t="str">
        <f>IF(A224="","",IF(X224&lt;&gt;"已执行",IF(X224="","未填执行情况",X224),IF(N(AB224)=0,"待录成交",IF(N(AD224)&gt;N(AB224),"平仓多于开仓",IF(N(AD224)&lt;N(AB224),"持仓中","已平仓")))))</f>
        <v/>
      </c>
      <c r="AG224" s="42" t="str">
        <f>IF(N(AB224)=0,"",SUMIFS('成交明细'!$L$5:$L$804,'成交明细'!$A$5:$A$804,A224))</f>
        <v/>
      </c>
      <c r="AH224" s="43" t="str">
        <f>IF(A224="","",SUMIFS('资金费流水'!$F$5:$F$604,'资金费流水'!$B$5:$B$604,A224))</f>
        <v/>
      </c>
      <c r="AI224" s="43" t="str">
        <f>IF(AF224&lt;&gt;"已平仓","",(SUMIFS('成交明细'!$H$5:$H$804,'成交明细'!$A$5:$A$804,A224,'成交明细'!$D$5:$D$804,"卖")-SUMIFS('成交明细'!$H$5:$H$804,'成交明细'!$A$5:$A$804,A224,'成交明细'!$D$5:$D$804,"买"))*1-AG224+N(AH224))</f>
        <v/>
      </c>
      <c r="AJ224" s="44" t="str">
        <f>IF(AND(AF224="已平仓",ISNUMBER(Q224)),(SUMIFS('成交明细'!$H$5:$H$804,'成交明细'!$A$5:$A$804,A224,'成交明细'!$D$5:$D$804,"卖")-SUMIFS('成交明细'!$H$5:$H$804,'成交明细'!$A$5:$A$804,A224,'成交明细'!$D$5:$D$804,"买"))*1/Q224,"")</f>
        <v/>
      </c>
      <c r="AK224" s="44" t="str">
        <f>IF(AND(AF224="已平仓",ISNUMBER(Q224)),AI224/Q224,"")</f>
        <v/>
      </c>
      <c r="AL224" s="45" t="str">
        <f>IF(AND(ISNUMBER(AC224),ISNUMBER(K224)),IF(F224="空",K224-AC224,AC224-K224),"")</f>
        <v/>
      </c>
      <c r="AM224" s="45" t="str">
        <f>IF(OR(NOT(ISNUMBER(AI224)),NOT(ISNUMBER(AE224))),"",IF(AI224&lt;0,IF(F224="空",AE224-L224,L224-AE224),IF(NOT(ISNUMBER(M224)),"",IF(F224="空",AE224-M224,M224-AE224))))</f>
        <v/>
      </c>
      <c r="AN224" s="31" t="n"/>
      <c r="AO224" s="31" t="n"/>
      <c r="AP224" s="30" t="n"/>
      <c r="AQ224" s="44" t="str">
        <f>IF(A224="","",SUM(AK$5:AK224))</f>
        <v/>
      </c>
      <c r="AR224" s="46" t="str">
        <f>IF(A224="","",MAX(0,MAX(AQ$5:AQ224))-AQ224)</f>
        <v/>
      </c>
    </row>
    <row r="225">
      <c r="A225" s="24" t="n"/>
      <c r="B225" s="29" t="n"/>
      <c r="C225" s="30" t="n"/>
      <c r="D225" s="31" t="n"/>
      <c r="E225" s="31" t="n"/>
      <c r="F225" s="31" t="n"/>
      <c r="G225" s="21" t="n"/>
      <c r="H225" s="31" t="n"/>
      <c r="I225" s="23" t="n"/>
      <c r="J225" s="31" t="n"/>
      <c r="K225" s="32" t="n"/>
      <c r="L225" s="32" t="n"/>
      <c r="M225" s="32" t="n"/>
      <c r="N225" s="33" t="str">
        <f>IF(AND(ISNUMBER(K225),ISNUMBER(L225),ISNUMBER(M225)),IF(OR(AND(F225="多",K225&gt;L225),AND(F225="空",K225&lt;L225)),ABS(M225-K225)/ABS(K225-L225),"止损方向不对"),"")</f>
        <v/>
      </c>
      <c r="O225" s="34" t="str">
        <f>IF(AND(ISNUMBER(K225),ISNUMBER(L225)),IF(K225=L225,"",IF(INT(ROUND('参数'!$C$7/(ABS(K225-L225)*1+2*K225*'参数'!$C$12)/IF(N(J225)&gt;0,J225,1),6))*IF(N(J225)&gt;0,J225,1)&gt;0,INT(ROUND('参数'!$C$7/(ABS(K225-L225)*1+2*K225*'参数'!$C$12)/IF(N(J225)&gt;0,J225,1),6))*IF(N(J225)&gt;0,J225,1),"预算不足，这笔不做")),"")</f>
        <v/>
      </c>
      <c r="P225" s="35" t="n"/>
      <c r="Q225" s="20" t="str">
        <f>IF(AND(ISNUMBER(K225),ISNUMBER(L225),ISNUMBER(P225)),IF(AND(K225&lt;&gt;L225,P225&gt;0),ABS(K225-L225)*P225*1,""),"")</f>
        <v/>
      </c>
      <c r="R225" s="20" t="str">
        <f>IF(AND(ISNUMBER(K225),ISNUMBER(P225)),K225*P225,"")</f>
        <v/>
      </c>
      <c r="S225" s="20" t="str">
        <f>IF(AND(D225="合约",ISNUMBER(R225),N(G225)&gt;0),R225/G225,"")</f>
        <v/>
      </c>
      <c r="T225" s="36" t="str">
        <f>IF(NOT(D225="合约"),"",IF(H225&lt;&gt;"逐仓","看平台",IF(AND(ISNUMBER(K225),N(G225)&gt;0),IF(F225="空",K225*(1+1/G225-IF(ISNUMBER(I225),I225,'参数'!$C$13)),K225*(1-1/G225+IF(ISNUMBER(I225),I225,'参数'!$C$13))),"")))</f>
        <v/>
      </c>
      <c r="U225" s="37" t="str">
        <f>IF(AND(ISNUMBER(T225),ISNUMBER(L225),ISNUMBER(K225)),IF(F225="空",T225-L225,L225-T225)/K225,"")</f>
        <v/>
      </c>
      <c r="V225" s="38" t="str">
        <f>IF(ISNUMBER(U225),IF(U225&lt;'参数'!$C$15,"先降杠杆或减量","在止损外"),"")</f>
        <v/>
      </c>
      <c r="W225" s="30" t="n"/>
      <c r="X225" s="31" t="n"/>
      <c r="Y225" s="39" t="str">
        <f>IF(N(AB225)&gt;0,SUMPRODUCT(LARGE(('成交明细'!$A$5:$A$804=A225)*('成交明细'!$D$5:$D$804=IF(F225="空","卖","买"))*'成交明细'!$B$5:$B$804,COUNTIFS('成交明细'!$A$5:$A$804,A225,'成交明细'!$D$5:$D$804,IF(F225="空","卖","买")))),"")</f>
        <v/>
      </c>
      <c r="Z225" s="39" t="str">
        <f>IF(AND(N(AB225)&gt;0,N(AD225)&gt;=N(AB225)),SUMPRODUCT(MAX(('成交明细'!$A$5:$A$804=A225)*('成交明细'!$D$5:$D$804=IF(F225="空","买","卖"))*'成交明细'!$B$5:$B$804)),"")</f>
        <v/>
      </c>
      <c r="AA225" s="40" t="str">
        <f>IF(N(AB225)=0,"",IF(SUMPRODUCT(('成交明细'!$A$5:$A$804=A225)*('成交明细'!$D$5:$D$804=IF(F225="空","卖","买"))*ISNUMBER('成交明细'!$C$5:$C$804))=0,"没填时间",IFERROR(VLOOKUP(MOD(SUMPRODUCT(LARGE(('成交明细'!$A$5:$A$804=A225)*('成交明细'!$D$5:$D$804=IF(F225="空","卖","买"))*('成交明细'!$B$5:$B$804+'成交明细'!$C$5:$C$804),COUNTIFS('成交明细'!$A$5:$A$804,A225,'成交明细'!$D$5:$D$804,IF(F225="空","卖","买")))),1),'参数'!$B$39:$C$48,2,TRUE),"")))</f>
        <v/>
      </c>
      <c r="AB225" s="34" t="str">
        <f>IF(A225="","",SUMIFS('成交明细'!$F$5:$F$804,'成交明细'!$A$5:$A$804,A225,'成交明细'!$D$5:$D$804,IF(F225="空","卖","买")))</f>
        <v/>
      </c>
      <c r="AC225" s="41" t="str">
        <f>IF(N(AB225)&gt;0,SUMIFS('成交明细'!$H$5:$H$804,'成交明细'!$A$5:$A$804,A225,'成交明细'!$D$5:$D$804,IF(F225="空","卖","买"))/AB225,"")</f>
        <v/>
      </c>
      <c r="AD225" s="34" t="str">
        <f>IF(A225="","",SUMIFS('成交明细'!$F$5:$F$804,'成交明细'!$A$5:$A$804,A225,'成交明细'!$D$5:$D$804,IF(F225="空","买","卖")))</f>
        <v/>
      </c>
      <c r="AE225" s="41" t="str">
        <f>IF(N(AD225)&gt;0,SUMIFS('成交明细'!$H$5:$H$804,'成交明细'!$A$5:$A$804,A225,'成交明细'!$D$5:$D$804,IF(F225="空","买","卖"))/AD225,"")</f>
        <v/>
      </c>
      <c r="AF225" s="38" t="str">
        <f>IF(A225="","",IF(X225&lt;&gt;"已执行",IF(X225="","未填执行情况",X225),IF(N(AB225)=0,"待录成交",IF(N(AD225)&gt;N(AB225),"平仓多于开仓",IF(N(AD225)&lt;N(AB225),"持仓中","已平仓")))))</f>
        <v/>
      </c>
      <c r="AG225" s="42" t="str">
        <f>IF(N(AB225)=0,"",SUMIFS('成交明细'!$L$5:$L$804,'成交明细'!$A$5:$A$804,A225))</f>
        <v/>
      </c>
      <c r="AH225" s="43" t="str">
        <f>IF(A225="","",SUMIFS('资金费流水'!$F$5:$F$604,'资金费流水'!$B$5:$B$604,A225))</f>
        <v/>
      </c>
      <c r="AI225" s="43" t="str">
        <f>IF(AF225&lt;&gt;"已平仓","",(SUMIFS('成交明细'!$H$5:$H$804,'成交明细'!$A$5:$A$804,A225,'成交明细'!$D$5:$D$804,"卖")-SUMIFS('成交明细'!$H$5:$H$804,'成交明细'!$A$5:$A$804,A225,'成交明细'!$D$5:$D$804,"买"))*1-AG225+N(AH225))</f>
        <v/>
      </c>
      <c r="AJ225" s="44" t="str">
        <f>IF(AND(AF225="已平仓",ISNUMBER(Q225)),(SUMIFS('成交明细'!$H$5:$H$804,'成交明细'!$A$5:$A$804,A225,'成交明细'!$D$5:$D$804,"卖")-SUMIFS('成交明细'!$H$5:$H$804,'成交明细'!$A$5:$A$804,A225,'成交明细'!$D$5:$D$804,"买"))*1/Q225,"")</f>
        <v/>
      </c>
      <c r="AK225" s="44" t="str">
        <f>IF(AND(AF225="已平仓",ISNUMBER(Q225)),AI225/Q225,"")</f>
        <v/>
      </c>
      <c r="AL225" s="45" t="str">
        <f>IF(AND(ISNUMBER(AC225),ISNUMBER(K225)),IF(F225="空",K225-AC225,AC225-K225),"")</f>
        <v/>
      </c>
      <c r="AM225" s="45" t="str">
        <f>IF(OR(NOT(ISNUMBER(AI225)),NOT(ISNUMBER(AE225))),"",IF(AI225&lt;0,IF(F225="空",AE225-L225,L225-AE225),IF(NOT(ISNUMBER(M225)),"",IF(F225="空",AE225-M225,M225-AE225))))</f>
        <v/>
      </c>
      <c r="AN225" s="31" t="n"/>
      <c r="AO225" s="31" t="n"/>
      <c r="AP225" s="30" t="n"/>
      <c r="AQ225" s="44" t="str">
        <f>IF(A225="","",SUM(AK$5:AK225))</f>
        <v/>
      </c>
      <c r="AR225" s="46" t="str">
        <f>IF(A225="","",MAX(0,MAX(AQ$5:AQ225))-AQ225)</f>
        <v/>
      </c>
    </row>
    <row r="226">
      <c r="A226" s="24" t="n"/>
      <c r="B226" s="29" t="n"/>
      <c r="C226" s="30" t="n"/>
      <c r="D226" s="31" t="n"/>
      <c r="E226" s="31" t="n"/>
      <c r="F226" s="31" t="n"/>
      <c r="G226" s="21" t="n"/>
      <c r="H226" s="31" t="n"/>
      <c r="I226" s="23" t="n"/>
      <c r="J226" s="31" t="n"/>
      <c r="K226" s="32" t="n"/>
      <c r="L226" s="32" t="n"/>
      <c r="M226" s="32" t="n"/>
      <c r="N226" s="33" t="str">
        <f>IF(AND(ISNUMBER(K226),ISNUMBER(L226),ISNUMBER(M226)),IF(OR(AND(F226="多",K226&gt;L226),AND(F226="空",K226&lt;L226)),ABS(M226-K226)/ABS(K226-L226),"止损方向不对"),"")</f>
        <v/>
      </c>
      <c r="O226" s="34" t="str">
        <f>IF(AND(ISNUMBER(K226),ISNUMBER(L226)),IF(K226=L226,"",IF(INT(ROUND('参数'!$C$7/(ABS(K226-L226)*1+2*K226*'参数'!$C$12)/IF(N(J226)&gt;0,J226,1),6))*IF(N(J226)&gt;0,J226,1)&gt;0,INT(ROUND('参数'!$C$7/(ABS(K226-L226)*1+2*K226*'参数'!$C$12)/IF(N(J226)&gt;0,J226,1),6))*IF(N(J226)&gt;0,J226,1),"预算不足，这笔不做")),"")</f>
        <v/>
      </c>
      <c r="P226" s="35" t="n"/>
      <c r="Q226" s="20" t="str">
        <f>IF(AND(ISNUMBER(K226),ISNUMBER(L226),ISNUMBER(P226)),IF(AND(K226&lt;&gt;L226,P226&gt;0),ABS(K226-L226)*P226*1,""),"")</f>
        <v/>
      </c>
      <c r="R226" s="20" t="str">
        <f>IF(AND(ISNUMBER(K226),ISNUMBER(P226)),K226*P226,"")</f>
        <v/>
      </c>
      <c r="S226" s="20" t="str">
        <f>IF(AND(D226="合约",ISNUMBER(R226),N(G226)&gt;0),R226/G226,"")</f>
        <v/>
      </c>
      <c r="T226" s="36" t="str">
        <f>IF(NOT(D226="合约"),"",IF(H226&lt;&gt;"逐仓","看平台",IF(AND(ISNUMBER(K226),N(G226)&gt;0),IF(F226="空",K226*(1+1/G226-IF(ISNUMBER(I226),I226,'参数'!$C$13)),K226*(1-1/G226+IF(ISNUMBER(I226),I226,'参数'!$C$13))),"")))</f>
        <v/>
      </c>
      <c r="U226" s="37" t="str">
        <f>IF(AND(ISNUMBER(T226),ISNUMBER(L226),ISNUMBER(K226)),IF(F226="空",T226-L226,L226-T226)/K226,"")</f>
        <v/>
      </c>
      <c r="V226" s="38" t="str">
        <f>IF(ISNUMBER(U226),IF(U226&lt;'参数'!$C$15,"先降杠杆或减量","在止损外"),"")</f>
        <v/>
      </c>
      <c r="W226" s="30" t="n"/>
      <c r="X226" s="31" t="n"/>
      <c r="Y226" s="39" t="str">
        <f>IF(N(AB226)&gt;0,SUMPRODUCT(LARGE(('成交明细'!$A$5:$A$804=A226)*('成交明细'!$D$5:$D$804=IF(F226="空","卖","买"))*'成交明细'!$B$5:$B$804,COUNTIFS('成交明细'!$A$5:$A$804,A226,'成交明细'!$D$5:$D$804,IF(F226="空","卖","买")))),"")</f>
        <v/>
      </c>
      <c r="Z226" s="39" t="str">
        <f>IF(AND(N(AB226)&gt;0,N(AD226)&gt;=N(AB226)),SUMPRODUCT(MAX(('成交明细'!$A$5:$A$804=A226)*('成交明细'!$D$5:$D$804=IF(F226="空","买","卖"))*'成交明细'!$B$5:$B$804)),"")</f>
        <v/>
      </c>
      <c r="AA226" s="40" t="str">
        <f>IF(N(AB226)=0,"",IF(SUMPRODUCT(('成交明细'!$A$5:$A$804=A226)*('成交明细'!$D$5:$D$804=IF(F226="空","卖","买"))*ISNUMBER('成交明细'!$C$5:$C$804))=0,"没填时间",IFERROR(VLOOKUP(MOD(SUMPRODUCT(LARGE(('成交明细'!$A$5:$A$804=A226)*('成交明细'!$D$5:$D$804=IF(F226="空","卖","买"))*('成交明细'!$B$5:$B$804+'成交明细'!$C$5:$C$804),COUNTIFS('成交明细'!$A$5:$A$804,A226,'成交明细'!$D$5:$D$804,IF(F226="空","卖","买")))),1),'参数'!$B$39:$C$48,2,TRUE),"")))</f>
        <v/>
      </c>
      <c r="AB226" s="34" t="str">
        <f>IF(A226="","",SUMIFS('成交明细'!$F$5:$F$804,'成交明细'!$A$5:$A$804,A226,'成交明细'!$D$5:$D$804,IF(F226="空","卖","买")))</f>
        <v/>
      </c>
      <c r="AC226" s="41" t="str">
        <f>IF(N(AB226)&gt;0,SUMIFS('成交明细'!$H$5:$H$804,'成交明细'!$A$5:$A$804,A226,'成交明细'!$D$5:$D$804,IF(F226="空","卖","买"))/AB226,"")</f>
        <v/>
      </c>
      <c r="AD226" s="34" t="str">
        <f>IF(A226="","",SUMIFS('成交明细'!$F$5:$F$804,'成交明细'!$A$5:$A$804,A226,'成交明细'!$D$5:$D$804,IF(F226="空","买","卖")))</f>
        <v/>
      </c>
      <c r="AE226" s="41" t="str">
        <f>IF(N(AD226)&gt;0,SUMIFS('成交明细'!$H$5:$H$804,'成交明细'!$A$5:$A$804,A226,'成交明细'!$D$5:$D$804,IF(F226="空","买","卖"))/AD226,"")</f>
        <v/>
      </c>
      <c r="AF226" s="38" t="str">
        <f>IF(A226="","",IF(X226&lt;&gt;"已执行",IF(X226="","未填执行情况",X226),IF(N(AB226)=0,"待录成交",IF(N(AD226)&gt;N(AB226),"平仓多于开仓",IF(N(AD226)&lt;N(AB226),"持仓中","已平仓")))))</f>
        <v/>
      </c>
      <c r="AG226" s="42" t="str">
        <f>IF(N(AB226)=0,"",SUMIFS('成交明细'!$L$5:$L$804,'成交明细'!$A$5:$A$804,A226))</f>
        <v/>
      </c>
      <c r="AH226" s="43" t="str">
        <f>IF(A226="","",SUMIFS('资金费流水'!$F$5:$F$604,'资金费流水'!$B$5:$B$604,A226))</f>
        <v/>
      </c>
      <c r="AI226" s="43" t="str">
        <f>IF(AF226&lt;&gt;"已平仓","",(SUMIFS('成交明细'!$H$5:$H$804,'成交明细'!$A$5:$A$804,A226,'成交明细'!$D$5:$D$804,"卖")-SUMIFS('成交明细'!$H$5:$H$804,'成交明细'!$A$5:$A$804,A226,'成交明细'!$D$5:$D$804,"买"))*1-AG226+N(AH226))</f>
        <v/>
      </c>
      <c r="AJ226" s="44" t="str">
        <f>IF(AND(AF226="已平仓",ISNUMBER(Q226)),(SUMIFS('成交明细'!$H$5:$H$804,'成交明细'!$A$5:$A$804,A226,'成交明细'!$D$5:$D$804,"卖")-SUMIFS('成交明细'!$H$5:$H$804,'成交明细'!$A$5:$A$804,A226,'成交明细'!$D$5:$D$804,"买"))*1/Q226,"")</f>
        <v/>
      </c>
      <c r="AK226" s="44" t="str">
        <f>IF(AND(AF226="已平仓",ISNUMBER(Q226)),AI226/Q226,"")</f>
        <v/>
      </c>
      <c r="AL226" s="45" t="str">
        <f>IF(AND(ISNUMBER(AC226),ISNUMBER(K226)),IF(F226="空",K226-AC226,AC226-K226),"")</f>
        <v/>
      </c>
      <c r="AM226" s="45" t="str">
        <f>IF(OR(NOT(ISNUMBER(AI226)),NOT(ISNUMBER(AE226))),"",IF(AI226&lt;0,IF(F226="空",AE226-L226,L226-AE226),IF(NOT(ISNUMBER(M226)),"",IF(F226="空",AE226-M226,M226-AE226))))</f>
        <v/>
      </c>
      <c r="AN226" s="31" t="n"/>
      <c r="AO226" s="31" t="n"/>
      <c r="AP226" s="30" t="n"/>
      <c r="AQ226" s="44" t="str">
        <f>IF(A226="","",SUM(AK$5:AK226))</f>
        <v/>
      </c>
      <c r="AR226" s="46" t="str">
        <f>IF(A226="","",MAX(0,MAX(AQ$5:AQ226))-AQ226)</f>
        <v/>
      </c>
    </row>
    <row r="227">
      <c r="A227" s="24" t="n"/>
      <c r="B227" s="29" t="n"/>
      <c r="C227" s="30" t="n"/>
      <c r="D227" s="31" t="n"/>
      <c r="E227" s="31" t="n"/>
      <c r="F227" s="31" t="n"/>
      <c r="G227" s="21" t="n"/>
      <c r="H227" s="31" t="n"/>
      <c r="I227" s="23" t="n"/>
      <c r="J227" s="31" t="n"/>
      <c r="K227" s="32" t="n"/>
      <c r="L227" s="32" t="n"/>
      <c r="M227" s="32" t="n"/>
      <c r="N227" s="33" t="str">
        <f>IF(AND(ISNUMBER(K227),ISNUMBER(L227),ISNUMBER(M227)),IF(OR(AND(F227="多",K227&gt;L227),AND(F227="空",K227&lt;L227)),ABS(M227-K227)/ABS(K227-L227),"止损方向不对"),"")</f>
        <v/>
      </c>
      <c r="O227" s="34" t="str">
        <f>IF(AND(ISNUMBER(K227),ISNUMBER(L227)),IF(K227=L227,"",IF(INT(ROUND('参数'!$C$7/(ABS(K227-L227)*1+2*K227*'参数'!$C$12)/IF(N(J227)&gt;0,J227,1),6))*IF(N(J227)&gt;0,J227,1)&gt;0,INT(ROUND('参数'!$C$7/(ABS(K227-L227)*1+2*K227*'参数'!$C$12)/IF(N(J227)&gt;0,J227,1),6))*IF(N(J227)&gt;0,J227,1),"预算不足，这笔不做")),"")</f>
        <v/>
      </c>
      <c r="P227" s="35" t="n"/>
      <c r="Q227" s="20" t="str">
        <f>IF(AND(ISNUMBER(K227),ISNUMBER(L227),ISNUMBER(P227)),IF(AND(K227&lt;&gt;L227,P227&gt;0),ABS(K227-L227)*P227*1,""),"")</f>
        <v/>
      </c>
      <c r="R227" s="20" t="str">
        <f>IF(AND(ISNUMBER(K227),ISNUMBER(P227)),K227*P227,"")</f>
        <v/>
      </c>
      <c r="S227" s="20" t="str">
        <f>IF(AND(D227="合约",ISNUMBER(R227),N(G227)&gt;0),R227/G227,"")</f>
        <v/>
      </c>
      <c r="T227" s="36" t="str">
        <f>IF(NOT(D227="合约"),"",IF(H227&lt;&gt;"逐仓","看平台",IF(AND(ISNUMBER(K227),N(G227)&gt;0),IF(F227="空",K227*(1+1/G227-IF(ISNUMBER(I227),I227,'参数'!$C$13)),K227*(1-1/G227+IF(ISNUMBER(I227),I227,'参数'!$C$13))),"")))</f>
        <v/>
      </c>
      <c r="U227" s="37" t="str">
        <f>IF(AND(ISNUMBER(T227),ISNUMBER(L227),ISNUMBER(K227)),IF(F227="空",T227-L227,L227-T227)/K227,"")</f>
        <v/>
      </c>
      <c r="V227" s="38" t="str">
        <f>IF(ISNUMBER(U227),IF(U227&lt;'参数'!$C$15,"先降杠杆或减量","在止损外"),"")</f>
        <v/>
      </c>
      <c r="W227" s="30" t="n"/>
      <c r="X227" s="31" t="n"/>
      <c r="Y227" s="39" t="str">
        <f>IF(N(AB227)&gt;0,SUMPRODUCT(LARGE(('成交明细'!$A$5:$A$804=A227)*('成交明细'!$D$5:$D$804=IF(F227="空","卖","买"))*'成交明细'!$B$5:$B$804,COUNTIFS('成交明细'!$A$5:$A$804,A227,'成交明细'!$D$5:$D$804,IF(F227="空","卖","买")))),"")</f>
        <v/>
      </c>
      <c r="Z227" s="39" t="str">
        <f>IF(AND(N(AB227)&gt;0,N(AD227)&gt;=N(AB227)),SUMPRODUCT(MAX(('成交明细'!$A$5:$A$804=A227)*('成交明细'!$D$5:$D$804=IF(F227="空","买","卖"))*'成交明细'!$B$5:$B$804)),"")</f>
        <v/>
      </c>
      <c r="AA227" s="40" t="str">
        <f>IF(N(AB227)=0,"",IF(SUMPRODUCT(('成交明细'!$A$5:$A$804=A227)*('成交明细'!$D$5:$D$804=IF(F227="空","卖","买"))*ISNUMBER('成交明细'!$C$5:$C$804))=0,"没填时间",IFERROR(VLOOKUP(MOD(SUMPRODUCT(LARGE(('成交明细'!$A$5:$A$804=A227)*('成交明细'!$D$5:$D$804=IF(F227="空","卖","买"))*('成交明细'!$B$5:$B$804+'成交明细'!$C$5:$C$804),COUNTIFS('成交明细'!$A$5:$A$804,A227,'成交明细'!$D$5:$D$804,IF(F227="空","卖","买")))),1),'参数'!$B$39:$C$48,2,TRUE),"")))</f>
        <v/>
      </c>
      <c r="AB227" s="34" t="str">
        <f>IF(A227="","",SUMIFS('成交明细'!$F$5:$F$804,'成交明细'!$A$5:$A$804,A227,'成交明细'!$D$5:$D$804,IF(F227="空","卖","买")))</f>
        <v/>
      </c>
      <c r="AC227" s="41" t="str">
        <f>IF(N(AB227)&gt;0,SUMIFS('成交明细'!$H$5:$H$804,'成交明细'!$A$5:$A$804,A227,'成交明细'!$D$5:$D$804,IF(F227="空","卖","买"))/AB227,"")</f>
        <v/>
      </c>
      <c r="AD227" s="34" t="str">
        <f>IF(A227="","",SUMIFS('成交明细'!$F$5:$F$804,'成交明细'!$A$5:$A$804,A227,'成交明细'!$D$5:$D$804,IF(F227="空","买","卖")))</f>
        <v/>
      </c>
      <c r="AE227" s="41" t="str">
        <f>IF(N(AD227)&gt;0,SUMIFS('成交明细'!$H$5:$H$804,'成交明细'!$A$5:$A$804,A227,'成交明细'!$D$5:$D$804,IF(F227="空","买","卖"))/AD227,"")</f>
        <v/>
      </c>
      <c r="AF227" s="38" t="str">
        <f>IF(A227="","",IF(X227&lt;&gt;"已执行",IF(X227="","未填执行情况",X227),IF(N(AB227)=0,"待录成交",IF(N(AD227)&gt;N(AB227),"平仓多于开仓",IF(N(AD227)&lt;N(AB227),"持仓中","已平仓")))))</f>
        <v/>
      </c>
      <c r="AG227" s="42" t="str">
        <f>IF(N(AB227)=0,"",SUMIFS('成交明细'!$L$5:$L$804,'成交明细'!$A$5:$A$804,A227))</f>
        <v/>
      </c>
      <c r="AH227" s="43" t="str">
        <f>IF(A227="","",SUMIFS('资金费流水'!$F$5:$F$604,'资金费流水'!$B$5:$B$604,A227))</f>
        <v/>
      </c>
      <c r="AI227" s="43" t="str">
        <f>IF(AF227&lt;&gt;"已平仓","",(SUMIFS('成交明细'!$H$5:$H$804,'成交明细'!$A$5:$A$804,A227,'成交明细'!$D$5:$D$804,"卖")-SUMIFS('成交明细'!$H$5:$H$804,'成交明细'!$A$5:$A$804,A227,'成交明细'!$D$5:$D$804,"买"))*1-AG227+N(AH227))</f>
        <v/>
      </c>
      <c r="AJ227" s="44" t="str">
        <f>IF(AND(AF227="已平仓",ISNUMBER(Q227)),(SUMIFS('成交明细'!$H$5:$H$804,'成交明细'!$A$5:$A$804,A227,'成交明细'!$D$5:$D$804,"卖")-SUMIFS('成交明细'!$H$5:$H$804,'成交明细'!$A$5:$A$804,A227,'成交明细'!$D$5:$D$804,"买"))*1/Q227,"")</f>
        <v/>
      </c>
      <c r="AK227" s="44" t="str">
        <f>IF(AND(AF227="已平仓",ISNUMBER(Q227)),AI227/Q227,"")</f>
        <v/>
      </c>
      <c r="AL227" s="45" t="str">
        <f>IF(AND(ISNUMBER(AC227),ISNUMBER(K227)),IF(F227="空",K227-AC227,AC227-K227),"")</f>
        <v/>
      </c>
      <c r="AM227" s="45" t="str">
        <f>IF(OR(NOT(ISNUMBER(AI227)),NOT(ISNUMBER(AE227))),"",IF(AI227&lt;0,IF(F227="空",AE227-L227,L227-AE227),IF(NOT(ISNUMBER(M227)),"",IF(F227="空",AE227-M227,M227-AE227))))</f>
        <v/>
      </c>
      <c r="AN227" s="31" t="n"/>
      <c r="AO227" s="31" t="n"/>
      <c r="AP227" s="30" t="n"/>
      <c r="AQ227" s="44" t="str">
        <f>IF(A227="","",SUM(AK$5:AK227))</f>
        <v/>
      </c>
      <c r="AR227" s="46" t="str">
        <f>IF(A227="","",MAX(0,MAX(AQ$5:AQ227))-AQ227)</f>
        <v/>
      </c>
    </row>
    <row r="228">
      <c r="A228" s="24" t="n"/>
      <c r="B228" s="29" t="n"/>
      <c r="C228" s="30" t="n"/>
      <c r="D228" s="31" t="n"/>
      <c r="E228" s="31" t="n"/>
      <c r="F228" s="31" t="n"/>
      <c r="G228" s="21" t="n"/>
      <c r="H228" s="31" t="n"/>
      <c r="I228" s="23" t="n"/>
      <c r="J228" s="31" t="n"/>
      <c r="K228" s="32" t="n"/>
      <c r="L228" s="32" t="n"/>
      <c r="M228" s="32" t="n"/>
      <c r="N228" s="33" t="str">
        <f>IF(AND(ISNUMBER(K228),ISNUMBER(L228),ISNUMBER(M228)),IF(OR(AND(F228="多",K228&gt;L228),AND(F228="空",K228&lt;L228)),ABS(M228-K228)/ABS(K228-L228),"止损方向不对"),"")</f>
        <v/>
      </c>
      <c r="O228" s="34" t="str">
        <f>IF(AND(ISNUMBER(K228),ISNUMBER(L228)),IF(K228=L228,"",IF(INT(ROUND('参数'!$C$7/(ABS(K228-L228)*1+2*K228*'参数'!$C$12)/IF(N(J228)&gt;0,J228,1),6))*IF(N(J228)&gt;0,J228,1)&gt;0,INT(ROUND('参数'!$C$7/(ABS(K228-L228)*1+2*K228*'参数'!$C$12)/IF(N(J228)&gt;0,J228,1),6))*IF(N(J228)&gt;0,J228,1),"预算不足，这笔不做")),"")</f>
        <v/>
      </c>
      <c r="P228" s="35" t="n"/>
      <c r="Q228" s="20" t="str">
        <f>IF(AND(ISNUMBER(K228),ISNUMBER(L228),ISNUMBER(P228)),IF(AND(K228&lt;&gt;L228,P228&gt;0),ABS(K228-L228)*P228*1,""),"")</f>
        <v/>
      </c>
      <c r="R228" s="20" t="str">
        <f>IF(AND(ISNUMBER(K228),ISNUMBER(P228)),K228*P228,"")</f>
        <v/>
      </c>
      <c r="S228" s="20" t="str">
        <f>IF(AND(D228="合约",ISNUMBER(R228),N(G228)&gt;0),R228/G228,"")</f>
        <v/>
      </c>
      <c r="T228" s="36" t="str">
        <f>IF(NOT(D228="合约"),"",IF(H228&lt;&gt;"逐仓","看平台",IF(AND(ISNUMBER(K228),N(G228)&gt;0),IF(F228="空",K228*(1+1/G228-IF(ISNUMBER(I228),I228,'参数'!$C$13)),K228*(1-1/G228+IF(ISNUMBER(I228),I228,'参数'!$C$13))),"")))</f>
        <v/>
      </c>
      <c r="U228" s="37" t="str">
        <f>IF(AND(ISNUMBER(T228),ISNUMBER(L228),ISNUMBER(K228)),IF(F228="空",T228-L228,L228-T228)/K228,"")</f>
        <v/>
      </c>
      <c r="V228" s="38" t="str">
        <f>IF(ISNUMBER(U228),IF(U228&lt;'参数'!$C$15,"先降杠杆或减量","在止损外"),"")</f>
        <v/>
      </c>
      <c r="W228" s="30" t="n"/>
      <c r="X228" s="31" t="n"/>
      <c r="Y228" s="39" t="str">
        <f>IF(N(AB228)&gt;0,SUMPRODUCT(LARGE(('成交明细'!$A$5:$A$804=A228)*('成交明细'!$D$5:$D$804=IF(F228="空","卖","买"))*'成交明细'!$B$5:$B$804,COUNTIFS('成交明细'!$A$5:$A$804,A228,'成交明细'!$D$5:$D$804,IF(F228="空","卖","买")))),"")</f>
        <v/>
      </c>
      <c r="Z228" s="39" t="str">
        <f>IF(AND(N(AB228)&gt;0,N(AD228)&gt;=N(AB228)),SUMPRODUCT(MAX(('成交明细'!$A$5:$A$804=A228)*('成交明细'!$D$5:$D$804=IF(F228="空","买","卖"))*'成交明细'!$B$5:$B$804)),"")</f>
        <v/>
      </c>
      <c r="AA228" s="40" t="str">
        <f>IF(N(AB228)=0,"",IF(SUMPRODUCT(('成交明细'!$A$5:$A$804=A228)*('成交明细'!$D$5:$D$804=IF(F228="空","卖","买"))*ISNUMBER('成交明细'!$C$5:$C$804))=0,"没填时间",IFERROR(VLOOKUP(MOD(SUMPRODUCT(LARGE(('成交明细'!$A$5:$A$804=A228)*('成交明细'!$D$5:$D$804=IF(F228="空","卖","买"))*('成交明细'!$B$5:$B$804+'成交明细'!$C$5:$C$804),COUNTIFS('成交明细'!$A$5:$A$804,A228,'成交明细'!$D$5:$D$804,IF(F228="空","卖","买")))),1),'参数'!$B$39:$C$48,2,TRUE),"")))</f>
        <v/>
      </c>
      <c r="AB228" s="34" t="str">
        <f>IF(A228="","",SUMIFS('成交明细'!$F$5:$F$804,'成交明细'!$A$5:$A$804,A228,'成交明细'!$D$5:$D$804,IF(F228="空","卖","买")))</f>
        <v/>
      </c>
      <c r="AC228" s="41" t="str">
        <f>IF(N(AB228)&gt;0,SUMIFS('成交明细'!$H$5:$H$804,'成交明细'!$A$5:$A$804,A228,'成交明细'!$D$5:$D$804,IF(F228="空","卖","买"))/AB228,"")</f>
        <v/>
      </c>
      <c r="AD228" s="34" t="str">
        <f>IF(A228="","",SUMIFS('成交明细'!$F$5:$F$804,'成交明细'!$A$5:$A$804,A228,'成交明细'!$D$5:$D$804,IF(F228="空","买","卖")))</f>
        <v/>
      </c>
      <c r="AE228" s="41" t="str">
        <f>IF(N(AD228)&gt;0,SUMIFS('成交明细'!$H$5:$H$804,'成交明细'!$A$5:$A$804,A228,'成交明细'!$D$5:$D$804,IF(F228="空","买","卖"))/AD228,"")</f>
        <v/>
      </c>
      <c r="AF228" s="38" t="str">
        <f>IF(A228="","",IF(X228&lt;&gt;"已执行",IF(X228="","未填执行情况",X228),IF(N(AB228)=0,"待录成交",IF(N(AD228)&gt;N(AB228),"平仓多于开仓",IF(N(AD228)&lt;N(AB228),"持仓中","已平仓")))))</f>
        <v/>
      </c>
      <c r="AG228" s="42" t="str">
        <f>IF(N(AB228)=0,"",SUMIFS('成交明细'!$L$5:$L$804,'成交明细'!$A$5:$A$804,A228))</f>
        <v/>
      </c>
      <c r="AH228" s="43" t="str">
        <f>IF(A228="","",SUMIFS('资金费流水'!$F$5:$F$604,'资金费流水'!$B$5:$B$604,A228))</f>
        <v/>
      </c>
      <c r="AI228" s="43" t="str">
        <f>IF(AF228&lt;&gt;"已平仓","",(SUMIFS('成交明细'!$H$5:$H$804,'成交明细'!$A$5:$A$804,A228,'成交明细'!$D$5:$D$804,"卖")-SUMIFS('成交明细'!$H$5:$H$804,'成交明细'!$A$5:$A$804,A228,'成交明细'!$D$5:$D$804,"买"))*1-AG228+N(AH228))</f>
        <v/>
      </c>
      <c r="AJ228" s="44" t="str">
        <f>IF(AND(AF228="已平仓",ISNUMBER(Q228)),(SUMIFS('成交明细'!$H$5:$H$804,'成交明细'!$A$5:$A$804,A228,'成交明细'!$D$5:$D$804,"卖")-SUMIFS('成交明细'!$H$5:$H$804,'成交明细'!$A$5:$A$804,A228,'成交明细'!$D$5:$D$804,"买"))*1/Q228,"")</f>
        <v/>
      </c>
      <c r="AK228" s="44" t="str">
        <f>IF(AND(AF228="已平仓",ISNUMBER(Q228)),AI228/Q228,"")</f>
        <v/>
      </c>
      <c r="AL228" s="45" t="str">
        <f>IF(AND(ISNUMBER(AC228),ISNUMBER(K228)),IF(F228="空",K228-AC228,AC228-K228),"")</f>
        <v/>
      </c>
      <c r="AM228" s="45" t="str">
        <f>IF(OR(NOT(ISNUMBER(AI228)),NOT(ISNUMBER(AE228))),"",IF(AI228&lt;0,IF(F228="空",AE228-L228,L228-AE228),IF(NOT(ISNUMBER(M228)),"",IF(F228="空",AE228-M228,M228-AE228))))</f>
        <v/>
      </c>
      <c r="AN228" s="31" t="n"/>
      <c r="AO228" s="31" t="n"/>
      <c r="AP228" s="30" t="n"/>
      <c r="AQ228" s="44" t="str">
        <f>IF(A228="","",SUM(AK$5:AK228))</f>
        <v/>
      </c>
      <c r="AR228" s="46" t="str">
        <f>IF(A228="","",MAX(0,MAX(AQ$5:AQ228))-AQ228)</f>
        <v/>
      </c>
    </row>
    <row r="229">
      <c r="A229" s="24" t="n"/>
      <c r="B229" s="29" t="n"/>
      <c r="C229" s="30" t="n"/>
      <c r="D229" s="31" t="n"/>
      <c r="E229" s="31" t="n"/>
      <c r="F229" s="31" t="n"/>
      <c r="G229" s="21" t="n"/>
      <c r="H229" s="31" t="n"/>
      <c r="I229" s="23" t="n"/>
      <c r="J229" s="31" t="n"/>
      <c r="K229" s="32" t="n"/>
      <c r="L229" s="32" t="n"/>
      <c r="M229" s="32" t="n"/>
      <c r="N229" s="33" t="str">
        <f>IF(AND(ISNUMBER(K229),ISNUMBER(L229),ISNUMBER(M229)),IF(OR(AND(F229="多",K229&gt;L229),AND(F229="空",K229&lt;L229)),ABS(M229-K229)/ABS(K229-L229),"止损方向不对"),"")</f>
        <v/>
      </c>
      <c r="O229" s="34" t="str">
        <f>IF(AND(ISNUMBER(K229),ISNUMBER(L229)),IF(K229=L229,"",IF(INT(ROUND('参数'!$C$7/(ABS(K229-L229)*1+2*K229*'参数'!$C$12)/IF(N(J229)&gt;0,J229,1),6))*IF(N(J229)&gt;0,J229,1)&gt;0,INT(ROUND('参数'!$C$7/(ABS(K229-L229)*1+2*K229*'参数'!$C$12)/IF(N(J229)&gt;0,J229,1),6))*IF(N(J229)&gt;0,J229,1),"预算不足，这笔不做")),"")</f>
        <v/>
      </c>
      <c r="P229" s="35" t="n"/>
      <c r="Q229" s="20" t="str">
        <f>IF(AND(ISNUMBER(K229),ISNUMBER(L229),ISNUMBER(P229)),IF(AND(K229&lt;&gt;L229,P229&gt;0),ABS(K229-L229)*P229*1,""),"")</f>
        <v/>
      </c>
      <c r="R229" s="20" t="str">
        <f>IF(AND(ISNUMBER(K229),ISNUMBER(P229)),K229*P229,"")</f>
        <v/>
      </c>
      <c r="S229" s="20" t="str">
        <f>IF(AND(D229="合约",ISNUMBER(R229),N(G229)&gt;0),R229/G229,"")</f>
        <v/>
      </c>
      <c r="T229" s="36" t="str">
        <f>IF(NOT(D229="合约"),"",IF(H229&lt;&gt;"逐仓","看平台",IF(AND(ISNUMBER(K229),N(G229)&gt;0),IF(F229="空",K229*(1+1/G229-IF(ISNUMBER(I229),I229,'参数'!$C$13)),K229*(1-1/G229+IF(ISNUMBER(I229),I229,'参数'!$C$13))),"")))</f>
        <v/>
      </c>
      <c r="U229" s="37" t="str">
        <f>IF(AND(ISNUMBER(T229),ISNUMBER(L229),ISNUMBER(K229)),IF(F229="空",T229-L229,L229-T229)/K229,"")</f>
        <v/>
      </c>
      <c r="V229" s="38" t="str">
        <f>IF(ISNUMBER(U229),IF(U229&lt;'参数'!$C$15,"先降杠杆或减量","在止损外"),"")</f>
        <v/>
      </c>
      <c r="W229" s="30" t="n"/>
      <c r="X229" s="31" t="n"/>
      <c r="Y229" s="39" t="str">
        <f>IF(N(AB229)&gt;0,SUMPRODUCT(LARGE(('成交明细'!$A$5:$A$804=A229)*('成交明细'!$D$5:$D$804=IF(F229="空","卖","买"))*'成交明细'!$B$5:$B$804,COUNTIFS('成交明细'!$A$5:$A$804,A229,'成交明细'!$D$5:$D$804,IF(F229="空","卖","买")))),"")</f>
        <v/>
      </c>
      <c r="Z229" s="39" t="str">
        <f>IF(AND(N(AB229)&gt;0,N(AD229)&gt;=N(AB229)),SUMPRODUCT(MAX(('成交明细'!$A$5:$A$804=A229)*('成交明细'!$D$5:$D$804=IF(F229="空","买","卖"))*'成交明细'!$B$5:$B$804)),"")</f>
        <v/>
      </c>
      <c r="AA229" s="40" t="str">
        <f>IF(N(AB229)=0,"",IF(SUMPRODUCT(('成交明细'!$A$5:$A$804=A229)*('成交明细'!$D$5:$D$804=IF(F229="空","卖","买"))*ISNUMBER('成交明细'!$C$5:$C$804))=0,"没填时间",IFERROR(VLOOKUP(MOD(SUMPRODUCT(LARGE(('成交明细'!$A$5:$A$804=A229)*('成交明细'!$D$5:$D$804=IF(F229="空","卖","买"))*('成交明细'!$B$5:$B$804+'成交明细'!$C$5:$C$804),COUNTIFS('成交明细'!$A$5:$A$804,A229,'成交明细'!$D$5:$D$804,IF(F229="空","卖","买")))),1),'参数'!$B$39:$C$48,2,TRUE),"")))</f>
        <v/>
      </c>
      <c r="AB229" s="34" t="str">
        <f>IF(A229="","",SUMIFS('成交明细'!$F$5:$F$804,'成交明细'!$A$5:$A$804,A229,'成交明细'!$D$5:$D$804,IF(F229="空","卖","买")))</f>
        <v/>
      </c>
      <c r="AC229" s="41" t="str">
        <f>IF(N(AB229)&gt;0,SUMIFS('成交明细'!$H$5:$H$804,'成交明细'!$A$5:$A$804,A229,'成交明细'!$D$5:$D$804,IF(F229="空","卖","买"))/AB229,"")</f>
        <v/>
      </c>
      <c r="AD229" s="34" t="str">
        <f>IF(A229="","",SUMIFS('成交明细'!$F$5:$F$804,'成交明细'!$A$5:$A$804,A229,'成交明细'!$D$5:$D$804,IF(F229="空","买","卖")))</f>
        <v/>
      </c>
      <c r="AE229" s="41" t="str">
        <f>IF(N(AD229)&gt;0,SUMIFS('成交明细'!$H$5:$H$804,'成交明细'!$A$5:$A$804,A229,'成交明细'!$D$5:$D$804,IF(F229="空","买","卖"))/AD229,"")</f>
        <v/>
      </c>
      <c r="AF229" s="38" t="str">
        <f>IF(A229="","",IF(X229&lt;&gt;"已执行",IF(X229="","未填执行情况",X229),IF(N(AB229)=0,"待录成交",IF(N(AD229)&gt;N(AB229),"平仓多于开仓",IF(N(AD229)&lt;N(AB229),"持仓中","已平仓")))))</f>
        <v/>
      </c>
      <c r="AG229" s="42" t="str">
        <f>IF(N(AB229)=0,"",SUMIFS('成交明细'!$L$5:$L$804,'成交明细'!$A$5:$A$804,A229))</f>
        <v/>
      </c>
      <c r="AH229" s="43" t="str">
        <f>IF(A229="","",SUMIFS('资金费流水'!$F$5:$F$604,'资金费流水'!$B$5:$B$604,A229))</f>
        <v/>
      </c>
      <c r="AI229" s="43" t="str">
        <f>IF(AF229&lt;&gt;"已平仓","",(SUMIFS('成交明细'!$H$5:$H$804,'成交明细'!$A$5:$A$804,A229,'成交明细'!$D$5:$D$804,"卖")-SUMIFS('成交明细'!$H$5:$H$804,'成交明细'!$A$5:$A$804,A229,'成交明细'!$D$5:$D$804,"买"))*1-AG229+N(AH229))</f>
        <v/>
      </c>
      <c r="AJ229" s="44" t="str">
        <f>IF(AND(AF229="已平仓",ISNUMBER(Q229)),(SUMIFS('成交明细'!$H$5:$H$804,'成交明细'!$A$5:$A$804,A229,'成交明细'!$D$5:$D$804,"卖")-SUMIFS('成交明细'!$H$5:$H$804,'成交明细'!$A$5:$A$804,A229,'成交明细'!$D$5:$D$804,"买"))*1/Q229,"")</f>
        <v/>
      </c>
      <c r="AK229" s="44" t="str">
        <f>IF(AND(AF229="已平仓",ISNUMBER(Q229)),AI229/Q229,"")</f>
        <v/>
      </c>
      <c r="AL229" s="45" t="str">
        <f>IF(AND(ISNUMBER(AC229),ISNUMBER(K229)),IF(F229="空",K229-AC229,AC229-K229),"")</f>
        <v/>
      </c>
      <c r="AM229" s="45" t="str">
        <f>IF(OR(NOT(ISNUMBER(AI229)),NOT(ISNUMBER(AE229))),"",IF(AI229&lt;0,IF(F229="空",AE229-L229,L229-AE229),IF(NOT(ISNUMBER(M229)),"",IF(F229="空",AE229-M229,M229-AE229))))</f>
        <v/>
      </c>
      <c r="AN229" s="31" t="n"/>
      <c r="AO229" s="31" t="n"/>
      <c r="AP229" s="30" t="n"/>
      <c r="AQ229" s="44" t="str">
        <f>IF(A229="","",SUM(AK$5:AK229))</f>
        <v/>
      </c>
      <c r="AR229" s="46" t="str">
        <f>IF(A229="","",MAX(0,MAX(AQ$5:AQ229))-AQ229)</f>
        <v/>
      </c>
    </row>
    <row r="230">
      <c r="A230" s="24" t="n"/>
      <c r="B230" s="29" t="n"/>
      <c r="C230" s="30" t="n"/>
      <c r="D230" s="31" t="n"/>
      <c r="E230" s="31" t="n"/>
      <c r="F230" s="31" t="n"/>
      <c r="G230" s="21" t="n"/>
      <c r="H230" s="31" t="n"/>
      <c r="I230" s="23" t="n"/>
      <c r="J230" s="31" t="n"/>
      <c r="K230" s="32" t="n"/>
      <c r="L230" s="32" t="n"/>
      <c r="M230" s="32" t="n"/>
      <c r="N230" s="33" t="str">
        <f>IF(AND(ISNUMBER(K230),ISNUMBER(L230),ISNUMBER(M230)),IF(OR(AND(F230="多",K230&gt;L230),AND(F230="空",K230&lt;L230)),ABS(M230-K230)/ABS(K230-L230),"止损方向不对"),"")</f>
        <v/>
      </c>
      <c r="O230" s="34" t="str">
        <f>IF(AND(ISNUMBER(K230),ISNUMBER(L230)),IF(K230=L230,"",IF(INT(ROUND('参数'!$C$7/(ABS(K230-L230)*1+2*K230*'参数'!$C$12)/IF(N(J230)&gt;0,J230,1),6))*IF(N(J230)&gt;0,J230,1)&gt;0,INT(ROUND('参数'!$C$7/(ABS(K230-L230)*1+2*K230*'参数'!$C$12)/IF(N(J230)&gt;0,J230,1),6))*IF(N(J230)&gt;0,J230,1),"预算不足，这笔不做")),"")</f>
        <v/>
      </c>
      <c r="P230" s="35" t="n"/>
      <c r="Q230" s="20" t="str">
        <f>IF(AND(ISNUMBER(K230),ISNUMBER(L230),ISNUMBER(P230)),IF(AND(K230&lt;&gt;L230,P230&gt;0),ABS(K230-L230)*P230*1,""),"")</f>
        <v/>
      </c>
      <c r="R230" s="20" t="str">
        <f>IF(AND(ISNUMBER(K230),ISNUMBER(P230)),K230*P230,"")</f>
        <v/>
      </c>
      <c r="S230" s="20" t="str">
        <f>IF(AND(D230="合约",ISNUMBER(R230),N(G230)&gt;0),R230/G230,"")</f>
        <v/>
      </c>
      <c r="T230" s="36" t="str">
        <f>IF(NOT(D230="合约"),"",IF(H230&lt;&gt;"逐仓","看平台",IF(AND(ISNUMBER(K230),N(G230)&gt;0),IF(F230="空",K230*(1+1/G230-IF(ISNUMBER(I230),I230,'参数'!$C$13)),K230*(1-1/G230+IF(ISNUMBER(I230),I230,'参数'!$C$13))),"")))</f>
        <v/>
      </c>
      <c r="U230" s="37" t="str">
        <f>IF(AND(ISNUMBER(T230),ISNUMBER(L230),ISNUMBER(K230)),IF(F230="空",T230-L230,L230-T230)/K230,"")</f>
        <v/>
      </c>
      <c r="V230" s="38" t="str">
        <f>IF(ISNUMBER(U230),IF(U230&lt;'参数'!$C$15,"先降杠杆或减量","在止损外"),"")</f>
        <v/>
      </c>
      <c r="W230" s="30" t="n"/>
      <c r="X230" s="31" t="n"/>
      <c r="Y230" s="39" t="str">
        <f>IF(N(AB230)&gt;0,SUMPRODUCT(LARGE(('成交明细'!$A$5:$A$804=A230)*('成交明细'!$D$5:$D$804=IF(F230="空","卖","买"))*'成交明细'!$B$5:$B$804,COUNTIFS('成交明细'!$A$5:$A$804,A230,'成交明细'!$D$5:$D$804,IF(F230="空","卖","买")))),"")</f>
        <v/>
      </c>
      <c r="Z230" s="39" t="str">
        <f>IF(AND(N(AB230)&gt;0,N(AD230)&gt;=N(AB230)),SUMPRODUCT(MAX(('成交明细'!$A$5:$A$804=A230)*('成交明细'!$D$5:$D$804=IF(F230="空","买","卖"))*'成交明细'!$B$5:$B$804)),"")</f>
        <v/>
      </c>
      <c r="AA230" s="40" t="str">
        <f>IF(N(AB230)=0,"",IF(SUMPRODUCT(('成交明细'!$A$5:$A$804=A230)*('成交明细'!$D$5:$D$804=IF(F230="空","卖","买"))*ISNUMBER('成交明细'!$C$5:$C$804))=0,"没填时间",IFERROR(VLOOKUP(MOD(SUMPRODUCT(LARGE(('成交明细'!$A$5:$A$804=A230)*('成交明细'!$D$5:$D$804=IF(F230="空","卖","买"))*('成交明细'!$B$5:$B$804+'成交明细'!$C$5:$C$804),COUNTIFS('成交明细'!$A$5:$A$804,A230,'成交明细'!$D$5:$D$804,IF(F230="空","卖","买")))),1),'参数'!$B$39:$C$48,2,TRUE),"")))</f>
        <v/>
      </c>
      <c r="AB230" s="34" t="str">
        <f>IF(A230="","",SUMIFS('成交明细'!$F$5:$F$804,'成交明细'!$A$5:$A$804,A230,'成交明细'!$D$5:$D$804,IF(F230="空","卖","买")))</f>
        <v/>
      </c>
      <c r="AC230" s="41" t="str">
        <f>IF(N(AB230)&gt;0,SUMIFS('成交明细'!$H$5:$H$804,'成交明细'!$A$5:$A$804,A230,'成交明细'!$D$5:$D$804,IF(F230="空","卖","买"))/AB230,"")</f>
        <v/>
      </c>
      <c r="AD230" s="34" t="str">
        <f>IF(A230="","",SUMIFS('成交明细'!$F$5:$F$804,'成交明细'!$A$5:$A$804,A230,'成交明细'!$D$5:$D$804,IF(F230="空","买","卖")))</f>
        <v/>
      </c>
      <c r="AE230" s="41" t="str">
        <f>IF(N(AD230)&gt;0,SUMIFS('成交明细'!$H$5:$H$804,'成交明细'!$A$5:$A$804,A230,'成交明细'!$D$5:$D$804,IF(F230="空","买","卖"))/AD230,"")</f>
        <v/>
      </c>
      <c r="AF230" s="38" t="str">
        <f>IF(A230="","",IF(X230&lt;&gt;"已执行",IF(X230="","未填执行情况",X230),IF(N(AB230)=0,"待录成交",IF(N(AD230)&gt;N(AB230),"平仓多于开仓",IF(N(AD230)&lt;N(AB230),"持仓中","已平仓")))))</f>
        <v/>
      </c>
      <c r="AG230" s="42" t="str">
        <f>IF(N(AB230)=0,"",SUMIFS('成交明细'!$L$5:$L$804,'成交明细'!$A$5:$A$804,A230))</f>
        <v/>
      </c>
      <c r="AH230" s="43" t="str">
        <f>IF(A230="","",SUMIFS('资金费流水'!$F$5:$F$604,'资金费流水'!$B$5:$B$604,A230))</f>
        <v/>
      </c>
      <c r="AI230" s="43" t="str">
        <f>IF(AF230&lt;&gt;"已平仓","",(SUMIFS('成交明细'!$H$5:$H$804,'成交明细'!$A$5:$A$804,A230,'成交明细'!$D$5:$D$804,"卖")-SUMIFS('成交明细'!$H$5:$H$804,'成交明细'!$A$5:$A$804,A230,'成交明细'!$D$5:$D$804,"买"))*1-AG230+N(AH230))</f>
        <v/>
      </c>
      <c r="AJ230" s="44" t="str">
        <f>IF(AND(AF230="已平仓",ISNUMBER(Q230)),(SUMIFS('成交明细'!$H$5:$H$804,'成交明细'!$A$5:$A$804,A230,'成交明细'!$D$5:$D$804,"卖")-SUMIFS('成交明细'!$H$5:$H$804,'成交明细'!$A$5:$A$804,A230,'成交明细'!$D$5:$D$804,"买"))*1/Q230,"")</f>
        <v/>
      </c>
      <c r="AK230" s="44" t="str">
        <f>IF(AND(AF230="已平仓",ISNUMBER(Q230)),AI230/Q230,"")</f>
        <v/>
      </c>
      <c r="AL230" s="45" t="str">
        <f>IF(AND(ISNUMBER(AC230),ISNUMBER(K230)),IF(F230="空",K230-AC230,AC230-K230),"")</f>
        <v/>
      </c>
      <c r="AM230" s="45" t="str">
        <f>IF(OR(NOT(ISNUMBER(AI230)),NOT(ISNUMBER(AE230))),"",IF(AI230&lt;0,IF(F230="空",AE230-L230,L230-AE230),IF(NOT(ISNUMBER(M230)),"",IF(F230="空",AE230-M230,M230-AE230))))</f>
        <v/>
      </c>
      <c r="AN230" s="31" t="n"/>
      <c r="AO230" s="31" t="n"/>
      <c r="AP230" s="30" t="n"/>
      <c r="AQ230" s="44" t="str">
        <f>IF(A230="","",SUM(AK$5:AK230))</f>
        <v/>
      </c>
      <c r="AR230" s="46" t="str">
        <f>IF(A230="","",MAX(0,MAX(AQ$5:AQ230))-AQ230)</f>
        <v/>
      </c>
    </row>
    <row r="231">
      <c r="A231" s="24" t="n"/>
      <c r="B231" s="29" t="n"/>
      <c r="C231" s="30" t="n"/>
      <c r="D231" s="31" t="n"/>
      <c r="E231" s="31" t="n"/>
      <c r="F231" s="31" t="n"/>
      <c r="G231" s="21" t="n"/>
      <c r="H231" s="31" t="n"/>
      <c r="I231" s="23" t="n"/>
      <c r="J231" s="31" t="n"/>
      <c r="K231" s="32" t="n"/>
      <c r="L231" s="32" t="n"/>
      <c r="M231" s="32" t="n"/>
      <c r="N231" s="33" t="str">
        <f>IF(AND(ISNUMBER(K231),ISNUMBER(L231),ISNUMBER(M231)),IF(OR(AND(F231="多",K231&gt;L231),AND(F231="空",K231&lt;L231)),ABS(M231-K231)/ABS(K231-L231),"止损方向不对"),"")</f>
        <v/>
      </c>
      <c r="O231" s="34" t="str">
        <f>IF(AND(ISNUMBER(K231),ISNUMBER(L231)),IF(K231=L231,"",IF(INT(ROUND('参数'!$C$7/(ABS(K231-L231)*1+2*K231*'参数'!$C$12)/IF(N(J231)&gt;0,J231,1),6))*IF(N(J231)&gt;0,J231,1)&gt;0,INT(ROUND('参数'!$C$7/(ABS(K231-L231)*1+2*K231*'参数'!$C$12)/IF(N(J231)&gt;0,J231,1),6))*IF(N(J231)&gt;0,J231,1),"预算不足，这笔不做")),"")</f>
        <v/>
      </c>
      <c r="P231" s="35" t="n"/>
      <c r="Q231" s="20" t="str">
        <f>IF(AND(ISNUMBER(K231),ISNUMBER(L231),ISNUMBER(P231)),IF(AND(K231&lt;&gt;L231,P231&gt;0),ABS(K231-L231)*P231*1,""),"")</f>
        <v/>
      </c>
      <c r="R231" s="20" t="str">
        <f>IF(AND(ISNUMBER(K231),ISNUMBER(P231)),K231*P231,"")</f>
        <v/>
      </c>
      <c r="S231" s="20" t="str">
        <f>IF(AND(D231="合约",ISNUMBER(R231),N(G231)&gt;0),R231/G231,"")</f>
        <v/>
      </c>
      <c r="T231" s="36" t="str">
        <f>IF(NOT(D231="合约"),"",IF(H231&lt;&gt;"逐仓","看平台",IF(AND(ISNUMBER(K231),N(G231)&gt;0),IF(F231="空",K231*(1+1/G231-IF(ISNUMBER(I231),I231,'参数'!$C$13)),K231*(1-1/G231+IF(ISNUMBER(I231),I231,'参数'!$C$13))),"")))</f>
        <v/>
      </c>
      <c r="U231" s="37" t="str">
        <f>IF(AND(ISNUMBER(T231),ISNUMBER(L231),ISNUMBER(K231)),IF(F231="空",T231-L231,L231-T231)/K231,"")</f>
        <v/>
      </c>
      <c r="V231" s="38" t="str">
        <f>IF(ISNUMBER(U231),IF(U231&lt;'参数'!$C$15,"先降杠杆或减量","在止损外"),"")</f>
        <v/>
      </c>
      <c r="W231" s="30" t="n"/>
      <c r="X231" s="31" t="n"/>
      <c r="Y231" s="39" t="str">
        <f>IF(N(AB231)&gt;0,SUMPRODUCT(LARGE(('成交明细'!$A$5:$A$804=A231)*('成交明细'!$D$5:$D$804=IF(F231="空","卖","买"))*'成交明细'!$B$5:$B$804,COUNTIFS('成交明细'!$A$5:$A$804,A231,'成交明细'!$D$5:$D$804,IF(F231="空","卖","买")))),"")</f>
        <v/>
      </c>
      <c r="Z231" s="39" t="str">
        <f>IF(AND(N(AB231)&gt;0,N(AD231)&gt;=N(AB231)),SUMPRODUCT(MAX(('成交明细'!$A$5:$A$804=A231)*('成交明细'!$D$5:$D$804=IF(F231="空","买","卖"))*'成交明细'!$B$5:$B$804)),"")</f>
        <v/>
      </c>
      <c r="AA231" s="40" t="str">
        <f>IF(N(AB231)=0,"",IF(SUMPRODUCT(('成交明细'!$A$5:$A$804=A231)*('成交明细'!$D$5:$D$804=IF(F231="空","卖","买"))*ISNUMBER('成交明细'!$C$5:$C$804))=0,"没填时间",IFERROR(VLOOKUP(MOD(SUMPRODUCT(LARGE(('成交明细'!$A$5:$A$804=A231)*('成交明细'!$D$5:$D$804=IF(F231="空","卖","买"))*('成交明细'!$B$5:$B$804+'成交明细'!$C$5:$C$804),COUNTIFS('成交明细'!$A$5:$A$804,A231,'成交明细'!$D$5:$D$804,IF(F231="空","卖","买")))),1),'参数'!$B$39:$C$48,2,TRUE),"")))</f>
        <v/>
      </c>
      <c r="AB231" s="34" t="str">
        <f>IF(A231="","",SUMIFS('成交明细'!$F$5:$F$804,'成交明细'!$A$5:$A$804,A231,'成交明细'!$D$5:$D$804,IF(F231="空","卖","买")))</f>
        <v/>
      </c>
      <c r="AC231" s="41" t="str">
        <f>IF(N(AB231)&gt;0,SUMIFS('成交明细'!$H$5:$H$804,'成交明细'!$A$5:$A$804,A231,'成交明细'!$D$5:$D$804,IF(F231="空","卖","买"))/AB231,"")</f>
        <v/>
      </c>
      <c r="AD231" s="34" t="str">
        <f>IF(A231="","",SUMIFS('成交明细'!$F$5:$F$804,'成交明细'!$A$5:$A$804,A231,'成交明细'!$D$5:$D$804,IF(F231="空","买","卖")))</f>
        <v/>
      </c>
      <c r="AE231" s="41" t="str">
        <f>IF(N(AD231)&gt;0,SUMIFS('成交明细'!$H$5:$H$804,'成交明细'!$A$5:$A$804,A231,'成交明细'!$D$5:$D$804,IF(F231="空","买","卖"))/AD231,"")</f>
        <v/>
      </c>
      <c r="AF231" s="38" t="str">
        <f>IF(A231="","",IF(X231&lt;&gt;"已执行",IF(X231="","未填执行情况",X231),IF(N(AB231)=0,"待录成交",IF(N(AD231)&gt;N(AB231),"平仓多于开仓",IF(N(AD231)&lt;N(AB231),"持仓中","已平仓")))))</f>
        <v/>
      </c>
      <c r="AG231" s="42" t="str">
        <f>IF(N(AB231)=0,"",SUMIFS('成交明细'!$L$5:$L$804,'成交明细'!$A$5:$A$804,A231))</f>
        <v/>
      </c>
      <c r="AH231" s="43" t="str">
        <f>IF(A231="","",SUMIFS('资金费流水'!$F$5:$F$604,'资金费流水'!$B$5:$B$604,A231))</f>
        <v/>
      </c>
      <c r="AI231" s="43" t="str">
        <f>IF(AF231&lt;&gt;"已平仓","",(SUMIFS('成交明细'!$H$5:$H$804,'成交明细'!$A$5:$A$804,A231,'成交明细'!$D$5:$D$804,"卖")-SUMIFS('成交明细'!$H$5:$H$804,'成交明细'!$A$5:$A$804,A231,'成交明细'!$D$5:$D$804,"买"))*1-AG231+N(AH231))</f>
        <v/>
      </c>
      <c r="AJ231" s="44" t="str">
        <f>IF(AND(AF231="已平仓",ISNUMBER(Q231)),(SUMIFS('成交明细'!$H$5:$H$804,'成交明细'!$A$5:$A$804,A231,'成交明细'!$D$5:$D$804,"卖")-SUMIFS('成交明细'!$H$5:$H$804,'成交明细'!$A$5:$A$804,A231,'成交明细'!$D$5:$D$804,"买"))*1/Q231,"")</f>
        <v/>
      </c>
      <c r="AK231" s="44" t="str">
        <f>IF(AND(AF231="已平仓",ISNUMBER(Q231)),AI231/Q231,"")</f>
        <v/>
      </c>
      <c r="AL231" s="45" t="str">
        <f>IF(AND(ISNUMBER(AC231),ISNUMBER(K231)),IF(F231="空",K231-AC231,AC231-K231),"")</f>
        <v/>
      </c>
      <c r="AM231" s="45" t="str">
        <f>IF(OR(NOT(ISNUMBER(AI231)),NOT(ISNUMBER(AE231))),"",IF(AI231&lt;0,IF(F231="空",AE231-L231,L231-AE231),IF(NOT(ISNUMBER(M231)),"",IF(F231="空",AE231-M231,M231-AE231))))</f>
        <v/>
      </c>
      <c r="AN231" s="31" t="n"/>
      <c r="AO231" s="31" t="n"/>
      <c r="AP231" s="30" t="n"/>
      <c r="AQ231" s="44" t="str">
        <f>IF(A231="","",SUM(AK$5:AK231))</f>
        <v/>
      </c>
      <c r="AR231" s="46" t="str">
        <f>IF(A231="","",MAX(0,MAX(AQ$5:AQ231))-AQ231)</f>
        <v/>
      </c>
    </row>
    <row r="232">
      <c r="A232" s="24" t="n"/>
      <c r="B232" s="29" t="n"/>
      <c r="C232" s="30" t="n"/>
      <c r="D232" s="31" t="n"/>
      <c r="E232" s="31" t="n"/>
      <c r="F232" s="31" t="n"/>
      <c r="G232" s="21" t="n"/>
      <c r="H232" s="31" t="n"/>
      <c r="I232" s="23" t="n"/>
      <c r="J232" s="31" t="n"/>
      <c r="K232" s="32" t="n"/>
      <c r="L232" s="32" t="n"/>
      <c r="M232" s="32" t="n"/>
      <c r="N232" s="33" t="str">
        <f>IF(AND(ISNUMBER(K232),ISNUMBER(L232),ISNUMBER(M232)),IF(OR(AND(F232="多",K232&gt;L232),AND(F232="空",K232&lt;L232)),ABS(M232-K232)/ABS(K232-L232),"止损方向不对"),"")</f>
        <v/>
      </c>
      <c r="O232" s="34" t="str">
        <f>IF(AND(ISNUMBER(K232),ISNUMBER(L232)),IF(K232=L232,"",IF(INT(ROUND('参数'!$C$7/(ABS(K232-L232)*1+2*K232*'参数'!$C$12)/IF(N(J232)&gt;0,J232,1),6))*IF(N(J232)&gt;0,J232,1)&gt;0,INT(ROUND('参数'!$C$7/(ABS(K232-L232)*1+2*K232*'参数'!$C$12)/IF(N(J232)&gt;0,J232,1),6))*IF(N(J232)&gt;0,J232,1),"预算不足，这笔不做")),"")</f>
        <v/>
      </c>
      <c r="P232" s="35" t="n"/>
      <c r="Q232" s="20" t="str">
        <f>IF(AND(ISNUMBER(K232),ISNUMBER(L232),ISNUMBER(P232)),IF(AND(K232&lt;&gt;L232,P232&gt;0),ABS(K232-L232)*P232*1,""),"")</f>
        <v/>
      </c>
      <c r="R232" s="20" t="str">
        <f>IF(AND(ISNUMBER(K232),ISNUMBER(P232)),K232*P232,"")</f>
        <v/>
      </c>
      <c r="S232" s="20" t="str">
        <f>IF(AND(D232="合约",ISNUMBER(R232),N(G232)&gt;0),R232/G232,"")</f>
        <v/>
      </c>
      <c r="T232" s="36" t="str">
        <f>IF(NOT(D232="合约"),"",IF(H232&lt;&gt;"逐仓","看平台",IF(AND(ISNUMBER(K232),N(G232)&gt;0),IF(F232="空",K232*(1+1/G232-IF(ISNUMBER(I232),I232,'参数'!$C$13)),K232*(1-1/G232+IF(ISNUMBER(I232),I232,'参数'!$C$13))),"")))</f>
        <v/>
      </c>
      <c r="U232" s="37" t="str">
        <f>IF(AND(ISNUMBER(T232),ISNUMBER(L232),ISNUMBER(K232)),IF(F232="空",T232-L232,L232-T232)/K232,"")</f>
        <v/>
      </c>
      <c r="V232" s="38" t="str">
        <f>IF(ISNUMBER(U232),IF(U232&lt;'参数'!$C$15,"先降杠杆或减量","在止损外"),"")</f>
        <v/>
      </c>
      <c r="W232" s="30" t="n"/>
      <c r="X232" s="31" t="n"/>
      <c r="Y232" s="39" t="str">
        <f>IF(N(AB232)&gt;0,SUMPRODUCT(LARGE(('成交明细'!$A$5:$A$804=A232)*('成交明细'!$D$5:$D$804=IF(F232="空","卖","买"))*'成交明细'!$B$5:$B$804,COUNTIFS('成交明细'!$A$5:$A$804,A232,'成交明细'!$D$5:$D$804,IF(F232="空","卖","买")))),"")</f>
        <v/>
      </c>
      <c r="Z232" s="39" t="str">
        <f>IF(AND(N(AB232)&gt;0,N(AD232)&gt;=N(AB232)),SUMPRODUCT(MAX(('成交明细'!$A$5:$A$804=A232)*('成交明细'!$D$5:$D$804=IF(F232="空","买","卖"))*'成交明细'!$B$5:$B$804)),"")</f>
        <v/>
      </c>
      <c r="AA232" s="40" t="str">
        <f>IF(N(AB232)=0,"",IF(SUMPRODUCT(('成交明细'!$A$5:$A$804=A232)*('成交明细'!$D$5:$D$804=IF(F232="空","卖","买"))*ISNUMBER('成交明细'!$C$5:$C$804))=0,"没填时间",IFERROR(VLOOKUP(MOD(SUMPRODUCT(LARGE(('成交明细'!$A$5:$A$804=A232)*('成交明细'!$D$5:$D$804=IF(F232="空","卖","买"))*('成交明细'!$B$5:$B$804+'成交明细'!$C$5:$C$804),COUNTIFS('成交明细'!$A$5:$A$804,A232,'成交明细'!$D$5:$D$804,IF(F232="空","卖","买")))),1),'参数'!$B$39:$C$48,2,TRUE),"")))</f>
        <v/>
      </c>
      <c r="AB232" s="34" t="str">
        <f>IF(A232="","",SUMIFS('成交明细'!$F$5:$F$804,'成交明细'!$A$5:$A$804,A232,'成交明细'!$D$5:$D$804,IF(F232="空","卖","买")))</f>
        <v/>
      </c>
      <c r="AC232" s="41" t="str">
        <f>IF(N(AB232)&gt;0,SUMIFS('成交明细'!$H$5:$H$804,'成交明细'!$A$5:$A$804,A232,'成交明细'!$D$5:$D$804,IF(F232="空","卖","买"))/AB232,"")</f>
        <v/>
      </c>
      <c r="AD232" s="34" t="str">
        <f>IF(A232="","",SUMIFS('成交明细'!$F$5:$F$804,'成交明细'!$A$5:$A$804,A232,'成交明细'!$D$5:$D$804,IF(F232="空","买","卖")))</f>
        <v/>
      </c>
      <c r="AE232" s="41" t="str">
        <f>IF(N(AD232)&gt;0,SUMIFS('成交明细'!$H$5:$H$804,'成交明细'!$A$5:$A$804,A232,'成交明细'!$D$5:$D$804,IF(F232="空","买","卖"))/AD232,"")</f>
        <v/>
      </c>
      <c r="AF232" s="38" t="str">
        <f>IF(A232="","",IF(X232&lt;&gt;"已执行",IF(X232="","未填执行情况",X232),IF(N(AB232)=0,"待录成交",IF(N(AD232)&gt;N(AB232),"平仓多于开仓",IF(N(AD232)&lt;N(AB232),"持仓中","已平仓")))))</f>
        <v/>
      </c>
      <c r="AG232" s="42" t="str">
        <f>IF(N(AB232)=0,"",SUMIFS('成交明细'!$L$5:$L$804,'成交明细'!$A$5:$A$804,A232))</f>
        <v/>
      </c>
      <c r="AH232" s="43" t="str">
        <f>IF(A232="","",SUMIFS('资金费流水'!$F$5:$F$604,'资金费流水'!$B$5:$B$604,A232))</f>
        <v/>
      </c>
      <c r="AI232" s="43" t="str">
        <f>IF(AF232&lt;&gt;"已平仓","",(SUMIFS('成交明细'!$H$5:$H$804,'成交明细'!$A$5:$A$804,A232,'成交明细'!$D$5:$D$804,"卖")-SUMIFS('成交明细'!$H$5:$H$804,'成交明细'!$A$5:$A$804,A232,'成交明细'!$D$5:$D$804,"买"))*1-AG232+N(AH232))</f>
        <v/>
      </c>
      <c r="AJ232" s="44" t="str">
        <f>IF(AND(AF232="已平仓",ISNUMBER(Q232)),(SUMIFS('成交明细'!$H$5:$H$804,'成交明细'!$A$5:$A$804,A232,'成交明细'!$D$5:$D$804,"卖")-SUMIFS('成交明细'!$H$5:$H$804,'成交明细'!$A$5:$A$804,A232,'成交明细'!$D$5:$D$804,"买"))*1/Q232,"")</f>
        <v/>
      </c>
      <c r="AK232" s="44" t="str">
        <f>IF(AND(AF232="已平仓",ISNUMBER(Q232)),AI232/Q232,"")</f>
        <v/>
      </c>
      <c r="AL232" s="45" t="str">
        <f>IF(AND(ISNUMBER(AC232),ISNUMBER(K232)),IF(F232="空",K232-AC232,AC232-K232),"")</f>
        <v/>
      </c>
      <c r="AM232" s="45" t="str">
        <f>IF(OR(NOT(ISNUMBER(AI232)),NOT(ISNUMBER(AE232))),"",IF(AI232&lt;0,IF(F232="空",AE232-L232,L232-AE232),IF(NOT(ISNUMBER(M232)),"",IF(F232="空",AE232-M232,M232-AE232))))</f>
        <v/>
      </c>
      <c r="AN232" s="31" t="n"/>
      <c r="AO232" s="31" t="n"/>
      <c r="AP232" s="30" t="n"/>
      <c r="AQ232" s="44" t="str">
        <f>IF(A232="","",SUM(AK$5:AK232))</f>
        <v/>
      </c>
      <c r="AR232" s="46" t="str">
        <f>IF(A232="","",MAX(0,MAX(AQ$5:AQ232))-AQ232)</f>
        <v/>
      </c>
    </row>
    <row r="233">
      <c r="A233" s="24" t="n"/>
      <c r="B233" s="29" t="n"/>
      <c r="C233" s="30" t="n"/>
      <c r="D233" s="31" t="n"/>
      <c r="E233" s="31" t="n"/>
      <c r="F233" s="31" t="n"/>
      <c r="G233" s="21" t="n"/>
      <c r="H233" s="31" t="n"/>
      <c r="I233" s="23" t="n"/>
      <c r="J233" s="31" t="n"/>
      <c r="K233" s="32" t="n"/>
      <c r="L233" s="32" t="n"/>
      <c r="M233" s="32" t="n"/>
      <c r="N233" s="33" t="str">
        <f>IF(AND(ISNUMBER(K233),ISNUMBER(L233),ISNUMBER(M233)),IF(OR(AND(F233="多",K233&gt;L233),AND(F233="空",K233&lt;L233)),ABS(M233-K233)/ABS(K233-L233),"止损方向不对"),"")</f>
        <v/>
      </c>
      <c r="O233" s="34" t="str">
        <f>IF(AND(ISNUMBER(K233),ISNUMBER(L233)),IF(K233=L233,"",IF(INT(ROUND('参数'!$C$7/(ABS(K233-L233)*1+2*K233*'参数'!$C$12)/IF(N(J233)&gt;0,J233,1),6))*IF(N(J233)&gt;0,J233,1)&gt;0,INT(ROUND('参数'!$C$7/(ABS(K233-L233)*1+2*K233*'参数'!$C$12)/IF(N(J233)&gt;0,J233,1),6))*IF(N(J233)&gt;0,J233,1),"预算不足，这笔不做")),"")</f>
        <v/>
      </c>
      <c r="P233" s="35" t="n"/>
      <c r="Q233" s="20" t="str">
        <f>IF(AND(ISNUMBER(K233),ISNUMBER(L233),ISNUMBER(P233)),IF(AND(K233&lt;&gt;L233,P233&gt;0),ABS(K233-L233)*P233*1,""),"")</f>
        <v/>
      </c>
      <c r="R233" s="20" t="str">
        <f>IF(AND(ISNUMBER(K233),ISNUMBER(P233)),K233*P233,"")</f>
        <v/>
      </c>
      <c r="S233" s="20" t="str">
        <f>IF(AND(D233="合约",ISNUMBER(R233),N(G233)&gt;0),R233/G233,"")</f>
        <v/>
      </c>
      <c r="T233" s="36" t="str">
        <f>IF(NOT(D233="合约"),"",IF(H233&lt;&gt;"逐仓","看平台",IF(AND(ISNUMBER(K233),N(G233)&gt;0),IF(F233="空",K233*(1+1/G233-IF(ISNUMBER(I233),I233,'参数'!$C$13)),K233*(1-1/G233+IF(ISNUMBER(I233),I233,'参数'!$C$13))),"")))</f>
        <v/>
      </c>
      <c r="U233" s="37" t="str">
        <f>IF(AND(ISNUMBER(T233),ISNUMBER(L233),ISNUMBER(K233)),IF(F233="空",T233-L233,L233-T233)/K233,"")</f>
        <v/>
      </c>
      <c r="V233" s="38" t="str">
        <f>IF(ISNUMBER(U233),IF(U233&lt;'参数'!$C$15,"先降杠杆或减量","在止损外"),"")</f>
        <v/>
      </c>
      <c r="W233" s="30" t="n"/>
      <c r="X233" s="31" t="n"/>
      <c r="Y233" s="39" t="str">
        <f>IF(N(AB233)&gt;0,SUMPRODUCT(LARGE(('成交明细'!$A$5:$A$804=A233)*('成交明细'!$D$5:$D$804=IF(F233="空","卖","买"))*'成交明细'!$B$5:$B$804,COUNTIFS('成交明细'!$A$5:$A$804,A233,'成交明细'!$D$5:$D$804,IF(F233="空","卖","买")))),"")</f>
        <v/>
      </c>
      <c r="Z233" s="39" t="str">
        <f>IF(AND(N(AB233)&gt;0,N(AD233)&gt;=N(AB233)),SUMPRODUCT(MAX(('成交明细'!$A$5:$A$804=A233)*('成交明细'!$D$5:$D$804=IF(F233="空","买","卖"))*'成交明细'!$B$5:$B$804)),"")</f>
        <v/>
      </c>
      <c r="AA233" s="40" t="str">
        <f>IF(N(AB233)=0,"",IF(SUMPRODUCT(('成交明细'!$A$5:$A$804=A233)*('成交明细'!$D$5:$D$804=IF(F233="空","卖","买"))*ISNUMBER('成交明细'!$C$5:$C$804))=0,"没填时间",IFERROR(VLOOKUP(MOD(SUMPRODUCT(LARGE(('成交明细'!$A$5:$A$804=A233)*('成交明细'!$D$5:$D$804=IF(F233="空","卖","买"))*('成交明细'!$B$5:$B$804+'成交明细'!$C$5:$C$804),COUNTIFS('成交明细'!$A$5:$A$804,A233,'成交明细'!$D$5:$D$804,IF(F233="空","卖","买")))),1),'参数'!$B$39:$C$48,2,TRUE),"")))</f>
        <v/>
      </c>
      <c r="AB233" s="34" t="str">
        <f>IF(A233="","",SUMIFS('成交明细'!$F$5:$F$804,'成交明细'!$A$5:$A$804,A233,'成交明细'!$D$5:$D$804,IF(F233="空","卖","买")))</f>
        <v/>
      </c>
      <c r="AC233" s="41" t="str">
        <f>IF(N(AB233)&gt;0,SUMIFS('成交明细'!$H$5:$H$804,'成交明细'!$A$5:$A$804,A233,'成交明细'!$D$5:$D$804,IF(F233="空","卖","买"))/AB233,"")</f>
        <v/>
      </c>
      <c r="AD233" s="34" t="str">
        <f>IF(A233="","",SUMIFS('成交明细'!$F$5:$F$804,'成交明细'!$A$5:$A$804,A233,'成交明细'!$D$5:$D$804,IF(F233="空","买","卖")))</f>
        <v/>
      </c>
      <c r="AE233" s="41" t="str">
        <f>IF(N(AD233)&gt;0,SUMIFS('成交明细'!$H$5:$H$804,'成交明细'!$A$5:$A$804,A233,'成交明细'!$D$5:$D$804,IF(F233="空","买","卖"))/AD233,"")</f>
        <v/>
      </c>
      <c r="AF233" s="38" t="str">
        <f>IF(A233="","",IF(X233&lt;&gt;"已执行",IF(X233="","未填执行情况",X233),IF(N(AB233)=0,"待录成交",IF(N(AD233)&gt;N(AB233),"平仓多于开仓",IF(N(AD233)&lt;N(AB233),"持仓中","已平仓")))))</f>
        <v/>
      </c>
      <c r="AG233" s="42" t="str">
        <f>IF(N(AB233)=0,"",SUMIFS('成交明细'!$L$5:$L$804,'成交明细'!$A$5:$A$804,A233))</f>
        <v/>
      </c>
      <c r="AH233" s="43" t="str">
        <f>IF(A233="","",SUMIFS('资金费流水'!$F$5:$F$604,'资金费流水'!$B$5:$B$604,A233))</f>
        <v/>
      </c>
      <c r="AI233" s="43" t="str">
        <f>IF(AF233&lt;&gt;"已平仓","",(SUMIFS('成交明细'!$H$5:$H$804,'成交明细'!$A$5:$A$804,A233,'成交明细'!$D$5:$D$804,"卖")-SUMIFS('成交明细'!$H$5:$H$804,'成交明细'!$A$5:$A$804,A233,'成交明细'!$D$5:$D$804,"买"))*1-AG233+N(AH233))</f>
        <v/>
      </c>
      <c r="AJ233" s="44" t="str">
        <f>IF(AND(AF233="已平仓",ISNUMBER(Q233)),(SUMIFS('成交明细'!$H$5:$H$804,'成交明细'!$A$5:$A$804,A233,'成交明细'!$D$5:$D$804,"卖")-SUMIFS('成交明细'!$H$5:$H$804,'成交明细'!$A$5:$A$804,A233,'成交明细'!$D$5:$D$804,"买"))*1/Q233,"")</f>
        <v/>
      </c>
      <c r="AK233" s="44" t="str">
        <f>IF(AND(AF233="已平仓",ISNUMBER(Q233)),AI233/Q233,"")</f>
        <v/>
      </c>
      <c r="AL233" s="45" t="str">
        <f>IF(AND(ISNUMBER(AC233),ISNUMBER(K233)),IF(F233="空",K233-AC233,AC233-K233),"")</f>
        <v/>
      </c>
      <c r="AM233" s="45" t="str">
        <f>IF(OR(NOT(ISNUMBER(AI233)),NOT(ISNUMBER(AE233))),"",IF(AI233&lt;0,IF(F233="空",AE233-L233,L233-AE233),IF(NOT(ISNUMBER(M233)),"",IF(F233="空",AE233-M233,M233-AE233))))</f>
        <v/>
      </c>
      <c r="AN233" s="31" t="n"/>
      <c r="AO233" s="31" t="n"/>
      <c r="AP233" s="30" t="n"/>
      <c r="AQ233" s="44" t="str">
        <f>IF(A233="","",SUM(AK$5:AK233))</f>
        <v/>
      </c>
      <c r="AR233" s="46" t="str">
        <f>IF(A233="","",MAX(0,MAX(AQ$5:AQ233))-AQ233)</f>
        <v/>
      </c>
    </row>
    <row r="234">
      <c r="A234" s="24" t="n"/>
      <c r="B234" s="29" t="n"/>
      <c r="C234" s="30" t="n"/>
      <c r="D234" s="31" t="n"/>
      <c r="E234" s="31" t="n"/>
      <c r="F234" s="31" t="n"/>
      <c r="G234" s="21" t="n"/>
      <c r="H234" s="31" t="n"/>
      <c r="I234" s="23" t="n"/>
      <c r="J234" s="31" t="n"/>
      <c r="K234" s="32" t="n"/>
      <c r="L234" s="32" t="n"/>
      <c r="M234" s="32" t="n"/>
      <c r="N234" s="33" t="str">
        <f>IF(AND(ISNUMBER(K234),ISNUMBER(L234),ISNUMBER(M234)),IF(OR(AND(F234="多",K234&gt;L234),AND(F234="空",K234&lt;L234)),ABS(M234-K234)/ABS(K234-L234),"止损方向不对"),"")</f>
        <v/>
      </c>
      <c r="O234" s="34" t="str">
        <f>IF(AND(ISNUMBER(K234),ISNUMBER(L234)),IF(K234=L234,"",IF(INT(ROUND('参数'!$C$7/(ABS(K234-L234)*1+2*K234*'参数'!$C$12)/IF(N(J234)&gt;0,J234,1),6))*IF(N(J234)&gt;0,J234,1)&gt;0,INT(ROUND('参数'!$C$7/(ABS(K234-L234)*1+2*K234*'参数'!$C$12)/IF(N(J234)&gt;0,J234,1),6))*IF(N(J234)&gt;0,J234,1),"预算不足，这笔不做")),"")</f>
        <v/>
      </c>
      <c r="P234" s="35" t="n"/>
      <c r="Q234" s="20" t="str">
        <f>IF(AND(ISNUMBER(K234),ISNUMBER(L234),ISNUMBER(P234)),IF(AND(K234&lt;&gt;L234,P234&gt;0),ABS(K234-L234)*P234*1,""),"")</f>
        <v/>
      </c>
      <c r="R234" s="20" t="str">
        <f>IF(AND(ISNUMBER(K234),ISNUMBER(P234)),K234*P234,"")</f>
        <v/>
      </c>
      <c r="S234" s="20" t="str">
        <f>IF(AND(D234="合约",ISNUMBER(R234),N(G234)&gt;0),R234/G234,"")</f>
        <v/>
      </c>
      <c r="T234" s="36" t="str">
        <f>IF(NOT(D234="合约"),"",IF(H234&lt;&gt;"逐仓","看平台",IF(AND(ISNUMBER(K234),N(G234)&gt;0),IF(F234="空",K234*(1+1/G234-IF(ISNUMBER(I234),I234,'参数'!$C$13)),K234*(1-1/G234+IF(ISNUMBER(I234),I234,'参数'!$C$13))),"")))</f>
        <v/>
      </c>
      <c r="U234" s="37" t="str">
        <f>IF(AND(ISNUMBER(T234),ISNUMBER(L234),ISNUMBER(K234)),IF(F234="空",T234-L234,L234-T234)/K234,"")</f>
        <v/>
      </c>
      <c r="V234" s="38" t="str">
        <f>IF(ISNUMBER(U234),IF(U234&lt;'参数'!$C$15,"先降杠杆或减量","在止损外"),"")</f>
        <v/>
      </c>
      <c r="W234" s="30" t="n"/>
      <c r="X234" s="31" t="n"/>
      <c r="Y234" s="39" t="str">
        <f>IF(N(AB234)&gt;0,SUMPRODUCT(LARGE(('成交明细'!$A$5:$A$804=A234)*('成交明细'!$D$5:$D$804=IF(F234="空","卖","买"))*'成交明细'!$B$5:$B$804,COUNTIFS('成交明细'!$A$5:$A$804,A234,'成交明细'!$D$5:$D$804,IF(F234="空","卖","买")))),"")</f>
        <v/>
      </c>
      <c r="Z234" s="39" t="str">
        <f>IF(AND(N(AB234)&gt;0,N(AD234)&gt;=N(AB234)),SUMPRODUCT(MAX(('成交明细'!$A$5:$A$804=A234)*('成交明细'!$D$5:$D$804=IF(F234="空","买","卖"))*'成交明细'!$B$5:$B$804)),"")</f>
        <v/>
      </c>
      <c r="AA234" s="40" t="str">
        <f>IF(N(AB234)=0,"",IF(SUMPRODUCT(('成交明细'!$A$5:$A$804=A234)*('成交明细'!$D$5:$D$804=IF(F234="空","卖","买"))*ISNUMBER('成交明细'!$C$5:$C$804))=0,"没填时间",IFERROR(VLOOKUP(MOD(SUMPRODUCT(LARGE(('成交明细'!$A$5:$A$804=A234)*('成交明细'!$D$5:$D$804=IF(F234="空","卖","买"))*('成交明细'!$B$5:$B$804+'成交明细'!$C$5:$C$804),COUNTIFS('成交明细'!$A$5:$A$804,A234,'成交明细'!$D$5:$D$804,IF(F234="空","卖","买")))),1),'参数'!$B$39:$C$48,2,TRUE),"")))</f>
        <v/>
      </c>
      <c r="AB234" s="34" t="str">
        <f>IF(A234="","",SUMIFS('成交明细'!$F$5:$F$804,'成交明细'!$A$5:$A$804,A234,'成交明细'!$D$5:$D$804,IF(F234="空","卖","买")))</f>
        <v/>
      </c>
      <c r="AC234" s="41" t="str">
        <f>IF(N(AB234)&gt;0,SUMIFS('成交明细'!$H$5:$H$804,'成交明细'!$A$5:$A$804,A234,'成交明细'!$D$5:$D$804,IF(F234="空","卖","买"))/AB234,"")</f>
        <v/>
      </c>
      <c r="AD234" s="34" t="str">
        <f>IF(A234="","",SUMIFS('成交明细'!$F$5:$F$804,'成交明细'!$A$5:$A$804,A234,'成交明细'!$D$5:$D$804,IF(F234="空","买","卖")))</f>
        <v/>
      </c>
      <c r="AE234" s="41" t="str">
        <f>IF(N(AD234)&gt;0,SUMIFS('成交明细'!$H$5:$H$804,'成交明细'!$A$5:$A$804,A234,'成交明细'!$D$5:$D$804,IF(F234="空","买","卖"))/AD234,"")</f>
        <v/>
      </c>
      <c r="AF234" s="38" t="str">
        <f>IF(A234="","",IF(X234&lt;&gt;"已执行",IF(X234="","未填执行情况",X234),IF(N(AB234)=0,"待录成交",IF(N(AD234)&gt;N(AB234),"平仓多于开仓",IF(N(AD234)&lt;N(AB234),"持仓中","已平仓")))))</f>
        <v/>
      </c>
      <c r="AG234" s="42" t="str">
        <f>IF(N(AB234)=0,"",SUMIFS('成交明细'!$L$5:$L$804,'成交明细'!$A$5:$A$804,A234))</f>
        <v/>
      </c>
      <c r="AH234" s="43" t="str">
        <f>IF(A234="","",SUMIFS('资金费流水'!$F$5:$F$604,'资金费流水'!$B$5:$B$604,A234))</f>
        <v/>
      </c>
      <c r="AI234" s="43" t="str">
        <f>IF(AF234&lt;&gt;"已平仓","",(SUMIFS('成交明细'!$H$5:$H$804,'成交明细'!$A$5:$A$804,A234,'成交明细'!$D$5:$D$804,"卖")-SUMIFS('成交明细'!$H$5:$H$804,'成交明细'!$A$5:$A$804,A234,'成交明细'!$D$5:$D$804,"买"))*1-AG234+N(AH234))</f>
        <v/>
      </c>
      <c r="AJ234" s="44" t="str">
        <f>IF(AND(AF234="已平仓",ISNUMBER(Q234)),(SUMIFS('成交明细'!$H$5:$H$804,'成交明细'!$A$5:$A$804,A234,'成交明细'!$D$5:$D$804,"卖")-SUMIFS('成交明细'!$H$5:$H$804,'成交明细'!$A$5:$A$804,A234,'成交明细'!$D$5:$D$804,"买"))*1/Q234,"")</f>
        <v/>
      </c>
      <c r="AK234" s="44" t="str">
        <f>IF(AND(AF234="已平仓",ISNUMBER(Q234)),AI234/Q234,"")</f>
        <v/>
      </c>
      <c r="AL234" s="45" t="str">
        <f>IF(AND(ISNUMBER(AC234),ISNUMBER(K234)),IF(F234="空",K234-AC234,AC234-K234),"")</f>
        <v/>
      </c>
      <c r="AM234" s="45" t="str">
        <f>IF(OR(NOT(ISNUMBER(AI234)),NOT(ISNUMBER(AE234))),"",IF(AI234&lt;0,IF(F234="空",AE234-L234,L234-AE234),IF(NOT(ISNUMBER(M234)),"",IF(F234="空",AE234-M234,M234-AE234))))</f>
        <v/>
      </c>
      <c r="AN234" s="31" t="n"/>
      <c r="AO234" s="31" t="n"/>
      <c r="AP234" s="30" t="n"/>
      <c r="AQ234" s="44" t="str">
        <f>IF(A234="","",SUM(AK$5:AK234))</f>
        <v/>
      </c>
      <c r="AR234" s="46" t="str">
        <f>IF(A234="","",MAX(0,MAX(AQ$5:AQ234))-AQ234)</f>
        <v/>
      </c>
    </row>
    <row r="235">
      <c r="A235" s="24" t="n"/>
      <c r="B235" s="29" t="n"/>
      <c r="C235" s="30" t="n"/>
      <c r="D235" s="31" t="n"/>
      <c r="E235" s="31" t="n"/>
      <c r="F235" s="31" t="n"/>
      <c r="G235" s="21" t="n"/>
      <c r="H235" s="31" t="n"/>
      <c r="I235" s="23" t="n"/>
      <c r="J235" s="31" t="n"/>
      <c r="K235" s="32" t="n"/>
      <c r="L235" s="32" t="n"/>
      <c r="M235" s="32" t="n"/>
      <c r="N235" s="33" t="str">
        <f>IF(AND(ISNUMBER(K235),ISNUMBER(L235),ISNUMBER(M235)),IF(OR(AND(F235="多",K235&gt;L235),AND(F235="空",K235&lt;L235)),ABS(M235-K235)/ABS(K235-L235),"止损方向不对"),"")</f>
        <v/>
      </c>
      <c r="O235" s="34" t="str">
        <f>IF(AND(ISNUMBER(K235),ISNUMBER(L235)),IF(K235=L235,"",IF(INT(ROUND('参数'!$C$7/(ABS(K235-L235)*1+2*K235*'参数'!$C$12)/IF(N(J235)&gt;0,J235,1),6))*IF(N(J235)&gt;0,J235,1)&gt;0,INT(ROUND('参数'!$C$7/(ABS(K235-L235)*1+2*K235*'参数'!$C$12)/IF(N(J235)&gt;0,J235,1),6))*IF(N(J235)&gt;0,J235,1),"预算不足，这笔不做")),"")</f>
        <v/>
      </c>
      <c r="P235" s="35" t="n"/>
      <c r="Q235" s="20" t="str">
        <f>IF(AND(ISNUMBER(K235),ISNUMBER(L235),ISNUMBER(P235)),IF(AND(K235&lt;&gt;L235,P235&gt;0),ABS(K235-L235)*P235*1,""),"")</f>
        <v/>
      </c>
      <c r="R235" s="20" t="str">
        <f>IF(AND(ISNUMBER(K235),ISNUMBER(P235)),K235*P235,"")</f>
        <v/>
      </c>
      <c r="S235" s="20" t="str">
        <f>IF(AND(D235="合约",ISNUMBER(R235),N(G235)&gt;0),R235/G235,"")</f>
        <v/>
      </c>
      <c r="T235" s="36" t="str">
        <f>IF(NOT(D235="合约"),"",IF(H235&lt;&gt;"逐仓","看平台",IF(AND(ISNUMBER(K235),N(G235)&gt;0),IF(F235="空",K235*(1+1/G235-IF(ISNUMBER(I235),I235,'参数'!$C$13)),K235*(1-1/G235+IF(ISNUMBER(I235),I235,'参数'!$C$13))),"")))</f>
        <v/>
      </c>
      <c r="U235" s="37" t="str">
        <f>IF(AND(ISNUMBER(T235),ISNUMBER(L235),ISNUMBER(K235)),IF(F235="空",T235-L235,L235-T235)/K235,"")</f>
        <v/>
      </c>
      <c r="V235" s="38" t="str">
        <f>IF(ISNUMBER(U235),IF(U235&lt;'参数'!$C$15,"先降杠杆或减量","在止损外"),"")</f>
        <v/>
      </c>
      <c r="W235" s="30" t="n"/>
      <c r="X235" s="31" t="n"/>
      <c r="Y235" s="39" t="str">
        <f>IF(N(AB235)&gt;0,SUMPRODUCT(LARGE(('成交明细'!$A$5:$A$804=A235)*('成交明细'!$D$5:$D$804=IF(F235="空","卖","买"))*'成交明细'!$B$5:$B$804,COUNTIFS('成交明细'!$A$5:$A$804,A235,'成交明细'!$D$5:$D$804,IF(F235="空","卖","买")))),"")</f>
        <v/>
      </c>
      <c r="Z235" s="39" t="str">
        <f>IF(AND(N(AB235)&gt;0,N(AD235)&gt;=N(AB235)),SUMPRODUCT(MAX(('成交明细'!$A$5:$A$804=A235)*('成交明细'!$D$5:$D$804=IF(F235="空","买","卖"))*'成交明细'!$B$5:$B$804)),"")</f>
        <v/>
      </c>
      <c r="AA235" s="40" t="str">
        <f>IF(N(AB235)=0,"",IF(SUMPRODUCT(('成交明细'!$A$5:$A$804=A235)*('成交明细'!$D$5:$D$804=IF(F235="空","卖","买"))*ISNUMBER('成交明细'!$C$5:$C$804))=0,"没填时间",IFERROR(VLOOKUP(MOD(SUMPRODUCT(LARGE(('成交明细'!$A$5:$A$804=A235)*('成交明细'!$D$5:$D$804=IF(F235="空","卖","买"))*('成交明细'!$B$5:$B$804+'成交明细'!$C$5:$C$804),COUNTIFS('成交明细'!$A$5:$A$804,A235,'成交明细'!$D$5:$D$804,IF(F235="空","卖","买")))),1),'参数'!$B$39:$C$48,2,TRUE),"")))</f>
        <v/>
      </c>
      <c r="AB235" s="34" t="str">
        <f>IF(A235="","",SUMIFS('成交明细'!$F$5:$F$804,'成交明细'!$A$5:$A$804,A235,'成交明细'!$D$5:$D$804,IF(F235="空","卖","买")))</f>
        <v/>
      </c>
      <c r="AC235" s="41" t="str">
        <f>IF(N(AB235)&gt;0,SUMIFS('成交明细'!$H$5:$H$804,'成交明细'!$A$5:$A$804,A235,'成交明细'!$D$5:$D$804,IF(F235="空","卖","买"))/AB235,"")</f>
        <v/>
      </c>
      <c r="AD235" s="34" t="str">
        <f>IF(A235="","",SUMIFS('成交明细'!$F$5:$F$804,'成交明细'!$A$5:$A$804,A235,'成交明细'!$D$5:$D$804,IF(F235="空","买","卖")))</f>
        <v/>
      </c>
      <c r="AE235" s="41" t="str">
        <f>IF(N(AD235)&gt;0,SUMIFS('成交明细'!$H$5:$H$804,'成交明细'!$A$5:$A$804,A235,'成交明细'!$D$5:$D$804,IF(F235="空","买","卖"))/AD235,"")</f>
        <v/>
      </c>
      <c r="AF235" s="38" t="str">
        <f>IF(A235="","",IF(X235&lt;&gt;"已执行",IF(X235="","未填执行情况",X235),IF(N(AB235)=0,"待录成交",IF(N(AD235)&gt;N(AB235),"平仓多于开仓",IF(N(AD235)&lt;N(AB235),"持仓中","已平仓")))))</f>
        <v/>
      </c>
      <c r="AG235" s="42" t="str">
        <f>IF(N(AB235)=0,"",SUMIFS('成交明细'!$L$5:$L$804,'成交明细'!$A$5:$A$804,A235))</f>
        <v/>
      </c>
      <c r="AH235" s="43" t="str">
        <f>IF(A235="","",SUMIFS('资金费流水'!$F$5:$F$604,'资金费流水'!$B$5:$B$604,A235))</f>
        <v/>
      </c>
      <c r="AI235" s="43" t="str">
        <f>IF(AF235&lt;&gt;"已平仓","",(SUMIFS('成交明细'!$H$5:$H$804,'成交明细'!$A$5:$A$804,A235,'成交明细'!$D$5:$D$804,"卖")-SUMIFS('成交明细'!$H$5:$H$804,'成交明细'!$A$5:$A$804,A235,'成交明细'!$D$5:$D$804,"买"))*1-AG235+N(AH235))</f>
        <v/>
      </c>
      <c r="AJ235" s="44" t="str">
        <f>IF(AND(AF235="已平仓",ISNUMBER(Q235)),(SUMIFS('成交明细'!$H$5:$H$804,'成交明细'!$A$5:$A$804,A235,'成交明细'!$D$5:$D$804,"卖")-SUMIFS('成交明细'!$H$5:$H$804,'成交明细'!$A$5:$A$804,A235,'成交明细'!$D$5:$D$804,"买"))*1/Q235,"")</f>
        <v/>
      </c>
      <c r="AK235" s="44" t="str">
        <f>IF(AND(AF235="已平仓",ISNUMBER(Q235)),AI235/Q235,"")</f>
        <v/>
      </c>
      <c r="AL235" s="45" t="str">
        <f>IF(AND(ISNUMBER(AC235),ISNUMBER(K235)),IF(F235="空",K235-AC235,AC235-K235),"")</f>
        <v/>
      </c>
      <c r="AM235" s="45" t="str">
        <f>IF(OR(NOT(ISNUMBER(AI235)),NOT(ISNUMBER(AE235))),"",IF(AI235&lt;0,IF(F235="空",AE235-L235,L235-AE235),IF(NOT(ISNUMBER(M235)),"",IF(F235="空",AE235-M235,M235-AE235))))</f>
        <v/>
      </c>
      <c r="AN235" s="31" t="n"/>
      <c r="AO235" s="31" t="n"/>
      <c r="AP235" s="30" t="n"/>
      <c r="AQ235" s="44" t="str">
        <f>IF(A235="","",SUM(AK$5:AK235))</f>
        <v/>
      </c>
      <c r="AR235" s="46" t="str">
        <f>IF(A235="","",MAX(0,MAX(AQ$5:AQ235))-AQ235)</f>
        <v/>
      </c>
    </row>
    <row r="236">
      <c r="A236" s="24" t="n"/>
      <c r="B236" s="29" t="n"/>
      <c r="C236" s="30" t="n"/>
      <c r="D236" s="31" t="n"/>
      <c r="E236" s="31" t="n"/>
      <c r="F236" s="31" t="n"/>
      <c r="G236" s="21" t="n"/>
      <c r="H236" s="31" t="n"/>
      <c r="I236" s="23" t="n"/>
      <c r="J236" s="31" t="n"/>
      <c r="K236" s="32" t="n"/>
      <c r="L236" s="32" t="n"/>
      <c r="M236" s="32" t="n"/>
      <c r="N236" s="33" t="str">
        <f>IF(AND(ISNUMBER(K236),ISNUMBER(L236),ISNUMBER(M236)),IF(OR(AND(F236="多",K236&gt;L236),AND(F236="空",K236&lt;L236)),ABS(M236-K236)/ABS(K236-L236),"止损方向不对"),"")</f>
        <v/>
      </c>
      <c r="O236" s="34" t="str">
        <f>IF(AND(ISNUMBER(K236),ISNUMBER(L236)),IF(K236=L236,"",IF(INT(ROUND('参数'!$C$7/(ABS(K236-L236)*1+2*K236*'参数'!$C$12)/IF(N(J236)&gt;0,J236,1),6))*IF(N(J236)&gt;0,J236,1)&gt;0,INT(ROUND('参数'!$C$7/(ABS(K236-L236)*1+2*K236*'参数'!$C$12)/IF(N(J236)&gt;0,J236,1),6))*IF(N(J236)&gt;0,J236,1),"预算不足，这笔不做")),"")</f>
        <v/>
      </c>
      <c r="P236" s="35" t="n"/>
      <c r="Q236" s="20" t="str">
        <f>IF(AND(ISNUMBER(K236),ISNUMBER(L236),ISNUMBER(P236)),IF(AND(K236&lt;&gt;L236,P236&gt;0),ABS(K236-L236)*P236*1,""),"")</f>
        <v/>
      </c>
      <c r="R236" s="20" t="str">
        <f>IF(AND(ISNUMBER(K236),ISNUMBER(P236)),K236*P236,"")</f>
        <v/>
      </c>
      <c r="S236" s="20" t="str">
        <f>IF(AND(D236="合约",ISNUMBER(R236),N(G236)&gt;0),R236/G236,"")</f>
        <v/>
      </c>
      <c r="T236" s="36" t="str">
        <f>IF(NOT(D236="合约"),"",IF(H236&lt;&gt;"逐仓","看平台",IF(AND(ISNUMBER(K236),N(G236)&gt;0),IF(F236="空",K236*(1+1/G236-IF(ISNUMBER(I236),I236,'参数'!$C$13)),K236*(1-1/G236+IF(ISNUMBER(I236),I236,'参数'!$C$13))),"")))</f>
        <v/>
      </c>
      <c r="U236" s="37" t="str">
        <f>IF(AND(ISNUMBER(T236),ISNUMBER(L236),ISNUMBER(K236)),IF(F236="空",T236-L236,L236-T236)/K236,"")</f>
        <v/>
      </c>
      <c r="V236" s="38" t="str">
        <f>IF(ISNUMBER(U236),IF(U236&lt;'参数'!$C$15,"先降杠杆或减量","在止损外"),"")</f>
        <v/>
      </c>
      <c r="W236" s="30" t="n"/>
      <c r="X236" s="31" t="n"/>
      <c r="Y236" s="39" t="str">
        <f>IF(N(AB236)&gt;0,SUMPRODUCT(LARGE(('成交明细'!$A$5:$A$804=A236)*('成交明细'!$D$5:$D$804=IF(F236="空","卖","买"))*'成交明细'!$B$5:$B$804,COUNTIFS('成交明细'!$A$5:$A$804,A236,'成交明细'!$D$5:$D$804,IF(F236="空","卖","买")))),"")</f>
        <v/>
      </c>
      <c r="Z236" s="39" t="str">
        <f>IF(AND(N(AB236)&gt;0,N(AD236)&gt;=N(AB236)),SUMPRODUCT(MAX(('成交明细'!$A$5:$A$804=A236)*('成交明细'!$D$5:$D$804=IF(F236="空","买","卖"))*'成交明细'!$B$5:$B$804)),"")</f>
        <v/>
      </c>
      <c r="AA236" s="40" t="str">
        <f>IF(N(AB236)=0,"",IF(SUMPRODUCT(('成交明细'!$A$5:$A$804=A236)*('成交明细'!$D$5:$D$804=IF(F236="空","卖","买"))*ISNUMBER('成交明细'!$C$5:$C$804))=0,"没填时间",IFERROR(VLOOKUP(MOD(SUMPRODUCT(LARGE(('成交明细'!$A$5:$A$804=A236)*('成交明细'!$D$5:$D$804=IF(F236="空","卖","买"))*('成交明细'!$B$5:$B$804+'成交明细'!$C$5:$C$804),COUNTIFS('成交明细'!$A$5:$A$804,A236,'成交明细'!$D$5:$D$804,IF(F236="空","卖","买")))),1),'参数'!$B$39:$C$48,2,TRUE),"")))</f>
        <v/>
      </c>
      <c r="AB236" s="34" t="str">
        <f>IF(A236="","",SUMIFS('成交明细'!$F$5:$F$804,'成交明细'!$A$5:$A$804,A236,'成交明细'!$D$5:$D$804,IF(F236="空","卖","买")))</f>
        <v/>
      </c>
      <c r="AC236" s="41" t="str">
        <f>IF(N(AB236)&gt;0,SUMIFS('成交明细'!$H$5:$H$804,'成交明细'!$A$5:$A$804,A236,'成交明细'!$D$5:$D$804,IF(F236="空","卖","买"))/AB236,"")</f>
        <v/>
      </c>
      <c r="AD236" s="34" t="str">
        <f>IF(A236="","",SUMIFS('成交明细'!$F$5:$F$804,'成交明细'!$A$5:$A$804,A236,'成交明细'!$D$5:$D$804,IF(F236="空","买","卖")))</f>
        <v/>
      </c>
      <c r="AE236" s="41" t="str">
        <f>IF(N(AD236)&gt;0,SUMIFS('成交明细'!$H$5:$H$804,'成交明细'!$A$5:$A$804,A236,'成交明细'!$D$5:$D$804,IF(F236="空","买","卖"))/AD236,"")</f>
        <v/>
      </c>
      <c r="AF236" s="38" t="str">
        <f>IF(A236="","",IF(X236&lt;&gt;"已执行",IF(X236="","未填执行情况",X236),IF(N(AB236)=0,"待录成交",IF(N(AD236)&gt;N(AB236),"平仓多于开仓",IF(N(AD236)&lt;N(AB236),"持仓中","已平仓")))))</f>
        <v/>
      </c>
      <c r="AG236" s="42" t="str">
        <f>IF(N(AB236)=0,"",SUMIFS('成交明细'!$L$5:$L$804,'成交明细'!$A$5:$A$804,A236))</f>
        <v/>
      </c>
      <c r="AH236" s="43" t="str">
        <f>IF(A236="","",SUMIFS('资金费流水'!$F$5:$F$604,'资金费流水'!$B$5:$B$604,A236))</f>
        <v/>
      </c>
      <c r="AI236" s="43" t="str">
        <f>IF(AF236&lt;&gt;"已平仓","",(SUMIFS('成交明细'!$H$5:$H$804,'成交明细'!$A$5:$A$804,A236,'成交明细'!$D$5:$D$804,"卖")-SUMIFS('成交明细'!$H$5:$H$804,'成交明细'!$A$5:$A$804,A236,'成交明细'!$D$5:$D$804,"买"))*1-AG236+N(AH236))</f>
        <v/>
      </c>
      <c r="AJ236" s="44" t="str">
        <f>IF(AND(AF236="已平仓",ISNUMBER(Q236)),(SUMIFS('成交明细'!$H$5:$H$804,'成交明细'!$A$5:$A$804,A236,'成交明细'!$D$5:$D$804,"卖")-SUMIFS('成交明细'!$H$5:$H$804,'成交明细'!$A$5:$A$804,A236,'成交明细'!$D$5:$D$804,"买"))*1/Q236,"")</f>
        <v/>
      </c>
      <c r="AK236" s="44" t="str">
        <f>IF(AND(AF236="已平仓",ISNUMBER(Q236)),AI236/Q236,"")</f>
        <v/>
      </c>
      <c r="AL236" s="45" t="str">
        <f>IF(AND(ISNUMBER(AC236),ISNUMBER(K236)),IF(F236="空",K236-AC236,AC236-K236),"")</f>
        <v/>
      </c>
      <c r="AM236" s="45" t="str">
        <f>IF(OR(NOT(ISNUMBER(AI236)),NOT(ISNUMBER(AE236))),"",IF(AI236&lt;0,IF(F236="空",AE236-L236,L236-AE236),IF(NOT(ISNUMBER(M236)),"",IF(F236="空",AE236-M236,M236-AE236))))</f>
        <v/>
      </c>
      <c r="AN236" s="31" t="n"/>
      <c r="AO236" s="31" t="n"/>
      <c r="AP236" s="30" t="n"/>
      <c r="AQ236" s="44" t="str">
        <f>IF(A236="","",SUM(AK$5:AK236))</f>
        <v/>
      </c>
      <c r="AR236" s="46" t="str">
        <f>IF(A236="","",MAX(0,MAX(AQ$5:AQ236))-AQ236)</f>
        <v/>
      </c>
    </row>
    <row r="237">
      <c r="A237" s="24" t="n"/>
      <c r="B237" s="29" t="n"/>
      <c r="C237" s="30" t="n"/>
      <c r="D237" s="31" t="n"/>
      <c r="E237" s="31" t="n"/>
      <c r="F237" s="31" t="n"/>
      <c r="G237" s="21" t="n"/>
      <c r="H237" s="31" t="n"/>
      <c r="I237" s="23" t="n"/>
      <c r="J237" s="31" t="n"/>
      <c r="K237" s="32" t="n"/>
      <c r="L237" s="32" t="n"/>
      <c r="M237" s="32" t="n"/>
      <c r="N237" s="33" t="str">
        <f>IF(AND(ISNUMBER(K237),ISNUMBER(L237),ISNUMBER(M237)),IF(OR(AND(F237="多",K237&gt;L237),AND(F237="空",K237&lt;L237)),ABS(M237-K237)/ABS(K237-L237),"止损方向不对"),"")</f>
        <v/>
      </c>
      <c r="O237" s="34" t="str">
        <f>IF(AND(ISNUMBER(K237),ISNUMBER(L237)),IF(K237=L237,"",IF(INT(ROUND('参数'!$C$7/(ABS(K237-L237)*1+2*K237*'参数'!$C$12)/IF(N(J237)&gt;0,J237,1),6))*IF(N(J237)&gt;0,J237,1)&gt;0,INT(ROUND('参数'!$C$7/(ABS(K237-L237)*1+2*K237*'参数'!$C$12)/IF(N(J237)&gt;0,J237,1),6))*IF(N(J237)&gt;0,J237,1),"预算不足，这笔不做")),"")</f>
        <v/>
      </c>
      <c r="P237" s="35" t="n"/>
      <c r="Q237" s="20" t="str">
        <f>IF(AND(ISNUMBER(K237),ISNUMBER(L237),ISNUMBER(P237)),IF(AND(K237&lt;&gt;L237,P237&gt;0),ABS(K237-L237)*P237*1,""),"")</f>
        <v/>
      </c>
      <c r="R237" s="20" t="str">
        <f>IF(AND(ISNUMBER(K237),ISNUMBER(P237)),K237*P237,"")</f>
        <v/>
      </c>
      <c r="S237" s="20" t="str">
        <f>IF(AND(D237="合约",ISNUMBER(R237),N(G237)&gt;0),R237/G237,"")</f>
        <v/>
      </c>
      <c r="T237" s="36" t="str">
        <f>IF(NOT(D237="合约"),"",IF(H237&lt;&gt;"逐仓","看平台",IF(AND(ISNUMBER(K237),N(G237)&gt;0),IF(F237="空",K237*(1+1/G237-IF(ISNUMBER(I237),I237,'参数'!$C$13)),K237*(1-1/G237+IF(ISNUMBER(I237),I237,'参数'!$C$13))),"")))</f>
        <v/>
      </c>
      <c r="U237" s="37" t="str">
        <f>IF(AND(ISNUMBER(T237),ISNUMBER(L237),ISNUMBER(K237)),IF(F237="空",T237-L237,L237-T237)/K237,"")</f>
        <v/>
      </c>
      <c r="V237" s="38" t="str">
        <f>IF(ISNUMBER(U237),IF(U237&lt;'参数'!$C$15,"先降杠杆或减量","在止损外"),"")</f>
        <v/>
      </c>
      <c r="W237" s="30" t="n"/>
      <c r="X237" s="31" t="n"/>
      <c r="Y237" s="39" t="str">
        <f>IF(N(AB237)&gt;0,SUMPRODUCT(LARGE(('成交明细'!$A$5:$A$804=A237)*('成交明细'!$D$5:$D$804=IF(F237="空","卖","买"))*'成交明细'!$B$5:$B$804,COUNTIFS('成交明细'!$A$5:$A$804,A237,'成交明细'!$D$5:$D$804,IF(F237="空","卖","买")))),"")</f>
        <v/>
      </c>
      <c r="Z237" s="39" t="str">
        <f>IF(AND(N(AB237)&gt;0,N(AD237)&gt;=N(AB237)),SUMPRODUCT(MAX(('成交明细'!$A$5:$A$804=A237)*('成交明细'!$D$5:$D$804=IF(F237="空","买","卖"))*'成交明细'!$B$5:$B$804)),"")</f>
        <v/>
      </c>
      <c r="AA237" s="40" t="str">
        <f>IF(N(AB237)=0,"",IF(SUMPRODUCT(('成交明细'!$A$5:$A$804=A237)*('成交明细'!$D$5:$D$804=IF(F237="空","卖","买"))*ISNUMBER('成交明细'!$C$5:$C$804))=0,"没填时间",IFERROR(VLOOKUP(MOD(SUMPRODUCT(LARGE(('成交明细'!$A$5:$A$804=A237)*('成交明细'!$D$5:$D$804=IF(F237="空","卖","买"))*('成交明细'!$B$5:$B$804+'成交明细'!$C$5:$C$804),COUNTIFS('成交明细'!$A$5:$A$804,A237,'成交明细'!$D$5:$D$804,IF(F237="空","卖","买")))),1),'参数'!$B$39:$C$48,2,TRUE),"")))</f>
        <v/>
      </c>
      <c r="AB237" s="34" t="str">
        <f>IF(A237="","",SUMIFS('成交明细'!$F$5:$F$804,'成交明细'!$A$5:$A$804,A237,'成交明细'!$D$5:$D$804,IF(F237="空","卖","买")))</f>
        <v/>
      </c>
      <c r="AC237" s="41" t="str">
        <f>IF(N(AB237)&gt;0,SUMIFS('成交明细'!$H$5:$H$804,'成交明细'!$A$5:$A$804,A237,'成交明细'!$D$5:$D$804,IF(F237="空","卖","买"))/AB237,"")</f>
        <v/>
      </c>
      <c r="AD237" s="34" t="str">
        <f>IF(A237="","",SUMIFS('成交明细'!$F$5:$F$804,'成交明细'!$A$5:$A$804,A237,'成交明细'!$D$5:$D$804,IF(F237="空","买","卖")))</f>
        <v/>
      </c>
      <c r="AE237" s="41" t="str">
        <f>IF(N(AD237)&gt;0,SUMIFS('成交明细'!$H$5:$H$804,'成交明细'!$A$5:$A$804,A237,'成交明细'!$D$5:$D$804,IF(F237="空","买","卖"))/AD237,"")</f>
        <v/>
      </c>
      <c r="AF237" s="38" t="str">
        <f>IF(A237="","",IF(X237&lt;&gt;"已执行",IF(X237="","未填执行情况",X237),IF(N(AB237)=0,"待录成交",IF(N(AD237)&gt;N(AB237),"平仓多于开仓",IF(N(AD237)&lt;N(AB237),"持仓中","已平仓")))))</f>
        <v/>
      </c>
      <c r="AG237" s="42" t="str">
        <f>IF(N(AB237)=0,"",SUMIFS('成交明细'!$L$5:$L$804,'成交明细'!$A$5:$A$804,A237))</f>
        <v/>
      </c>
      <c r="AH237" s="43" t="str">
        <f>IF(A237="","",SUMIFS('资金费流水'!$F$5:$F$604,'资金费流水'!$B$5:$B$604,A237))</f>
        <v/>
      </c>
      <c r="AI237" s="43" t="str">
        <f>IF(AF237&lt;&gt;"已平仓","",(SUMIFS('成交明细'!$H$5:$H$804,'成交明细'!$A$5:$A$804,A237,'成交明细'!$D$5:$D$804,"卖")-SUMIFS('成交明细'!$H$5:$H$804,'成交明细'!$A$5:$A$804,A237,'成交明细'!$D$5:$D$804,"买"))*1-AG237+N(AH237))</f>
        <v/>
      </c>
      <c r="AJ237" s="44" t="str">
        <f>IF(AND(AF237="已平仓",ISNUMBER(Q237)),(SUMIFS('成交明细'!$H$5:$H$804,'成交明细'!$A$5:$A$804,A237,'成交明细'!$D$5:$D$804,"卖")-SUMIFS('成交明细'!$H$5:$H$804,'成交明细'!$A$5:$A$804,A237,'成交明细'!$D$5:$D$804,"买"))*1/Q237,"")</f>
        <v/>
      </c>
      <c r="AK237" s="44" t="str">
        <f>IF(AND(AF237="已平仓",ISNUMBER(Q237)),AI237/Q237,"")</f>
        <v/>
      </c>
      <c r="AL237" s="45" t="str">
        <f>IF(AND(ISNUMBER(AC237),ISNUMBER(K237)),IF(F237="空",K237-AC237,AC237-K237),"")</f>
        <v/>
      </c>
      <c r="AM237" s="45" t="str">
        <f>IF(OR(NOT(ISNUMBER(AI237)),NOT(ISNUMBER(AE237))),"",IF(AI237&lt;0,IF(F237="空",AE237-L237,L237-AE237),IF(NOT(ISNUMBER(M237)),"",IF(F237="空",AE237-M237,M237-AE237))))</f>
        <v/>
      </c>
      <c r="AN237" s="31" t="n"/>
      <c r="AO237" s="31" t="n"/>
      <c r="AP237" s="30" t="n"/>
      <c r="AQ237" s="44" t="str">
        <f>IF(A237="","",SUM(AK$5:AK237))</f>
        <v/>
      </c>
      <c r="AR237" s="46" t="str">
        <f>IF(A237="","",MAX(0,MAX(AQ$5:AQ237))-AQ237)</f>
        <v/>
      </c>
    </row>
    <row r="238">
      <c r="A238" s="24" t="n"/>
      <c r="B238" s="29" t="n"/>
      <c r="C238" s="30" t="n"/>
      <c r="D238" s="31" t="n"/>
      <c r="E238" s="31" t="n"/>
      <c r="F238" s="31" t="n"/>
      <c r="G238" s="21" t="n"/>
      <c r="H238" s="31" t="n"/>
      <c r="I238" s="23" t="n"/>
      <c r="J238" s="31" t="n"/>
      <c r="K238" s="32" t="n"/>
      <c r="L238" s="32" t="n"/>
      <c r="M238" s="32" t="n"/>
      <c r="N238" s="33" t="str">
        <f>IF(AND(ISNUMBER(K238),ISNUMBER(L238),ISNUMBER(M238)),IF(OR(AND(F238="多",K238&gt;L238),AND(F238="空",K238&lt;L238)),ABS(M238-K238)/ABS(K238-L238),"止损方向不对"),"")</f>
        <v/>
      </c>
      <c r="O238" s="34" t="str">
        <f>IF(AND(ISNUMBER(K238),ISNUMBER(L238)),IF(K238=L238,"",IF(INT(ROUND('参数'!$C$7/(ABS(K238-L238)*1+2*K238*'参数'!$C$12)/IF(N(J238)&gt;0,J238,1),6))*IF(N(J238)&gt;0,J238,1)&gt;0,INT(ROUND('参数'!$C$7/(ABS(K238-L238)*1+2*K238*'参数'!$C$12)/IF(N(J238)&gt;0,J238,1),6))*IF(N(J238)&gt;0,J238,1),"预算不足，这笔不做")),"")</f>
        <v/>
      </c>
      <c r="P238" s="35" t="n"/>
      <c r="Q238" s="20" t="str">
        <f>IF(AND(ISNUMBER(K238),ISNUMBER(L238),ISNUMBER(P238)),IF(AND(K238&lt;&gt;L238,P238&gt;0),ABS(K238-L238)*P238*1,""),"")</f>
        <v/>
      </c>
      <c r="R238" s="20" t="str">
        <f>IF(AND(ISNUMBER(K238),ISNUMBER(P238)),K238*P238,"")</f>
        <v/>
      </c>
      <c r="S238" s="20" t="str">
        <f>IF(AND(D238="合约",ISNUMBER(R238),N(G238)&gt;0),R238/G238,"")</f>
        <v/>
      </c>
      <c r="T238" s="36" t="str">
        <f>IF(NOT(D238="合约"),"",IF(H238&lt;&gt;"逐仓","看平台",IF(AND(ISNUMBER(K238),N(G238)&gt;0),IF(F238="空",K238*(1+1/G238-IF(ISNUMBER(I238),I238,'参数'!$C$13)),K238*(1-1/G238+IF(ISNUMBER(I238),I238,'参数'!$C$13))),"")))</f>
        <v/>
      </c>
      <c r="U238" s="37" t="str">
        <f>IF(AND(ISNUMBER(T238),ISNUMBER(L238),ISNUMBER(K238)),IF(F238="空",T238-L238,L238-T238)/K238,"")</f>
        <v/>
      </c>
      <c r="V238" s="38" t="str">
        <f>IF(ISNUMBER(U238),IF(U238&lt;'参数'!$C$15,"先降杠杆或减量","在止损外"),"")</f>
        <v/>
      </c>
      <c r="W238" s="30" t="n"/>
      <c r="X238" s="31" t="n"/>
      <c r="Y238" s="39" t="str">
        <f>IF(N(AB238)&gt;0,SUMPRODUCT(LARGE(('成交明细'!$A$5:$A$804=A238)*('成交明细'!$D$5:$D$804=IF(F238="空","卖","买"))*'成交明细'!$B$5:$B$804,COUNTIFS('成交明细'!$A$5:$A$804,A238,'成交明细'!$D$5:$D$804,IF(F238="空","卖","买")))),"")</f>
        <v/>
      </c>
      <c r="Z238" s="39" t="str">
        <f>IF(AND(N(AB238)&gt;0,N(AD238)&gt;=N(AB238)),SUMPRODUCT(MAX(('成交明细'!$A$5:$A$804=A238)*('成交明细'!$D$5:$D$804=IF(F238="空","买","卖"))*'成交明细'!$B$5:$B$804)),"")</f>
        <v/>
      </c>
      <c r="AA238" s="40" t="str">
        <f>IF(N(AB238)=0,"",IF(SUMPRODUCT(('成交明细'!$A$5:$A$804=A238)*('成交明细'!$D$5:$D$804=IF(F238="空","卖","买"))*ISNUMBER('成交明细'!$C$5:$C$804))=0,"没填时间",IFERROR(VLOOKUP(MOD(SUMPRODUCT(LARGE(('成交明细'!$A$5:$A$804=A238)*('成交明细'!$D$5:$D$804=IF(F238="空","卖","买"))*('成交明细'!$B$5:$B$804+'成交明细'!$C$5:$C$804),COUNTIFS('成交明细'!$A$5:$A$804,A238,'成交明细'!$D$5:$D$804,IF(F238="空","卖","买")))),1),'参数'!$B$39:$C$48,2,TRUE),"")))</f>
        <v/>
      </c>
      <c r="AB238" s="34" t="str">
        <f>IF(A238="","",SUMIFS('成交明细'!$F$5:$F$804,'成交明细'!$A$5:$A$804,A238,'成交明细'!$D$5:$D$804,IF(F238="空","卖","买")))</f>
        <v/>
      </c>
      <c r="AC238" s="41" t="str">
        <f>IF(N(AB238)&gt;0,SUMIFS('成交明细'!$H$5:$H$804,'成交明细'!$A$5:$A$804,A238,'成交明细'!$D$5:$D$804,IF(F238="空","卖","买"))/AB238,"")</f>
        <v/>
      </c>
      <c r="AD238" s="34" t="str">
        <f>IF(A238="","",SUMIFS('成交明细'!$F$5:$F$804,'成交明细'!$A$5:$A$804,A238,'成交明细'!$D$5:$D$804,IF(F238="空","买","卖")))</f>
        <v/>
      </c>
      <c r="AE238" s="41" t="str">
        <f>IF(N(AD238)&gt;0,SUMIFS('成交明细'!$H$5:$H$804,'成交明细'!$A$5:$A$804,A238,'成交明细'!$D$5:$D$804,IF(F238="空","买","卖"))/AD238,"")</f>
        <v/>
      </c>
      <c r="AF238" s="38" t="str">
        <f>IF(A238="","",IF(X238&lt;&gt;"已执行",IF(X238="","未填执行情况",X238),IF(N(AB238)=0,"待录成交",IF(N(AD238)&gt;N(AB238),"平仓多于开仓",IF(N(AD238)&lt;N(AB238),"持仓中","已平仓")))))</f>
        <v/>
      </c>
      <c r="AG238" s="42" t="str">
        <f>IF(N(AB238)=0,"",SUMIFS('成交明细'!$L$5:$L$804,'成交明细'!$A$5:$A$804,A238))</f>
        <v/>
      </c>
      <c r="AH238" s="43" t="str">
        <f>IF(A238="","",SUMIFS('资金费流水'!$F$5:$F$604,'资金费流水'!$B$5:$B$604,A238))</f>
        <v/>
      </c>
      <c r="AI238" s="43" t="str">
        <f>IF(AF238&lt;&gt;"已平仓","",(SUMIFS('成交明细'!$H$5:$H$804,'成交明细'!$A$5:$A$804,A238,'成交明细'!$D$5:$D$804,"卖")-SUMIFS('成交明细'!$H$5:$H$804,'成交明细'!$A$5:$A$804,A238,'成交明细'!$D$5:$D$804,"买"))*1-AG238+N(AH238))</f>
        <v/>
      </c>
      <c r="AJ238" s="44" t="str">
        <f>IF(AND(AF238="已平仓",ISNUMBER(Q238)),(SUMIFS('成交明细'!$H$5:$H$804,'成交明细'!$A$5:$A$804,A238,'成交明细'!$D$5:$D$804,"卖")-SUMIFS('成交明细'!$H$5:$H$804,'成交明细'!$A$5:$A$804,A238,'成交明细'!$D$5:$D$804,"买"))*1/Q238,"")</f>
        <v/>
      </c>
      <c r="AK238" s="44" t="str">
        <f>IF(AND(AF238="已平仓",ISNUMBER(Q238)),AI238/Q238,"")</f>
        <v/>
      </c>
      <c r="AL238" s="45" t="str">
        <f>IF(AND(ISNUMBER(AC238),ISNUMBER(K238)),IF(F238="空",K238-AC238,AC238-K238),"")</f>
        <v/>
      </c>
      <c r="AM238" s="45" t="str">
        <f>IF(OR(NOT(ISNUMBER(AI238)),NOT(ISNUMBER(AE238))),"",IF(AI238&lt;0,IF(F238="空",AE238-L238,L238-AE238),IF(NOT(ISNUMBER(M238)),"",IF(F238="空",AE238-M238,M238-AE238))))</f>
        <v/>
      </c>
      <c r="AN238" s="31" t="n"/>
      <c r="AO238" s="31" t="n"/>
      <c r="AP238" s="30" t="n"/>
      <c r="AQ238" s="44" t="str">
        <f>IF(A238="","",SUM(AK$5:AK238))</f>
        <v/>
      </c>
      <c r="AR238" s="46" t="str">
        <f>IF(A238="","",MAX(0,MAX(AQ$5:AQ238))-AQ238)</f>
        <v/>
      </c>
    </row>
    <row r="239">
      <c r="A239" s="24" t="n"/>
      <c r="B239" s="29" t="n"/>
      <c r="C239" s="30" t="n"/>
      <c r="D239" s="31" t="n"/>
      <c r="E239" s="31" t="n"/>
      <c r="F239" s="31" t="n"/>
      <c r="G239" s="21" t="n"/>
      <c r="H239" s="31" t="n"/>
      <c r="I239" s="23" t="n"/>
      <c r="J239" s="31" t="n"/>
      <c r="K239" s="32" t="n"/>
      <c r="L239" s="32" t="n"/>
      <c r="M239" s="32" t="n"/>
      <c r="N239" s="33" t="str">
        <f>IF(AND(ISNUMBER(K239),ISNUMBER(L239),ISNUMBER(M239)),IF(OR(AND(F239="多",K239&gt;L239),AND(F239="空",K239&lt;L239)),ABS(M239-K239)/ABS(K239-L239),"止损方向不对"),"")</f>
        <v/>
      </c>
      <c r="O239" s="34" t="str">
        <f>IF(AND(ISNUMBER(K239),ISNUMBER(L239)),IF(K239=L239,"",IF(INT(ROUND('参数'!$C$7/(ABS(K239-L239)*1+2*K239*'参数'!$C$12)/IF(N(J239)&gt;0,J239,1),6))*IF(N(J239)&gt;0,J239,1)&gt;0,INT(ROUND('参数'!$C$7/(ABS(K239-L239)*1+2*K239*'参数'!$C$12)/IF(N(J239)&gt;0,J239,1),6))*IF(N(J239)&gt;0,J239,1),"预算不足，这笔不做")),"")</f>
        <v/>
      </c>
      <c r="P239" s="35" t="n"/>
      <c r="Q239" s="20" t="str">
        <f>IF(AND(ISNUMBER(K239),ISNUMBER(L239),ISNUMBER(P239)),IF(AND(K239&lt;&gt;L239,P239&gt;0),ABS(K239-L239)*P239*1,""),"")</f>
        <v/>
      </c>
      <c r="R239" s="20" t="str">
        <f>IF(AND(ISNUMBER(K239),ISNUMBER(P239)),K239*P239,"")</f>
        <v/>
      </c>
      <c r="S239" s="20" t="str">
        <f>IF(AND(D239="合约",ISNUMBER(R239),N(G239)&gt;0),R239/G239,"")</f>
        <v/>
      </c>
      <c r="T239" s="36" t="str">
        <f>IF(NOT(D239="合约"),"",IF(H239&lt;&gt;"逐仓","看平台",IF(AND(ISNUMBER(K239),N(G239)&gt;0),IF(F239="空",K239*(1+1/G239-IF(ISNUMBER(I239),I239,'参数'!$C$13)),K239*(1-1/G239+IF(ISNUMBER(I239),I239,'参数'!$C$13))),"")))</f>
        <v/>
      </c>
      <c r="U239" s="37" t="str">
        <f>IF(AND(ISNUMBER(T239),ISNUMBER(L239),ISNUMBER(K239)),IF(F239="空",T239-L239,L239-T239)/K239,"")</f>
        <v/>
      </c>
      <c r="V239" s="38" t="str">
        <f>IF(ISNUMBER(U239),IF(U239&lt;'参数'!$C$15,"先降杠杆或减量","在止损外"),"")</f>
        <v/>
      </c>
      <c r="W239" s="30" t="n"/>
      <c r="X239" s="31" t="n"/>
      <c r="Y239" s="39" t="str">
        <f>IF(N(AB239)&gt;0,SUMPRODUCT(LARGE(('成交明细'!$A$5:$A$804=A239)*('成交明细'!$D$5:$D$804=IF(F239="空","卖","买"))*'成交明细'!$B$5:$B$804,COUNTIFS('成交明细'!$A$5:$A$804,A239,'成交明细'!$D$5:$D$804,IF(F239="空","卖","买")))),"")</f>
        <v/>
      </c>
      <c r="Z239" s="39" t="str">
        <f>IF(AND(N(AB239)&gt;0,N(AD239)&gt;=N(AB239)),SUMPRODUCT(MAX(('成交明细'!$A$5:$A$804=A239)*('成交明细'!$D$5:$D$804=IF(F239="空","买","卖"))*'成交明细'!$B$5:$B$804)),"")</f>
        <v/>
      </c>
      <c r="AA239" s="40" t="str">
        <f>IF(N(AB239)=0,"",IF(SUMPRODUCT(('成交明细'!$A$5:$A$804=A239)*('成交明细'!$D$5:$D$804=IF(F239="空","卖","买"))*ISNUMBER('成交明细'!$C$5:$C$804))=0,"没填时间",IFERROR(VLOOKUP(MOD(SUMPRODUCT(LARGE(('成交明细'!$A$5:$A$804=A239)*('成交明细'!$D$5:$D$804=IF(F239="空","卖","买"))*('成交明细'!$B$5:$B$804+'成交明细'!$C$5:$C$804),COUNTIFS('成交明细'!$A$5:$A$804,A239,'成交明细'!$D$5:$D$804,IF(F239="空","卖","买")))),1),'参数'!$B$39:$C$48,2,TRUE),"")))</f>
        <v/>
      </c>
      <c r="AB239" s="34" t="str">
        <f>IF(A239="","",SUMIFS('成交明细'!$F$5:$F$804,'成交明细'!$A$5:$A$804,A239,'成交明细'!$D$5:$D$804,IF(F239="空","卖","买")))</f>
        <v/>
      </c>
      <c r="AC239" s="41" t="str">
        <f>IF(N(AB239)&gt;0,SUMIFS('成交明细'!$H$5:$H$804,'成交明细'!$A$5:$A$804,A239,'成交明细'!$D$5:$D$804,IF(F239="空","卖","买"))/AB239,"")</f>
        <v/>
      </c>
      <c r="AD239" s="34" t="str">
        <f>IF(A239="","",SUMIFS('成交明细'!$F$5:$F$804,'成交明细'!$A$5:$A$804,A239,'成交明细'!$D$5:$D$804,IF(F239="空","买","卖")))</f>
        <v/>
      </c>
      <c r="AE239" s="41" t="str">
        <f>IF(N(AD239)&gt;0,SUMIFS('成交明细'!$H$5:$H$804,'成交明细'!$A$5:$A$804,A239,'成交明细'!$D$5:$D$804,IF(F239="空","买","卖"))/AD239,"")</f>
        <v/>
      </c>
      <c r="AF239" s="38" t="str">
        <f>IF(A239="","",IF(X239&lt;&gt;"已执行",IF(X239="","未填执行情况",X239),IF(N(AB239)=0,"待录成交",IF(N(AD239)&gt;N(AB239),"平仓多于开仓",IF(N(AD239)&lt;N(AB239),"持仓中","已平仓")))))</f>
        <v/>
      </c>
      <c r="AG239" s="42" t="str">
        <f>IF(N(AB239)=0,"",SUMIFS('成交明细'!$L$5:$L$804,'成交明细'!$A$5:$A$804,A239))</f>
        <v/>
      </c>
      <c r="AH239" s="43" t="str">
        <f>IF(A239="","",SUMIFS('资金费流水'!$F$5:$F$604,'资金费流水'!$B$5:$B$604,A239))</f>
        <v/>
      </c>
      <c r="AI239" s="43" t="str">
        <f>IF(AF239&lt;&gt;"已平仓","",(SUMIFS('成交明细'!$H$5:$H$804,'成交明细'!$A$5:$A$804,A239,'成交明细'!$D$5:$D$804,"卖")-SUMIFS('成交明细'!$H$5:$H$804,'成交明细'!$A$5:$A$804,A239,'成交明细'!$D$5:$D$804,"买"))*1-AG239+N(AH239))</f>
        <v/>
      </c>
      <c r="AJ239" s="44" t="str">
        <f>IF(AND(AF239="已平仓",ISNUMBER(Q239)),(SUMIFS('成交明细'!$H$5:$H$804,'成交明细'!$A$5:$A$804,A239,'成交明细'!$D$5:$D$804,"卖")-SUMIFS('成交明细'!$H$5:$H$804,'成交明细'!$A$5:$A$804,A239,'成交明细'!$D$5:$D$804,"买"))*1/Q239,"")</f>
        <v/>
      </c>
      <c r="AK239" s="44" t="str">
        <f>IF(AND(AF239="已平仓",ISNUMBER(Q239)),AI239/Q239,"")</f>
        <v/>
      </c>
      <c r="AL239" s="45" t="str">
        <f>IF(AND(ISNUMBER(AC239),ISNUMBER(K239)),IF(F239="空",K239-AC239,AC239-K239),"")</f>
        <v/>
      </c>
      <c r="AM239" s="45" t="str">
        <f>IF(OR(NOT(ISNUMBER(AI239)),NOT(ISNUMBER(AE239))),"",IF(AI239&lt;0,IF(F239="空",AE239-L239,L239-AE239),IF(NOT(ISNUMBER(M239)),"",IF(F239="空",AE239-M239,M239-AE239))))</f>
        <v/>
      </c>
      <c r="AN239" s="31" t="n"/>
      <c r="AO239" s="31" t="n"/>
      <c r="AP239" s="30" t="n"/>
      <c r="AQ239" s="44" t="str">
        <f>IF(A239="","",SUM(AK$5:AK239))</f>
        <v/>
      </c>
      <c r="AR239" s="46" t="str">
        <f>IF(A239="","",MAX(0,MAX(AQ$5:AQ239))-AQ239)</f>
        <v/>
      </c>
    </row>
    <row r="240">
      <c r="A240" s="24" t="n"/>
      <c r="B240" s="29" t="n"/>
      <c r="C240" s="30" t="n"/>
      <c r="D240" s="31" t="n"/>
      <c r="E240" s="31" t="n"/>
      <c r="F240" s="31" t="n"/>
      <c r="G240" s="21" t="n"/>
      <c r="H240" s="31" t="n"/>
      <c r="I240" s="23" t="n"/>
      <c r="J240" s="31" t="n"/>
      <c r="K240" s="32" t="n"/>
      <c r="L240" s="32" t="n"/>
      <c r="M240" s="32" t="n"/>
      <c r="N240" s="33" t="str">
        <f>IF(AND(ISNUMBER(K240),ISNUMBER(L240),ISNUMBER(M240)),IF(OR(AND(F240="多",K240&gt;L240),AND(F240="空",K240&lt;L240)),ABS(M240-K240)/ABS(K240-L240),"止损方向不对"),"")</f>
        <v/>
      </c>
      <c r="O240" s="34" t="str">
        <f>IF(AND(ISNUMBER(K240),ISNUMBER(L240)),IF(K240=L240,"",IF(INT(ROUND('参数'!$C$7/(ABS(K240-L240)*1+2*K240*'参数'!$C$12)/IF(N(J240)&gt;0,J240,1),6))*IF(N(J240)&gt;0,J240,1)&gt;0,INT(ROUND('参数'!$C$7/(ABS(K240-L240)*1+2*K240*'参数'!$C$12)/IF(N(J240)&gt;0,J240,1),6))*IF(N(J240)&gt;0,J240,1),"预算不足，这笔不做")),"")</f>
        <v/>
      </c>
      <c r="P240" s="35" t="n"/>
      <c r="Q240" s="20" t="str">
        <f>IF(AND(ISNUMBER(K240),ISNUMBER(L240),ISNUMBER(P240)),IF(AND(K240&lt;&gt;L240,P240&gt;0),ABS(K240-L240)*P240*1,""),"")</f>
        <v/>
      </c>
      <c r="R240" s="20" t="str">
        <f>IF(AND(ISNUMBER(K240),ISNUMBER(P240)),K240*P240,"")</f>
        <v/>
      </c>
      <c r="S240" s="20" t="str">
        <f>IF(AND(D240="合约",ISNUMBER(R240),N(G240)&gt;0),R240/G240,"")</f>
        <v/>
      </c>
      <c r="T240" s="36" t="str">
        <f>IF(NOT(D240="合约"),"",IF(H240&lt;&gt;"逐仓","看平台",IF(AND(ISNUMBER(K240),N(G240)&gt;0),IF(F240="空",K240*(1+1/G240-IF(ISNUMBER(I240),I240,'参数'!$C$13)),K240*(1-1/G240+IF(ISNUMBER(I240),I240,'参数'!$C$13))),"")))</f>
        <v/>
      </c>
      <c r="U240" s="37" t="str">
        <f>IF(AND(ISNUMBER(T240),ISNUMBER(L240),ISNUMBER(K240)),IF(F240="空",T240-L240,L240-T240)/K240,"")</f>
        <v/>
      </c>
      <c r="V240" s="38" t="str">
        <f>IF(ISNUMBER(U240),IF(U240&lt;'参数'!$C$15,"先降杠杆或减量","在止损外"),"")</f>
        <v/>
      </c>
      <c r="W240" s="30" t="n"/>
      <c r="X240" s="31" t="n"/>
      <c r="Y240" s="39" t="str">
        <f>IF(N(AB240)&gt;0,SUMPRODUCT(LARGE(('成交明细'!$A$5:$A$804=A240)*('成交明细'!$D$5:$D$804=IF(F240="空","卖","买"))*'成交明细'!$B$5:$B$804,COUNTIFS('成交明细'!$A$5:$A$804,A240,'成交明细'!$D$5:$D$804,IF(F240="空","卖","买")))),"")</f>
        <v/>
      </c>
      <c r="Z240" s="39" t="str">
        <f>IF(AND(N(AB240)&gt;0,N(AD240)&gt;=N(AB240)),SUMPRODUCT(MAX(('成交明细'!$A$5:$A$804=A240)*('成交明细'!$D$5:$D$804=IF(F240="空","买","卖"))*'成交明细'!$B$5:$B$804)),"")</f>
        <v/>
      </c>
      <c r="AA240" s="40" t="str">
        <f>IF(N(AB240)=0,"",IF(SUMPRODUCT(('成交明细'!$A$5:$A$804=A240)*('成交明细'!$D$5:$D$804=IF(F240="空","卖","买"))*ISNUMBER('成交明细'!$C$5:$C$804))=0,"没填时间",IFERROR(VLOOKUP(MOD(SUMPRODUCT(LARGE(('成交明细'!$A$5:$A$804=A240)*('成交明细'!$D$5:$D$804=IF(F240="空","卖","买"))*('成交明细'!$B$5:$B$804+'成交明细'!$C$5:$C$804),COUNTIFS('成交明细'!$A$5:$A$804,A240,'成交明细'!$D$5:$D$804,IF(F240="空","卖","买")))),1),'参数'!$B$39:$C$48,2,TRUE),"")))</f>
        <v/>
      </c>
      <c r="AB240" s="34" t="str">
        <f>IF(A240="","",SUMIFS('成交明细'!$F$5:$F$804,'成交明细'!$A$5:$A$804,A240,'成交明细'!$D$5:$D$804,IF(F240="空","卖","买")))</f>
        <v/>
      </c>
      <c r="AC240" s="41" t="str">
        <f>IF(N(AB240)&gt;0,SUMIFS('成交明细'!$H$5:$H$804,'成交明细'!$A$5:$A$804,A240,'成交明细'!$D$5:$D$804,IF(F240="空","卖","买"))/AB240,"")</f>
        <v/>
      </c>
      <c r="AD240" s="34" t="str">
        <f>IF(A240="","",SUMIFS('成交明细'!$F$5:$F$804,'成交明细'!$A$5:$A$804,A240,'成交明细'!$D$5:$D$804,IF(F240="空","买","卖")))</f>
        <v/>
      </c>
      <c r="AE240" s="41" t="str">
        <f>IF(N(AD240)&gt;0,SUMIFS('成交明细'!$H$5:$H$804,'成交明细'!$A$5:$A$804,A240,'成交明细'!$D$5:$D$804,IF(F240="空","买","卖"))/AD240,"")</f>
        <v/>
      </c>
      <c r="AF240" s="38" t="str">
        <f>IF(A240="","",IF(X240&lt;&gt;"已执行",IF(X240="","未填执行情况",X240),IF(N(AB240)=0,"待录成交",IF(N(AD240)&gt;N(AB240),"平仓多于开仓",IF(N(AD240)&lt;N(AB240),"持仓中","已平仓")))))</f>
        <v/>
      </c>
      <c r="AG240" s="42" t="str">
        <f>IF(N(AB240)=0,"",SUMIFS('成交明细'!$L$5:$L$804,'成交明细'!$A$5:$A$804,A240))</f>
        <v/>
      </c>
      <c r="AH240" s="43" t="str">
        <f>IF(A240="","",SUMIFS('资金费流水'!$F$5:$F$604,'资金费流水'!$B$5:$B$604,A240))</f>
        <v/>
      </c>
      <c r="AI240" s="43" t="str">
        <f>IF(AF240&lt;&gt;"已平仓","",(SUMIFS('成交明细'!$H$5:$H$804,'成交明细'!$A$5:$A$804,A240,'成交明细'!$D$5:$D$804,"卖")-SUMIFS('成交明细'!$H$5:$H$804,'成交明细'!$A$5:$A$804,A240,'成交明细'!$D$5:$D$804,"买"))*1-AG240+N(AH240))</f>
        <v/>
      </c>
      <c r="AJ240" s="44" t="str">
        <f>IF(AND(AF240="已平仓",ISNUMBER(Q240)),(SUMIFS('成交明细'!$H$5:$H$804,'成交明细'!$A$5:$A$804,A240,'成交明细'!$D$5:$D$804,"卖")-SUMIFS('成交明细'!$H$5:$H$804,'成交明细'!$A$5:$A$804,A240,'成交明细'!$D$5:$D$804,"买"))*1/Q240,"")</f>
        <v/>
      </c>
      <c r="AK240" s="44" t="str">
        <f>IF(AND(AF240="已平仓",ISNUMBER(Q240)),AI240/Q240,"")</f>
        <v/>
      </c>
      <c r="AL240" s="45" t="str">
        <f>IF(AND(ISNUMBER(AC240),ISNUMBER(K240)),IF(F240="空",K240-AC240,AC240-K240),"")</f>
        <v/>
      </c>
      <c r="AM240" s="45" t="str">
        <f>IF(OR(NOT(ISNUMBER(AI240)),NOT(ISNUMBER(AE240))),"",IF(AI240&lt;0,IF(F240="空",AE240-L240,L240-AE240),IF(NOT(ISNUMBER(M240)),"",IF(F240="空",AE240-M240,M240-AE240))))</f>
        <v/>
      </c>
      <c r="AN240" s="31" t="n"/>
      <c r="AO240" s="31" t="n"/>
      <c r="AP240" s="30" t="n"/>
      <c r="AQ240" s="44" t="str">
        <f>IF(A240="","",SUM(AK$5:AK240))</f>
        <v/>
      </c>
      <c r="AR240" s="46" t="str">
        <f>IF(A240="","",MAX(0,MAX(AQ$5:AQ240))-AQ240)</f>
        <v/>
      </c>
    </row>
    <row r="241">
      <c r="A241" s="24" t="n"/>
      <c r="B241" s="29" t="n"/>
      <c r="C241" s="30" t="n"/>
      <c r="D241" s="31" t="n"/>
      <c r="E241" s="31" t="n"/>
      <c r="F241" s="31" t="n"/>
      <c r="G241" s="21" t="n"/>
      <c r="H241" s="31" t="n"/>
      <c r="I241" s="23" t="n"/>
      <c r="J241" s="31" t="n"/>
      <c r="K241" s="32" t="n"/>
      <c r="L241" s="32" t="n"/>
      <c r="M241" s="32" t="n"/>
      <c r="N241" s="33" t="str">
        <f>IF(AND(ISNUMBER(K241),ISNUMBER(L241),ISNUMBER(M241)),IF(OR(AND(F241="多",K241&gt;L241),AND(F241="空",K241&lt;L241)),ABS(M241-K241)/ABS(K241-L241),"止损方向不对"),"")</f>
        <v/>
      </c>
      <c r="O241" s="34" t="str">
        <f>IF(AND(ISNUMBER(K241),ISNUMBER(L241)),IF(K241=L241,"",IF(INT(ROUND('参数'!$C$7/(ABS(K241-L241)*1+2*K241*'参数'!$C$12)/IF(N(J241)&gt;0,J241,1),6))*IF(N(J241)&gt;0,J241,1)&gt;0,INT(ROUND('参数'!$C$7/(ABS(K241-L241)*1+2*K241*'参数'!$C$12)/IF(N(J241)&gt;0,J241,1),6))*IF(N(J241)&gt;0,J241,1),"预算不足，这笔不做")),"")</f>
        <v/>
      </c>
      <c r="P241" s="35" t="n"/>
      <c r="Q241" s="20" t="str">
        <f>IF(AND(ISNUMBER(K241),ISNUMBER(L241),ISNUMBER(P241)),IF(AND(K241&lt;&gt;L241,P241&gt;0),ABS(K241-L241)*P241*1,""),"")</f>
        <v/>
      </c>
      <c r="R241" s="20" t="str">
        <f>IF(AND(ISNUMBER(K241),ISNUMBER(P241)),K241*P241,"")</f>
        <v/>
      </c>
      <c r="S241" s="20" t="str">
        <f>IF(AND(D241="合约",ISNUMBER(R241),N(G241)&gt;0),R241/G241,"")</f>
        <v/>
      </c>
      <c r="T241" s="36" t="str">
        <f>IF(NOT(D241="合约"),"",IF(H241&lt;&gt;"逐仓","看平台",IF(AND(ISNUMBER(K241),N(G241)&gt;0),IF(F241="空",K241*(1+1/G241-IF(ISNUMBER(I241),I241,'参数'!$C$13)),K241*(1-1/G241+IF(ISNUMBER(I241),I241,'参数'!$C$13))),"")))</f>
        <v/>
      </c>
      <c r="U241" s="37" t="str">
        <f>IF(AND(ISNUMBER(T241),ISNUMBER(L241),ISNUMBER(K241)),IF(F241="空",T241-L241,L241-T241)/K241,"")</f>
        <v/>
      </c>
      <c r="V241" s="38" t="str">
        <f>IF(ISNUMBER(U241),IF(U241&lt;'参数'!$C$15,"先降杠杆或减量","在止损外"),"")</f>
        <v/>
      </c>
      <c r="W241" s="30" t="n"/>
      <c r="X241" s="31" t="n"/>
      <c r="Y241" s="39" t="str">
        <f>IF(N(AB241)&gt;0,SUMPRODUCT(LARGE(('成交明细'!$A$5:$A$804=A241)*('成交明细'!$D$5:$D$804=IF(F241="空","卖","买"))*'成交明细'!$B$5:$B$804,COUNTIFS('成交明细'!$A$5:$A$804,A241,'成交明细'!$D$5:$D$804,IF(F241="空","卖","买")))),"")</f>
        <v/>
      </c>
      <c r="Z241" s="39" t="str">
        <f>IF(AND(N(AB241)&gt;0,N(AD241)&gt;=N(AB241)),SUMPRODUCT(MAX(('成交明细'!$A$5:$A$804=A241)*('成交明细'!$D$5:$D$804=IF(F241="空","买","卖"))*'成交明细'!$B$5:$B$804)),"")</f>
        <v/>
      </c>
      <c r="AA241" s="40" t="str">
        <f>IF(N(AB241)=0,"",IF(SUMPRODUCT(('成交明细'!$A$5:$A$804=A241)*('成交明细'!$D$5:$D$804=IF(F241="空","卖","买"))*ISNUMBER('成交明细'!$C$5:$C$804))=0,"没填时间",IFERROR(VLOOKUP(MOD(SUMPRODUCT(LARGE(('成交明细'!$A$5:$A$804=A241)*('成交明细'!$D$5:$D$804=IF(F241="空","卖","买"))*('成交明细'!$B$5:$B$804+'成交明细'!$C$5:$C$804),COUNTIFS('成交明细'!$A$5:$A$804,A241,'成交明细'!$D$5:$D$804,IF(F241="空","卖","买")))),1),'参数'!$B$39:$C$48,2,TRUE),"")))</f>
        <v/>
      </c>
      <c r="AB241" s="34" t="str">
        <f>IF(A241="","",SUMIFS('成交明细'!$F$5:$F$804,'成交明细'!$A$5:$A$804,A241,'成交明细'!$D$5:$D$804,IF(F241="空","卖","买")))</f>
        <v/>
      </c>
      <c r="AC241" s="41" t="str">
        <f>IF(N(AB241)&gt;0,SUMIFS('成交明细'!$H$5:$H$804,'成交明细'!$A$5:$A$804,A241,'成交明细'!$D$5:$D$804,IF(F241="空","卖","买"))/AB241,"")</f>
        <v/>
      </c>
      <c r="AD241" s="34" t="str">
        <f>IF(A241="","",SUMIFS('成交明细'!$F$5:$F$804,'成交明细'!$A$5:$A$804,A241,'成交明细'!$D$5:$D$804,IF(F241="空","买","卖")))</f>
        <v/>
      </c>
      <c r="AE241" s="41" t="str">
        <f>IF(N(AD241)&gt;0,SUMIFS('成交明细'!$H$5:$H$804,'成交明细'!$A$5:$A$804,A241,'成交明细'!$D$5:$D$804,IF(F241="空","买","卖"))/AD241,"")</f>
        <v/>
      </c>
      <c r="AF241" s="38" t="str">
        <f>IF(A241="","",IF(X241&lt;&gt;"已执行",IF(X241="","未填执行情况",X241),IF(N(AB241)=0,"待录成交",IF(N(AD241)&gt;N(AB241),"平仓多于开仓",IF(N(AD241)&lt;N(AB241),"持仓中","已平仓")))))</f>
        <v/>
      </c>
      <c r="AG241" s="42" t="str">
        <f>IF(N(AB241)=0,"",SUMIFS('成交明细'!$L$5:$L$804,'成交明细'!$A$5:$A$804,A241))</f>
        <v/>
      </c>
      <c r="AH241" s="43" t="str">
        <f>IF(A241="","",SUMIFS('资金费流水'!$F$5:$F$604,'资金费流水'!$B$5:$B$604,A241))</f>
        <v/>
      </c>
      <c r="AI241" s="43" t="str">
        <f>IF(AF241&lt;&gt;"已平仓","",(SUMIFS('成交明细'!$H$5:$H$804,'成交明细'!$A$5:$A$804,A241,'成交明细'!$D$5:$D$804,"卖")-SUMIFS('成交明细'!$H$5:$H$804,'成交明细'!$A$5:$A$804,A241,'成交明细'!$D$5:$D$804,"买"))*1-AG241+N(AH241))</f>
        <v/>
      </c>
      <c r="AJ241" s="44" t="str">
        <f>IF(AND(AF241="已平仓",ISNUMBER(Q241)),(SUMIFS('成交明细'!$H$5:$H$804,'成交明细'!$A$5:$A$804,A241,'成交明细'!$D$5:$D$804,"卖")-SUMIFS('成交明细'!$H$5:$H$804,'成交明细'!$A$5:$A$804,A241,'成交明细'!$D$5:$D$804,"买"))*1/Q241,"")</f>
        <v/>
      </c>
      <c r="AK241" s="44" t="str">
        <f>IF(AND(AF241="已平仓",ISNUMBER(Q241)),AI241/Q241,"")</f>
        <v/>
      </c>
      <c r="AL241" s="45" t="str">
        <f>IF(AND(ISNUMBER(AC241),ISNUMBER(K241)),IF(F241="空",K241-AC241,AC241-K241),"")</f>
        <v/>
      </c>
      <c r="AM241" s="45" t="str">
        <f>IF(OR(NOT(ISNUMBER(AI241)),NOT(ISNUMBER(AE241))),"",IF(AI241&lt;0,IF(F241="空",AE241-L241,L241-AE241),IF(NOT(ISNUMBER(M241)),"",IF(F241="空",AE241-M241,M241-AE241))))</f>
        <v/>
      </c>
      <c r="AN241" s="31" t="n"/>
      <c r="AO241" s="31" t="n"/>
      <c r="AP241" s="30" t="n"/>
      <c r="AQ241" s="44" t="str">
        <f>IF(A241="","",SUM(AK$5:AK241))</f>
        <v/>
      </c>
      <c r="AR241" s="46" t="str">
        <f>IF(A241="","",MAX(0,MAX(AQ$5:AQ241))-AQ241)</f>
        <v/>
      </c>
    </row>
    <row r="242">
      <c r="A242" s="24" t="n"/>
      <c r="B242" s="29" t="n"/>
      <c r="C242" s="30" t="n"/>
      <c r="D242" s="31" t="n"/>
      <c r="E242" s="31" t="n"/>
      <c r="F242" s="31" t="n"/>
      <c r="G242" s="21" t="n"/>
      <c r="H242" s="31" t="n"/>
      <c r="I242" s="23" t="n"/>
      <c r="J242" s="31" t="n"/>
      <c r="K242" s="32" t="n"/>
      <c r="L242" s="32" t="n"/>
      <c r="M242" s="32" t="n"/>
      <c r="N242" s="33" t="str">
        <f>IF(AND(ISNUMBER(K242),ISNUMBER(L242),ISNUMBER(M242)),IF(OR(AND(F242="多",K242&gt;L242),AND(F242="空",K242&lt;L242)),ABS(M242-K242)/ABS(K242-L242),"止损方向不对"),"")</f>
        <v/>
      </c>
      <c r="O242" s="34" t="str">
        <f>IF(AND(ISNUMBER(K242),ISNUMBER(L242)),IF(K242=L242,"",IF(INT(ROUND('参数'!$C$7/(ABS(K242-L242)*1+2*K242*'参数'!$C$12)/IF(N(J242)&gt;0,J242,1),6))*IF(N(J242)&gt;0,J242,1)&gt;0,INT(ROUND('参数'!$C$7/(ABS(K242-L242)*1+2*K242*'参数'!$C$12)/IF(N(J242)&gt;0,J242,1),6))*IF(N(J242)&gt;0,J242,1),"预算不足，这笔不做")),"")</f>
        <v/>
      </c>
      <c r="P242" s="35" t="n"/>
      <c r="Q242" s="20" t="str">
        <f>IF(AND(ISNUMBER(K242),ISNUMBER(L242),ISNUMBER(P242)),IF(AND(K242&lt;&gt;L242,P242&gt;0),ABS(K242-L242)*P242*1,""),"")</f>
        <v/>
      </c>
      <c r="R242" s="20" t="str">
        <f>IF(AND(ISNUMBER(K242),ISNUMBER(P242)),K242*P242,"")</f>
        <v/>
      </c>
      <c r="S242" s="20" t="str">
        <f>IF(AND(D242="合约",ISNUMBER(R242),N(G242)&gt;0),R242/G242,"")</f>
        <v/>
      </c>
      <c r="T242" s="36" t="str">
        <f>IF(NOT(D242="合约"),"",IF(H242&lt;&gt;"逐仓","看平台",IF(AND(ISNUMBER(K242),N(G242)&gt;0),IF(F242="空",K242*(1+1/G242-IF(ISNUMBER(I242),I242,'参数'!$C$13)),K242*(1-1/G242+IF(ISNUMBER(I242),I242,'参数'!$C$13))),"")))</f>
        <v/>
      </c>
      <c r="U242" s="37" t="str">
        <f>IF(AND(ISNUMBER(T242),ISNUMBER(L242),ISNUMBER(K242)),IF(F242="空",T242-L242,L242-T242)/K242,"")</f>
        <v/>
      </c>
      <c r="V242" s="38" t="str">
        <f>IF(ISNUMBER(U242),IF(U242&lt;'参数'!$C$15,"先降杠杆或减量","在止损外"),"")</f>
        <v/>
      </c>
      <c r="W242" s="30" t="n"/>
      <c r="X242" s="31" t="n"/>
      <c r="Y242" s="39" t="str">
        <f>IF(N(AB242)&gt;0,SUMPRODUCT(LARGE(('成交明细'!$A$5:$A$804=A242)*('成交明细'!$D$5:$D$804=IF(F242="空","卖","买"))*'成交明细'!$B$5:$B$804,COUNTIFS('成交明细'!$A$5:$A$804,A242,'成交明细'!$D$5:$D$804,IF(F242="空","卖","买")))),"")</f>
        <v/>
      </c>
      <c r="Z242" s="39" t="str">
        <f>IF(AND(N(AB242)&gt;0,N(AD242)&gt;=N(AB242)),SUMPRODUCT(MAX(('成交明细'!$A$5:$A$804=A242)*('成交明细'!$D$5:$D$804=IF(F242="空","买","卖"))*'成交明细'!$B$5:$B$804)),"")</f>
        <v/>
      </c>
      <c r="AA242" s="40" t="str">
        <f>IF(N(AB242)=0,"",IF(SUMPRODUCT(('成交明细'!$A$5:$A$804=A242)*('成交明细'!$D$5:$D$804=IF(F242="空","卖","买"))*ISNUMBER('成交明细'!$C$5:$C$804))=0,"没填时间",IFERROR(VLOOKUP(MOD(SUMPRODUCT(LARGE(('成交明细'!$A$5:$A$804=A242)*('成交明细'!$D$5:$D$804=IF(F242="空","卖","买"))*('成交明细'!$B$5:$B$804+'成交明细'!$C$5:$C$804),COUNTIFS('成交明细'!$A$5:$A$804,A242,'成交明细'!$D$5:$D$804,IF(F242="空","卖","买")))),1),'参数'!$B$39:$C$48,2,TRUE),"")))</f>
        <v/>
      </c>
      <c r="AB242" s="34" t="str">
        <f>IF(A242="","",SUMIFS('成交明细'!$F$5:$F$804,'成交明细'!$A$5:$A$804,A242,'成交明细'!$D$5:$D$804,IF(F242="空","卖","买")))</f>
        <v/>
      </c>
      <c r="AC242" s="41" t="str">
        <f>IF(N(AB242)&gt;0,SUMIFS('成交明细'!$H$5:$H$804,'成交明细'!$A$5:$A$804,A242,'成交明细'!$D$5:$D$804,IF(F242="空","卖","买"))/AB242,"")</f>
        <v/>
      </c>
      <c r="AD242" s="34" t="str">
        <f>IF(A242="","",SUMIFS('成交明细'!$F$5:$F$804,'成交明细'!$A$5:$A$804,A242,'成交明细'!$D$5:$D$804,IF(F242="空","买","卖")))</f>
        <v/>
      </c>
      <c r="AE242" s="41" t="str">
        <f>IF(N(AD242)&gt;0,SUMIFS('成交明细'!$H$5:$H$804,'成交明细'!$A$5:$A$804,A242,'成交明细'!$D$5:$D$804,IF(F242="空","买","卖"))/AD242,"")</f>
        <v/>
      </c>
      <c r="AF242" s="38" t="str">
        <f>IF(A242="","",IF(X242&lt;&gt;"已执行",IF(X242="","未填执行情况",X242),IF(N(AB242)=0,"待录成交",IF(N(AD242)&gt;N(AB242),"平仓多于开仓",IF(N(AD242)&lt;N(AB242),"持仓中","已平仓")))))</f>
        <v/>
      </c>
      <c r="AG242" s="42" t="str">
        <f>IF(N(AB242)=0,"",SUMIFS('成交明细'!$L$5:$L$804,'成交明细'!$A$5:$A$804,A242))</f>
        <v/>
      </c>
      <c r="AH242" s="43" t="str">
        <f>IF(A242="","",SUMIFS('资金费流水'!$F$5:$F$604,'资金费流水'!$B$5:$B$604,A242))</f>
        <v/>
      </c>
      <c r="AI242" s="43" t="str">
        <f>IF(AF242&lt;&gt;"已平仓","",(SUMIFS('成交明细'!$H$5:$H$804,'成交明细'!$A$5:$A$804,A242,'成交明细'!$D$5:$D$804,"卖")-SUMIFS('成交明细'!$H$5:$H$804,'成交明细'!$A$5:$A$804,A242,'成交明细'!$D$5:$D$804,"买"))*1-AG242+N(AH242))</f>
        <v/>
      </c>
      <c r="AJ242" s="44" t="str">
        <f>IF(AND(AF242="已平仓",ISNUMBER(Q242)),(SUMIFS('成交明细'!$H$5:$H$804,'成交明细'!$A$5:$A$804,A242,'成交明细'!$D$5:$D$804,"卖")-SUMIFS('成交明细'!$H$5:$H$804,'成交明细'!$A$5:$A$804,A242,'成交明细'!$D$5:$D$804,"买"))*1/Q242,"")</f>
        <v/>
      </c>
      <c r="AK242" s="44" t="str">
        <f>IF(AND(AF242="已平仓",ISNUMBER(Q242)),AI242/Q242,"")</f>
        <v/>
      </c>
      <c r="AL242" s="45" t="str">
        <f>IF(AND(ISNUMBER(AC242),ISNUMBER(K242)),IF(F242="空",K242-AC242,AC242-K242),"")</f>
        <v/>
      </c>
      <c r="AM242" s="45" t="str">
        <f>IF(OR(NOT(ISNUMBER(AI242)),NOT(ISNUMBER(AE242))),"",IF(AI242&lt;0,IF(F242="空",AE242-L242,L242-AE242),IF(NOT(ISNUMBER(M242)),"",IF(F242="空",AE242-M242,M242-AE242))))</f>
        <v/>
      </c>
      <c r="AN242" s="31" t="n"/>
      <c r="AO242" s="31" t="n"/>
      <c r="AP242" s="30" t="n"/>
      <c r="AQ242" s="44" t="str">
        <f>IF(A242="","",SUM(AK$5:AK242))</f>
        <v/>
      </c>
      <c r="AR242" s="46" t="str">
        <f>IF(A242="","",MAX(0,MAX(AQ$5:AQ242))-AQ242)</f>
        <v/>
      </c>
    </row>
    <row r="243">
      <c r="A243" s="24" t="n"/>
      <c r="B243" s="29" t="n"/>
      <c r="C243" s="30" t="n"/>
      <c r="D243" s="31" t="n"/>
      <c r="E243" s="31" t="n"/>
      <c r="F243" s="31" t="n"/>
      <c r="G243" s="21" t="n"/>
      <c r="H243" s="31" t="n"/>
      <c r="I243" s="23" t="n"/>
      <c r="J243" s="31" t="n"/>
      <c r="K243" s="32" t="n"/>
      <c r="L243" s="32" t="n"/>
      <c r="M243" s="32" t="n"/>
      <c r="N243" s="33" t="str">
        <f>IF(AND(ISNUMBER(K243),ISNUMBER(L243),ISNUMBER(M243)),IF(OR(AND(F243="多",K243&gt;L243),AND(F243="空",K243&lt;L243)),ABS(M243-K243)/ABS(K243-L243),"止损方向不对"),"")</f>
        <v/>
      </c>
      <c r="O243" s="34" t="str">
        <f>IF(AND(ISNUMBER(K243),ISNUMBER(L243)),IF(K243=L243,"",IF(INT(ROUND('参数'!$C$7/(ABS(K243-L243)*1+2*K243*'参数'!$C$12)/IF(N(J243)&gt;0,J243,1),6))*IF(N(J243)&gt;0,J243,1)&gt;0,INT(ROUND('参数'!$C$7/(ABS(K243-L243)*1+2*K243*'参数'!$C$12)/IF(N(J243)&gt;0,J243,1),6))*IF(N(J243)&gt;0,J243,1),"预算不足，这笔不做")),"")</f>
        <v/>
      </c>
      <c r="P243" s="35" t="n"/>
      <c r="Q243" s="20" t="str">
        <f>IF(AND(ISNUMBER(K243),ISNUMBER(L243),ISNUMBER(P243)),IF(AND(K243&lt;&gt;L243,P243&gt;0),ABS(K243-L243)*P243*1,""),"")</f>
        <v/>
      </c>
      <c r="R243" s="20" t="str">
        <f>IF(AND(ISNUMBER(K243),ISNUMBER(P243)),K243*P243,"")</f>
        <v/>
      </c>
      <c r="S243" s="20" t="str">
        <f>IF(AND(D243="合约",ISNUMBER(R243),N(G243)&gt;0),R243/G243,"")</f>
        <v/>
      </c>
      <c r="T243" s="36" t="str">
        <f>IF(NOT(D243="合约"),"",IF(H243&lt;&gt;"逐仓","看平台",IF(AND(ISNUMBER(K243),N(G243)&gt;0),IF(F243="空",K243*(1+1/G243-IF(ISNUMBER(I243),I243,'参数'!$C$13)),K243*(1-1/G243+IF(ISNUMBER(I243),I243,'参数'!$C$13))),"")))</f>
        <v/>
      </c>
      <c r="U243" s="37" t="str">
        <f>IF(AND(ISNUMBER(T243),ISNUMBER(L243),ISNUMBER(K243)),IF(F243="空",T243-L243,L243-T243)/K243,"")</f>
        <v/>
      </c>
      <c r="V243" s="38" t="str">
        <f>IF(ISNUMBER(U243),IF(U243&lt;'参数'!$C$15,"先降杠杆或减量","在止损外"),"")</f>
        <v/>
      </c>
      <c r="W243" s="30" t="n"/>
      <c r="X243" s="31" t="n"/>
      <c r="Y243" s="39" t="str">
        <f>IF(N(AB243)&gt;0,SUMPRODUCT(LARGE(('成交明细'!$A$5:$A$804=A243)*('成交明细'!$D$5:$D$804=IF(F243="空","卖","买"))*'成交明细'!$B$5:$B$804,COUNTIFS('成交明细'!$A$5:$A$804,A243,'成交明细'!$D$5:$D$804,IF(F243="空","卖","买")))),"")</f>
        <v/>
      </c>
      <c r="Z243" s="39" t="str">
        <f>IF(AND(N(AB243)&gt;0,N(AD243)&gt;=N(AB243)),SUMPRODUCT(MAX(('成交明细'!$A$5:$A$804=A243)*('成交明细'!$D$5:$D$804=IF(F243="空","买","卖"))*'成交明细'!$B$5:$B$804)),"")</f>
        <v/>
      </c>
      <c r="AA243" s="40" t="str">
        <f>IF(N(AB243)=0,"",IF(SUMPRODUCT(('成交明细'!$A$5:$A$804=A243)*('成交明细'!$D$5:$D$804=IF(F243="空","卖","买"))*ISNUMBER('成交明细'!$C$5:$C$804))=0,"没填时间",IFERROR(VLOOKUP(MOD(SUMPRODUCT(LARGE(('成交明细'!$A$5:$A$804=A243)*('成交明细'!$D$5:$D$804=IF(F243="空","卖","买"))*('成交明细'!$B$5:$B$804+'成交明细'!$C$5:$C$804),COUNTIFS('成交明细'!$A$5:$A$804,A243,'成交明细'!$D$5:$D$804,IF(F243="空","卖","买")))),1),'参数'!$B$39:$C$48,2,TRUE),"")))</f>
        <v/>
      </c>
      <c r="AB243" s="34" t="str">
        <f>IF(A243="","",SUMIFS('成交明细'!$F$5:$F$804,'成交明细'!$A$5:$A$804,A243,'成交明细'!$D$5:$D$804,IF(F243="空","卖","买")))</f>
        <v/>
      </c>
      <c r="AC243" s="41" t="str">
        <f>IF(N(AB243)&gt;0,SUMIFS('成交明细'!$H$5:$H$804,'成交明细'!$A$5:$A$804,A243,'成交明细'!$D$5:$D$804,IF(F243="空","卖","买"))/AB243,"")</f>
        <v/>
      </c>
      <c r="AD243" s="34" t="str">
        <f>IF(A243="","",SUMIFS('成交明细'!$F$5:$F$804,'成交明细'!$A$5:$A$804,A243,'成交明细'!$D$5:$D$804,IF(F243="空","买","卖")))</f>
        <v/>
      </c>
      <c r="AE243" s="41" t="str">
        <f>IF(N(AD243)&gt;0,SUMIFS('成交明细'!$H$5:$H$804,'成交明细'!$A$5:$A$804,A243,'成交明细'!$D$5:$D$804,IF(F243="空","买","卖"))/AD243,"")</f>
        <v/>
      </c>
      <c r="AF243" s="38" t="str">
        <f>IF(A243="","",IF(X243&lt;&gt;"已执行",IF(X243="","未填执行情况",X243),IF(N(AB243)=0,"待录成交",IF(N(AD243)&gt;N(AB243),"平仓多于开仓",IF(N(AD243)&lt;N(AB243),"持仓中","已平仓")))))</f>
        <v/>
      </c>
      <c r="AG243" s="42" t="str">
        <f>IF(N(AB243)=0,"",SUMIFS('成交明细'!$L$5:$L$804,'成交明细'!$A$5:$A$804,A243))</f>
        <v/>
      </c>
      <c r="AH243" s="43" t="str">
        <f>IF(A243="","",SUMIFS('资金费流水'!$F$5:$F$604,'资金费流水'!$B$5:$B$604,A243))</f>
        <v/>
      </c>
      <c r="AI243" s="43" t="str">
        <f>IF(AF243&lt;&gt;"已平仓","",(SUMIFS('成交明细'!$H$5:$H$804,'成交明细'!$A$5:$A$804,A243,'成交明细'!$D$5:$D$804,"卖")-SUMIFS('成交明细'!$H$5:$H$804,'成交明细'!$A$5:$A$804,A243,'成交明细'!$D$5:$D$804,"买"))*1-AG243+N(AH243))</f>
        <v/>
      </c>
      <c r="AJ243" s="44" t="str">
        <f>IF(AND(AF243="已平仓",ISNUMBER(Q243)),(SUMIFS('成交明细'!$H$5:$H$804,'成交明细'!$A$5:$A$804,A243,'成交明细'!$D$5:$D$804,"卖")-SUMIFS('成交明细'!$H$5:$H$804,'成交明细'!$A$5:$A$804,A243,'成交明细'!$D$5:$D$804,"买"))*1/Q243,"")</f>
        <v/>
      </c>
      <c r="AK243" s="44" t="str">
        <f>IF(AND(AF243="已平仓",ISNUMBER(Q243)),AI243/Q243,"")</f>
        <v/>
      </c>
      <c r="AL243" s="45" t="str">
        <f>IF(AND(ISNUMBER(AC243),ISNUMBER(K243)),IF(F243="空",K243-AC243,AC243-K243),"")</f>
        <v/>
      </c>
      <c r="AM243" s="45" t="str">
        <f>IF(OR(NOT(ISNUMBER(AI243)),NOT(ISNUMBER(AE243))),"",IF(AI243&lt;0,IF(F243="空",AE243-L243,L243-AE243),IF(NOT(ISNUMBER(M243)),"",IF(F243="空",AE243-M243,M243-AE243))))</f>
        <v/>
      </c>
      <c r="AN243" s="31" t="n"/>
      <c r="AO243" s="31" t="n"/>
      <c r="AP243" s="30" t="n"/>
      <c r="AQ243" s="44" t="str">
        <f>IF(A243="","",SUM(AK$5:AK243))</f>
        <v/>
      </c>
      <c r="AR243" s="46" t="str">
        <f>IF(A243="","",MAX(0,MAX(AQ$5:AQ243))-AQ243)</f>
        <v/>
      </c>
    </row>
    <row r="244">
      <c r="A244" s="24" t="n"/>
      <c r="B244" s="29" t="n"/>
      <c r="C244" s="30" t="n"/>
      <c r="D244" s="31" t="n"/>
      <c r="E244" s="31" t="n"/>
      <c r="F244" s="31" t="n"/>
      <c r="G244" s="21" t="n"/>
      <c r="H244" s="31" t="n"/>
      <c r="I244" s="23" t="n"/>
      <c r="J244" s="31" t="n"/>
      <c r="K244" s="32" t="n"/>
      <c r="L244" s="32" t="n"/>
      <c r="M244" s="32" t="n"/>
      <c r="N244" s="33" t="str">
        <f>IF(AND(ISNUMBER(K244),ISNUMBER(L244),ISNUMBER(M244)),IF(OR(AND(F244="多",K244&gt;L244),AND(F244="空",K244&lt;L244)),ABS(M244-K244)/ABS(K244-L244),"止损方向不对"),"")</f>
        <v/>
      </c>
      <c r="O244" s="34" t="str">
        <f>IF(AND(ISNUMBER(K244),ISNUMBER(L244)),IF(K244=L244,"",IF(INT(ROUND('参数'!$C$7/(ABS(K244-L244)*1+2*K244*'参数'!$C$12)/IF(N(J244)&gt;0,J244,1),6))*IF(N(J244)&gt;0,J244,1)&gt;0,INT(ROUND('参数'!$C$7/(ABS(K244-L244)*1+2*K244*'参数'!$C$12)/IF(N(J244)&gt;0,J244,1),6))*IF(N(J244)&gt;0,J244,1),"预算不足，这笔不做")),"")</f>
        <v/>
      </c>
      <c r="P244" s="35" t="n"/>
      <c r="Q244" s="20" t="str">
        <f>IF(AND(ISNUMBER(K244),ISNUMBER(L244),ISNUMBER(P244)),IF(AND(K244&lt;&gt;L244,P244&gt;0),ABS(K244-L244)*P244*1,""),"")</f>
        <v/>
      </c>
      <c r="R244" s="20" t="str">
        <f>IF(AND(ISNUMBER(K244),ISNUMBER(P244)),K244*P244,"")</f>
        <v/>
      </c>
      <c r="S244" s="20" t="str">
        <f>IF(AND(D244="合约",ISNUMBER(R244),N(G244)&gt;0),R244/G244,"")</f>
        <v/>
      </c>
      <c r="T244" s="36" t="str">
        <f>IF(NOT(D244="合约"),"",IF(H244&lt;&gt;"逐仓","看平台",IF(AND(ISNUMBER(K244),N(G244)&gt;0),IF(F244="空",K244*(1+1/G244-IF(ISNUMBER(I244),I244,'参数'!$C$13)),K244*(1-1/G244+IF(ISNUMBER(I244),I244,'参数'!$C$13))),"")))</f>
        <v/>
      </c>
      <c r="U244" s="37" t="str">
        <f>IF(AND(ISNUMBER(T244),ISNUMBER(L244),ISNUMBER(K244)),IF(F244="空",T244-L244,L244-T244)/K244,"")</f>
        <v/>
      </c>
      <c r="V244" s="38" t="str">
        <f>IF(ISNUMBER(U244),IF(U244&lt;'参数'!$C$15,"先降杠杆或减量","在止损外"),"")</f>
        <v/>
      </c>
      <c r="W244" s="30" t="n"/>
      <c r="X244" s="31" t="n"/>
      <c r="Y244" s="39" t="str">
        <f>IF(N(AB244)&gt;0,SUMPRODUCT(LARGE(('成交明细'!$A$5:$A$804=A244)*('成交明细'!$D$5:$D$804=IF(F244="空","卖","买"))*'成交明细'!$B$5:$B$804,COUNTIFS('成交明细'!$A$5:$A$804,A244,'成交明细'!$D$5:$D$804,IF(F244="空","卖","买")))),"")</f>
        <v/>
      </c>
      <c r="Z244" s="39" t="str">
        <f>IF(AND(N(AB244)&gt;0,N(AD244)&gt;=N(AB244)),SUMPRODUCT(MAX(('成交明细'!$A$5:$A$804=A244)*('成交明细'!$D$5:$D$804=IF(F244="空","买","卖"))*'成交明细'!$B$5:$B$804)),"")</f>
        <v/>
      </c>
      <c r="AA244" s="40" t="str">
        <f>IF(N(AB244)=0,"",IF(SUMPRODUCT(('成交明细'!$A$5:$A$804=A244)*('成交明细'!$D$5:$D$804=IF(F244="空","卖","买"))*ISNUMBER('成交明细'!$C$5:$C$804))=0,"没填时间",IFERROR(VLOOKUP(MOD(SUMPRODUCT(LARGE(('成交明细'!$A$5:$A$804=A244)*('成交明细'!$D$5:$D$804=IF(F244="空","卖","买"))*('成交明细'!$B$5:$B$804+'成交明细'!$C$5:$C$804),COUNTIFS('成交明细'!$A$5:$A$804,A244,'成交明细'!$D$5:$D$804,IF(F244="空","卖","买")))),1),'参数'!$B$39:$C$48,2,TRUE),"")))</f>
        <v/>
      </c>
      <c r="AB244" s="34" t="str">
        <f>IF(A244="","",SUMIFS('成交明细'!$F$5:$F$804,'成交明细'!$A$5:$A$804,A244,'成交明细'!$D$5:$D$804,IF(F244="空","卖","买")))</f>
        <v/>
      </c>
      <c r="AC244" s="41" t="str">
        <f>IF(N(AB244)&gt;0,SUMIFS('成交明细'!$H$5:$H$804,'成交明细'!$A$5:$A$804,A244,'成交明细'!$D$5:$D$804,IF(F244="空","卖","买"))/AB244,"")</f>
        <v/>
      </c>
      <c r="AD244" s="34" t="str">
        <f>IF(A244="","",SUMIFS('成交明细'!$F$5:$F$804,'成交明细'!$A$5:$A$804,A244,'成交明细'!$D$5:$D$804,IF(F244="空","买","卖")))</f>
        <v/>
      </c>
      <c r="AE244" s="41" t="str">
        <f>IF(N(AD244)&gt;0,SUMIFS('成交明细'!$H$5:$H$804,'成交明细'!$A$5:$A$804,A244,'成交明细'!$D$5:$D$804,IF(F244="空","买","卖"))/AD244,"")</f>
        <v/>
      </c>
      <c r="AF244" s="38" t="str">
        <f>IF(A244="","",IF(X244&lt;&gt;"已执行",IF(X244="","未填执行情况",X244),IF(N(AB244)=0,"待录成交",IF(N(AD244)&gt;N(AB244),"平仓多于开仓",IF(N(AD244)&lt;N(AB244),"持仓中","已平仓")))))</f>
        <v/>
      </c>
      <c r="AG244" s="42" t="str">
        <f>IF(N(AB244)=0,"",SUMIFS('成交明细'!$L$5:$L$804,'成交明细'!$A$5:$A$804,A244))</f>
        <v/>
      </c>
      <c r="AH244" s="43" t="str">
        <f>IF(A244="","",SUMIFS('资金费流水'!$F$5:$F$604,'资金费流水'!$B$5:$B$604,A244))</f>
        <v/>
      </c>
      <c r="AI244" s="43" t="str">
        <f>IF(AF244&lt;&gt;"已平仓","",(SUMIFS('成交明细'!$H$5:$H$804,'成交明细'!$A$5:$A$804,A244,'成交明细'!$D$5:$D$804,"卖")-SUMIFS('成交明细'!$H$5:$H$804,'成交明细'!$A$5:$A$804,A244,'成交明细'!$D$5:$D$804,"买"))*1-AG244+N(AH244))</f>
        <v/>
      </c>
      <c r="AJ244" s="44" t="str">
        <f>IF(AND(AF244="已平仓",ISNUMBER(Q244)),(SUMIFS('成交明细'!$H$5:$H$804,'成交明细'!$A$5:$A$804,A244,'成交明细'!$D$5:$D$804,"卖")-SUMIFS('成交明细'!$H$5:$H$804,'成交明细'!$A$5:$A$804,A244,'成交明细'!$D$5:$D$804,"买"))*1/Q244,"")</f>
        <v/>
      </c>
      <c r="AK244" s="44" t="str">
        <f>IF(AND(AF244="已平仓",ISNUMBER(Q244)),AI244/Q244,"")</f>
        <v/>
      </c>
      <c r="AL244" s="45" t="str">
        <f>IF(AND(ISNUMBER(AC244),ISNUMBER(K244)),IF(F244="空",K244-AC244,AC244-K244),"")</f>
        <v/>
      </c>
      <c r="AM244" s="45" t="str">
        <f>IF(OR(NOT(ISNUMBER(AI244)),NOT(ISNUMBER(AE244))),"",IF(AI244&lt;0,IF(F244="空",AE244-L244,L244-AE244),IF(NOT(ISNUMBER(M244)),"",IF(F244="空",AE244-M244,M244-AE244))))</f>
        <v/>
      </c>
      <c r="AN244" s="31" t="n"/>
      <c r="AO244" s="31" t="n"/>
      <c r="AP244" s="30" t="n"/>
      <c r="AQ244" s="44" t="str">
        <f>IF(A244="","",SUM(AK$5:AK244))</f>
        <v/>
      </c>
      <c r="AR244" s="46" t="str">
        <f>IF(A244="","",MAX(0,MAX(AQ$5:AQ244))-AQ244)</f>
        <v/>
      </c>
    </row>
    <row r="245">
      <c r="A245" s="24" t="n"/>
      <c r="B245" s="29" t="n"/>
      <c r="C245" s="30" t="n"/>
      <c r="D245" s="31" t="n"/>
      <c r="E245" s="31" t="n"/>
      <c r="F245" s="31" t="n"/>
      <c r="G245" s="21" t="n"/>
      <c r="H245" s="31" t="n"/>
      <c r="I245" s="23" t="n"/>
      <c r="J245" s="31" t="n"/>
      <c r="K245" s="32" t="n"/>
      <c r="L245" s="32" t="n"/>
      <c r="M245" s="32" t="n"/>
      <c r="N245" s="33" t="str">
        <f>IF(AND(ISNUMBER(K245),ISNUMBER(L245),ISNUMBER(M245)),IF(OR(AND(F245="多",K245&gt;L245),AND(F245="空",K245&lt;L245)),ABS(M245-K245)/ABS(K245-L245),"止损方向不对"),"")</f>
        <v/>
      </c>
      <c r="O245" s="34" t="str">
        <f>IF(AND(ISNUMBER(K245),ISNUMBER(L245)),IF(K245=L245,"",IF(INT(ROUND('参数'!$C$7/(ABS(K245-L245)*1+2*K245*'参数'!$C$12)/IF(N(J245)&gt;0,J245,1),6))*IF(N(J245)&gt;0,J245,1)&gt;0,INT(ROUND('参数'!$C$7/(ABS(K245-L245)*1+2*K245*'参数'!$C$12)/IF(N(J245)&gt;0,J245,1),6))*IF(N(J245)&gt;0,J245,1),"预算不足，这笔不做")),"")</f>
        <v/>
      </c>
      <c r="P245" s="35" t="n"/>
      <c r="Q245" s="20" t="str">
        <f>IF(AND(ISNUMBER(K245),ISNUMBER(L245),ISNUMBER(P245)),IF(AND(K245&lt;&gt;L245,P245&gt;0),ABS(K245-L245)*P245*1,""),"")</f>
        <v/>
      </c>
      <c r="R245" s="20" t="str">
        <f>IF(AND(ISNUMBER(K245),ISNUMBER(P245)),K245*P245,"")</f>
        <v/>
      </c>
      <c r="S245" s="20" t="str">
        <f>IF(AND(D245="合约",ISNUMBER(R245),N(G245)&gt;0),R245/G245,"")</f>
        <v/>
      </c>
      <c r="T245" s="36" t="str">
        <f>IF(NOT(D245="合约"),"",IF(H245&lt;&gt;"逐仓","看平台",IF(AND(ISNUMBER(K245),N(G245)&gt;0),IF(F245="空",K245*(1+1/G245-IF(ISNUMBER(I245),I245,'参数'!$C$13)),K245*(1-1/G245+IF(ISNUMBER(I245),I245,'参数'!$C$13))),"")))</f>
        <v/>
      </c>
      <c r="U245" s="37" t="str">
        <f>IF(AND(ISNUMBER(T245),ISNUMBER(L245),ISNUMBER(K245)),IF(F245="空",T245-L245,L245-T245)/K245,"")</f>
        <v/>
      </c>
      <c r="V245" s="38" t="str">
        <f>IF(ISNUMBER(U245),IF(U245&lt;'参数'!$C$15,"先降杠杆或减量","在止损外"),"")</f>
        <v/>
      </c>
      <c r="W245" s="30" t="n"/>
      <c r="X245" s="31" t="n"/>
      <c r="Y245" s="39" t="str">
        <f>IF(N(AB245)&gt;0,SUMPRODUCT(LARGE(('成交明细'!$A$5:$A$804=A245)*('成交明细'!$D$5:$D$804=IF(F245="空","卖","买"))*'成交明细'!$B$5:$B$804,COUNTIFS('成交明细'!$A$5:$A$804,A245,'成交明细'!$D$5:$D$804,IF(F245="空","卖","买")))),"")</f>
        <v/>
      </c>
      <c r="Z245" s="39" t="str">
        <f>IF(AND(N(AB245)&gt;0,N(AD245)&gt;=N(AB245)),SUMPRODUCT(MAX(('成交明细'!$A$5:$A$804=A245)*('成交明细'!$D$5:$D$804=IF(F245="空","买","卖"))*'成交明细'!$B$5:$B$804)),"")</f>
        <v/>
      </c>
      <c r="AA245" s="40" t="str">
        <f>IF(N(AB245)=0,"",IF(SUMPRODUCT(('成交明细'!$A$5:$A$804=A245)*('成交明细'!$D$5:$D$804=IF(F245="空","卖","买"))*ISNUMBER('成交明细'!$C$5:$C$804))=0,"没填时间",IFERROR(VLOOKUP(MOD(SUMPRODUCT(LARGE(('成交明细'!$A$5:$A$804=A245)*('成交明细'!$D$5:$D$804=IF(F245="空","卖","买"))*('成交明细'!$B$5:$B$804+'成交明细'!$C$5:$C$804),COUNTIFS('成交明细'!$A$5:$A$804,A245,'成交明细'!$D$5:$D$804,IF(F245="空","卖","买")))),1),'参数'!$B$39:$C$48,2,TRUE),"")))</f>
        <v/>
      </c>
      <c r="AB245" s="34" t="str">
        <f>IF(A245="","",SUMIFS('成交明细'!$F$5:$F$804,'成交明细'!$A$5:$A$804,A245,'成交明细'!$D$5:$D$804,IF(F245="空","卖","买")))</f>
        <v/>
      </c>
      <c r="AC245" s="41" t="str">
        <f>IF(N(AB245)&gt;0,SUMIFS('成交明细'!$H$5:$H$804,'成交明细'!$A$5:$A$804,A245,'成交明细'!$D$5:$D$804,IF(F245="空","卖","买"))/AB245,"")</f>
        <v/>
      </c>
      <c r="AD245" s="34" t="str">
        <f>IF(A245="","",SUMIFS('成交明细'!$F$5:$F$804,'成交明细'!$A$5:$A$804,A245,'成交明细'!$D$5:$D$804,IF(F245="空","买","卖")))</f>
        <v/>
      </c>
      <c r="AE245" s="41" t="str">
        <f>IF(N(AD245)&gt;0,SUMIFS('成交明细'!$H$5:$H$804,'成交明细'!$A$5:$A$804,A245,'成交明细'!$D$5:$D$804,IF(F245="空","买","卖"))/AD245,"")</f>
        <v/>
      </c>
      <c r="AF245" s="38" t="str">
        <f>IF(A245="","",IF(X245&lt;&gt;"已执行",IF(X245="","未填执行情况",X245),IF(N(AB245)=0,"待录成交",IF(N(AD245)&gt;N(AB245),"平仓多于开仓",IF(N(AD245)&lt;N(AB245),"持仓中","已平仓")))))</f>
        <v/>
      </c>
      <c r="AG245" s="42" t="str">
        <f>IF(N(AB245)=0,"",SUMIFS('成交明细'!$L$5:$L$804,'成交明细'!$A$5:$A$804,A245))</f>
        <v/>
      </c>
      <c r="AH245" s="43" t="str">
        <f>IF(A245="","",SUMIFS('资金费流水'!$F$5:$F$604,'资金费流水'!$B$5:$B$604,A245))</f>
        <v/>
      </c>
      <c r="AI245" s="43" t="str">
        <f>IF(AF245&lt;&gt;"已平仓","",(SUMIFS('成交明细'!$H$5:$H$804,'成交明细'!$A$5:$A$804,A245,'成交明细'!$D$5:$D$804,"卖")-SUMIFS('成交明细'!$H$5:$H$804,'成交明细'!$A$5:$A$804,A245,'成交明细'!$D$5:$D$804,"买"))*1-AG245+N(AH245))</f>
        <v/>
      </c>
      <c r="AJ245" s="44" t="str">
        <f>IF(AND(AF245="已平仓",ISNUMBER(Q245)),(SUMIFS('成交明细'!$H$5:$H$804,'成交明细'!$A$5:$A$804,A245,'成交明细'!$D$5:$D$804,"卖")-SUMIFS('成交明细'!$H$5:$H$804,'成交明细'!$A$5:$A$804,A245,'成交明细'!$D$5:$D$804,"买"))*1/Q245,"")</f>
        <v/>
      </c>
      <c r="AK245" s="44" t="str">
        <f>IF(AND(AF245="已平仓",ISNUMBER(Q245)),AI245/Q245,"")</f>
        <v/>
      </c>
      <c r="AL245" s="45" t="str">
        <f>IF(AND(ISNUMBER(AC245),ISNUMBER(K245)),IF(F245="空",K245-AC245,AC245-K245),"")</f>
        <v/>
      </c>
      <c r="AM245" s="45" t="str">
        <f>IF(OR(NOT(ISNUMBER(AI245)),NOT(ISNUMBER(AE245))),"",IF(AI245&lt;0,IF(F245="空",AE245-L245,L245-AE245),IF(NOT(ISNUMBER(M245)),"",IF(F245="空",AE245-M245,M245-AE245))))</f>
        <v/>
      </c>
      <c r="AN245" s="31" t="n"/>
      <c r="AO245" s="31" t="n"/>
      <c r="AP245" s="30" t="n"/>
      <c r="AQ245" s="44" t="str">
        <f>IF(A245="","",SUM(AK$5:AK245))</f>
        <v/>
      </c>
      <c r="AR245" s="46" t="str">
        <f>IF(A245="","",MAX(0,MAX(AQ$5:AQ245))-AQ245)</f>
        <v/>
      </c>
    </row>
    <row r="246">
      <c r="A246" s="24" t="n"/>
      <c r="B246" s="29" t="n"/>
      <c r="C246" s="30" t="n"/>
      <c r="D246" s="31" t="n"/>
      <c r="E246" s="31" t="n"/>
      <c r="F246" s="31" t="n"/>
      <c r="G246" s="21" t="n"/>
      <c r="H246" s="31" t="n"/>
      <c r="I246" s="23" t="n"/>
      <c r="J246" s="31" t="n"/>
      <c r="K246" s="32" t="n"/>
      <c r="L246" s="32" t="n"/>
      <c r="M246" s="32" t="n"/>
      <c r="N246" s="33" t="str">
        <f>IF(AND(ISNUMBER(K246),ISNUMBER(L246),ISNUMBER(M246)),IF(OR(AND(F246="多",K246&gt;L246),AND(F246="空",K246&lt;L246)),ABS(M246-K246)/ABS(K246-L246),"止损方向不对"),"")</f>
        <v/>
      </c>
      <c r="O246" s="34" t="str">
        <f>IF(AND(ISNUMBER(K246),ISNUMBER(L246)),IF(K246=L246,"",IF(INT(ROUND('参数'!$C$7/(ABS(K246-L246)*1+2*K246*'参数'!$C$12)/IF(N(J246)&gt;0,J246,1),6))*IF(N(J246)&gt;0,J246,1)&gt;0,INT(ROUND('参数'!$C$7/(ABS(K246-L246)*1+2*K246*'参数'!$C$12)/IF(N(J246)&gt;0,J246,1),6))*IF(N(J246)&gt;0,J246,1),"预算不足，这笔不做")),"")</f>
        <v/>
      </c>
      <c r="P246" s="35" t="n"/>
      <c r="Q246" s="20" t="str">
        <f>IF(AND(ISNUMBER(K246),ISNUMBER(L246),ISNUMBER(P246)),IF(AND(K246&lt;&gt;L246,P246&gt;0),ABS(K246-L246)*P246*1,""),"")</f>
        <v/>
      </c>
      <c r="R246" s="20" t="str">
        <f>IF(AND(ISNUMBER(K246),ISNUMBER(P246)),K246*P246,"")</f>
        <v/>
      </c>
      <c r="S246" s="20" t="str">
        <f>IF(AND(D246="合约",ISNUMBER(R246),N(G246)&gt;0),R246/G246,"")</f>
        <v/>
      </c>
      <c r="T246" s="36" t="str">
        <f>IF(NOT(D246="合约"),"",IF(H246&lt;&gt;"逐仓","看平台",IF(AND(ISNUMBER(K246),N(G246)&gt;0),IF(F246="空",K246*(1+1/G246-IF(ISNUMBER(I246),I246,'参数'!$C$13)),K246*(1-1/G246+IF(ISNUMBER(I246),I246,'参数'!$C$13))),"")))</f>
        <v/>
      </c>
      <c r="U246" s="37" t="str">
        <f>IF(AND(ISNUMBER(T246),ISNUMBER(L246),ISNUMBER(K246)),IF(F246="空",T246-L246,L246-T246)/K246,"")</f>
        <v/>
      </c>
      <c r="V246" s="38" t="str">
        <f>IF(ISNUMBER(U246),IF(U246&lt;'参数'!$C$15,"先降杠杆或减量","在止损外"),"")</f>
        <v/>
      </c>
      <c r="W246" s="30" t="n"/>
      <c r="X246" s="31" t="n"/>
      <c r="Y246" s="39" t="str">
        <f>IF(N(AB246)&gt;0,SUMPRODUCT(LARGE(('成交明细'!$A$5:$A$804=A246)*('成交明细'!$D$5:$D$804=IF(F246="空","卖","买"))*'成交明细'!$B$5:$B$804,COUNTIFS('成交明细'!$A$5:$A$804,A246,'成交明细'!$D$5:$D$804,IF(F246="空","卖","买")))),"")</f>
        <v/>
      </c>
      <c r="Z246" s="39" t="str">
        <f>IF(AND(N(AB246)&gt;0,N(AD246)&gt;=N(AB246)),SUMPRODUCT(MAX(('成交明细'!$A$5:$A$804=A246)*('成交明细'!$D$5:$D$804=IF(F246="空","买","卖"))*'成交明细'!$B$5:$B$804)),"")</f>
        <v/>
      </c>
      <c r="AA246" s="40" t="str">
        <f>IF(N(AB246)=0,"",IF(SUMPRODUCT(('成交明细'!$A$5:$A$804=A246)*('成交明细'!$D$5:$D$804=IF(F246="空","卖","买"))*ISNUMBER('成交明细'!$C$5:$C$804))=0,"没填时间",IFERROR(VLOOKUP(MOD(SUMPRODUCT(LARGE(('成交明细'!$A$5:$A$804=A246)*('成交明细'!$D$5:$D$804=IF(F246="空","卖","买"))*('成交明细'!$B$5:$B$804+'成交明细'!$C$5:$C$804),COUNTIFS('成交明细'!$A$5:$A$804,A246,'成交明细'!$D$5:$D$804,IF(F246="空","卖","买")))),1),'参数'!$B$39:$C$48,2,TRUE),"")))</f>
        <v/>
      </c>
      <c r="AB246" s="34" t="str">
        <f>IF(A246="","",SUMIFS('成交明细'!$F$5:$F$804,'成交明细'!$A$5:$A$804,A246,'成交明细'!$D$5:$D$804,IF(F246="空","卖","买")))</f>
        <v/>
      </c>
      <c r="AC246" s="41" t="str">
        <f>IF(N(AB246)&gt;0,SUMIFS('成交明细'!$H$5:$H$804,'成交明细'!$A$5:$A$804,A246,'成交明细'!$D$5:$D$804,IF(F246="空","卖","买"))/AB246,"")</f>
        <v/>
      </c>
      <c r="AD246" s="34" t="str">
        <f>IF(A246="","",SUMIFS('成交明细'!$F$5:$F$804,'成交明细'!$A$5:$A$804,A246,'成交明细'!$D$5:$D$804,IF(F246="空","买","卖")))</f>
        <v/>
      </c>
      <c r="AE246" s="41" t="str">
        <f>IF(N(AD246)&gt;0,SUMIFS('成交明细'!$H$5:$H$804,'成交明细'!$A$5:$A$804,A246,'成交明细'!$D$5:$D$804,IF(F246="空","买","卖"))/AD246,"")</f>
        <v/>
      </c>
      <c r="AF246" s="38" t="str">
        <f>IF(A246="","",IF(X246&lt;&gt;"已执行",IF(X246="","未填执行情况",X246),IF(N(AB246)=0,"待录成交",IF(N(AD246)&gt;N(AB246),"平仓多于开仓",IF(N(AD246)&lt;N(AB246),"持仓中","已平仓")))))</f>
        <v/>
      </c>
      <c r="AG246" s="42" t="str">
        <f>IF(N(AB246)=0,"",SUMIFS('成交明细'!$L$5:$L$804,'成交明细'!$A$5:$A$804,A246))</f>
        <v/>
      </c>
      <c r="AH246" s="43" t="str">
        <f>IF(A246="","",SUMIFS('资金费流水'!$F$5:$F$604,'资金费流水'!$B$5:$B$604,A246))</f>
        <v/>
      </c>
      <c r="AI246" s="43" t="str">
        <f>IF(AF246&lt;&gt;"已平仓","",(SUMIFS('成交明细'!$H$5:$H$804,'成交明细'!$A$5:$A$804,A246,'成交明细'!$D$5:$D$804,"卖")-SUMIFS('成交明细'!$H$5:$H$804,'成交明细'!$A$5:$A$804,A246,'成交明细'!$D$5:$D$804,"买"))*1-AG246+N(AH246))</f>
        <v/>
      </c>
      <c r="AJ246" s="44" t="str">
        <f>IF(AND(AF246="已平仓",ISNUMBER(Q246)),(SUMIFS('成交明细'!$H$5:$H$804,'成交明细'!$A$5:$A$804,A246,'成交明细'!$D$5:$D$804,"卖")-SUMIFS('成交明细'!$H$5:$H$804,'成交明细'!$A$5:$A$804,A246,'成交明细'!$D$5:$D$804,"买"))*1/Q246,"")</f>
        <v/>
      </c>
      <c r="AK246" s="44" t="str">
        <f>IF(AND(AF246="已平仓",ISNUMBER(Q246)),AI246/Q246,"")</f>
        <v/>
      </c>
      <c r="AL246" s="45" t="str">
        <f>IF(AND(ISNUMBER(AC246),ISNUMBER(K246)),IF(F246="空",K246-AC246,AC246-K246),"")</f>
        <v/>
      </c>
      <c r="AM246" s="45" t="str">
        <f>IF(OR(NOT(ISNUMBER(AI246)),NOT(ISNUMBER(AE246))),"",IF(AI246&lt;0,IF(F246="空",AE246-L246,L246-AE246),IF(NOT(ISNUMBER(M246)),"",IF(F246="空",AE246-M246,M246-AE246))))</f>
        <v/>
      </c>
      <c r="AN246" s="31" t="n"/>
      <c r="AO246" s="31" t="n"/>
      <c r="AP246" s="30" t="n"/>
      <c r="AQ246" s="44" t="str">
        <f>IF(A246="","",SUM(AK$5:AK246))</f>
        <v/>
      </c>
      <c r="AR246" s="46" t="str">
        <f>IF(A246="","",MAX(0,MAX(AQ$5:AQ246))-AQ246)</f>
        <v/>
      </c>
    </row>
    <row r="247">
      <c r="A247" s="24" t="n"/>
      <c r="B247" s="29" t="n"/>
      <c r="C247" s="30" t="n"/>
      <c r="D247" s="31" t="n"/>
      <c r="E247" s="31" t="n"/>
      <c r="F247" s="31" t="n"/>
      <c r="G247" s="21" t="n"/>
      <c r="H247" s="31" t="n"/>
      <c r="I247" s="23" t="n"/>
      <c r="J247" s="31" t="n"/>
      <c r="K247" s="32" t="n"/>
      <c r="L247" s="32" t="n"/>
      <c r="M247" s="32" t="n"/>
      <c r="N247" s="33" t="str">
        <f>IF(AND(ISNUMBER(K247),ISNUMBER(L247),ISNUMBER(M247)),IF(OR(AND(F247="多",K247&gt;L247),AND(F247="空",K247&lt;L247)),ABS(M247-K247)/ABS(K247-L247),"止损方向不对"),"")</f>
        <v/>
      </c>
      <c r="O247" s="34" t="str">
        <f>IF(AND(ISNUMBER(K247),ISNUMBER(L247)),IF(K247=L247,"",IF(INT(ROUND('参数'!$C$7/(ABS(K247-L247)*1+2*K247*'参数'!$C$12)/IF(N(J247)&gt;0,J247,1),6))*IF(N(J247)&gt;0,J247,1)&gt;0,INT(ROUND('参数'!$C$7/(ABS(K247-L247)*1+2*K247*'参数'!$C$12)/IF(N(J247)&gt;0,J247,1),6))*IF(N(J247)&gt;0,J247,1),"预算不足，这笔不做")),"")</f>
        <v/>
      </c>
      <c r="P247" s="35" t="n"/>
      <c r="Q247" s="20" t="str">
        <f>IF(AND(ISNUMBER(K247),ISNUMBER(L247),ISNUMBER(P247)),IF(AND(K247&lt;&gt;L247,P247&gt;0),ABS(K247-L247)*P247*1,""),"")</f>
        <v/>
      </c>
      <c r="R247" s="20" t="str">
        <f>IF(AND(ISNUMBER(K247),ISNUMBER(P247)),K247*P247,"")</f>
        <v/>
      </c>
      <c r="S247" s="20" t="str">
        <f>IF(AND(D247="合约",ISNUMBER(R247),N(G247)&gt;0),R247/G247,"")</f>
        <v/>
      </c>
      <c r="T247" s="36" t="str">
        <f>IF(NOT(D247="合约"),"",IF(H247&lt;&gt;"逐仓","看平台",IF(AND(ISNUMBER(K247),N(G247)&gt;0),IF(F247="空",K247*(1+1/G247-IF(ISNUMBER(I247),I247,'参数'!$C$13)),K247*(1-1/G247+IF(ISNUMBER(I247),I247,'参数'!$C$13))),"")))</f>
        <v/>
      </c>
      <c r="U247" s="37" t="str">
        <f>IF(AND(ISNUMBER(T247),ISNUMBER(L247),ISNUMBER(K247)),IF(F247="空",T247-L247,L247-T247)/K247,"")</f>
        <v/>
      </c>
      <c r="V247" s="38" t="str">
        <f>IF(ISNUMBER(U247),IF(U247&lt;'参数'!$C$15,"先降杠杆或减量","在止损外"),"")</f>
        <v/>
      </c>
      <c r="W247" s="30" t="n"/>
      <c r="X247" s="31" t="n"/>
      <c r="Y247" s="39" t="str">
        <f>IF(N(AB247)&gt;0,SUMPRODUCT(LARGE(('成交明细'!$A$5:$A$804=A247)*('成交明细'!$D$5:$D$804=IF(F247="空","卖","买"))*'成交明细'!$B$5:$B$804,COUNTIFS('成交明细'!$A$5:$A$804,A247,'成交明细'!$D$5:$D$804,IF(F247="空","卖","买")))),"")</f>
        <v/>
      </c>
      <c r="Z247" s="39" t="str">
        <f>IF(AND(N(AB247)&gt;0,N(AD247)&gt;=N(AB247)),SUMPRODUCT(MAX(('成交明细'!$A$5:$A$804=A247)*('成交明细'!$D$5:$D$804=IF(F247="空","买","卖"))*'成交明细'!$B$5:$B$804)),"")</f>
        <v/>
      </c>
      <c r="AA247" s="40" t="str">
        <f>IF(N(AB247)=0,"",IF(SUMPRODUCT(('成交明细'!$A$5:$A$804=A247)*('成交明细'!$D$5:$D$804=IF(F247="空","卖","买"))*ISNUMBER('成交明细'!$C$5:$C$804))=0,"没填时间",IFERROR(VLOOKUP(MOD(SUMPRODUCT(LARGE(('成交明细'!$A$5:$A$804=A247)*('成交明细'!$D$5:$D$804=IF(F247="空","卖","买"))*('成交明细'!$B$5:$B$804+'成交明细'!$C$5:$C$804),COUNTIFS('成交明细'!$A$5:$A$804,A247,'成交明细'!$D$5:$D$804,IF(F247="空","卖","买")))),1),'参数'!$B$39:$C$48,2,TRUE),"")))</f>
        <v/>
      </c>
      <c r="AB247" s="34" t="str">
        <f>IF(A247="","",SUMIFS('成交明细'!$F$5:$F$804,'成交明细'!$A$5:$A$804,A247,'成交明细'!$D$5:$D$804,IF(F247="空","卖","买")))</f>
        <v/>
      </c>
      <c r="AC247" s="41" t="str">
        <f>IF(N(AB247)&gt;0,SUMIFS('成交明细'!$H$5:$H$804,'成交明细'!$A$5:$A$804,A247,'成交明细'!$D$5:$D$804,IF(F247="空","卖","买"))/AB247,"")</f>
        <v/>
      </c>
      <c r="AD247" s="34" t="str">
        <f>IF(A247="","",SUMIFS('成交明细'!$F$5:$F$804,'成交明细'!$A$5:$A$804,A247,'成交明细'!$D$5:$D$804,IF(F247="空","买","卖")))</f>
        <v/>
      </c>
      <c r="AE247" s="41" t="str">
        <f>IF(N(AD247)&gt;0,SUMIFS('成交明细'!$H$5:$H$804,'成交明细'!$A$5:$A$804,A247,'成交明细'!$D$5:$D$804,IF(F247="空","买","卖"))/AD247,"")</f>
        <v/>
      </c>
      <c r="AF247" s="38" t="str">
        <f>IF(A247="","",IF(X247&lt;&gt;"已执行",IF(X247="","未填执行情况",X247),IF(N(AB247)=0,"待录成交",IF(N(AD247)&gt;N(AB247),"平仓多于开仓",IF(N(AD247)&lt;N(AB247),"持仓中","已平仓")))))</f>
        <v/>
      </c>
      <c r="AG247" s="42" t="str">
        <f>IF(N(AB247)=0,"",SUMIFS('成交明细'!$L$5:$L$804,'成交明细'!$A$5:$A$804,A247))</f>
        <v/>
      </c>
      <c r="AH247" s="43" t="str">
        <f>IF(A247="","",SUMIFS('资金费流水'!$F$5:$F$604,'资金费流水'!$B$5:$B$604,A247))</f>
        <v/>
      </c>
      <c r="AI247" s="43" t="str">
        <f>IF(AF247&lt;&gt;"已平仓","",(SUMIFS('成交明细'!$H$5:$H$804,'成交明细'!$A$5:$A$804,A247,'成交明细'!$D$5:$D$804,"卖")-SUMIFS('成交明细'!$H$5:$H$804,'成交明细'!$A$5:$A$804,A247,'成交明细'!$D$5:$D$804,"买"))*1-AG247+N(AH247))</f>
        <v/>
      </c>
      <c r="AJ247" s="44" t="str">
        <f>IF(AND(AF247="已平仓",ISNUMBER(Q247)),(SUMIFS('成交明细'!$H$5:$H$804,'成交明细'!$A$5:$A$804,A247,'成交明细'!$D$5:$D$804,"卖")-SUMIFS('成交明细'!$H$5:$H$804,'成交明细'!$A$5:$A$804,A247,'成交明细'!$D$5:$D$804,"买"))*1/Q247,"")</f>
        <v/>
      </c>
      <c r="AK247" s="44" t="str">
        <f>IF(AND(AF247="已平仓",ISNUMBER(Q247)),AI247/Q247,"")</f>
        <v/>
      </c>
      <c r="AL247" s="45" t="str">
        <f>IF(AND(ISNUMBER(AC247),ISNUMBER(K247)),IF(F247="空",K247-AC247,AC247-K247),"")</f>
        <v/>
      </c>
      <c r="AM247" s="45" t="str">
        <f>IF(OR(NOT(ISNUMBER(AI247)),NOT(ISNUMBER(AE247))),"",IF(AI247&lt;0,IF(F247="空",AE247-L247,L247-AE247),IF(NOT(ISNUMBER(M247)),"",IF(F247="空",AE247-M247,M247-AE247))))</f>
        <v/>
      </c>
      <c r="AN247" s="31" t="n"/>
      <c r="AO247" s="31" t="n"/>
      <c r="AP247" s="30" t="n"/>
      <c r="AQ247" s="44" t="str">
        <f>IF(A247="","",SUM(AK$5:AK247))</f>
        <v/>
      </c>
      <c r="AR247" s="46" t="str">
        <f>IF(A247="","",MAX(0,MAX(AQ$5:AQ247))-AQ247)</f>
        <v/>
      </c>
    </row>
    <row r="248">
      <c r="A248" s="24" t="n"/>
      <c r="B248" s="29" t="n"/>
      <c r="C248" s="30" t="n"/>
      <c r="D248" s="31" t="n"/>
      <c r="E248" s="31" t="n"/>
      <c r="F248" s="31" t="n"/>
      <c r="G248" s="21" t="n"/>
      <c r="H248" s="31" t="n"/>
      <c r="I248" s="23" t="n"/>
      <c r="J248" s="31" t="n"/>
      <c r="K248" s="32" t="n"/>
      <c r="L248" s="32" t="n"/>
      <c r="M248" s="32" t="n"/>
      <c r="N248" s="33" t="str">
        <f>IF(AND(ISNUMBER(K248),ISNUMBER(L248),ISNUMBER(M248)),IF(OR(AND(F248="多",K248&gt;L248),AND(F248="空",K248&lt;L248)),ABS(M248-K248)/ABS(K248-L248),"止损方向不对"),"")</f>
        <v/>
      </c>
      <c r="O248" s="34" t="str">
        <f>IF(AND(ISNUMBER(K248),ISNUMBER(L248)),IF(K248=L248,"",IF(INT(ROUND('参数'!$C$7/(ABS(K248-L248)*1+2*K248*'参数'!$C$12)/IF(N(J248)&gt;0,J248,1),6))*IF(N(J248)&gt;0,J248,1)&gt;0,INT(ROUND('参数'!$C$7/(ABS(K248-L248)*1+2*K248*'参数'!$C$12)/IF(N(J248)&gt;0,J248,1),6))*IF(N(J248)&gt;0,J248,1),"预算不足，这笔不做")),"")</f>
        <v/>
      </c>
      <c r="P248" s="35" t="n"/>
      <c r="Q248" s="20" t="str">
        <f>IF(AND(ISNUMBER(K248),ISNUMBER(L248),ISNUMBER(P248)),IF(AND(K248&lt;&gt;L248,P248&gt;0),ABS(K248-L248)*P248*1,""),"")</f>
        <v/>
      </c>
      <c r="R248" s="20" t="str">
        <f>IF(AND(ISNUMBER(K248),ISNUMBER(P248)),K248*P248,"")</f>
        <v/>
      </c>
      <c r="S248" s="20" t="str">
        <f>IF(AND(D248="合约",ISNUMBER(R248),N(G248)&gt;0),R248/G248,"")</f>
        <v/>
      </c>
      <c r="T248" s="36" t="str">
        <f>IF(NOT(D248="合约"),"",IF(H248&lt;&gt;"逐仓","看平台",IF(AND(ISNUMBER(K248),N(G248)&gt;0),IF(F248="空",K248*(1+1/G248-IF(ISNUMBER(I248),I248,'参数'!$C$13)),K248*(1-1/G248+IF(ISNUMBER(I248),I248,'参数'!$C$13))),"")))</f>
        <v/>
      </c>
      <c r="U248" s="37" t="str">
        <f>IF(AND(ISNUMBER(T248),ISNUMBER(L248),ISNUMBER(K248)),IF(F248="空",T248-L248,L248-T248)/K248,"")</f>
        <v/>
      </c>
      <c r="V248" s="38" t="str">
        <f>IF(ISNUMBER(U248),IF(U248&lt;'参数'!$C$15,"先降杠杆或减量","在止损外"),"")</f>
        <v/>
      </c>
      <c r="W248" s="30" t="n"/>
      <c r="X248" s="31" t="n"/>
      <c r="Y248" s="39" t="str">
        <f>IF(N(AB248)&gt;0,SUMPRODUCT(LARGE(('成交明细'!$A$5:$A$804=A248)*('成交明细'!$D$5:$D$804=IF(F248="空","卖","买"))*'成交明细'!$B$5:$B$804,COUNTIFS('成交明细'!$A$5:$A$804,A248,'成交明细'!$D$5:$D$804,IF(F248="空","卖","买")))),"")</f>
        <v/>
      </c>
      <c r="Z248" s="39" t="str">
        <f>IF(AND(N(AB248)&gt;0,N(AD248)&gt;=N(AB248)),SUMPRODUCT(MAX(('成交明细'!$A$5:$A$804=A248)*('成交明细'!$D$5:$D$804=IF(F248="空","买","卖"))*'成交明细'!$B$5:$B$804)),"")</f>
        <v/>
      </c>
      <c r="AA248" s="40" t="str">
        <f>IF(N(AB248)=0,"",IF(SUMPRODUCT(('成交明细'!$A$5:$A$804=A248)*('成交明细'!$D$5:$D$804=IF(F248="空","卖","买"))*ISNUMBER('成交明细'!$C$5:$C$804))=0,"没填时间",IFERROR(VLOOKUP(MOD(SUMPRODUCT(LARGE(('成交明细'!$A$5:$A$804=A248)*('成交明细'!$D$5:$D$804=IF(F248="空","卖","买"))*('成交明细'!$B$5:$B$804+'成交明细'!$C$5:$C$804),COUNTIFS('成交明细'!$A$5:$A$804,A248,'成交明细'!$D$5:$D$804,IF(F248="空","卖","买")))),1),'参数'!$B$39:$C$48,2,TRUE),"")))</f>
        <v/>
      </c>
      <c r="AB248" s="34" t="str">
        <f>IF(A248="","",SUMIFS('成交明细'!$F$5:$F$804,'成交明细'!$A$5:$A$804,A248,'成交明细'!$D$5:$D$804,IF(F248="空","卖","买")))</f>
        <v/>
      </c>
      <c r="AC248" s="41" t="str">
        <f>IF(N(AB248)&gt;0,SUMIFS('成交明细'!$H$5:$H$804,'成交明细'!$A$5:$A$804,A248,'成交明细'!$D$5:$D$804,IF(F248="空","卖","买"))/AB248,"")</f>
        <v/>
      </c>
      <c r="AD248" s="34" t="str">
        <f>IF(A248="","",SUMIFS('成交明细'!$F$5:$F$804,'成交明细'!$A$5:$A$804,A248,'成交明细'!$D$5:$D$804,IF(F248="空","买","卖")))</f>
        <v/>
      </c>
      <c r="AE248" s="41" t="str">
        <f>IF(N(AD248)&gt;0,SUMIFS('成交明细'!$H$5:$H$804,'成交明细'!$A$5:$A$804,A248,'成交明细'!$D$5:$D$804,IF(F248="空","买","卖"))/AD248,"")</f>
        <v/>
      </c>
      <c r="AF248" s="38" t="str">
        <f>IF(A248="","",IF(X248&lt;&gt;"已执行",IF(X248="","未填执行情况",X248),IF(N(AB248)=0,"待录成交",IF(N(AD248)&gt;N(AB248),"平仓多于开仓",IF(N(AD248)&lt;N(AB248),"持仓中","已平仓")))))</f>
        <v/>
      </c>
      <c r="AG248" s="42" t="str">
        <f>IF(N(AB248)=0,"",SUMIFS('成交明细'!$L$5:$L$804,'成交明细'!$A$5:$A$804,A248))</f>
        <v/>
      </c>
      <c r="AH248" s="43" t="str">
        <f>IF(A248="","",SUMIFS('资金费流水'!$F$5:$F$604,'资金费流水'!$B$5:$B$604,A248))</f>
        <v/>
      </c>
      <c r="AI248" s="43" t="str">
        <f>IF(AF248&lt;&gt;"已平仓","",(SUMIFS('成交明细'!$H$5:$H$804,'成交明细'!$A$5:$A$804,A248,'成交明细'!$D$5:$D$804,"卖")-SUMIFS('成交明细'!$H$5:$H$804,'成交明细'!$A$5:$A$804,A248,'成交明细'!$D$5:$D$804,"买"))*1-AG248+N(AH248))</f>
        <v/>
      </c>
      <c r="AJ248" s="44" t="str">
        <f>IF(AND(AF248="已平仓",ISNUMBER(Q248)),(SUMIFS('成交明细'!$H$5:$H$804,'成交明细'!$A$5:$A$804,A248,'成交明细'!$D$5:$D$804,"卖")-SUMIFS('成交明细'!$H$5:$H$804,'成交明细'!$A$5:$A$804,A248,'成交明细'!$D$5:$D$804,"买"))*1/Q248,"")</f>
        <v/>
      </c>
      <c r="AK248" s="44" t="str">
        <f>IF(AND(AF248="已平仓",ISNUMBER(Q248)),AI248/Q248,"")</f>
        <v/>
      </c>
      <c r="AL248" s="45" t="str">
        <f>IF(AND(ISNUMBER(AC248),ISNUMBER(K248)),IF(F248="空",K248-AC248,AC248-K248),"")</f>
        <v/>
      </c>
      <c r="AM248" s="45" t="str">
        <f>IF(OR(NOT(ISNUMBER(AI248)),NOT(ISNUMBER(AE248))),"",IF(AI248&lt;0,IF(F248="空",AE248-L248,L248-AE248),IF(NOT(ISNUMBER(M248)),"",IF(F248="空",AE248-M248,M248-AE248))))</f>
        <v/>
      </c>
      <c r="AN248" s="31" t="n"/>
      <c r="AO248" s="31" t="n"/>
      <c r="AP248" s="30" t="n"/>
      <c r="AQ248" s="44" t="str">
        <f>IF(A248="","",SUM(AK$5:AK248))</f>
        <v/>
      </c>
      <c r="AR248" s="46" t="str">
        <f>IF(A248="","",MAX(0,MAX(AQ$5:AQ248))-AQ248)</f>
        <v/>
      </c>
    </row>
    <row r="249">
      <c r="A249" s="24" t="n"/>
      <c r="B249" s="29" t="n"/>
      <c r="C249" s="30" t="n"/>
      <c r="D249" s="31" t="n"/>
      <c r="E249" s="31" t="n"/>
      <c r="F249" s="31" t="n"/>
      <c r="G249" s="21" t="n"/>
      <c r="H249" s="31" t="n"/>
      <c r="I249" s="23" t="n"/>
      <c r="J249" s="31" t="n"/>
      <c r="K249" s="32" t="n"/>
      <c r="L249" s="32" t="n"/>
      <c r="M249" s="32" t="n"/>
      <c r="N249" s="33" t="str">
        <f>IF(AND(ISNUMBER(K249),ISNUMBER(L249),ISNUMBER(M249)),IF(OR(AND(F249="多",K249&gt;L249),AND(F249="空",K249&lt;L249)),ABS(M249-K249)/ABS(K249-L249),"止损方向不对"),"")</f>
        <v/>
      </c>
      <c r="O249" s="34" t="str">
        <f>IF(AND(ISNUMBER(K249),ISNUMBER(L249)),IF(K249=L249,"",IF(INT(ROUND('参数'!$C$7/(ABS(K249-L249)*1+2*K249*'参数'!$C$12)/IF(N(J249)&gt;0,J249,1),6))*IF(N(J249)&gt;0,J249,1)&gt;0,INT(ROUND('参数'!$C$7/(ABS(K249-L249)*1+2*K249*'参数'!$C$12)/IF(N(J249)&gt;0,J249,1),6))*IF(N(J249)&gt;0,J249,1),"预算不足，这笔不做")),"")</f>
        <v/>
      </c>
      <c r="P249" s="35" t="n"/>
      <c r="Q249" s="20" t="str">
        <f>IF(AND(ISNUMBER(K249),ISNUMBER(L249),ISNUMBER(P249)),IF(AND(K249&lt;&gt;L249,P249&gt;0),ABS(K249-L249)*P249*1,""),"")</f>
        <v/>
      </c>
      <c r="R249" s="20" t="str">
        <f>IF(AND(ISNUMBER(K249),ISNUMBER(P249)),K249*P249,"")</f>
        <v/>
      </c>
      <c r="S249" s="20" t="str">
        <f>IF(AND(D249="合约",ISNUMBER(R249),N(G249)&gt;0),R249/G249,"")</f>
        <v/>
      </c>
      <c r="T249" s="36" t="str">
        <f>IF(NOT(D249="合约"),"",IF(H249&lt;&gt;"逐仓","看平台",IF(AND(ISNUMBER(K249),N(G249)&gt;0),IF(F249="空",K249*(1+1/G249-IF(ISNUMBER(I249),I249,'参数'!$C$13)),K249*(1-1/G249+IF(ISNUMBER(I249),I249,'参数'!$C$13))),"")))</f>
        <v/>
      </c>
      <c r="U249" s="37" t="str">
        <f>IF(AND(ISNUMBER(T249),ISNUMBER(L249),ISNUMBER(K249)),IF(F249="空",T249-L249,L249-T249)/K249,"")</f>
        <v/>
      </c>
      <c r="V249" s="38" t="str">
        <f>IF(ISNUMBER(U249),IF(U249&lt;'参数'!$C$15,"先降杠杆或减量","在止损外"),"")</f>
        <v/>
      </c>
      <c r="W249" s="30" t="n"/>
      <c r="X249" s="31" t="n"/>
      <c r="Y249" s="39" t="str">
        <f>IF(N(AB249)&gt;0,SUMPRODUCT(LARGE(('成交明细'!$A$5:$A$804=A249)*('成交明细'!$D$5:$D$804=IF(F249="空","卖","买"))*'成交明细'!$B$5:$B$804,COUNTIFS('成交明细'!$A$5:$A$804,A249,'成交明细'!$D$5:$D$804,IF(F249="空","卖","买")))),"")</f>
        <v/>
      </c>
      <c r="Z249" s="39" t="str">
        <f>IF(AND(N(AB249)&gt;0,N(AD249)&gt;=N(AB249)),SUMPRODUCT(MAX(('成交明细'!$A$5:$A$804=A249)*('成交明细'!$D$5:$D$804=IF(F249="空","买","卖"))*'成交明细'!$B$5:$B$804)),"")</f>
        <v/>
      </c>
      <c r="AA249" s="40" t="str">
        <f>IF(N(AB249)=0,"",IF(SUMPRODUCT(('成交明细'!$A$5:$A$804=A249)*('成交明细'!$D$5:$D$804=IF(F249="空","卖","买"))*ISNUMBER('成交明细'!$C$5:$C$804))=0,"没填时间",IFERROR(VLOOKUP(MOD(SUMPRODUCT(LARGE(('成交明细'!$A$5:$A$804=A249)*('成交明细'!$D$5:$D$804=IF(F249="空","卖","买"))*('成交明细'!$B$5:$B$804+'成交明细'!$C$5:$C$804),COUNTIFS('成交明细'!$A$5:$A$804,A249,'成交明细'!$D$5:$D$804,IF(F249="空","卖","买")))),1),'参数'!$B$39:$C$48,2,TRUE),"")))</f>
        <v/>
      </c>
      <c r="AB249" s="34" t="str">
        <f>IF(A249="","",SUMIFS('成交明细'!$F$5:$F$804,'成交明细'!$A$5:$A$804,A249,'成交明细'!$D$5:$D$804,IF(F249="空","卖","买")))</f>
        <v/>
      </c>
      <c r="AC249" s="41" t="str">
        <f>IF(N(AB249)&gt;0,SUMIFS('成交明细'!$H$5:$H$804,'成交明细'!$A$5:$A$804,A249,'成交明细'!$D$5:$D$804,IF(F249="空","卖","买"))/AB249,"")</f>
        <v/>
      </c>
      <c r="AD249" s="34" t="str">
        <f>IF(A249="","",SUMIFS('成交明细'!$F$5:$F$804,'成交明细'!$A$5:$A$804,A249,'成交明细'!$D$5:$D$804,IF(F249="空","买","卖")))</f>
        <v/>
      </c>
      <c r="AE249" s="41" t="str">
        <f>IF(N(AD249)&gt;0,SUMIFS('成交明细'!$H$5:$H$804,'成交明细'!$A$5:$A$804,A249,'成交明细'!$D$5:$D$804,IF(F249="空","买","卖"))/AD249,"")</f>
        <v/>
      </c>
      <c r="AF249" s="38" t="str">
        <f>IF(A249="","",IF(X249&lt;&gt;"已执行",IF(X249="","未填执行情况",X249),IF(N(AB249)=0,"待录成交",IF(N(AD249)&gt;N(AB249),"平仓多于开仓",IF(N(AD249)&lt;N(AB249),"持仓中","已平仓")))))</f>
        <v/>
      </c>
      <c r="AG249" s="42" t="str">
        <f>IF(N(AB249)=0,"",SUMIFS('成交明细'!$L$5:$L$804,'成交明细'!$A$5:$A$804,A249))</f>
        <v/>
      </c>
      <c r="AH249" s="43" t="str">
        <f>IF(A249="","",SUMIFS('资金费流水'!$F$5:$F$604,'资金费流水'!$B$5:$B$604,A249))</f>
        <v/>
      </c>
      <c r="AI249" s="43" t="str">
        <f>IF(AF249&lt;&gt;"已平仓","",(SUMIFS('成交明细'!$H$5:$H$804,'成交明细'!$A$5:$A$804,A249,'成交明细'!$D$5:$D$804,"卖")-SUMIFS('成交明细'!$H$5:$H$804,'成交明细'!$A$5:$A$804,A249,'成交明细'!$D$5:$D$804,"买"))*1-AG249+N(AH249))</f>
        <v/>
      </c>
      <c r="AJ249" s="44" t="str">
        <f>IF(AND(AF249="已平仓",ISNUMBER(Q249)),(SUMIFS('成交明细'!$H$5:$H$804,'成交明细'!$A$5:$A$804,A249,'成交明细'!$D$5:$D$804,"卖")-SUMIFS('成交明细'!$H$5:$H$804,'成交明细'!$A$5:$A$804,A249,'成交明细'!$D$5:$D$804,"买"))*1/Q249,"")</f>
        <v/>
      </c>
      <c r="AK249" s="44" t="str">
        <f>IF(AND(AF249="已平仓",ISNUMBER(Q249)),AI249/Q249,"")</f>
        <v/>
      </c>
      <c r="AL249" s="45" t="str">
        <f>IF(AND(ISNUMBER(AC249),ISNUMBER(K249)),IF(F249="空",K249-AC249,AC249-K249),"")</f>
        <v/>
      </c>
      <c r="AM249" s="45" t="str">
        <f>IF(OR(NOT(ISNUMBER(AI249)),NOT(ISNUMBER(AE249))),"",IF(AI249&lt;0,IF(F249="空",AE249-L249,L249-AE249),IF(NOT(ISNUMBER(M249)),"",IF(F249="空",AE249-M249,M249-AE249))))</f>
        <v/>
      </c>
      <c r="AN249" s="31" t="n"/>
      <c r="AO249" s="31" t="n"/>
      <c r="AP249" s="30" t="n"/>
      <c r="AQ249" s="44" t="str">
        <f>IF(A249="","",SUM(AK$5:AK249))</f>
        <v/>
      </c>
      <c r="AR249" s="46" t="str">
        <f>IF(A249="","",MAX(0,MAX(AQ$5:AQ249))-AQ249)</f>
        <v/>
      </c>
    </row>
    <row r="250">
      <c r="A250" s="24" t="n"/>
      <c r="B250" s="29" t="n"/>
      <c r="C250" s="30" t="n"/>
      <c r="D250" s="31" t="n"/>
      <c r="E250" s="31" t="n"/>
      <c r="F250" s="31" t="n"/>
      <c r="G250" s="21" t="n"/>
      <c r="H250" s="31" t="n"/>
      <c r="I250" s="23" t="n"/>
      <c r="J250" s="31" t="n"/>
      <c r="K250" s="32" t="n"/>
      <c r="L250" s="32" t="n"/>
      <c r="M250" s="32" t="n"/>
      <c r="N250" s="33" t="str">
        <f>IF(AND(ISNUMBER(K250),ISNUMBER(L250),ISNUMBER(M250)),IF(OR(AND(F250="多",K250&gt;L250),AND(F250="空",K250&lt;L250)),ABS(M250-K250)/ABS(K250-L250),"止损方向不对"),"")</f>
        <v/>
      </c>
      <c r="O250" s="34" t="str">
        <f>IF(AND(ISNUMBER(K250),ISNUMBER(L250)),IF(K250=L250,"",IF(INT(ROUND('参数'!$C$7/(ABS(K250-L250)*1+2*K250*'参数'!$C$12)/IF(N(J250)&gt;0,J250,1),6))*IF(N(J250)&gt;0,J250,1)&gt;0,INT(ROUND('参数'!$C$7/(ABS(K250-L250)*1+2*K250*'参数'!$C$12)/IF(N(J250)&gt;0,J250,1),6))*IF(N(J250)&gt;0,J250,1),"预算不足，这笔不做")),"")</f>
        <v/>
      </c>
      <c r="P250" s="35" t="n"/>
      <c r="Q250" s="20" t="str">
        <f>IF(AND(ISNUMBER(K250),ISNUMBER(L250),ISNUMBER(P250)),IF(AND(K250&lt;&gt;L250,P250&gt;0),ABS(K250-L250)*P250*1,""),"")</f>
        <v/>
      </c>
      <c r="R250" s="20" t="str">
        <f>IF(AND(ISNUMBER(K250),ISNUMBER(P250)),K250*P250,"")</f>
        <v/>
      </c>
      <c r="S250" s="20" t="str">
        <f>IF(AND(D250="合约",ISNUMBER(R250),N(G250)&gt;0),R250/G250,"")</f>
        <v/>
      </c>
      <c r="T250" s="36" t="str">
        <f>IF(NOT(D250="合约"),"",IF(H250&lt;&gt;"逐仓","看平台",IF(AND(ISNUMBER(K250),N(G250)&gt;0),IF(F250="空",K250*(1+1/G250-IF(ISNUMBER(I250),I250,'参数'!$C$13)),K250*(1-1/G250+IF(ISNUMBER(I250),I250,'参数'!$C$13))),"")))</f>
        <v/>
      </c>
      <c r="U250" s="37" t="str">
        <f>IF(AND(ISNUMBER(T250),ISNUMBER(L250),ISNUMBER(K250)),IF(F250="空",T250-L250,L250-T250)/K250,"")</f>
        <v/>
      </c>
      <c r="V250" s="38" t="str">
        <f>IF(ISNUMBER(U250),IF(U250&lt;'参数'!$C$15,"先降杠杆或减量","在止损外"),"")</f>
        <v/>
      </c>
      <c r="W250" s="30" t="n"/>
      <c r="X250" s="31" t="n"/>
      <c r="Y250" s="39" t="str">
        <f>IF(N(AB250)&gt;0,SUMPRODUCT(LARGE(('成交明细'!$A$5:$A$804=A250)*('成交明细'!$D$5:$D$804=IF(F250="空","卖","买"))*'成交明细'!$B$5:$B$804,COUNTIFS('成交明细'!$A$5:$A$804,A250,'成交明细'!$D$5:$D$804,IF(F250="空","卖","买")))),"")</f>
        <v/>
      </c>
      <c r="Z250" s="39" t="str">
        <f>IF(AND(N(AB250)&gt;0,N(AD250)&gt;=N(AB250)),SUMPRODUCT(MAX(('成交明细'!$A$5:$A$804=A250)*('成交明细'!$D$5:$D$804=IF(F250="空","买","卖"))*'成交明细'!$B$5:$B$804)),"")</f>
        <v/>
      </c>
      <c r="AA250" s="40" t="str">
        <f>IF(N(AB250)=0,"",IF(SUMPRODUCT(('成交明细'!$A$5:$A$804=A250)*('成交明细'!$D$5:$D$804=IF(F250="空","卖","买"))*ISNUMBER('成交明细'!$C$5:$C$804))=0,"没填时间",IFERROR(VLOOKUP(MOD(SUMPRODUCT(LARGE(('成交明细'!$A$5:$A$804=A250)*('成交明细'!$D$5:$D$804=IF(F250="空","卖","买"))*('成交明细'!$B$5:$B$804+'成交明细'!$C$5:$C$804),COUNTIFS('成交明细'!$A$5:$A$804,A250,'成交明细'!$D$5:$D$804,IF(F250="空","卖","买")))),1),'参数'!$B$39:$C$48,2,TRUE),"")))</f>
        <v/>
      </c>
      <c r="AB250" s="34" t="str">
        <f>IF(A250="","",SUMIFS('成交明细'!$F$5:$F$804,'成交明细'!$A$5:$A$804,A250,'成交明细'!$D$5:$D$804,IF(F250="空","卖","买")))</f>
        <v/>
      </c>
      <c r="AC250" s="41" t="str">
        <f>IF(N(AB250)&gt;0,SUMIFS('成交明细'!$H$5:$H$804,'成交明细'!$A$5:$A$804,A250,'成交明细'!$D$5:$D$804,IF(F250="空","卖","买"))/AB250,"")</f>
        <v/>
      </c>
      <c r="AD250" s="34" t="str">
        <f>IF(A250="","",SUMIFS('成交明细'!$F$5:$F$804,'成交明细'!$A$5:$A$804,A250,'成交明细'!$D$5:$D$804,IF(F250="空","买","卖")))</f>
        <v/>
      </c>
      <c r="AE250" s="41" t="str">
        <f>IF(N(AD250)&gt;0,SUMIFS('成交明细'!$H$5:$H$804,'成交明细'!$A$5:$A$804,A250,'成交明细'!$D$5:$D$804,IF(F250="空","买","卖"))/AD250,"")</f>
        <v/>
      </c>
      <c r="AF250" s="38" t="str">
        <f>IF(A250="","",IF(X250&lt;&gt;"已执行",IF(X250="","未填执行情况",X250),IF(N(AB250)=0,"待录成交",IF(N(AD250)&gt;N(AB250),"平仓多于开仓",IF(N(AD250)&lt;N(AB250),"持仓中","已平仓")))))</f>
        <v/>
      </c>
      <c r="AG250" s="42" t="str">
        <f>IF(N(AB250)=0,"",SUMIFS('成交明细'!$L$5:$L$804,'成交明细'!$A$5:$A$804,A250))</f>
        <v/>
      </c>
      <c r="AH250" s="43" t="str">
        <f>IF(A250="","",SUMIFS('资金费流水'!$F$5:$F$604,'资金费流水'!$B$5:$B$604,A250))</f>
        <v/>
      </c>
      <c r="AI250" s="43" t="str">
        <f>IF(AF250&lt;&gt;"已平仓","",(SUMIFS('成交明细'!$H$5:$H$804,'成交明细'!$A$5:$A$804,A250,'成交明细'!$D$5:$D$804,"卖")-SUMIFS('成交明细'!$H$5:$H$804,'成交明细'!$A$5:$A$804,A250,'成交明细'!$D$5:$D$804,"买"))*1-AG250+N(AH250))</f>
        <v/>
      </c>
      <c r="AJ250" s="44" t="str">
        <f>IF(AND(AF250="已平仓",ISNUMBER(Q250)),(SUMIFS('成交明细'!$H$5:$H$804,'成交明细'!$A$5:$A$804,A250,'成交明细'!$D$5:$D$804,"卖")-SUMIFS('成交明细'!$H$5:$H$804,'成交明细'!$A$5:$A$804,A250,'成交明细'!$D$5:$D$804,"买"))*1/Q250,"")</f>
        <v/>
      </c>
      <c r="AK250" s="44" t="str">
        <f>IF(AND(AF250="已平仓",ISNUMBER(Q250)),AI250/Q250,"")</f>
        <v/>
      </c>
      <c r="AL250" s="45" t="str">
        <f>IF(AND(ISNUMBER(AC250),ISNUMBER(K250)),IF(F250="空",K250-AC250,AC250-K250),"")</f>
        <v/>
      </c>
      <c r="AM250" s="45" t="str">
        <f>IF(OR(NOT(ISNUMBER(AI250)),NOT(ISNUMBER(AE250))),"",IF(AI250&lt;0,IF(F250="空",AE250-L250,L250-AE250),IF(NOT(ISNUMBER(M250)),"",IF(F250="空",AE250-M250,M250-AE250))))</f>
        <v/>
      </c>
      <c r="AN250" s="31" t="n"/>
      <c r="AO250" s="31" t="n"/>
      <c r="AP250" s="30" t="n"/>
      <c r="AQ250" s="44" t="str">
        <f>IF(A250="","",SUM(AK$5:AK250))</f>
        <v/>
      </c>
      <c r="AR250" s="46" t="str">
        <f>IF(A250="","",MAX(0,MAX(AQ$5:AQ250))-AQ250)</f>
        <v/>
      </c>
    </row>
    <row r="251">
      <c r="A251" s="24" t="n"/>
      <c r="B251" s="29" t="n"/>
      <c r="C251" s="30" t="n"/>
      <c r="D251" s="31" t="n"/>
      <c r="E251" s="31" t="n"/>
      <c r="F251" s="31" t="n"/>
      <c r="G251" s="21" t="n"/>
      <c r="H251" s="31" t="n"/>
      <c r="I251" s="23" t="n"/>
      <c r="J251" s="31" t="n"/>
      <c r="K251" s="32" t="n"/>
      <c r="L251" s="32" t="n"/>
      <c r="M251" s="32" t="n"/>
      <c r="N251" s="33" t="str">
        <f>IF(AND(ISNUMBER(K251),ISNUMBER(L251),ISNUMBER(M251)),IF(OR(AND(F251="多",K251&gt;L251),AND(F251="空",K251&lt;L251)),ABS(M251-K251)/ABS(K251-L251),"止损方向不对"),"")</f>
        <v/>
      </c>
      <c r="O251" s="34" t="str">
        <f>IF(AND(ISNUMBER(K251),ISNUMBER(L251)),IF(K251=L251,"",IF(INT(ROUND('参数'!$C$7/(ABS(K251-L251)*1+2*K251*'参数'!$C$12)/IF(N(J251)&gt;0,J251,1),6))*IF(N(J251)&gt;0,J251,1)&gt;0,INT(ROUND('参数'!$C$7/(ABS(K251-L251)*1+2*K251*'参数'!$C$12)/IF(N(J251)&gt;0,J251,1),6))*IF(N(J251)&gt;0,J251,1),"预算不足，这笔不做")),"")</f>
        <v/>
      </c>
      <c r="P251" s="35" t="n"/>
      <c r="Q251" s="20" t="str">
        <f>IF(AND(ISNUMBER(K251),ISNUMBER(L251),ISNUMBER(P251)),IF(AND(K251&lt;&gt;L251,P251&gt;0),ABS(K251-L251)*P251*1,""),"")</f>
        <v/>
      </c>
      <c r="R251" s="20" t="str">
        <f>IF(AND(ISNUMBER(K251),ISNUMBER(P251)),K251*P251,"")</f>
        <v/>
      </c>
      <c r="S251" s="20" t="str">
        <f>IF(AND(D251="合约",ISNUMBER(R251),N(G251)&gt;0),R251/G251,"")</f>
        <v/>
      </c>
      <c r="T251" s="36" t="str">
        <f>IF(NOT(D251="合约"),"",IF(H251&lt;&gt;"逐仓","看平台",IF(AND(ISNUMBER(K251),N(G251)&gt;0),IF(F251="空",K251*(1+1/G251-IF(ISNUMBER(I251),I251,'参数'!$C$13)),K251*(1-1/G251+IF(ISNUMBER(I251),I251,'参数'!$C$13))),"")))</f>
        <v/>
      </c>
      <c r="U251" s="37" t="str">
        <f>IF(AND(ISNUMBER(T251),ISNUMBER(L251),ISNUMBER(K251)),IF(F251="空",T251-L251,L251-T251)/K251,"")</f>
        <v/>
      </c>
      <c r="V251" s="38" t="str">
        <f>IF(ISNUMBER(U251),IF(U251&lt;'参数'!$C$15,"先降杠杆或减量","在止损外"),"")</f>
        <v/>
      </c>
      <c r="W251" s="30" t="n"/>
      <c r="X251" s="31" t="n"/>
      <c r="Y251" s="39" t="str">
        <f>IF(N(AB251)&gt;0,SUMPRODUCT(LARGE(('成交明细'!$A$5:$A$804=A251)*('成交明细'!$D$5:$D$804=IF(F251="空","卖","买"))*'成交明细'!$B$5:$B$804,COUNTIFS('成交明细'!$A$5:$A$804,A251,'成交明细'!$D$5:$D$804,IF(F251="空","卖","买")))),"")</f>
        <v/>
      </c>
      <c r="Z251" s="39" t="str">
        <f>IF(AND(N(AB251)&gt;0,N(AD251)&gt;=N(AB251)),SUMPRODUCT(MAX(('成交明细'!$A$5:$A$804=A251)*('成交明细'!$D$5:$D$804=IF(F251="空","买","卖"))*'成交明细'!$B$5:$B$804)),"")</f>
        <v/>
      </c>
      <c r="AA251" s="40" t="str">
        <f>IF(N(AB251)=0,"",IF(SUMPRODUCT(('成交明细'!$A$5:$A$804=A251)*('成交明细'!$D$5:$D$804=IF(F251="空","卖","买"))*ISNUMBER('成交明细'!$C$5:$C$804))=0,"没填时间",IFERROR(VLOOKUP(MOD(SUMPRODUCT(LARGE(('成交明细'!$A$5:$A$804=A251)*('成交明细'!$D$5:$D$804=IF(F251="空","卖","买"))*('成交明细'!$B$5:$B$804+'成交明细'!$C$5:$C$804),COUNTIFS('成交明细'!$A$5:$A$804,A251,'成交明细'!$D$5:$D$804,IF(F251="空","卖","买")))),1),'参数'!$B$39:$C$48,2,TRUE),"")))</f>
        <v/>
      </c>
      <c r="AB251" s="34" t="str">
        <f>IF(A251="","",SUMIFS('成交明细'!$F$5:$F$804,'成交明细'!$A$5:$A$804,A251,'成交明细'!$D$5:$D$804,IF(F251="空","卖","买")))</f>
        <v/>
      </c>
      <c r="AC251" s="41" t="str">
        <f>IF(N(AB251)&gt;0,SUMIFS('成交明细'!$H$5:$H$804,'成交明细'!$A$5:$A$804,A251,'成交明细'!$D$5:$D$804,IF(F251="空","卖","买"))/AB251,"")</f>
        <v/>
      </c>
      <c r="AD251" s="34" t="str">
        <f>IF(A251="","",SUMIFS('成交明细'!$F$5:$F$804,'成交明细'!$A$5:$A$804,A251,'成交明细'!$D$5:$D$804,IF(F251="空","买","卖")))</f>
        <v/>
      </c>
      <c r="AE251" s="41" t="str">
        <f>IF(N(AD251)&gt;0,SUMIFS('成交明细'!$H$5:$H$804,'成交明细'!$A$5:$A$804,A251,'成交明细'!$D$5:$D$804,IF(F251="空","买","卖"))/AD251,"")</f>
        <v/>
      </c>
      <c r="AF251" s="38" t="str">
        <f>IF(A251="","",IF(X251&lt;&gt;"已执行",IF(X251="","未填执行情况",X251),IF(N(AB251)=0,"待录成交",IF(N(AD251)&gt;N(AB251),"平仓多于开仓",IF(N(AD251)&lt;N(AB251),"持仓中","已平仓")))))</f>
        <v/>
      </c>
      <c r="AG251" s="42" t="str">
        <f>IF(N(AB251)=0,"",SUMIFS('成交明细'!$L$5:$L$804,'成交明细'!$A$5:$A$804,A251))</f>
        <v/>
      </c>
      <c r="AH251" s="43" t="str">
        <f>IF(A251="","",SUMIFS('资金费流水'!$F$5:$F$604,'资金费流水'!$B$5:$B$604,A251))</f>
        <v/>
      </c>
      <c r="AI251" s="43" t="str">
        <f>IF(AF251&lt;&gt;"已平仓","",(SUMIFS('成交明细'!$H$5:$H$804,'成交明细'!$A$5:$A$804,A251,'成交明细'!$D$5:$D$804,"卖")-SUMIFS('成交明细'!$H$5:$H$804,'成交明细'!$A$5:$A$804,A251,'成交明细'!$D$5:$D$804,"买"))*1-AG251+N(AH251))</f>
        <v/>
      </c>
      <c r="AJ251" s="44" t="str">
        <f>IF(AND(AF251="已平仓",ISNUMBER(Q251)),(SUMIFS('成交明细'!$H$5:$H$804,'成交明细'!$A$5:$A$804,A251,'成交明细'!$D$5:$D$804,"卖")-SUMIFS('成交明细'!$H$5:$H$804,'成交明细'!$A$5:$A$804,A251,'成交明细'!$D$5:$D$804,"买"))*1/Q251,"")</f>
        <v/>
      </c>
      <c r="AK251" s="44" t="str">
        <f>IF(AND(AF251="已平仓",ISNUMBER(Q251)),AI251/Q251,"")</f>
        <v/>
      </c>
      <c r="AL251" s="45" t="str">
        <f>IF(AND(ISNUMBER(AC251),ISNUMBER(K251)),IF(F251="空",K251-AC251,AC251-K251),"")</f>
        <v/>
      </c>
      <c r="AM251" s="45" t="str">
        <f>IF(OR(NOT(ISNUMBER(AI251)),NOT(ISNUMBER(AE251))),"",IF(AI251&lt;0,IF(F251="空",AE251-L251,L251-AE251),IF(NOT(ISNUMBER(M251)),"",IF(F251="空",AE251-M251,M251-AE251))))</f>
        <v/>
      </c>
      <c r="AN251" s="31" t="n"/>
      <c r="AO251" s="31" t="n"/>
      <c r="AP251" s="30" t="n"/>
      <c r="AQ251" s="44" t="str">
        <f>IF(A251="","",SUM(AK$5:AK251))</f>
        <v/>
      </c>
      <c r="AR251" s="46" t="str">
        <f>IF(A251="","",MAX(0,MAX(AQ$5:AQ251))-AQ251)</f>
        <v/>
      </c>
    </row>
    <row r="252">
      <c r="A252" s="24" t="n"/>
      <c r="B252" s="29" t="n"/>
      <c r="C252" s="30" t="n"/>
      <c r="D252" s="31" t="n"/>
      <c r="E252" s="31" t="n"/>
      <c r="F252" s="31" t="n"/>
      <c r="G252" s="21" t="n"/>
      <c r="H252" s="31" t="n"/>
      <c r="I252" s="23" t="n"/>
      <c r="J252" s="31" t="n"/>
      <c r="K252" s="32" t="n"/>
      <c r="L252" s="32" t="n"/>
      <c r="M252" s="32" t="n"/>
      <c r="N252" s="33" t="str">
        <f>IF(AND(ISNUMBER(K252),ISNUMBER(L252),ISNUMBER(M252)),IF(OR(AND(F252="多",K252&gt;L252),AND(F252="空",K252&lt;L252)),ABS(M252-K252)/ABS(K252-L252),"止损方向不对"),"")</f>
        <v/>
      </c>
      <c r="O252" s="34" t="str">
        <f>IF(AND(ISNUMBER(K252),ISNUMBER(L252)),IF(K252=L252,"",IF(INT(ROUND('参数'!$C$7/(ABS(K252-L252)*1+2*K252*'参数'!$C$12)/IF(N(J252)&gt;0,J252,1),6))*IF(N(J252)&gt;0,J252,1)&gt;0,INT(ROUND('参数'!$C$7/(ABS(K252-L252)*1+2*K252*'参数'!$C$12)/IF(N(J252)&gt;0,J252,1),6))*IF(N(J252)&gt;0,J252,1),"预算不足，这笔不做")),"")</f>
        <v/>
      </c>
      <c r="P252" s="35" t="n"/>
      <c r="Q252" s="20" t="str">
        <f>IF(AND(ISNUMBER(K252),ISNUMBER(L252),ISNUMBER(P252)),IF(AND(K252&lt;&gt;L252,P252&gt;0),ABS(K252-L252)*P252*1,""),"")</f>
        <v/>
      </c>
      <c r="R252" s="20" t="str">
        <f>IF(AND(ISNUMBER(K252),ISNUMBER(P252)),K252*P252,"")</f>
        <v/>
      </c>
      <c r="S252" s="20" t="str">
        <f>IF(AND(D252="合约",ISNUMBER(R252),N(G252)&gt;0),R252/G252,"")</f>
        <v/>
      </c>
      <c r="T252" s="36" t="str">
        <f>IF(NOT(D252="合约"),"",IF(H252&lt;&gt;"逐仓","看平台",IF(AND(ISNUMBER(K252),N(G252)&gt;0),IF(F252="空",K252*(1+1/G252-IF(ISNUMBER(I252),I252,'参数'!$C$13)),K252*(1-1/G252+IF(ISNUMBER(I252),I252,'参数'!$C$13))),"")))</f>
        <v/>
      </c>
      <c r="U252" s="37" t="str">
        <f>IF(AND(ISNUMBER(T252),ISNUMBER(L252),ISNUMBER(K252)),IF(F252="空",T252-L252,L252-T252)/K252,"")</f>
        <v/>
      </c>
      <c r="V252" s="38" t="str">
        <f>IF(ISNUMBER(U252),IF(U252&lt;'参数'!$C$15,"先降杠杆或减量","在止损外"),"")</f>
        <v/>
      </c>
      <c r="W252" s="30" t="n"/>
      <c r="X252" s="31" t="n"/>
      <c r="Y252" s="39" t="str">
        <f>IF(N(AB252)&gt;0,SUMPRODUCT(LARGE(('成交明细'!$A$5:$A$804=A252)*('成交明细'!$D$5:$D$804=IF(F252="空","卖","买"))*'成交明细'!$B$5:$B$804,COUNTIFS('成交明细'!$A$5:$A$804,A252,'成交明细'!$D$5:$D$804,IF(F252="空","卖","买")))),"")</f>
        <v/>
      </c>
      <c r="Z252" s="39" t="str">
        <f>IF(AND(N(AB252)&gt;0,N(AD252)&gt;=N(AB252)),SUMPRODUCT(MAX(('成交明细'!$A$5:$A$804=A252)*('成交明细'!$D$5:$D$804=IF(F252="空","买","卖"))*'成交明细'!$B$5:$B$804)),"")</f>
        <v/>
      </c>
      <c r="AA252" s="40" t="str">
        <f>IF(N(AB252)=0,"",IF(SUMPRODUCT(('成交明细'!$A$5:$A$804=A252)*('成交明细'!$D$5:$D$804=IF(F252="空","卖","买"))*ISNUMBER('成交明细'!$C$5:$C$804))=0,"没填时间",IFERROR(VLOOKUP(MOD(SUMPRODUCT(LARGE(('成交明细'!$A$5:$A$804=A252)*('成交明细'!$D$5:$D$804=IF(F252="空","卖","买"))*('成交明细'!$B$5:$B$804+'成交明细'!$C$5:$C$804),COUNTIFS('成交明细'!$A$5:$A$804,A252,'成交明细'!$D$5:$D$804,IF(F252="空","卖","买")))),1),'参数'!$B$39:$C$48,2,TRUE),"")))</f>
        <v/>
      </c>
      <c r="AB252" s="34" t="str">
        <f>IF(A252="","",SUMIFS('成交明细'!$F$5:$F$804,'成交明细'!$A$5:$A$804,A252,'成交明细'!$D$5:$D$804,IF(F252="空","卖","买")))</f>
        <v/>
      </c>
      <c r="AC252" s="41" t="str">
        <f>IF(N(AB252)&gt;0,SUMIFS('成交明细'!$H$5:$H$804,'成交明细'!$A$5:$A$804,A252,'成交明细'!$D$5:$D$804,IF(F252="空","卖","买"))/AB252,"")</f>
        <v/>
      </c>
      <c r="AD252" s="34" t="str">
        <f>IF(A252="","",SUMIFS('成交明细'!$F$5:$F$804,'成交明细'!$A$5:$A$804,A252,'成交明细'!$D$5:$D$804,IF(F252="空","买","卖")))</f>
        <v/>
      </c>
      <c r="AE252" s="41" t="str">
        <f>IF(N(AD252)&gt;0,SUMIFS('成交明细'!$H$5:$H$804,'成交明细'!$A$5:$A$804,A252,'成交明细'!$D$5:$D$804,IF(F252="空","买","卖"))/AD252,"")</f>
        <v/>
      </c>
      <c r="AF252" s="38" t="str">
        <f>IF(A252="","",IF(X252&lt;&gt;"已执行",IF(X252="","未填执行情况",X252),IF(N(AB252)=0,"待录成交",IF(N(AD252)&gt;N(AB252),"平仓多于开仓",IF(N(AD252)&lt;N(AB252),"持仓中","已平仓")))))</f>
        <v/>
      </c>
      <c r="AG252" s="42" t="str">
        <f>IF(N(AB252)=0,"",SUMIFS('成交明细'!$L$5:$L$804,'成交明细'!$A$5:$A$804,A252))</f>
        <v/>
      </c>
      <c r="AH252" s="43" t="str">
        <f>IF(A252="","",SUMIFS('资金费流水'!$F$5:$F$604,'资金费流水'!$B$5:$B$604,A252))</f>
        <v/>
      </c>
      <c r="AI252" s="43" t="str">
        <f>IF(AF252&lt;&gt;"已平仓","",(SUMIFS('成交明细'!$H$5:$H$804,'成交明细'!$A$5:$A$804,A252,'成交明细'!$D$5:$D$804,"卖")-SUMIFS('成交明细'!$H$5:$H$804,'成交明细'!$A$5:$A$804,A252,'成交明细'!$D$5:$D$804,"买"))*1-AG252+N(AH252))</f>
        <v/>
      </c>
      <c r="AJ252" s="44" t="str">
        <f>IF(AND(AF252="已平仓",ISNUMBER(Q252)),(SUMIFS('成交明细'!$H$5:$H$804,'成交明细'!$A$5:$A$804,A252,'成交明细'!$D$5:$D$804,"卖")-SUMIFS('成交明细'!$H$5:$H$804,'成交明细'!$A$5:$A$804,A252,'成交明细'!$D$5:$D$804,"买"))*1/Q252,"")</f>
        <v/>
      </c>
      <c r="AK252" s="44" t="str">
        <f>IF(AND(AF252="已平仓",ISNUMBER(Q252)),AI252/Q252,"")</f>
        <v/>
      </c>
      <c r="AL252" s="45" t="str">
        <f>IF(AND(ISNUMBER(AC252),ISNUMBER(K252)),IF(F252="空",K252-AC252,AC252-K252),"")</f>
        <v/>
      </c>
      <c r="AM252" s="45" t="str">
        <f>IF(OR(NOT(ISNUMBER(AI252)),NOT(ISNUMBER(AE252))),"",IF(AI252&lt;0,IF(F252="空",AE252-L252,L252-AE252),IF(NOT(ISNUMBER(M252)),"",IF(F252="空",AE252-M252,M252-AE252))))</f>
        <v/>
      </c>
      <c r="AN252" s="31" t="n"/>
      <c r="AO252" s="31" t="n"/>
      <c r="AP252" s="30" t="n"/>
      <c r="AQ252" s="44" t="str">
        <f>IF(A252="","",SUM(AK$5:AK252))</f>
        <v/>
      </c>
      <c r="AR252" s="46" t="str">
        <f>IF(A252="","",MAX(0,MAX(AQ$5:AQ252))-AQ252)</f>
        <v/>
      </c>
    </row>
    <row r="253">
      <c r="A253" s="24" t="n"/>
      <c r="B253" s="29" t="n"/>
      <c r="C253" s="30" t="n"/>
      <c r="D253" s="31" t="n"/>
      <c r="E253" s="31" t="n"/>
      <c r="F253" s="31" t="n"/>
      <c r="G253" s="21" t="n"/>
      <c r="H253" s="31" t="n"/>
      <c r="I253" s="23" t="n"/>
      <c r="J253" s="31" t="n"/>
      <c r="K253" s="32" t="n"/>
      <c r="L253" s="32" t="n"/>
      <c r="M253" s="32" t="n"/>
      <c r="N253" s="33" t="str">
        <f>IF(AND(ISNUMBER(K253),ISNUMBER(L253),ISNUMBER(M253)),IF(OR(AND(F253="多",K253&gt;L253),AND(F253="空",K253&lt;L253)),ABS(M253-K253)/ABS(K253-L253),"止损方向不对"),"")</f>
        <v/>
      </c>
      <c r="O253" s="34" t="str">
        <f>IF(AND(ISNUMBER(K253),ISNUMBER(L253)),IF(K253=L253,"",IF(INT(ROUND('参数'!$C$7/(ABS(K253-L253)*1+2*K253*'参数'!$C$12)/IF(N(J253)&gt;0,J253,1),6))*IF(N(J253)&gt;0,J253,1)&gt;0,INT(ROUND('参数'!$C$7/(ABS(K253-L253)*1+2*K253*'参数'!$C$12)/IF(N(J253)&gt;0,J253,1),6))*IF(N(J253)&gt;0,J253,1),"预算不足，这笔不做")),"")</f>
        <v/>
      </c>
      <c r="P253" s="35" t="n"/>
      <c r="Q253" s="20" t="str">
        <f>IF(AND(ISNUMBER(K253),ISNUMBER(L253),ISNUMBER(P253)),IF(AND(K253&lt;&gt;L253,P253&gt;0),ABS(K253-L253)*P253*1,""),"")</f>
        <v/>
      </c>
      <c r="R253" s="20" t="str">
        <f>IF(AND(ISNUMBER(K253),ISNUMBER(P253)),K253*P253,"")</f>
        <v/>
      </c>
      <c r="S253" s="20" t="str">
        <f>IF(AND(D253="合约",ISNUMBER(R253),N(G253)&gt;0),R253/G253,"")</f>
        <v/>
      </c>
      <c r="T253" s="36" t="str">
        <f>IF(NOT(D253="合约"),"",IF(H253&lt;&gt;"逐仓","看平台",IF(AND(ISNUMBER(K253),N(G253)&gt;0),IF(F253="空",K253*(1+1/G253-IF(ISNUMBER(I253),I253,'参数'!$C$13)),K253*(1-1/G253+IF(ISNUMBER(I253),I253,'参数'!$C$13))),"")))</f>
        <v/>
      </c>
      <c r="U253" s="37" t="str">
        <f>IF(AND(ISNUMBER(T253),ISNUMBER(L253),ISNUMBER(K253)),IF(F253="空",T253-L253,L253-T253)/K253,"")</f>
        <v/>
      </c>
      <c r="V253" s="38" t="str">
        <f>IF(ISNUMBER(U253),IF(U253&lt;'参数'!$C$15,"先降杠杆或减量","在止损外"),"")</f>
        <v/>
      </c>
      <c r="W253" s="30" t="n"/>
      <c r="X253" s="31" t="n"/>
      <c r="Y253" s="39" t="str">
        <f>IF(N(AB253)&gt;0,SUMPRODUCT(LARGE(('成交明细'!$A$5:$A$804=A253)*('成交明细'!$D$5:$D$804=IF(F253="空","卖","买"))*'成交明细'!$B$5:$B$804,COUNTIFS('成交明细'!$A$5:$A$804,A253,'成交明细'!$D$5:$D$804,IF(F253="空","卖","买")))),"")</f>
        <v/>
      </c>
      <c r="Z253" s="39" t="str">
        <f>IF(AND(N(AB253)&gt;0,N(AD253)&gt;=N(AB253)),SUMPRODUCT(MAX(('成交明细'!$A$5:$A$804=A253)*('成交明细'!$D$5:$D$804=IF(F253="空","买","卖"))*'成交明细'!$B$5:$B$804)),"")</f>
        <v/>
      </c>
      <c r="AA253" s="40" t="str">
        <f>IF(N(AB253)=0,"",IF(SUMPRODUCT(('成交明细'!$A$5:$A$804=A253)*('成交明细'!$D$5:$D$804=IF(F253="空","卖","买"))*ISNUMBER('成交明细'!$C$5:$C$804))=0,"没填时间",IFERROR(VLOOKUP(MOD(SUMPRODUCT(LARGE(('成交明细'!$A$5:$A$804=A253)*('成交明细'!$D$5:$D$804=IF(F253="空","卖","买"))*('成交明细'!$B$5:$B$804+'成交明细'!$C$5:$C$804),COUNTIFS('成交明细'!$A$5:$A$804,A253,'成交明细'!$D$5:$D$804,IF(F253="空","卖","买")))),1),'参数'!$B$39:$C$48,2,TRUE),"")))</f>
        <v/>
      </c>
      <c r="AB253" s="34" t="str">
        <f>IF(A253="","",SUMIFS('成交明细'!$F$5:$F$804,'成交明细'!$A$5:$A$804,A253,'成交明细'!$D$5:$D$804,IF(F253="空","卖","买")))</f>
        <v/>
      </c>
      <c r="AC253" s="41" t="str">
        <f>IF(N(AB253)&gt;0,SUMIFS('成交明细'!$H$5:$H$804,'成交明细'!$A$5:$A$804,A253,'成交明细'!$D$5:$D$804,IF(F253="空","卖","买"))/AB253,"")</f>
        <v/>
      </c>
      <c r="AD253" s="34" t="str">
        <f>IF(A253="","",SUMIFS('成交明细'!$F$5:$F$804,'成交明细'!$A$5:$A$804,A253,'成交明细'!$D$5:$D$804,IF(F253="空","买","卖")))</f>
        <v/>
      </c>
      <c r="AE253" s="41" t="str">
        <f>IF(N(AD253)&gt;0,SUMIFS('成交明细'!$H$5:$H$804,'成交明细'!$A$5:$A$804,A253,'成交明细'!$D$5:$D$804,IF(F253="空","买","卖"))/AD253,"")</f>
        <v/>
      </c>
      <c r="AF253" s="38" t="str">
        <f>IF(A253="","",IF(X253&lt;&gt;"已执行",IF(X253="","未填执行情况",X253),IF(N(AB253)=0,"待录成交",IF(N(AD253)&gt;N(AB253),"平仓多于开仓",IF(N(AD253)&lt;N(AB253),"持仓中","已平仓")))))</f>
        <v/>
      </c>
      <c r="AG253" s="42" t="str">
        <f>IF(N(AB253)=0,"",SUMIFS('成交明细'!$L$5:$L$804,'成交明细'!$A$5:$A$804,A253))</f>
        <v/>
      </c>
      <c r="AH253" s="43" t="str">
        <f>IF(A253="","",SUMIFS('资金费流水'!$F$5:$F$604,'资金费流水'!$B$5:$B$604,A253))</f>
        <v/>
      </c>
      <c r="AI253" s="43" t="str">
        <f>IF(AF253&lt;&gt;"已平仓","",(SUMIFS('成交明细'!$H$5:$H$804,'成交明细'!$A$5:$A$804,A253,'成交明细'!$D$5:$D$804,"卖")-SUMIFS('成交明细'!$H$5:$H$804,'成交明细'!$A$5:$A$804,A253,'成交明细'!$D$5:$D$804,"买"))*1-AG253+N(AH253))</f>
        <v/>
      </c>
      <c r="AJ253" s="44" t="str">
        <f>IF(AND(AF253="已平仓",ISNUMBER(Q253)),(SUMIFS('成交明细'!$H$5:$H$804,'成交明细'!$A$5:$A$804,A253,'成交明细'!$D$5:$D$804,"卖")-SUMIFS('成交明细'!$H$5:$H$804,'成交明细'!$A$5:$A$804,A253,'成交明细'!$D$5:$D$804,"买"))*1/Q253,"")</f>
        <v/>
      </c>
      <c r="AK253" s="44" t="str">
        <f>IF(AND(AF253="已平仓",ISNUMBER(Q253)),AI253/Q253,"")</f>
        <v/>
      </c>
      <c r="AL253" s="45" t="str">
        <f>IF(AND(ISNUMBER(AC253),ISNUMBER(K253)),IF(F253="空",K253-AC253,AC253-K253),"")</f>
        <v/>
      </c>
      <c r="AM253" s="45" t="str">
        <f>IF(OR(NOT(ISNUMBER(AI253)),NOT(ISNUMBER(AE253))),"",IF(AI253&lt;0,IF(F253="空",AE253-L253,L253-AE253),IF(NOT(ISNUMBER(M253)),"",IF(F253="空",AE253-M253,M253-AE253))))</f>
        <v/>
      </c>
      <c r="AN253" s="31" t="n"/>
      <c r="AO253" s="31" t="n"/>
      <c r="AP253" s="30" t="n"/>
      <c r="AQ253" s="44" t="str">
        <f>IF(A253="","",SUM(AK$5:AK253))</f>
        <v/>
      </c>
      <c r="AR253" s="46" t="str">
        <f>IF(A253="","",MAX(0,MAX(AQ$5:AQ253))-AQ253)</f>
        <v/>
      </c>
    </row>
    <row r="254">
      <c r="A254" s="24" t="n"/>
      <c r="B254" s="29" t="n"/>
      <c r="C254" s="30" t="n"/>
      <c r="D254" s="31" t="n"/>
      <c r="E254" s="31" t="n"/>
      <c r="F254" s="31" t="n"/>
      <c r="G254" s="21" t="n"/>
      <c r="H254" s="31" t="n"/>
      <c r="I254" s="23" t="n"/>
      <c r="J254" s="31" t="n"/>
      <c r="K254" s="32" t="n"/>
      <c r="L254" s="32" t="n"/>
      <c r="M254" s="32" t="n"/>
      <c r="N254" s="33" t="str">
        <f>IF(AND(ISNUMBER(K254),ISNUMBER(L254),ISNUMBER(M254)),IF(OR(AND(F254="多",K254&gt;L254),AND(F254="空",K254&lt;L254)),ABS(M254-K254)/ABS(K254-L254),"止损方向不对"),"")</f>
        <v/>
      </c>
      <c r="O254" s="34" t="str">
        <f>IF(AND(ISNUMBER(K254),ISNUMBER(L254)),IF(K254=L254,"",IF(INT(ROUND('参数'!$C$7/(ABS(K254-L254)*1+2*K254*'参数'!$C$12)/IF(N(J254)&gt;0,J254,1),6))*IF(N(J254)&gt;0,J254,1)&gt;0,INT(ROUND('参数'!$C$7/(ABS(K254-L254)*1+2*K254*'参数'!$C$12)/IF(N(J254)&gt;0,J254,1),6))*IF(N(J254)&gt;0,J254,1),"预算不足，这笔不做")),"")</f>
        <v/>
      </c>
      <c r="P254" s="35" t="n"/>
      <c r="Q254" s="20" t="str">
        <f>IF(AND(ISNUMBER(K254),ISNUMBER(L254),ISNUMBER(P254)),IF(AND(K254&lt;&gt;L254,P254&gt;0),ABS(K254-L254)*P254*1,""),"")</f>
        <v/>
      </c>
      <c r="R254" s="20" t="str">
        <f>IF(AND(ISNUMBER(K254),ISNUMBER(P254)),K254*P254,"")</f>
        <v/>
      </c>
      <c r="S254" s="20" t="str">
        <f>IF(AND(D254="合约",ISNUMBER(R254),N(G254)&gt;0),R254/G254,"")</f>
        <v/>
      </c>
      <c r="T254" s="36" t="str">
        <f>IF(NOT(D254="合约"),"",IF(H254&lt;&gt;"逐仓","看平台",IF(AND(ISNUMBER(K254),N(G254)&gt;0),IF(F254="空",K254*(1+1/G254-IF(ISNUMBER(I254),I254,'参数'!$C$13)),K254*(1-1/G254+IF(ISNUMBER(I254),I254,'参数'!$C$13))),"")))</f>
        <v/>
      </c>
      <c r="U254" s="37" t="str">
        <f>IF(AND(ISNUMBER(T254),ISNUMBER(L254),ISNUMBER(K254)),IF(F254="空",T254-L254,L254-T254)/K254,"")</f>
        <v/>
      </c>
      <c r="V254" s="38" t="str">
        <f>IF(ISNUMBER(U254),IF(U254&lt;'参数'!$C$15,"先降杠杆或减量","在止损外"),"")</f>
        <v/>
      </c>
      <c r="W254" s="30" t="n"/>
      <c r="X254" s="31" t="n"/>
      <c r="Y254" s="39" t="str">
        <f>IF(N(AB254)&gt;0,SUMPRODUCT(LARGE(('成交明细'!$A$5:$A$804=A254)*('成交明细'!$D$5:$D$804=IF(F254="空","卖","买"))*'成交明细'!$B$5:$B$804,COUNTIFS('成交明细'!$A$5:$A$804,A254,'成交明细'!$D$5:$D$804,IF(F254="空","卖","买")))),"")</f>
        <v/>
      </c>
      <c r="Z254" s="39" t="str">
        <f>IF(AND(N(AB254)&gt;0,N(AD254)&gt;=N(AB254)),SUMPRODUCT(MAX(('成交明细'!$A$5:$A$804=A254)*('成交明细'!$D$5:$D$804=IF(F254="空","买","卖"))*'成交明细'!$B$5:$B$804)),"")</f>
        <v/>
      </c>
      <c r="AA254" s="40" t="str">
        <f>IF(N(AB254)=0,"",IF(SUMPRODUCT(('成交明细'!$A$5:$A$804=A254)*('成交明细'!$D$5:$D$804=IF(F254="空","卖","买"))*ISNUMBER('成交明细'!$C$5:$C$804))=0,"没填时间",IFERROR(VLOOKUP(MOD(SUMPRODUCT(LARGE(('成交明细'!$A$5:$A$804=A254)*('成交明细'!$D$5:$D$804=IF(F254="空","卖","买"))*('成交明细'!$B$5:$B$804+'成交明细'!$C$5:$C$804),COUNTIFS('成交明细'!$A$5:$A$804,A254,'成交明细'!$D$5:$D$804,IF(F254="空","卖","买")))),1),'参数'!$B$39:$C$48,2,TRUE),"")))</f>
        <v/>
      </c>
      <c r="AB254" s="34" t="str">
        <f>IF(A254="","",SUMIFS('成交明细'!$F$5:$F$804,'成交明细'!$A$5:$A$804,A254,'成交明细'!$D$5:$D$804,IF(F254="空","卖","买")))</f>
        <v/>
      </c>
      <c r="AC254" s="41" t="str">
        <f>IF(N(AB254)&gt;0,SUMIFS('成交明细'!$H$5:$H$804,'成交明细'!$A$5:$A$804,A254,'成交明细'!$D$5:$D$804,IF(F254="空","卖","买"))/AB254,"")</f>
        <v/>
      </c>
      <c r="AD254" s="34" t="str">
        <f>IF(A254="","",SUMIFS('成交明细'!$F$5:$F$804,'成交明细'!$A$5:$A$804,A254,'成交明细'!$D$5:$D$804,IF(F254="空","买","卖")))</f>
        <v/>
      </c>
      <c r="AE254" s="41" t="str">
        <f>IF(N(AD254)&gt;0,SUMIFS('成交明细'!$H$5:$H$804,'成交明细'!$A$5:$A$804,A254,'成交明细'!$D$5:$D$804,IF(F254="空","买","卖"))/AD254,"")</f>
        <v/>
      </c>
      <c r="AF254" s="38" t="str">
        <f>IF(A254="","",IF(X254&lt;&gt;"已执行",IF(X254="","未填执行情况",X254),IF(N(AB254)=0,"待录成交",IF(N(AD254)&gt;N(AB254),"平仓多于开仓",IF(N(AD254)&lt;N(AB254),"持仓中","已平仓")))))</f>
        <v/>
      </c>
      <c r="AG254" s="42" t="str">
        <f>IF(N(AB254)=0,"",SUMIFS('成交明细'!$L$5:$L$804,'成交明细'!$A$5:$A$804,A254))</f>
        <v/>
      </c>
      <c r="AH254" s="43" t="str">
        <f>IF(A254="","",SUMIFS('资金费流水'!$F$5:$F$604,'资金费流水'!$B$5:$B$604,A254))</f>
        <v/>
      </c>
      <c r="AI254" s="43" t="str">
        <f>IF(AF254&lt;&gt;"已平仓","",(SUMIFS('成交明细'!$H$5:$H$804,'成交明细'!$A$5:$A$804,A254,'成交明细'!$D$5:$D$804,"卖")-SUMIFS('成交明细'!$H$5:$H$804,'成交明细'!$A$5:$A$804,A254,'成交明细'!$D$5:$D$804,"买"))*1-AG254+N(AH254))</f>
        <v/>
      </c>
      <c r="AJ254" s="44" t="str">
        <f>IF(AND(AF254="已平仓",ISNUMBER(Q254)),(SUMIFS('成交明细'!$H$5:$H$804,'成交明细'!$A$5:$A$804,A254,'成交明细'!$D$5:$D$804,"卖")-SUMIFS('成交明细'!$H$5:$H$804,'成交明细'!$A$5:$A$804,A254,'成交明细'!$D$5:$D$804,"买"))*1/Q254,"")</f>
        <v/>
      </c>
      <c r="AK254" s="44" t="str">
        <f>IF(AND(AF254="已平仓",ISNUMBER(Q254)),AI254/Q254,"")</f>
        <v/>
      </c>
      <c r="AL254" s="45" t="str">
        <f>IF(AND(ISNUMBER(AC254),ISNUMBER(K254)),IF(F254="空",K254-AC254,AC254-K254),"")</f>
        <v/>
      </c>
      <c r="AM254" s="45" t="str">
        <f>IF(OR(NOT(ISNUMBER(AI254)),NOT(ISNUMBER(AE254))),"",IF(AI254&lt;0,IF(F254="空",AE254-L254,L254-AE254),IF(NOT(ISNUMBER(M254)),"",IF(F254="空",AE254-M254,M254-AE254))))</f>
        <v/>
      </c>
      <c r="AN254" s="31" t="n"/>
      <c r="AO254" s="31" t="n"/>
      <c r="AP254" s="30" t="n"/>
      <c r="AQ254" s="44" t="str">
        <f>IF(A254="","",SUM(AK$5:AK254))</f>
        <v/>
      </c>
      <c r="AR254" s="46" t="str">
        <f>IF(A254="","",MAX(0,MAX(AQ$5:AQ254))-AQ254)</f>
        <v/>
      </c>
    </row>
    <row r="255">
      <c r="A255" s="24" t="n"/>
      <c r="B255" s="29" t="n"/>
      <c r="C255" s="30" t="n"/>
      <c r="D255" s="31" t="n"/>
      <c r="E255" s="31" t="n"/>
      <c r="F255" s="31" t="n"/>
      <c r="G255" s="21" t="n"/>
      <c r="H255" s="31" t="n"/>
      <c r="I255" s="23" t="n"/>
      <c r="J255" s="31" t="n"/>
      <c r="K255" s="32" t="n"/>
      <c r="L255" s="32" t="n"/>
      <c r="M255" s="32" t="n"/>
      <c r="N255" s="33" t="str">
        <f>IF(AND(ISNUMBER(K255),ISNUMBER(L255),ISNUMBER(M255)),IF(OR(AND(F255="多",K255&gt;L255),AND(F255="空",K255&lt;L255)),ABS(M255-K255)/ABS(K255-L255),"止损方向不对"),"")</f>
        <v/>
      </c>
      <c r="O255" s="34" t="str">
        <f>IF(AND(ISNUMBER(K255),ISNUMBER(L255)),IF(K255=L255,"",IF(INT(ROUND('参数'!$C$7/(ABS(K255-L255)*1+2*K255*'参数'!$C$12)/IF(N(J255)&gt;0,J255,1),6))*IF(N(J255)&gt;0,J255,1)&gt;0,INT(ROUND('参数'!$C$7/(ABS(K255-L255)*1+2*K255*'参数'!$C$12)/IF(N(J255)&gt;0,J255,1),6))*IF(N(J255)&gt;0,J255,1),"预算不足，这笔不做")),"")</f>
        <v/>
      </c>
      <c r="P255" s="35" t="n"/>
      <c r="Q255" s="20" t="str">
        <f>IF(AND(ISNUMBER(K255),ISNUMBER(L255),ISNUMBER(P255)),IF(AND(K255&lt;&gt;L255,P255&gt;0),ABS(K255-L255)*P255*1,""),"")</f>
        <v/>
      </c>
      <c r="R255" s="20" t="str">
        <f>IF(AND(ISNUMBER(K255),ISNUMBER(P255)),K255*P255,"")</f>
        <v/>
      </c>
      <c r="S255" s="20" t="str">
        <f>IF(AND(D255="合约",ISNUMBER(R255),N(G255)&gt;0),R255/G255,"")</f>
        <v/>
      </c>
      <c r="T255" s="36" t="str">
        <f>IF(NOT(D255="合约"),"",IF(H255&lt;&gt;"逐仓","看平台",IF(AND(ISNUMBER(K255),N(G255)&gt;0),IF(F255="空",K255*(1+1/G255-IF(ISNUMBER(I255),I255,'参数'!$C$13)),K255*(1-1/G255+IF(ISNUMBER(I255),I255,'参数'!$C$13))),"")))</f>
        <v/>
      </c>
      <c r="U255" s="37" t="str">
        <f>IF(AND(ISNUMBER(T255),ISNUMBER(L255),ISNUMBER(K255)),IF(F255="空",T255-L255,L255-T255)/K255,"")</f>
        <v/>
      </c>
      <c r="V255" s="38" t="str">
        <f>IF(ISNUMBER(U255),IF(U255&lt;'参数'!$C$15,"先降杠杆或减量","在止损外"),"")</f>
        <v/>
      </c>
      <c r="W255" s="30" t="n"/>
      <c r="X255" s="31" t="n"/>
      <c r="Y255" s="39" t="str">
        <f>IF(N(AB255)&gt;0,SUMPRODUCT(LARGE(('成交明细'!$A$5:$A$804=A255)*('成交明细'!$D$5:$D$804=IF(F255="空","卖","买"))*'成交明细'!$B$5:$B$804,COUNTIFS('成交明细'!$A$5:$A$804,A255,'成交明细'!$D$5:$D$804,IF(F255="空","卖","买")))),"")</f>
        <v/>
      </c>
      <c r="Z255" s="39" t="str">
        <f>IF(AND(N(AB255)&gt;0,N(AD255)&gt;=N(AB255)),SUMPRODUCT(MAX(('成交明细'!$A$5:$A$804=A255)*('成交明细'!$D$5:$D$804=IF(F255="空","买","卖"))*'成交明细'!$B$5:$B$804)),"")</f>
        <v/>
      </c>
      <c r="AA255" s="40" t="str">
        <f>IF(N(AB255)=0,"",IF(SUMPRODUCT(('成交明细'!$A$5:$A$804=A255)*('成交明细'!$D$5:$D$804=IF(F255="空","卖","买"))*ISNUMBER('成交明细'!$C$5:$C$804))=0,"没填时间",IFERROR(VLOOKUP(MOD(SUMPRODUCT(LARGE(('成交明细'!$A$5:$A$804=A255)*('成交明细'!$D$5:$D$804=IF(F255="空","卖","买"))*('成交明细'!$B$5:$B$804+'成交明细'!$C$5:$C$804),COUNTIFS('成交明细'!$A$5:$A$804,A255,'成交明细'!$D$5:$D$804,IF(F255="空","卖","买")))),1),'参数'!$B$39:$C$48,2,TRUE),"")))</f>
        <v/>
      </c>
      <c r="AB255" s="34" t="str">
        <f>IF(A255="","",SUMIFS('成交明细'!$F$5:$F$804,'成交明细'!$A$5:$A$804,A255,'成交明细'!$D$5:$D$804,IF(F255="空","卖","买")))</f>
        <v/>
      </c>
      <c r="AC255" s="41" t="str">
        <f>IF(N(AB255)&gt;0,SUMIFS('成交明细'!$H$5:$H$804,'成交明细'!$A$5:$A$804,A255,'成交明细'!$D$5:$D$804,IF(F255="空","卖","买"))/AB255,"")</f>
        <v/>
      </c>
      <c r="AD255" s="34" t="str">
        <f>IF(A255="","",SUMIFS('成交明细'!$F$5:$F$804,'成交明细'!$A$5:$A$804,A255,'成交明细'!$D$5:$D$804,IF(F255="空","买","卖")))</f>
        <v/>
      </c>
      <c r="AE255" s="41" t="str">
        <f>IF(N(AD255)&gt;0,SUMIFS('成交明细'!$H$5:$H$804,'成交明细'!$A$5:$A$804,A255,'成交明细'!$D$5:$D$804,IF(F255="空","买","卖"))/AD255,"")</f>
        <v/>
      </c>
      <c r="AF255" s="38" t="str">
        <f>IF(A255="","",IF(X255&lt;&gt;"已执行",IF(X255="","未填执行情况",X255),IF(N(AB255)=0,"待录成交",IF(N(AD255)&gt;N(AB255),"平仓多于开仓",IF(N(AD255)&lt;N(AB255),"持仓中","已平仓")))))</f>
        <v/>
      </c>
      <c r="AG255" s="42" t="str">
        <f>IF(N(AB255)=0,"",SUMIFS('成交明细'!$L$5:$L$804,'成交明细'!$A$5:$A$804,A255))</f>
        <v/>
      </c>
      <c r="AH255" s="43" t="str">
        <f>IF(A255="","",SUMIFS('资金费流水'!$F$5:$F$604,'资金费流水'!$B$5:$B$604,A255))</f>
        <v/>
      </c>
      <c r="AI255" s="43" t="str">
        <f>IF(AF255&lt;&gt;"已平仓","",(SUMIFS('成交明细'!$H$5:$H$804,'成交明细'!$A$5:$A$804,A255,'成交明细'!$D$5:$D$804,"卖")-SUMIFS('成交明细'!$H$5:$H$804,'成交明细'!$A$5:$A$804,A255,'成交明细'!$D$5:$D$804,"买"))*1-AG255+N(AH255))</f>
        <v/>
      </c>
      <c r="AJ255" s="44" t="str">
        <f>IF(AND(AF255="已平仓",ISNUMBER(Q255)),(SUMIFS('成交明细'!$H$5:$H$804,'成交明细'!$A$5:$A$804,A255,'成交明细'!$D$5:$D$804,"卖")-SUMIFS('成交明细'!$H$5:$H$804,'成交明细'!$A$5:$A$804,A255,'成交明细'!$D$5:$D$804,"买"))*1/Q255,"")</f>
        <v/>
      </c>
      <c r="AK255" s="44" t="str">
        <f>IF(AND(AF255="已平仓",ISNUMBER(Q255)),AI255/Q255,"")</f>
        <v/>
      </c>
      <c r="AL255" s="45" t="str">
        <f>IF(AND(ISNUMBER(AC255),ISNUMBER(K255)),IF(F255="空",K255-AC255,AC255-K255),"")</f>
        <v/>
      </c>
      <c r="AM255" s="45" t="str">
        <f>IF(OR(NOT(ISNUMBER(AI255)),NOT(ISNUMBER(AE255))),"",IF(AI255&lt;0,IF(F255="空",AE255-L255,L255-AE255),IF(NOT(ISNUMBER(M255)),"",IF(F255="空",AE255-M255,M255-AE255))))</f>
        <v/>
      </c>
      <c r="AN255" s="31" t="n"/>
      <c r="AO255" s="31" t="n"/>
      <c r="AP255" s="30" t="n"/>
      <c r="AQ255" s="44" t="str">
        <f>IF(A255="","",SUM(AK$5:AK255))</f>
        <v/>
      </c>
      <c r="AR255" s="46" t="str">
        <f>IF(A255="","",MAX(0,MAX(AQ$5:AQ255))-AQ255)</f>
        <v/>
      </c>
    </row>
    <row r="256">
      <c r="A256" s="24" t="n"/>
      <c r="B256" s="29" t="n"/>
      <c r="C256" s="30" t="n"/>
      <c r="D256" s="31" t="n"/>
      <c r="E256" s="31" t="n"/>
      <c r="F256" s="31" t="n"/>
      <c r="G256" s="21" t="n"/>
      <c r="H256" s="31" t="n"/>
      <c r="I256" s="23" t="n"/>
      <c r="J256" s="31" t="n"/>
      <c r="K256" s="32" t="n"/>
      <c r="L256" s="32" t="n"/>
      <c r="M256" s="32" t="n"/>
      <c r="N256" s="33" t="str">
        <f>IF(AND(ISNUMBER(K256),ISNUMBER(L256),ISNUMBER(M256)),IF(OR(AND(F256="多",K256&gt;L256),AND(F256="空",K256&lt;L256)),ABS(M256-K256)/ABS(K256-L256),"止损方向不对"),"")</f>
        <v/>
      </c>
      <c r="O256" s="34" t="str">
        <f>IF(AND(ISNUMBER(K256),ISNUMBER(L256)),IF(K256=L256,"",IF(INT(ROUND('参数'!$C$7/(ABS(K256-L256)*1+2*K256*'参数'!$C$12)/IF(N(J256)&gt;0,J256,1),6))*IF(N(J256)&gt;0,J256,1)&gt;0,INT(ROUND('参数'!$C$7/(ABS(K256-L256)*1+2*K256*'参数'!$C$12)/IF(N(J256)&gt;0,J256,1),6))*IF(N(J256)&gt;0,J256,1),"预算不足，这笔不做")),"")</f>
        <v/>
      </c>
      <c r="P256" s="35" t="n"/>
      <c r="Q256" s="20" t="str">
        <f>IF(AND(ISNUMBER(K256),ISNUMBER(L256),ISNUMBER(P256)),IF(AND(K256&lt;&gt;L256,P256&gt;0),ABS(K256-L256)*P256*1,""),"")</f>
        <v/>
      </c>
      <c r="R256" s="20" t="str">
        <f>IF(AND(ISNUMBER(K256),ISNUMBER(P256)),K256*P256,"")</f>
        <v/>
      </c>
      <c r="S256" s="20" t="str">
        <f>IF(AND(D256="合约",ISNUMBER(R256),N(G256)&gt;0),R256/G256,"")</f>
        <v/>
      </c>
      <c r="T256" s="36" t="str">
        <f>IF(NOT(D256="合约"),"",IF(H256&lt;&gt;"逐仓","看平台",IF(AND(ISNUMBER(K256),N(G256)&gt;0),IF(F256="空",K256*(1+1/G256-IF(ISNUMBER(I256),I256,'参数'!$C$13)),K256*(1-1/G256+IF(ISNUMBER(I256),I256,'参数'!$C$13))),"")))</f>
        <v/>
      </c>
      <c r="U256" s="37" t="str">
        <f>IF(AND(ISNUMBER(T256),ISNUMBER(L256),ISNUMBER(K256)),IF(F256="空",T256-L256,L256-T256)/K256,"")</f>
        <v/>
      </c>
      <c r="V256" s="38" t="str">
        <f>IF(ISNUMBER(U256),IF(U256&lt;'参数'!$C$15,"先降杠杆或减量","在止损外"),"")</f>
        <v/>
      </c>
      <c r="W256" s="30" t="n"/>
      <c r="X256" s="31" t="n"/>
      <c r="Y256" s="39" t="str">
        <f>IF(N(AB256)&gt;0,SUMPRODUCT(LARGE(('成交明细'!$A$5:$A$804=A256)*('成交明细'!$D$5:$D$804=IF(F256="空","卖","买"))*'成交明细'!$B$5:$B$804,COUNTIFS('成交明细'!$A$5:$A$804,A256,'成交明细'!$D$5:$D$804,IF(F256="空","卖","买")))),"")</f>
        <v/>
      </c>
      <c r="Z256" s="39" t="str">
        <f>IF(AND(N(AB256)&gt;0,N(AD256)&gt;=N(AB256)),SUMPRODUCT(MAX(('成交明细'!$A$5:$A$804=A256)*('成交明细'!$D$5:$D$804=IF(F256="空","买","卖"))*'成交明细'!$B$5:$B$804)),"")</f>
        <v/>
      </c>
      <c r="AA256" s="40" t="str">
        <f>IF(N(AB256)=0,"",IF(SUMPRODUCT(('成交明细'!$A$5:$A$804=A256)*('成交明细'!$D$5:$D$804=IF(F256="空","卖","买"))*ISNUMBER('成交明细'!$C$5:$C$804))=0,"没填时间",IFERROR(VLOOKUP(MOD(SUMPRODUCT(LARGE(('成交明细'!$A$5:$A$804=A256)*('成交明细'!$D$5:$D$804=IF(F256="空","卖","买"))*('成交明细'!$B$5:$B$804+'成交明细'!$C$5:$C$804),COUNTIFS('成交明细'!$A$5:$A$804,A256,'成交明细'!$D$5:$D$804,IF(F256="空","卖","买")))),1),'参数'!$B$39:$C$48,2,TRUE),"")))</f>
        <v/>
      </c>
      <c r="AB256" s="34" t="str">
        <f>IF(A256="","",SUMIFS('成交明细'!$F$5:$F$804,'成交明细'!$A$5:$A$804,A256,'成交明细'!$D$5:$D$804,IF(F256="空","卖","买")))</f>
        <v/>
      </c>
      <c r="AC256" s="41" t="str">
        <f>IF(N(AB256)&gt;0,SUMIFS('成交明细'!$H$5:$H$804,'成交明细'!$A$5:$A$804,A256,'成交明细'!$D$5:$D$804,IF(F256="空","卖","买"))/AB256,"")</f>
        <v/>
      </c>
      <c r="AD256" s="34" t="str">
        <f>IF(A256="","",SUMIFS('成交明细'!$F$5:$F$804,'成交明细'!$A$5:$A$804,A256,'成交明细'!$D$5:$D$804,IF(F256="空","买","卖")))</f>
        <v/>
      </c>
      <c r="AE256" s="41" t="str">
        <f>IF(N(AD256)&gt;0,SUMIFS('成交明细'!$H$5:$H$804,'成交明细'!$A$5:$A$804,A256,'成交明细'!$D$5:$D$804,IF(F256="空","买","卖"))/AD256,"")</f>
        <v/>
      </c>
      <c r="AF256" s="38" t="str">
        <f>IF(A256="","",IF(X256&lt;&gt;"已执行",IF(X256="","未填执行情况",X256),IF(N(AB256)=0,"待录成交",IF(N(AD256)&gt;N(AB256),"平仓多于开仓",IF(N(AD256)&lt;N(AB256),"持仓中","已平仓")))))</f>
        <v/>
      </c>
      <c r="AG256" s="42" t="str">
        <f>IF(N(AB256)=0,"",SUMIFS('成交明细'!$L$5:$L$804,'成交明细'!$A$5:$A$804,A256))</f>
        <v/>
      </c>
      <c r="AH256" s="43" t="str">
        <f>IF(A256="","",SUMIFS('资金费流水'!$F$5:$F$604,'资金费流水'!$B$5:$B$604,A256))</f>
        <v/>
      </c>
      <c r="AI256" s="43" t="str">
        <f>IF(AF256&lt;&gt;"已平仓","",(SUMIFS('成交明细'!$H$5:$H$804,'成交明细'!$A$5:$A$804,A256,'成交明细'!$D$5:$D$804,"卖")-SUMIFS('成交明细'!$H$5:$H$804,'成交明细'!$A$5:$A$804,A256,'成交明细'!$D$5:$D$804,"买"))*1-AG256+N(AH256))</f>
        <v/>
      </c>
      <c r="AJ256" s="44" t="str">
        <f>IF(AND(AF256="已平仓",ISNUMBER(Q256)),(SUMIFS('成交明细'!$H$5:$H$804,'成交明细'!$A$5:$A$804,A256,'成交明细'!$D$5:$D$804,"卖")-SUMIFS('成交明细'!$H$5:$H$804,'成交明细'!$A$5:$A$804,A256,'成交明细'!$D$5:$D$804,"买"))*1/Q256,"")</f>
        <v/>
      </c>
      <c r="AK256" s="44" t="str">
        <f>IF(AND(AF256="已平仓",ISNUMBER(Q256)),AI256/Q256,"")</f>
        <v/>
      </c>
      <c r="AL256" s="45" t="str">
        <f>IF(AND(ISNUMBER(AC256),ISNUMBER(K256)),IF(F256="空",K256-AC256,AC256-K256),"")</f>
        <v/>
      </c>
      <c r="AM256" s="45" t="str">
        <f>IF(OR(NOT(ISNUMBER(AI256)),NOT(ISNUMBER(AE256))),"",IF(AI256&lt;0,IF(F256="空",AE256-L256,L256-AE256),IF(NOT(ISNUMBER(M256)),"",IF(F256="空",AE256-M256,M256-AE256))))</f>
        <v/>
      </c>
      <c r="AN256" s="31" t="n"/>
      <c r="AO256" s="31" t="n"/>
      <c r="AP256" s="30" t="n"/>
      <c r="AQ256" s="44" t="str">
        <f>IF(A256="","",SUM(AK$5:AK256))</f>
        <v/>
      </c>
      <c r="AR256" s="46" t="str">
        <f>IF(A256="","",MAX(0,MAX(AQ$5:AQ256))-AQ256)</f>
        <v/>
      </c>
    </row>
    <row r="257">
      <c r="A257" s="24" t="n"/>
      <c r="B257" s="29" t="n"/>
      <c r="C257" s="30" t="n"/>
      <c r="D257" s="31" t="n"/>
      <c r="E257" s="31" t="n"/>
      <c r="F257" s="31" t="n"/>
      <c r="G257" s="21" t="n"/>
      <c r="H257" s="31" t="n"/>
      <c r="I257" s="23" t="n"/>
      <c r="J257" s="31" t="n"/>
      <c r="K257" s="32" t="n"/>
      <c r="L257" s="32" t="n"/>
      <c r="M257" s="32" t="n"/>
      <c r="N257" s="33" t="str">
        <f>IF(AND(ISNUMBER(K257),ISNUMBER(L257),ISNUMBER(M257)),IF(OR(AND(F257="多",K257&gt;L257),AND(F257="空",K257&lt;L257)),ABS(M257-K257)/ABS(K257-L257),"止损方向不对"),"")</f>
        <v/>
      </c>
      <c r="O257" s="34" t="str">
        <f>IF(AND(ISNUMBER(K257),ISNUMBER(L257)),IF(K257=L257,"",IF(INT(ROUND('参数'!$C$7/(ABS(K257-L257)*1+2*K257*'参数'!$C$12)/IF(N(J257)&gt;0,J257,1),6))*IF(N(J257)&gt;0,J257,1)&gt;0,INT(ROUND('参数'!$C$7/(ABS(K257-L257)*1+2*K257*'参数'!$C$12)/IF(N(J257)&gt;0,J257,1),6))*IF(N(J257)&gt;0,J257,1),"预算不足，这笔不做")),"")</f>
        <v/>
      </c>
      <c r="P257" s="35" t="n"/>
      <c r="Q257" s="20" t="str">
        <f>IF(AND(ISNUMBER(K257),ISNUMBER(L257),ISNUMBER(P257)),IF(AND(K257&lt;&gt;L257,P257&gt;0),ABS(K257-L257)*P257*1,""),"")</f>
        <v/>
      </c>
      <c r="R257" s="20" t="str">
        <f>IF(AND(ISNUMBER(K257),ISNUMBER(P257)),K257*P257,"")</f>
        <v/>
      </c>
      <c r="S257" s="20" t="str">
        <f>IF(AND(D257="合约",ISNUMBER(R257),N(G257)&gt;0),R257/G257,"")</f>
        <v/>
      </c>
      <c r="T257" s="36" t="str">
        <f>IF(NOT(D257="合约"),"",IF(H257&lt;&gt;"逐仓","看平台",IF(AND(ISNUMBER(K257),N(G257)&gt;0),IF(F257="空",K257*(1+1/G257-IF(ISNUMBER(I257),I257,'参数'!$C$13)),K257*(1-1/G257+IF(ISNUMBER(I257),I257,'参数'!$C$13))),"")))</f>
        <v/>
      </c>
      <c r="U257" s="37" t="str">
        <f>IF(AND(ISNUMBER(T257),ISNUMBER(L257),ISNUMBER(K257)),IF(F257="空",T257-L257,L257-T257)/K257,"")</f>
        <v/>
      </c>
      <c r="V257" s="38" t="str">
        <f>IF(ISNUMBER(U257),IF(U257&lt;'参数'!$C$15,"先降杠杆或减量","在止损外"),"")</f>
        <v/>
      </c>
      <c r="W257" s="30" t="n"/>
      <c r="X257" s="31" t="n"/>
      <c r="Y257" s="39" t="str">
        <f>IF(N(AB257)&gt;0,SUMPRODUCT(LARGE(('成交明细'!$A$5:$A$804=A257)*('成交明细'!$D$5:$D$804=IF(F257="空","卖","买"))*'成交明细'!$B$5:$B$804,COUNTIFS('成交明细'!$A$5:$A$804,A257,'成交明细'!$D$5:$D$804,IF(F257="空","卖","买")))),"")</f>
        <v/>
      </c>
      <c r="Z257" s="39" t="str">
        <f>IF(AND(N(AB257)&gt;0,N(AD257)&gt;=N(AB257)),SUMPRODUCT(MAX(('成交明细'!$A$5:$A$804=A257)*('成交明细'!$D$5:$D$804=IF(F257="空","买","卖"))*'成交明细'!$B$5:$B$804)),"")</f>
        <v/>
      </c>
      <c r="AA257" s="40" t="str">
        <f>IF(N(AB257)=0,"",IF(SUMPRODUCT(('成交明细'!$A$5:$A$804=A257)*('成交明细'!$D$5:$D$804=IF(F257="空","卖","买"))*ISNUMBER('成交明细'!$C$5:$C$804))=0,"没填时间",IFERROR(VLOOKUP(MOD(SUMPRODUCT(LARGE(('成交明细'!$A$5:$A$804=A257)*('成交明细'!$D$5:$D$804=IF(F257="空","卖","买"))*('成交明细'!$B$5:$B$804+'成交明细'!$C$5:$C$804),COUNTIFS('成交明细'!$A$5:$A$804,A257,'成交明细'!$D$5:$D$804,IF(F257="空","卖","买")))),1),'参数'!$B$39:$C$48,2,TRUE),"")))</f>
        <v/>
      </c>
      <c r="AB257" s="34" t="str">
        <f>IF(A257="","",SUMIFS('成交明细'!$F$5:$F$804,'成交明细'!$A$5:$A$804,A257,'成交明细'!$D$5:$D$804,IF(F257="空","卖","买")))</f>
        <v/>
      </c>
      <c r="AC257" s="41" t="str">
        <f>IF(N(AB257)&gt;0,SUMIFS('成交明细'!$H$5:$H$804,'成交明细'!$A$5:$A$804,A257,'成交明细'!$D$5:$D$804,IF(F257="空","卖","买"))/AB257,"")</f>
        <v/>
      </c>
      <c r="AD257" s="34" t="str">
        <f>IF(A257="","",SUMIFS('成交明细'!$F$5:$F$804,'成交明细'!$A$5:$A$804,A257,'成交明细'!$D$5:$D$804,IF(F257="空","买","卖")))</f>
        <v/>
      </c>
      <c r="AE257" s="41" t="str">
        <f>IF(N(AD257)&gt;0,SUMIFS('成交明细'!$H$5:$H$804,'成交明细'!$A$5:$A$804,A257,'成交明细'!$D$5:$D$804,IF(F257="空","买","卖"))/AD257,"")</f>
        <v/>
      </c>
      <c r="AF257" s="38" t="str">
        <f>IF(A257="","",IF(X257&lt;&gt;"已执行",IF(X257="","未填执行情况",X257),IF(N(AB257)=0,"待录成交",IF(N(AD257)&gt;N(AB257),"平仓多于开仓",IF(N(AD257)&lt;N(AB257),"持仓中","已平仓")))))</f>
        <v/>
      </c>
      <c r="AG257" s="42" t="str">
        <f>IF(N(AB257)=0,"",SUMIFS('成交明细'!$L$5:$L$804,'成交明细'!$A$5:$A$804,A257))</f>
        <v/>
      </c>
      <c r="AH257" s="43" t="str">
        <f>IF(A257="","",SUMIFS('资金费流水'!$F$5:$F$604,'资金费流水'!$B$5:$B$604,A257))</f>
        <v/>
      </c>
      <c r="AI257" s="43" t="str">
        <f>IF(AF257&lt;&gt;"已平仓","",(SUMIFS('成交明细'!$H$5:$H$804,'成交明细'!$A$5:$A$804,A257,'成交明细'!$D$5:$D$804,"卖")-SUMIFS('成交明细'!$H$5:$H$804,'成交明细'!$A$5:$A$804,A257,'成交明细'!$D$5:$D$804,"买"))*1-AG257+N(AH257))</f>
        <v/>
      </c>
      <c r="AJ257" s="44" t="str">
        <f>IF(AND(AF257="已平仓",ISNUMBER(Q257)),(SUMIFS('成交明细'!$H$5:$H$804,'成交明细'!$A$5:$A$804,A257,'成交明细'!$D$5:$D$804,"卖")-SUMIFS('成交明细'!$H$5:$H$804,'成交明细'!$A$5:$A$804,A257,'成交明细'!$D$5:$D$804,"买"))*1/Q257,"")</f>
        <v/>
      </c>
      <c r="AK257" s="44" t="str">
        <f>IF(AND(AF257="已平仓",ISNUMBER(Q257)),AI257/Q257,"")</f>
        <v/>
      </c>
      <c r="AL257" s="45" t="str">
        <f>IF(AND(ISNUMBER(AC257),ISNUMBER(K257)),IF(F257="空",K257-AC257,AC257-K257),"")</f>
        <v/>
      </c>
      <c r="AM257" s="45" t="str">
        <f>IF(OR(NOT(ISNUMBER(AI257)),NOT(ISNUMBER(AE257))),"",IF(AI257&lt;0,IF(F257="空",AE257-L257,L257-AE257),IF(NOT(ISNUMBER(M257)),"",IF(F257="空",AE257-M257,M257-AE257))))</f>
        <v/>
      </c>
      <c r="AN257" s="31" t="n"/>
      <c r="AO257" s="31" t="n"/>
      <c r="AP257" s="30" t="n"/>
      <c r="AQ257" s="44" t="str">
        <f>IF(A257="","",SUM(AK$5:AK257))</f>
        <v/>
      </c>
      <c r="AR257" s="46" t="str">
        <f>IF(A257="","",MAX(0,MAX(AQ$5:AQ257))-AQ257)</f>
        <v/>
      </c>
    </row>
    <row r="258">
      <c r="A258" s="24" t="n"/>
      <c r="B258" s="29" t="n"/>
      <c r="C258" s="30" t="n"/>
      <c r="D258" s="31" t="n"/>
      <c r="E258" s="31" t="n"/>
      <c r="F258" s="31" t="n"/>
      <c r="G258" s="21" t="n"/>
      <c r="H258" s="31" t="n"/>
      <c r="I258" s="23" t="n"/>
      <c r="J258" s="31" t="n"/>
      <c r="K258" s="32" t="n"/>
      <c r="L258" s="32" t="n"/>
      <c r="M258" s="32" t="n"/>
      <c r="N258" s="33" t="str">
        <f>IF(AND(ISNUMBER(K258),ISNUMBER(L258),ISNUMBER(M258)),IF(OR(AND(F258="多",K258&gt;L258),AND(F258="空",K258&lt;L258)),ABS(M258-K258)/ABS(K258-L258),"止损方向不对"),"")</f>
        <v/>
      </c>
      <c r="O258" s="34" t="str">
        <f>IF(AND(ISNUMBER(K258),ISNUMBER(L258)),IF(K258=L258,"",IF(INT(ROUND('参数'!$C$7/(ABS(K258-L258)*1+2*K258*'参数'!$C$12)/IF(N(J258)&gt;0,J258,1),6))*IF(N(J258)&gt;0,J258,1)&gt;0,INT(ROUND('参数'!$C$7/(ABS(K258-L258)*1+2*K258*'参数'!$C$12)/IF(N(J258)&gt;0,J258,1),6))*IF(N(J258)&gt;0,J258,1),"预算不足，这笔不做")),"")</f>
        <v/>
      </c>
      <c r="P258" s="35" t="n"/>
      <c r="Q258" s="20" t="str">
        <f>IF(AND(ISNUMBER(K258),ISNUMBER(L258),ISNUMBER(P258)),IF(AND(K258&lt;&gt;L258,P258&gt;0),ABS(K258-L258)*P258*1,""),"")</f>
        <v/>
      </c>
      <c r="R258" s="20" t="str">
        <f>IF(AND(ISNUMBER(K258),ISNUMBER(P258)),K258*P258,"")</f>
        <v/>
      </c>
      <c r="S258" s="20" t="str">
        <f>IF(AND(D258="合约",ISNUMBER(R258),N(G258)&gt;0),R258/G258,"")</f>
        <v/>
      </c>
      <c r="T258" s="36" t="str">
        <f>IF(NOT(D258="合约"),"",IF(H258&lt;&gt;"逐仓","看平台",IF(AND(ISNUMBER(K258),N(G258)&gt;0),IF(F258="空",K258*(1+1/G258-IF(ISNUMBER(I258),I258,'参数'!$C$13)),K258*(1-1/G258+IF(ISNUMBER(I258),I258,'参数'!$C$13))),"")))</f>
        <v/>
      </c>
      <c r="U258" s="37" t="str">
        <f>IF(AND(ISNUMBER(T258),ISNUMBER(L258),ISNUMBER(K258)),IF(F258="空",T258-L258,L258-T258)/K258,"")</f>
        <v/>
      </c>
      <c r="V258" s="38" t="str">
        <f>IF(ISNUMBER(U258),IF(U258&lt;'参数'!$C$15,"先降杠杆或减量","在止损外"),"")</f>
        <v/>
      </c>
      <c r="W258" s="30" t="n"/>
      <c r="X258" s="31" t="n"/>
      <c r="Y258" s="39" t="str">
        <f>IF(N(AB258)&gt;0,SUMPRODUCT(LARGE(('成交明细'!$A$5:$A$804=A258)*('成交明细'!$D$5:$D$804=IF(F258="空","卖","买"))*'成交明细'!$B$5:$B$804,COUNTIFS('成交明细'!$A$5:$A$804,A258,'成交明细'!$D$5:$D$804,IF(F258="空","卖","买")))),"")</f>
        <v/>
      </c>
      <c r="Z258" s="39" t="str">
        <f>IF(AND(N(AB258)&gt;0,N(AD258)&gt;=N(AB258)),SUMPRODUCT(MAX(('成交明细'!$A$5:$A$804=A258)*('成交明细'!$D$5:$D$804=IF(F258="空","买","卖"))*'成交明细'!$B$5:$B$804)),"")</f>
        <v/>
      </c>
      <c r="AA258" s="40" t="str">
        <f>IF(N(AB258)=0,"",IF(SUMPRODUCT(('成交明细'!$A$5:$A$804=A258)*('成交明细'!$D$5:$D$804=IF(F258="空","卖","买"))*ISNUMBER('成交明细'!$C$5:$C$804))=0,"没填时间",IFERROR(VLOOKUP(MOD(SUMPRODUCT(LARGE(('成交明细'!$A$5:$A$804=A258)*('成交明细'!$D$5:$D$804=IF(F258="空","卖","买"))*('成交明细'!$B$5:$B$804+'成交明细'!$C$5:$C$804),COUNTIFS('成交明细'!$A$5:$A$804,A258,'成交明细'!$D$5:$D$804,IF(F258="空","卖","买")))),1),'参数'!$B$39:$C$48,2,TRUE),"")))</f>
        <v/>
      </c>
      <c r="AB258" s="34" t="str">
        <f>IF(A258="","",SUMIFS('成交明细'!$F$5:$F$804,'成交明细'!$A$5:$A$804,A258,'成交明细'!$D$5:$D$804,IF(F258="空","卖","买")))</f>
        <v/>
      </c>
      <c r="AC258" s="41" t="str">
        <f>IF(N(AB258)&gt;0,SUMIFS('成交明细'!$H$5:$H$804,'成交明细'!$A$5:$A$804,A258,'成交明细'!$D$5:$D$804,IF(F258="空","卖","买"))/AB258,"")</f>
        <v/>
      </c>
      <c r="AD258" s="34" t="str">
        <f>IF(A258="","",SUMIFS('成交明细'!$F$5:$F$804,'成交明细'!$A$5:$A$804,A258,'成交明细'!$D$5:$D$804,IF(F258="空","买","卖")))</f>
        <v/>
      </c>
      <c r="AE258" s="41" t="str">
        <f>IF(N(AD258)&gt;0,SUMIFS('成交明细'!$H$5:$H$804,'成交明细'!$A$5:$A$804,A258,'成交明细'!$D$5:$D$804,IF(F258="空","买","卖"))/AD258,"")</f>
        <v/>
      </c>
      <c r="AF258" s="38" t="str">
        <f>IF(A258="","",IF(X258&lt;&gt;"已执行",IF(X258="","未填执行情况",X258),IF(N(AB258)=0,"待录成交",IF(N(AD258)&gt;N(AB258),"平仓多于开仓",IF(N(AD258)&lt;N(AB258),"持仓中","已平仓")))))</f>
        <v/>
      </c>
      <c r="AG258" s="42" t="str">
        <f>IF(N(AB258)=0,"",SUMIFS('成交明细'!$L$5:$L$804,'成交明细'!$A$5:$A$804,A258))</f>
        <v/>
      </c>
      <c r="AH258" s="43" t="str">
        <f>IF(A258="","",SUMIFS('资金费流水'!$F$5:$F$604,'资金费流水'!$B$5:$B$604,A258))</f>
        <v/>
      </c>
      <c r="AI258" s="43" t="str">
        <f>IF(AF258&lt;&gt;"已平仓","",(SUMIFS('成交明细'!$H$5:$H$804,'成交明细'!$A$5:$A$804,A258,'成交明细'!$D$5:$D$804,"卖")-SUMIFS('成交明细'!$H$5:$H$804,'成交明细'!$A$5:$A$804,A258,'成交明细'!$D$5:$D$804,"买"))*1-AG258+N(AH258))</f>
        <v/>
      </c>
      <c r="AJ258" s="44" t="str">
        <f>IF(AND(AF258="已平仓",ISNUMBER(Q258)),(SUMIFS('成交明细'!$H$5:$H$804,'成交明细'!$A$5:$A$804,A258,'成交明细'!$D$5:$D$804,"卖")-SUMIFS('成交明细'!$H$5:$H$804,'成交明细'!$A$5:$A$804,A258,'成交明细'!$D$5:$D$804,"买"))*1/Q258,"")</f>
        <v/>
      </c>
      <c r="AK258" s="44" t="str">
        <f>IF(AND(AF258="已平仓",ISNUMBER(Q258)),AI258/Q258,"")</f>
        <v/>
      </c>
      <c r="AL258" s="45" t="str">
        <f>IF(AND(ISNUMBER(AC258),ISNUMBER(K258)),IF(F258="空",K258-AC258,AC258-K258),"")</f>
        <v/>
      </c>
      <c r="AM258" s="45" t="str">
        <f>IF(OR(NOT(ISNUMBER(AI258)),NOT(ISNUMBER(AE258))),"",IF(AI258&lt;0,IF(F258="空",AE258-L258,L258-AE258),IF(NOT(ISNUMBER(M258)),"",IF(F258="空",AE258-M258,M258-AE258))))</f>
        <v/>
      </c>
      <c r="AN258" s="31" t="n"/>
      <c r="AO258" s="31" t="n"/>
      <c r="AP258" s="30" t="n"/>
      <c r="AQ258" s="44" t="str">
        <f>IF(A258="","",SUM(AK$5:AK258))</f>
        <v/>
      </c>
      <c r="AR258" s="46" t="str">
        <f>IF(A258="","",MAX(0,MAX(AQ$5:AQ258))-AQ258)</f>
        <v/>
      </c>
    </row>
    <row r="259">
      <c r="A259" s="24" t="n"/>
      <c r="B259" s="29" t="n"/>
      <c r="C259" s="30" t="n"/>
      <c r="D259" s="31" t="n"/>
      <c r="E259" s="31" t="n"/>
      <c r="F259" s="31" t="n"/>
      <c r="G259" s="21" t="n"/>
      <c r="H259" s="31" t="n"/>
      <c r="I259" s="23" t="n"/>
      <c r="J259" s="31" t="n"/>
      <c r="K259" s="32" t="n"/>
      <c r="L259" s="32" t="n"/>
      <c r="M259" s="32" t="n"/>
      <c r="N259" s="33" t="str">
        <f>IF(AND(ISNUMBER(K259),ISNUMBER(L259),ISNUMBER(M259)),IF(OR(AND(F259="多",K259&gt;L259),AND(F259="空",K259&lt;L259)),ABS(M259-K259)/ABS(K259-L259),"止损方向不对"),"")</f>
        <v/>
      </c>
      <c r="O259" s="34" t="str">
        <f>IF(AND(ISNUMBER(K259),ISNUMBER(L259)),IF(K259=L259,"",IF(INT(ROUND('参数'!$C$7/(ABS(K259-L259)*1+2*K259*'参数'!$C$12)/IF(N(J259)&gt;0,J259,1),6))*IF(N(J259)&gt;0,J259,1)&gt;0,INT(ROUND('参数'!$C$7/(ABS(K259-L259)*1+2*K259*'参数'!$C$12)/IF(N(J259)&gt;0,J259,1),6))*IF(N(J259)&gt;0,J259,1),"预算不足，这笔不做")),"")</f>
        <v/>
      </c>
      <c r="P259" s="35" t="n"/>
      <c r="Q259" s="20" t="str">
        <f>IF(AND(ISNUMBER(K259),ISNUMBER(L259),ISNUMBER(P259)),IF(AND(K259&lt;&gt;L259,P259&gt;0),ABS(K259-L259)*P259*1,""),"")</f>
        <v/>
      </c>
      <c r="R259" s="20" t="str">
        <f>IF(AND(ISNUMBER(K259),ISNUMBER(P259)),K259*P259,"")</f>
        <v/>
      </c>
      <c r="S259" s="20" t="str">
        <f>IF(AND(D259="合约",ISNUMBER(R259),N(G259)&gt;0),R259/G259,"")</f>
        <v/>
      </c>
      <c r="T259" s="36" t="str">
        <f>IF(NOT(D259="合约"),"",IF(H259&lt;&gt;"逐仓","看平台",IF(AND(ISNUMBER(K259),N(G259)&gt;0),IF(F259="空",K259*(1+1/G259-IF(ISNUMBER(I259),I259,'参数'!$C$13)),K259*(1-1/G259+IF(ISNUMBER(I259),I259,'参数'!$C$13))),"")))</f>
        <v/>
      </c>
      <c r="U259" s="37" t="str">
        <f>IF(AND(ISNUMBER(T259),ISNUMBER(L259),ISNUMBER(K259)),IF(F259="空",T259-L259,L259-T259)/K259,"")</f>
        <v/>
      </c>
      <c r="V259" s="38" t="str">
        <f>IF(ISNUMBER(U259),IF(U259&lt;'参数'!$C$15,"先降杠杆或减量","在止损外"),"")</f>
        <v/>
      </c>
      <c r="W259" s="30" t="n"/>
      <c r="X259" s="31" t="n"/>
      <c r="Y259" s="39" t="str">
        <f>IF(N(AB259)&gt;0,SUMPRODUCT(LARGE(('成交明细'!$A$5:$A$804=A259)*('成交明细'!$D$5:$D$804=IF(F259="空","卖","买"))*'成交明细'!$B$5:$B$804,COUNTIFS('成交明细'!$A$5:$A$804,A259,'成交明细'!$D$5:$D$804,IF(F259="空","卖","买")))),"")</f>
        <v/>
      </c>
      <c r="Z259" s="39" t="str">
        <f>IF(AND(N(AB259)&gt;0,N(AD259)&gt;=N(AB259)),SUMPRODUCT(MAX(('成交明细'!$A$5:$A$804=A259)*('成交明细'!$D$5:$D$804=IF(F259="空","买","卖"))*'成交明细'!$B$5:$B$804)),"")</f>
        <v/>
      </c>
      <c r="AA259" s="40" t="str">
        <f>IF(N(AB259)=0,"",IF(SUMPRODUCT(('成交明细'!$A$5:$A$804=A259)*('成交明细'!$D$5:$D$804=IF(F259="空","卖","买"))*ISNUMBER('成交明细'!$C$5:$C$804))=0,"没填时间",IFERROR(VLOOKUP(MOD(SUMPRODUCT(LARGE(('成交明细'!$A$5:$A$804=A259)*('成交明细'!$D$5:$D$804=IF(F259="空","卖","买"))*('成交明细'!$B$5:$B$804+'成交明细'!$C$5:$C$804),COUNTIFS('成交明细'!$A$5:$A$804,A259,'成交明细'!$D$5:$D$804,IF(F259="空","卖","买")))),1),'参数'!$B$39:$C$48,2,TRUE),"")))</f>
        <v/>
      </c>
      <c r="AB259" s="34" t="str">
        <f>IF(A259="","",SUMIFS('成交明细'!$F$5:$F$804,'成交明细'!$A$5:$A$804,A259,'成交明细'!$D$5:$D$804,IF(F259="空","卖","买")))</f>
        <v/>
      </c>
      <c r="AC259" s="41" t="str">
        <f>IF(N(AB259)&gt;0,SUMIFS('成交明细'!$H$5:$H$804,'成交明细'!$A$5:$A$804,A259,'成交明细'!$D$5:$D$804,IF(F259="空","卖","买"))/AB259,"")</f>
        <v/>
      </c>
      <c r="AD259" s="34" t="str">
        <f>IF(A259="","",SUMIFS('成交明细'!$F$5:$F$804,'成交明细'!$A$5:$A$804,A259,'成交明细'!$D$5:$D$804,IF(F259="空","买","卖")))</f>
        <v/>
      </c>
      <c r="AE259" s="41" t="str">
        <f>IF(N(AD259)&gt;0,SUMIFS('成交明细'!$H$5:$H$804,'成交明细'!$A$5:$A$804,A259,'成交明细'!$D$5:$D$804,IF(F259="空","买","卖"))/AD259,"")</f>
        <v/>
      </c>
      <c r="AF259" s="38" t="str">
        <f>IF(A259="","",IF(X259&lt;&gt;"已执行",IF(X259="","未填执行情况",X259),IF(N(AB259)=0,"待录成交",IF(N(AD259)&gt;N(AB259),"平仓多于开仓",IF(N(AD259)&lt;N(AB259),"持仓中","已平仓")))))</f>
        <v/>
      </c>
      <c r="AG259" s="42" t="str">
        <f>IF(N(AB259)=0,"",SUMIFS('成交明细'!$L$5:$L$804,'成交明细'!$A$5:$A$804,A259))</f>
        <v/>
      </c>
      <c r="AH259" s="43" t="str">
        <f>IF(A259="","",SUMIFS('资金费流水'!$F$5:$F$604,'资金费流水'!$B$5:$B$604,A259))</f>
        <v/>
      </c>
      <c r="AI259" s="43" t="str">
        <f>IF(AF259&lt;&gt;"已平仓","",(SUMIFS('成交明细'!$H$5:$H$804,'成交明细'!$A$5:$A$804,A259,'成交明细'!$D$5:$D$804,"卖")-SUMIFS('成交明细'!$H$5:$H$804,'成交明细'!$A$5:$A$804,A259,'成交明细'!$D$5:$D$804,"买"))*1-AG259+N(AH259))</f>
        <v/>
      </c>
      <c r="AJ259" s="44" t="str">
        <f>IF(AND(AF259="已平仓",ISNUMBER(Q259)),(SUMIFS('成交明细'!$H$5:$H$804,'成交明细'!$A$5:$A$804,A259,'成交明细'!$D$5:$D$804,"卖")-SUMIFS('成交明细'!$H$5:$H$804,'成交明细'!$A$5:$A$804,A259,'成交明细'!$D$5:$D$804,"买"))*1/Q259,"")</f>
        <v/>
      </c>
      <c r="AK259" s="44" t="str">
        <f>IF(AND(AF259="已平仓",ISNUMBER(Q259)),AI259/Q259,"")</f>
        <v/>
      </c>
      <c r="AL259" s="45" t="str">
        <f>IF(AND(ISNUMBER(AC259),ISNUMBER(K259)),IF(F259="空",K259-AC259,AC259-K259),"")</f>
        <v/>
      </c>
      <c r="AM259" s="45" t="str">
        <f>IF(OR(NOT(ISNUMBER(AI259)),NOT(ISNUMBER(AE259))),"",IF(AI259&lt;0,IF(F259="空",AE259-L259,L259-AE259),IF(NOT(ISNUMBER(M259)),"",IF(F259="空",AE259-M259,M259-AE259))))</f>
        <v/>
      </c>
      <c r="AN259" s="31" t="n"/>
      <c r="AO259" s="31" t="n"/>
      <c r="AP259" s="30" t="n"/>
      <c r="AQ259" s="44" t="str">
        <f>IF(A259="","",SUM(AK$5:AK259))</f>
        <v/>
      </c>
      <c r="AR259" s="46" t="str">
        <f>IF(A259="","",MAX(0,MAX(AQ$5:AQ259))-AQ259)</f>
        <v/>
      </c>
    </row>
    <row r="260">
      <c r="A260" s="24" t="n"/>
      <c r="B260" s="29" t="n"/>
      <c r="C260" s="30" t="n"/>
      <c r="D260" s="31" t="n"/>
      <c r="E260" s="31" t="n"/>
      <c r="F260" s="31" t="n"/>
      <c r="G260" s="21" t="n"/>
      <c r="H260" s="31" t="n"/>
      <c r="I260" s="23" t="n"/>
      <c r="J260" s="31" t="n"/>
      <c r="K260" s="32" t="n"/>
      <c r="L260" s="32" t="n"/>
      <c r="M260" s="32" t="n"/>
      <c r="N260" s="33" t="str">
        <f>IF(AND(ISNUMBER(K260),ISNUMBER(L260),ISNUMBER(M260)),IF(OR(AND(F260="多",K260&gt;L260),AND(F260="空",K260&lt;L260)),ABS(M260-K260)/ABS(K260-L260),"止损方向不对"),"")</f>
        <v/>
      </c>
      <c r="O260" s="34" t="str">
        <f>IF(AND(ISNUMBER(K260),ISNUMBER(L260)),IF(K260=L260,"",IF(INT(ROUND('参数'!$C$7/(ABS(K260-L260)*1+2*K260*'参数'!$C$12)/IF(N(J260)&gt;0,J260,1),6))*IF(N(J260)&gt;0,J260,1)&gt;0,INT(ROUND('参数'!$C$7/(ABS(K260-L260)*1+2*K260*'参数'!$C$12)/IF(N(J260)&gt;0,J260,1),6))*IF(N(J260)&gt;0,J260,1),"预算不足，这笔不做")),"")</f>
        <v/>
      </c>
      <c r="P260" s="35" t="n"/>
      <c r="Q260" s="20" t="str">
        <f>IF(AND(ISNUMBER(K260),ISNUMBER(L260),ISNUMBER(P260)),IF(AND(K260&lt;&gt;L260,P260&gt;0),ABS(K260-L260)*P260*1,""),"")</f>
        <v/>
      </c>
      <c r="R260" s="20" t="str">
        <f>IF(AND(ISNUMBER(K260),ISNUMBER(P260)),K260*P260,"")</f>
        <v/>
      </c>
      <c r="S260" s="20" t="str">
        <f>IF(AND(D260="合约",ISNUMBER(R260),N(G260)&gt;0),R260/G260,"")</f>
        <v/>
      </c>
      <c r="T260" s="36" t="str">
        <f>IF(NOT(D260="合约"),"",IF(H260&lt;&gt;"逐仓","看平台",IF(AND(ISNUMBER(K260),N(G260)&gt;0),IF(F260="空",K260*(1+1/G260-IF(ISNUMBER(I260),I260,'参数'!$C$13)),K260*(1-1/G260+IF(ISNUMBER(I260),I260,'参数'!$C$13))),"")))</f>
        <v/>
      </c>
      <c r="U260" s="37" t="str">
        <f>IF(AND(ISNUMBER(T260),ISNUMBER(L260),ISNUMBER(K260)),IF(F260="空",T260-L260,L260-T260)/K260,"")</f>
        <v/>
      </c>
      <c r="V260" s="38" t="str">
        <f>IF(ISNUMBER(U260),IF(U260&lt;'参数'!$C$15,"先降杠杆或减量","在止损外"),"")</f>
        <v/>
      </c>
      <c r="W260" s="30" t="n"/>
      <c r="X260" s="31" t="n"/>
      <c r="Y260" s="39" t="str">
        <f>IF(N(AB260)&gt;0,SUMPRODUCT(LARGE(('成交明细'!$A$5:$A$804=A260)*('成交明细'!$D$5:$D$804=IF(F260="空","卖","买"))*'成交明细'!$B$5:$B$804,COUNTIFS('成交明细'!$A$5:$A$804,A260,'成交明细'!$D$5:$D$804,IF(F260="空","卖","买")))),"")</f>
        <v/>
      </c>
      <c r="Z260" s="39" t="str">
        <f>IF(AND(N(AB260)&gt;0,N(AD260)&gt;=N(AB260)),SUMPRODUCT(MAX(('成交明细'!$A$5:$A$804=A260)*('成交明细'!$D$5:$D$804=IF(F260="空","买","卖"))*'成交明细'!$B$5:$B$804)),"")</f>
        <v/>
      </c>
      <c r="AA260" s="40" t="str">
        <f>IF(N(AB260)=0,"",IF(SUMPRODUCT(('成交明细'!$A$5:$A$804=A260)*('成交明细'!$D$5:$D$804=IF(F260="空","卖","买"))*ISNUMBER('成交明细'!$C$5:$C$804))=0,"没填时间",IFERROR(VLOOKUP(MOD(SUMPRODUCT(LARGE(('成交明细'!$A$5:$A$804=A260)*('成交明细'!$D$5:$D$804=IF(F260="空","卖","买"))*('成交明细'!$B$5:$B$804+'成交明细'!$C$5:$C$804),COUNTIFS('成交明细'!$A$5:$A$804,A260,'成交明细'!$D$5:$D$804,IF(F260="空","卖","买")))),1),'参数'!$B$39:$C$48,2,TRUE),"")))</f>
        <v/>
      </c>
      <c r="AB260" s="34" t="str">
        <f>IF(A260="","",SUMIFS('成交明细'!$F$5:$F$804,'成交明细'!$A$5:$A$804,A260,'成交明细'!$D$5:$D$804,IF(F260="空","卖","买")))</f>
        <v/>
      </c>
      <c r="AC260" s="41" t="str">
        <f>IF(N(AB260)&gt;0,SUMIFS('成交明细'!$H$5:$H$804,'成交明细'!$A$5:$A$804,A260,'成交明细'!$D$5:$D$804,IF(F260="空","卖","买"))/AB260,"")</f>
        <v/>
      </c>
      <c r="AD260" s="34" t="str">
        <f>IF(A260="","",SUMIFS('成交明细'!$F$5:$F$804,'成交明细'!$A$5:$A$804,A260,'成交明细'!$D$5:$D$804,IF(F260="空","买","卖")))</f>
        <v/>
      </c>
      <c r="AE260" s="41" t="str">
        <f>IF(N(AD260)&gt;0,SUMIFS('成交明细'!$H$5:$H$804,'成交明细'!$A$5:$A$804,A260,'成交明细'!$D$5:$D$804,IF(F260="空","买","卖"))/AD260,"")</f>
        <v/>
      </c>
      <c r="AF260" s="38" t="str">
        <f>IF(A260="","",IF(X260&lt;&gt;"已执行",IF(X260="","未填执行情况",X260),IF(N(AB260)=0,"待录成交",IF(N(AD260)&gt;N(AB260),"平仓多于开仓",IF(N(AD260)&lt;N(AB260),"持仓中","已平仓")))))</f>
        <v/>
      </c>
      <c r="AG260" s="42" t="str">
        <f>IF(N(AB260)=0,"",SUMIFS('成交明细'!$L$5:$L$804,'成交明细'!$A$5:$A$804,A260))</f>
        <v/>
      </c>
      <c r="AH260" s="43" t="str">
        <f>IF(A260="","",SUMIFS('资金费流水'!$F$5:$F$604,'资金费流水'!$B$5:$B$604,A260))</f>
        <v/>
      </c>
      <c r="AI260" s="43" t="str">
        <f>IF(AF260&lt;&gt;"已平仓","",(SUMIFS('成交明细'!$H$5:$H$804,'成交明细'!$A$5:$A$804,A260,'成交明细'!$D$5:$D$804,"卖")-SUMIFS('成交明细'!$H$5:$H$804,'成交明细'!$A$5:$A$804,A260,'成交明细'!$D$5:$D$804,"买"))*1-AG260+N(AH260))</f>
        <v/>
      </c>
      <c r="AJ260" s="44" t="str">
        <f>IF(AND(AF260="已平仓",ISNUMBER(Q260)),(SUMIFS('成交明细'!$H$5:$H$804,'成交明细'!$A$5:$A$804,A260,'成交明细'!$D$5:$D$804,"卖")-SUMIFS('成交明细'!$H$5:$H$804,'成交明细'!$A$5:$A$804,A260,'成交明细'!$D$5:$D$804,"买"))*1/Q260,"")</f>
        <v/>
      </c>
      <c r="AK260" s="44" t="str">
        <f>IF(AND(AF260="已平仓",ISNUMBER(Q260)),AI260/Q260,"")</f>
        <v/>
      </c>
      <c r="AL260" s="45" t="str">
        <f>IF(AND(ISNUMBER(AC260),ISNUMBER(K260)),IF(F260="空",K260-AC260,AC260-K260),"")</f>
        <v/>
      </c>
      <c r="AM260" s="45" t="str">
        <f>IF(OR(NOT(ISNUMBER(AI260)),NOT(ISNUMBER(AE260))),"",IF(AI260&lt;0,IF(F260="空",AE260-L260,L260-AE260),IF(NOT(ISNUMBER(M260)),"",IF(F260="空",AE260-M260,M260-AE260))))</f>
        <v/>
      </c>
      <c r="AN260" s="31" t="n"/>
      <c r="AO260" s="31" t="n"/>
      <c r="AP260" s="30" t="n"/>
      <c r="AQ260" s="44" t="str">
        <f>IF(A260="","",SUM(AK$5:AK260))</f>
        <v/>
      </c>
      <c r="AR260" s="46" t="str">
        <f>IF(A260="","",MAX(0,MAX(AQ$5:AQ260))-AQ260)</f>
        <v/>
      </c>
    </row>
    <row r="261">
      <c r="A261" s="24" t="n"/>
      <c r="B261" s="29" t="n"/>
      <c r="C261" s="30" t="n"/>
      <c r="D261" s="31" t="n"/>
      <c r="E261" s="31" t="n"/>
      <c r="F261" s="31" t="n"/>
      <c r="G261" s="21" t="n"/>
      <c r="H261" s="31" t="n"/>
      <c r="I261" s="23" t="n"/>
      <c r="J261" s="31" t="n"/>
      <c r="K261" s="32" t="n"/>
      <c r="L261" s="32" t="n"/>
      <c r="M261" s="32" t="n"/>
      <c r="N261" s="33" t="str">
        <f>IF(AND(ISNUMBER(K261),ISNUMBER(L261),ISNUMBER(M261)),IF(OR(AND(F261="多",K261&gt;L261),AND(F261="空",K261&lt;L261)),ABS(M261-K261)/ABS(K261-L261),"止损方向不对"),"")</f>
        <v/>
      </c>
      <c r="O261" s="34" t="str">
        <f>IF(AND(ISNUMBER(K261),ISNUMBER(L261)),IF(K261=L261,"",IF(INT(ROUND('参数'!$C$7/(ABS(K261-L261)*1+2*K261*'参数'!$C$12)/IF(N(J261)&gt;0,J261,1),6))*IF(N(J261)&gt;0,J261,1)&gt;0,INT(ROUND('参数'!$C$7/(ABS(K261-L261)*1+2*K261*'参数'!$C$12)/IF(N(J261)&gt;0,J261,1),6))*IF(N(J261)&gt;0,J261,1),"预算不足，这笔不做")),"")</f>
        <v/>
      </c>
      <c r="P261" s="35" t="n"/>
      <c r="Q261" s="20" t="str">
        <f>IF(AND(ISNUMBER(K261),ISNUMBER(L261),ISNUMBER(P261)),IF(AND(K261&lt;&gt;L261,P261&gt;0),ABS(K261-L261)*P261*1,""),"")</f>
        <v/>
      </c>
      <c r="R261" s="20" t="str">
        <f>IF(AND(ISNUMBER(K261),ISNUMBER(P261)),K261*P261,"")</f>
        <v/>
      </c>
      <c r="S261" s="20" t="str">
        <f>IF(AND(D261="合约",ISNUMBER(R261),N(G261)&gt;0),R261/G261,"")</f>
        <v/>
      </c>
      <c r="T261" s="36" t="str">
        <f>IF(NOT(D261="合约"),"",IF(H261&lt;&gt;"逐仓","看平台",IF(AND(ISNUMBER(K261),N(G261)&gt;0),IF(F261="空",K261*(1+1/G261-IF(ISNUMBER(I261),I261,'参数'!$C$13)),K261*(1-1/G261+IF(ISNUMBER(I261),I261,'参数'!$C$13))),"")))</f>
        <v/>
      </c>
      <c r="U261" s="37" t="str">
        <f>IF(AND(ISNUMBER(T261),ISNUMBER(L261),ISNUMBER(K261)),IF(F261="空",T261-L261,L261-T261)/K261,"")</f>
        <v/>
      </c>
      <c r="V261" s="38" t="str">
        <f>IF(ISNUMBER(U261),IF(U261&lt;'参数'!$C$15,"先降杠杆或减量","在止损外"),"")</f>
        <v/>
      </c>
      <c r="W261" s="30" t="n"/>
      <c r="X261" s="31" t="n"/>
      <c r="Y261" s="39" t="str">
        <f>IF(N(AB261)&gt;0,SUMPRODUCT(LARGE(('成交明细'!$A$5:$A$804=A261)*('成交明细'!$D$5:$D$804=IF(F261="空","卖","买"))*'成交明细'!$B$5:$B$804,COUNTIFS('成交明细'!$A$5:$A$804,A261,'成交明细'!$D$5:$D$804,IF(F261="空","卖","买")))),"")</f>
        <v/>
      </c>
      <c r="Z261" s="39" t="str">
        <f>IF(AND(N(AB261)&gt;0,N(AD261)&gt;=N(AB261)),SUMPRODUCT(MAX(('成交明细'!$A$5:$A$804=A261)*('成交明细'!$D$5:$D$804=IF(F261="空","买","卖"))*'成交明细'!$B$5:$B$804)),"")</f>
        <v/>
      </c>
      <c r="AA261" s="40" t="str">
        <f>IF(N(AB261)=0,"",IF(SUMPRODUCT(('成交明细'!$A$5:$A$804=A261)*('成交明细'!$D$5:$D$804=IF(F261="空","卖","买"))*ISNUMBER('成交明细'!$C$5:$C$804))=0,"没填时间",IFERROR(VLOOKUP(MOD(SUMPRODUCT(LARGE(('成交明细'!$A$5:$A$804=A261)*('成交明细'!$D$5:$D$804=IF(F261="空","卖","买"))*('成交明细'!$B$5:$B$804+'成交明细'!$C$5:$C$804),COUNTIFS('成交明细'!$A$5:$A$804,A261,'成交明细'!$D$5:$D$804,IF(F261="空","卖","买")))),1),'参数'!$B$39:$C$48,2,TRUE),"")))</f>
        <v/>
      </c>
      <c r="AB261" s="34" t="str">
        <f>IF(A261="","",SUMIFS('成交明细'!$F$5:$F$804,'成交明细'!$A$5:$A$804,A261,'成交明细'!$D$5:$D$804,IF(F261="空","卖","买")))</f>
        <v/>
      </c>
      <c r="AC261" s="41" t="str">
        <f>IF(N(AB261)&gt;0,SUMIFS('成交明细'!$H$5:$H$804,'成交明细'!$A$5:$A$804,A261,'成交明细'!$D$5:$D$804,IF(F261="空","卖","买"))/AB261,"")</f>
        <v/>
      </c>
      <c r="AD261" s="34" t="str">
        <f>IF(A261="","",SUMIFS('成交明细'!$F$5:$F$804,'成交明细'!$A$5:$A$804,A261,'成交明细'!$D$5:$D$804,IF(F261="空","买","卖")))</f>
        <v/>
      </c>
      <c r="AE261" s="41" t="str">
        <f>IF(N(AD261)&gt;0,SUMIFS('成交明细'!$H$5:$H$804,'成交明细'!$A$5:$A$804,A261,'成交明细'!$D$5:$D$804,IF(F261="空","买","卖"))/AD261,"")</f>
        <v/>
      </c>
      <c r="AF261" s="38" t="str">
        <f>IF(A261="","",IF(X261&lt;&gt;"已执行",IF(X261="","未填执行情况",X261),IF(N(AB261)=0,"待录成交",IF(N(AD261)&gt;N(AB261),"平仓多于开仓",IF(N(AD261)&lt;N(AB261),"持仓中","已平仓")))))</f>
        <v/>
      </c>
      <c r="AG261" s="42" t="str">
        <f>IF(N(AB261)=0,"",SUMIFS('成交明细'!$L$5:$L$804,'成交明细'!$A$5:$A$804,A261))</f>
        <v/>
      </c>
      <c r="AH261" s="43" t="str">
        <f>IF(A261="","",SUMIFS('资金费流水'!$F$5:$F$604,'资金费流水'!$B$5:$B$604,A261))</f>
        <v/>
      </c>
      <c r="AI261" s="43" t="str">
        <f>IF(AF261&lt;&gt;"已平仓","",(SUMIFS('成交明细'!$H$5:$H$804,'成交明细'!$A$5:$A$804,A261,'成交明细'!$D$5:$D$804,"卖")-SUMIFS('成交明细'!$H$5:$H$804,'成交明细'!$A$5:$A$804,A261,'成交明细'!$D$5:$D$804,"买"))*1-AG261+N(AH261))</f>
        <v/>
      </c>
      <c r="AJ261" s="44" t="str">
        <f>IF(AND(AF261="已平仓",ISNUMBER(Q261)),(SUMIFS('成交明细'!$H$5:$H$804,'成交明细'!$A$5:$A$804,A261,'成交明细'!$D$5:$D$804,"卖")-SUMIFS('成交明细'!$H$5:$H$804,'成交明细'!$A$5:$A$804,A261,'成交明细'!$D$5:$D$804,"买"))*1/Q261,"")</f>
        <v/>
      </c>
      <c r="AK261" s="44" t="str">
        <f>IF(AND(AF261="已平仓",ISNUMBER(Q261)),AI261/Q261,"")</f>
        <v/>
      </c>
      <c r="AL261" s="45" t="str">
        <f>IF(AND(ISNUMBER(AC261),ISNUMBER(K261)),IF(F261="空",K261-AC261,AC261-K261),"")</f>
        <v/>
      </c>
      <c r="AM261" s="45" t="str">
        <f>IF(OR(NOT(ISNUMBER(AI261)),NOT(ISNUMBER(AE261))),"",IF(AI261&lt;0,IF(F261="空",AE261-L261,L261-AE261),IF(NOT(ISNUMBER(M261)),"",IF(F261="空",AE261-M261,M261-AE261))))</f>
        <v/>
      </c>
      <c r="AN261" s="31" t="n"/>
      <c r="AO261" s="31" t="n"/>
      <c r="AP261" s="30" t="n"/>
      <c r="AQ261" s="44" t="str">
        <f>IF(A261="","",SUM(AK$5:AK261))</f>
        <v/>
      </c>
      <c r="AR261" s="46" t="str">
        <f>IF(A261="","",MAX(0,MAX(AQ$5:AQ261))-AQ261)</f>
        <v/>
      </c>
    </row>
    <row r="262">
      <c r="A262" s="24" t="n"/>
      <c r="B262" s="29" t="n"/>
      <c r="C262" s="30" t="n"/>
      <c r="D262" s="31" t="n"/>
      <c r="E262" s="31" t="n"/>
      <c r="F262" s="31" t="n"/>
      <c r="G262" s="21" t="n"/>
      <c r="H262" s="31" t="n"/>
      <c r="I262" s="23" t="n"/>
      <c r="J262" s="31" t="n"/>
      <c r="K262" s="32" t="n"/>
      <c r="L262" s="32" t="n"/>
      <c r="M262" s="32" t="n"/>
      <c r="N262" s="33" t="str">
        <f>IF(AND(ISNUMBER(K262),ISNUMBER(L262),ISNUMBER(M262)),IF(OR(AND(F262="多",K262&gt;L262),AND(F262="空",K262&lt;L262)),ABS(M262-K262)/ABS(K262-L262),"止损方向不对"),"")</f>
        <v/>
      </c>
      <c r="O262" s="34" t="str">
        <f>IF(AND(ISNUMBER(K262),ISNUMBER(L262)),IF(K262=L262,"",IF(INT(ROUND('参数'!$C$7/(ABS(K262-L262)*1+2*K262*'参数'!$C$12)/IF(N(J262)&gt;0,J262,1),6))*IF(N(J262)&gt;0,J262,1)&gt;0,INT(ROUND('参数'!$C$7/(ABS(K262-L262)*1+2*K262*'参数'!$C$12)/IF(N(J262)&gt;0,J262,1),6))*IF(N(J262)&gt;0,J262,1),"预算不足，这笔不做")),"")</f>
        <v/>
      </c>
      <c r="P262" s="35" t="n"/>
      <c r="Q262" s="20" t="str">
        <f>IF(AND(ISNUMBER(K262),ISNUMBER(L262),ISNUMBER(P262)),IF(AND(K262&lt;&gt;L262,P262&gt;0),ABS(K262-L262)*P262*1,""),"")</f>
        <v/>
      </c>
      <c r="R262" s="20" t="str">
        <f>IF(AND(ISNUMBER(K262),ISNUMBER(P262)),K262*P262,"")</f>
        <v/>
      </c>
      <c r="S262" s="20" t="str">
        <f>IF(AND(D262="合约",ISNUMBER(R262),N(G262)&gt;0),R262/G262,"")</f>
        <v/>
      </c>
      <c r="T262" s="36" t="str">
        <f>IF(NOT(D262="合约"),"",IF(H262&lt;&gt;"逐仓","看平台",IF(AND(ISNUMBER(K262),N(G262)&gt;0),IF(F262="空",K262*(1+1/G262-IF(ISNUMBER(I262),I262,'参数'!$C$13)),K262*(1-1/G262+IF(ISNUMBER(I262),I262,'参数'!$C$13))),"")))</f>
        <v/>
      </c>
      <c r="U262" s="37" t="str">
        <f>IF(AND(ISNUMBER(T262),ISNUMBER(L262),ISNUMBER(K262)),IF(F262="空",T262-L262,L262-T262)/K262,"")</f>
        <v/>
      </c>
      <c r="V262" s="38" t="str">
        <f>IF(ISNUMBER(U262),IF(U262&lt;'参数'!$C$15,"先降杠杆或减量","在止损外"),"")</f>
        <v/>
      </c>
      <c r="W262" s="30" t="n"/>
      <c r="X262" s="31" t="n"/>
      <c r="Y262" s="39" t="str">
        <f>IF(N(AB262)&gt;0,SUMPRODUCT(LARGE(('成交明细'!$A$5:$A$804=A262)*('成交明细'!$D$5:$D$804=IF(F262="空","卖","买"))*'成交明细'!$B$5:$B$804,COUNTIFS('成交明细'!$A$5:$A$804,A262,'成交明细'!$D$5:$D$804,IF(F262="空","卖","买")))),"")</f>
        <v/>
      </c>
      <c r="Z262" s="39" t="str">
        <f>IF(AND(N(AB262)&gt;0,N(AD262)&gt;=N(AB262)),SUMPRODUCT(MAX(('成交明细'!$A$5:$A$804=A262)*('成交明细'!$D$5:$D$804=IF(F262="空","买","卖"))*'成交明细'!$B$5:$B$804)),"")</f>
        <v/>
      </c>
      <c r="AA262" s="40" t="str">
        <f>IF(N(AB262)=0,"",IF(SUMPRODUCT(('成交明细'!$A$5:$A$804=A262)*('成交明细'!$D$5:$D$804=IF(F262="空","卖","买"))*ISNUMBER('成交明细'!$C$5:$C$804))=0,"没填时间",IFERROR(VLOOKUP(MOD(SUMPRODUCT(LARGE(('成交明细'!$A$5:$A$804=A262)*('成交明细'!$D$5:$D$804=IF(F262="空","卖","买"))*('成交明细'!$B$5:$B$804+'成交明细'!$C$5:$C$804),COUNTIFS('成交明细'!$A$5:$A$804,A262,'成交明细'!$D$5:$D$804,IF(F262="空","卖","买")))),1),'参数'!$B$39:$C$48,2,TRUE),"")))</f>
        <v/>
      </c>
      <c r="AB262" s="34" t="str">
        <f>IF(A262="","",SUMIFS('成交明细'!$F$5:$F$804,'成交明细'!$A$5:$A$804,A262,'成交明细'!$D$5:$D$804,IF(F262="空","卖","买")))</f>
        <v/>
      </c>
      <c r="AC262" s="41" t="str">
        <f>IF(N(AB262)&gt;0,SUMIFS('成交明细'!$H$5:$H$804,'成交明细'!$A$5:$A$804,A262,'成交明细'!$D$5:$D$804,IF(F262="空","卖","买"))/AB262,"")</f>
        <v/>
      </c>
      <c r="AD262" s="34" t="str">
        <f>IF(A262="","",SUMIFS('成交明细'!$F$5:$F$804,'成交明细'!$A$5:$A$804,A262,'成交明细'!$D$5:$D$804,IF(F262="空","买","卖")))</f>
        <v/>
      </c>
      <c r="AE262" s="41" t="str">
        <f>IF(N(AD262)&gt;0,SUMIFS('成交明细'!$H$5:$H$804,'成交明细'!$A$5:$A$804,A262,'成交明细'!$D$5:$D$804,IF(F262="空","买","卖"))/AD262,"")</f>
        <v/>
      </c>
      <c r="AF262" s="38" t="str">
        <f>IF(A262="","",IF(X262&lt;&gt;"已执行",IF(X262="","未填执行情况",X262),IF(N(AB262)=0,"待录成交",IF(N(AD262)&gt;N(AB262),"平仓多于开仓",IF(N(AD262)&lt;N(AB262),"持仓中","已平仓")))))</f>
        <v/>
      </c>
      <c r="AG262" s="42" t="str">
        <f>IF(N(AB262)=0,"",SUMIFS('成交明细'!$L$5:$L$804,'成交明细'!$A$5:$A$804,A262))</f>
        <v/>
      </c>
      <c r="AH262" s="43" t="str">
        <f>IF(A262="","",SUMIFS('资金费流水'!$F$5:$F$604,'资金费流水'!$B$5:$B$604,A262))</f>
        <v/>
      </c>
      <c r="AI262" s="43" t="str">
        <f>IF(AF262&lt;&gt;"已平仓","",(SUMIFS('成交明细'!$H$5:$H$804,'成交明细'!$A$5:$A$804,A262,'成交明细'!$D$5:$D$804,"卖")-SUMIFS('成交明细'!$H$5:$H$804,'成交明细'!$A$5:$A$804,A262,'成交明细'!$D$5:$D$804,"买"))*1-AG262+N(AH262))</f>
        <v/>
      </c>
      <c r="AJ262" s="44" t="str">
        <f>IF(AND(AF262="已平仓",ISNUMBER(Q262)),(SUMIFS('成交明细'!$H$5:$H$804,'成交明细'!$A$5:$A$804,A262,'成交明细'!$D$5:$D$804,"卖")-SUMIFS('成交明细'!$H$5:$H$804,'成交明细'!$A$5:$A$804,A262,'成交明细'!$D$5:$D$804,"买"))*1/Q262,"")</f>
        <v/>
      </c>
      <c r="AK262" s="44" t="str">
        <f>IF(AND(AF262="已平仓",ISNUMBER(Q262)),AI262/Q262,"")</f>
        <v/>
      </c>
      <c r="AL262" s="45" t="str">
        <f>IF(AND(ISNUMBER(AC262),ISNUMBER(K262)),IF(F262="空",K262-AC262,AC262-K262),"")</f>
        <v/>
      </c>
      <c r="AM262" s="45" t="str">
        <f>IF(OR(NOT(ISNUMBER(AI262)),NOT(ISNUMBER(AE262))),"",IF(AI262&lt;0,IF(F262="空",AE262-L262,L262-AE262),IF(NOT(ISNUMBER(M262)),"",IF(F262="空",AE262-M262,M262-AE262))))</f>
        <v/>
      </c>
      <c r="AN262" s="31" t="n"/>
      <c r="AO262" s="31" t="n"/>
      <c r="AP262" s="30" t="n"/>
      <c r="AQ262" s="44" t="str">
        <f>IF(A262="","",SUM(AK$5:AK262))</f>
        <v/>
      </c>
      <c r="AR262" s="46" t="str">
        <f>IF(A262="","",MAX(0,MAX(AQ$5:AQ262))-AQ262)</f>
        <v/>
      </c>
    </row>
    <row r="263">
      <c r="A263" s="24" t="n"/>
      <c r="B263" s="29" t="n"/>
      <c r="C263" s="30" t="n"/>
      <c r="D263" s="31" t="n"/>
      <c r="E263" s="31" t="n"/>
      <c r="F263" s="31" t="n"/>
      <c r="G263" s="21" t="n"/>
      <c r="H263" s="31" t="n"/>
      <c r="I263" s="23" t="n"/>
      <c r="J263" s="31" t="n"/>
      <c r="K263" s="32" t="n"/>
      <c r="L263" s="32" t="n"/>
      <c r="M263" s="32" t="n"/>
      <c r="N263" s="33" t="str">
        <f>IF(AND(ISNUMBER(K263),ISNUMBER(L263),ISNUMBER(M263)),IF(OR(AND(F263="多",K263&gt;L263),AND(F263="空",K263&lt;L263)),ABS(M263-K263)/ABS(K263-L263),"止损方向不对"),"")</f>
        <v/>
      </c>
      <c r="O263" s="34" t="str">
        <f>IF(AND(ISNUMBER(K263),ISNUMBER(L263)),IF(K263=L263,"",IF(INT(ROUND('参数'!$C$7/(ABS(K263-L263)*1+2*K263*'参数'!$C$12)/IF(N(J263)&gt;0,J263,1),6))*IF(N(J263)&gt;0,J263,1)&gt;0,INT(ROUND('参数'!$C$7/(ABS(K263-L263)*1+2*K263*'参数'!$C$12)/IF(N(J263)&gt;0,J263,1),6))*IF(N(J263)&gt;0,J263,1),"预算不足，这笔不做")),"")</f>
        <v/>
      </c>
      <c r="P263" s="35" t="n"/>
      <c r="Q263" s="20" t="str">
        <f>IF(AND(ISNUMBER(K263),ISNUMBER(L263),ISNUMBER(P263)),IF(AND(K263&lt;&gt;L263,P263&gt;0),ABS(K263-L263)*P263*1,""),"")</f>
        <v/>
      </c>
      <c r="R263" s="20" t="str">
        <f>IF(AND(ISNUMBER(K263),ISNUMBER(P263)),K263*P263,"")</f>
        <v/>
      </c>
      <c r="S263" s="20" t="str">
        <f>IF(AND(D263="合约",ISNUMBER(R263),N(G263)&gt;0),R263/G263,"")</f>
        <v/>
      </c>
      <c r="T263" s="36" t="str">
        <f>IF(NOT(D263="合约"),"",IF(H263&lt;&gt;"逐仓","看平台",IF(AND(ISNUMBER(K263),N(G263)&gt;0),IF(F263="空",K263*(1+1/G263-IF(ISNUMBER(I263),I263,'参数'!$C$13)),K263*(1-1/G263+IF(ISNUMBER(I263),I263,'参数'!$C$13))),"")))</f>
        <v/>
      </c>
      <c r="U263" s="37" t="str">
        <f>IF(AND(ISNUMBER(T263),ISNUMBER(L263),ISNUMBER(K263)),IF(F263="空",T263-L263,L263-T263)/K263,"")</f>
        <v/>
      </c>
      <c r="V263" s="38" t="str">
        <f>IF(ISNUMBER(U263),IF(U263&lt;'参数'!$C$15,"先降杠杆或减量","在止损外"),"")</f>
        <v/>
      </c>
      <c r="W263" s="30" t="n"/>
      <c r="X263" s="31" t="n"/>
      <c r="Y263" s="39" t="str">
        <f>IF(N(AB263)&gt;0,SUMPRODUCT(LARGE(('成交明细'!$A$5:$A$804=A263)*('成交明细'!$D$5:$D$804=IF(F263="空","卖","买"))*'成交明细'!$B$5:$B$804,COUNTIFS('成交明细'!$A$5:$A$804,A263,'成交明细'!$D$5:$D$804,IF(F263="空","卖","买")))),"")</f>
        <v/>
      </c>
      <c r="Z263" s="39" t="str">
        <f>IF(AND(N(AB263)&gt;0,N(AD263)&gt;=N(AB263)),SUMPRODUCT(MAX(('成交明细'!$A$5:$A$804=A263)*('成交明细'!$D$5:$D$804=IF(F263="空","买","卖"))*'成交明细'!$B$5:$B$804)),"")</f>
        <v/>
      </c>
      <c r="AA263" s="40" t="str">
        <f>IF(N(AB263)=0,"",IF(SUMPRODUCT(('成交明细'!$A$5:$A$804=A263)*('成交明细'!$D$5:$D$804=IF(F263="空","卖","买"))*ISNUMBER('成交明细'!$C$5:$C$804))=0,"没填时间",IFERROR(VLOOKUP(MOD(SUMPRODUCT(LARGE(('成交明细'!$A$5:$A$804=A263)*('成交明细'!$D$5:$D$804=IF(F263="空","卖","买"))*('成交明细'!$B$5:$B$804+'成交明细'!$C$5:$C$804),COUNTIFS('成交明细'!$A$5:$A$804,A263,'成交明细'!$D$5:$D$804,IF(F263="空","卖","买")))),1),'参数'!$B$39:$C$48,2,TRUE),"")))</f>
        <v/>
      </c>
      <c r="AB263" s="34" t="str">
        <f>IF(A263="","",SUMIFS('成交明细'!$F$5:$F$804,'成交明细'!$A$5:$A$804,A263,'成交明细'!$D$5:$D$804,IF(F263="空","卖","买")))</f>
        <v/>
      </c>
      <c r="AC263" s="41" t="str">
        <f>IF(N(AB263)&gt;0,SUMIFS('成交明细'!$H$5:$H$804,'成交明细'!$A$5:$A$804,A263,'成交明细'!$D$5:$D$804,IF(F263="空","卖","买"))/AB263,"")</f>
        <v/>
      </c>
      <c r="AD263" s="34" t="str">
        <f>IF(A263="","",SUMIFS('成交明细'!$F$5:$F$804,'成交明细'!$A$5:$A$804,A263,'成交明细'!$D$5:$D$804,IF(F263="空","买","卖")))</f>
        <v/>
      </c>
      <c r="AE263" s="41" t="str">
        <f>IF(N(AD263)&gt;0,SUMIFS('成交明细'!$H$5:$H$804,'成交明细'!$A$5:$A$804,A263,'成交明细'!$D$5:$D$804,IF(F263="空","买","卖"))/AD263,"")</f>
        <v/>
      </c>
      <c r="AF263" s="38" t="str">
        <f>IF(A263="","",IF(X263&lt;&gt;"已执行",IF(X263="","未填执行情况",X263),IF(N(AB263)=0,"待录成交",IF(N(AD263)&gt;N(AB263),"平仓多于开仓",IF(N(AD263)&lt;N(AB263),"持仓中","已平仓")))))</f>
        <v/>
      </c>
      <c r="AG263" s="42" t="str">
        <f>IF(N(AB263)=0,"",SUMIFS('成交明细'!$L$5:$L$804,'成交明细'!$A$5:$A$804,A263))</f>
        <v/>
      </c>
      <c r="AH263" s="43" t="str">
        <f>IF(A263="","",SUMIFS('资金费流水'!$F$5:$F$604,'资金费流水'!$B$5:$B$604,A263))</f>
        <v/>
      </c>
      <c r="AI263" s="43" t="str">
        <f>IF(AF263&lt;&gt;"已平仓","",(SUMIFS('成交明细'!$H$5:$H$804,'成交明细'!$A$5:$A$804,A263,'成交明细'!$D$5:$D$804,"卖")-SUMIFS('成交明细'!$H$5:$H$804,'成交明细'!$A$5:$A$804,A263,'成交明细'!$D$5:$D$804,"买"))*1-AG263+N(AH263))</f>
        <v/>
      </c>
      <c r="AJ263" s="44" t="str">
        <f>IF(AND(AF263="已平仓",ISNUMBER(Q263)),(SUMIFS('成交明细'!$H$5:$H$804,'成交明细'!$A$5:$A$804,A263,'成交明细'!$D$5:$D$804,"卖")-SUMIFS('成交明细'!$H$5:$H$804,'成交明细'!$A$5:$A$804,A263,'成交明细'!$D$5:$D$804,"买"))*1/Q263,"")</f>
        <v/>
      </c>
      <c r="AK263" s="44" t="str">
        <f>IF(AND(AF263="已平仓",ISNUMBER(Q263)),AI263/Q263,"")</f>
        <v/>
      </c>
      <c r="AL263" s="45" t="str">
        <f>IF(AND(ISNUMBER(AC263),ISNUMBER(K263)),IF(F263="空",K263-AC263,AC263-K263),"")</f>
        <v/>
      </c>
      <c r="AM263" s="45" t="str">
        <f>IF(OR(NOT(ISNUMBER(AI263)),NOT(ISNUMBER(AE263))),"",IF(AI263&lt;0,IF(F263="空",AE263-L263,L263-AE263),IF(NOT(ISNUMBER(M263)),"",IF(F263="空",AE263-M263,M263-AE263))))</f>
        <v/>
      </c>
      <c r="AN263" s="31" t="n"/>
      <c r="AO263" s="31" t="n"/>
      <c r="AP263" s="30" t="n"/>
      <c r="AQ263" s="44" t="str">
        <f>IF(A263="","",SUM(AK$5:AK263))</f>
        <v/>
      </c>
      <c r="AR263" s="46" t="str">
        <f>IF(A263="","",MAX(0,MAX(AQ$5:AQ263))-AQ263)</f>
        <v/>
      </c>
    </row>
    <row r="264">
      <c r="A264" s="24" t="n"/>
      <c r="B264" s="29" t="n"/>
      <c r="C264" s="30" t="n"/>
      <c r="D264" s="31" t="n"/>
      <c r="E264" s="31" t="n"/>
      <c r="F264" s="31" t="n"/>
      <c r="G264" s="21" t="n"/>
      <c r="H264" s="31" t="n"/>
      <c r="I264" s="23" t="n"/>
      <c r="J264" s="31" t="n"/>
      <c r="K264" s="32" t="n"/>
      <c r="L264" s="32" t="n"/>
      <c r="M264" s="32" t="n"/>
      <c r="N264" s="33" t="str">
        <f>IF(AND(ISNUMBER(K264),ISNUMBER(L264),ISNUMBER(M264)),IF(OR(AND(F264="多",K264&gt;L264),AND(F264="空",K264&lt;L264)),ABS(M264-K264)/ABS(K264-L264),"止损方向不对"),"")</f>
        <v/>
      </c>
      <c r="O264" s="34" t="str">
        <f>IF(AND(ISNUMBER(K264),ISNUMBER(L264)),IF(K264=L264,"",IF(INT(ROUND('参数'!$C$7/(ABS(K264-L264)*1+2*K264*'参数'!$C$12)/IF(N(J264)&gt;0,J264,1),6))*IF(N(J264)&gt;0,J264,1)&gt;0,INT(ROUND('参数'!$C$7/(ABS(K264-L264)*1+2*K264*'参数'!$C$12)/IF(N(J264)&gt;0,J264,1),6))*IF(N(J264)&gt;0,J264,1),"预算不足，这笔不做")),"")</f>
        <v/>
      </c>
      <c r="P264" s="35" t="n"/>
      <c r="Q264" s="20" t="str">
        <f>IF(AND(ISNUMBER(K264),ISNUMBER(L264),ISNUMBER(P264)),IF(AND(K264&lt;&gt;L264,P264&gt;0),ABS(K264-L264)*P264*1,""),"")</f>
        <v/>
      </c>
      <c r="R264" s="20" t="str">
        <f>IF(AND(ISNUMBER(K264),ISNUMBER(P264)),K264*P264,"")</f>
        <v/>
      </c>
      <c r="S264" s="20" t="str">
        <f>IF(AND(D264="合约",ISNUMBER(R264),N(G264)&gt;0),R264/G264,"")</f>
        <v/>
      </c>
      <c r="T264" s="36" t="str">
        <f>IF(NOT(D264="合约"),"",IF(H264&lt;&gt;"逐仓","看平台",IF(AND(ISNUMBER(K264),N(G264)&gt;0),IF(F264="空",K264*(1+1/G264-IF(ISNUMBER(I264),I264,'参数'!$C$13)),K264*(1-1/G264+IF(ISNUMBER(I264),I264,'参数'!$C$13))),"")))</f>
        <v/>
      </c>
      <c r="U264" s="37" t="str">
        <f>IF(AND(ISNUMBER(T264),ISNUMBER(L264),ISNUMBER(K264)),IF(F264="空",T264-L264,L264-T264)/K264,"")</f>
        <v/>
      </c>
      <c r="V264" s="38" t="str">
        <f>IF(ISNUMBER(U264),IF(U264&lt;'参数'!$C$15,"先降杠杆或减量","在止损外"),"")</f>
        <v/>
      </c>
      <c r="W264" s="30" t="n"/>
      <c r="X264" s="31" t="n"/>
      <c r="Y264" s="39" t="str">
        <f>IF(N(AB264)&gt;0,SUMPRODUCT(LARGE(('成交明细'!$A$5:$A$804=A264)*('成交明细'!$D$5:$D$804=IF(F264="空","卖","买"))*'成交明细'!$B$5:$B$804,COUNTIFS('成交明细'!$A$5:$A$804,A264,'成交明细'!$D$5:$D$804,IF(F264="空","卖","买")))),"")</f>
        <v/>
      </c>
      <c r="Z264" s="39" t="str">
        <f>IF(AND(N(AB264)&gt;0,N(AD264)&gt;=N(AB264)),SUMPRODUCT(MAX(('成交明细'!$A$5:$A$804=A264)*('成交明细'!$D$5:$D$804=IF(F264="空","买","卖"))*'成交明细'!$B$5:$B$804)),"")</f>
        <v/>
      </c>
      <c r="AA264" s="40" t="str">
        <f>IF(N(AB264)=0,"",IF(SUMPRODUCT(('成交明细'!$A$5:$A$804=A264)*('成交明细'!$D$5:$D$804=IF(F264="空","卖","买"))*ISNUMBER('成交明细'!$C$5:$C$804))=0,"没填时间",IFERROR(VLOOKUP(MOD(SUMPRODUCT(LARGE(('成交明细'!$A$5:$A$804=A264)*('成交明细'!$D$5:$D$804=IF(F264="空","卖","买"))*('成交明细'!$B$5:$B$804+'成交明细'!$C$5:$C$804),COUNTIFS('成交明细'!$A$5:$A$804,A264,'成交明细'!$D$5:$D$804,IF(F264="空","卖","买")))),1),'参数'!$B$39:$C$48,2,TRUE),"")))</f>
        <v/>
      </c>
      <c r="AB264" s="34" t="str">
        <f>IF(A264="","",SUMIFS('成交明细'!$F$5:$F$804,'成交明细'!$A$5:$A$804,A264,'成交明细'!$D$5:$D$804,IF(F264="空","卖","买")))</f>
        <v/>
      </c>
      <c r="AC264" s="41" t="str">
        <f>IF(N(AB264)&gt;0,SUMIFS('成交明细'!$H$5:$H$804,'成交明细'!$A$5:$A$804,A264,'成交明细'!$D$5:$D$804,IF(F264="空","卖","买"))/AB264,"")</f>
        <v/>
      </c>
      <c r="AD264" s="34" t="str">
        <f>IF(A264="","",SUMIFS('成交明细'!$F$5:$F$804,'成交明细'!$A$5:$A$804,A264,'成交明细'!$D$5:$D$804,IF(F264="空","买","卖")))</f>
        <v/>
      </c>
      <c r="AE264" s="41" t="str">
        <f>IF(N(AD264)&gt;0,SUMIFS('成交明细'!$H$5:$H$804,'成交明细'!$A$5:$A$804,A264,'成交明细'!$D$5:$D$804,IF(F264="空","买","卖"))/AD264,"")</f>
        <v/>
      </c>
      <c r="AF264" s="38" t="str">
        <f>IF(A264="","",IF(X264&lt;&gt;"已执行",IF(X264="","未填执行情况",X264),IF(N(AB264)=0,"待录成交",IF(N(AD264)&gt;N(AB264),"平仓多于开仓",IF(N(AD264)&lt;N(AB264),"持仓中","已平仓")))))</f>
        <v/>
      </c>
      <c r="AG264" s="42" t="str">
        <f>IF(N(AB264)=0,"",SUMIFS('成交明细'!$L$5:$L$804,'成交明细'!$A$5:$A$804,A264))</f>
        <v/>
      </c>
      <c r="AH264" s="43" t="str">
        <f>IF(A264="","",SUMIFS('资金费流水'!$F$5:$F$604,'资金费流水'!$B$5:$B$604,A264))</f>
        <v/>
      </c>
      <c r="AI264" s="43" t="str">
        <f>IF(AF264&lt;&gt;"已平仓","",(SUMIFS('成交明细'!$H$5:$H$804,'成交明细'!$A$5:$A$804,A264,'成交明细'!$D$5:$D$804,"卖")-SUMIFS('成交明细'!$H$5:$H$804,'成交明细'!$A$5:$A$804,A264,'成交明细'!$D$5:$D$804,"买"))*1-AG264+N(AH264))</f>
        <v/>
      </c>
      <c r="AJ264" s="44" t="str">
        <f>IF(AND(AF264="已平仓",ISNUMBER(Q264)),(SUMIFS('成交明细'!$H$5:$H$804,'成交明细'!$A$5:$A$804,A264,'成交明细'!$D$5:$D$804,"卖")-SUMIFS('成交明细'!$H$5:$H$804,'成交明细'!$A$5:$A$804,A264,'成交明细'!$D$5:$D$804,"买"))*1/Q264,"")</f>
        <v/>
      </c>
      <c r="AK264" s="44" t="str">
        <f>IF(AND(AF264="已平仓",ISNUMBER(Q264)),AI264/Q264,"")</f>
        <v/>
      </c>
      <c r="AL264" s="45" t="str">
        <f>IF(AND(ISNUMBER(AC264),ISNUMBER(K264)),IF(F264="空",K264-AC264,AC264-K264),"")</f>
        <v/>
      </c>
      <c r="AM264" s="45" t="str">
        <f>IF(OR(NOT(ISNUMBER(AI264)),NOT(ISNUMBER(AE264))),"",IF(AI264&lt;0,IF(F264="空",AE264-L264,L264-AE264),IF(NOT(ISNUMBER(M264)),"",IF(F264="空",AE264-M264,M264-AE264))))</f>
        <v/>
      </c>
      <c r="AN264" s="31" t="n"/>
      <c r="AO264" s="31" t="n"/>
      <c r="AP264" s="30" t="n"/>
      <c r="AQ264" s="44" t="str">
        <f>IF(A264="","",SUM(AK$5:AK264))</f>
        <v/>
      </c>
      <c r="AR264" s="46" t="str">
        <f>IF(A264="","",MAX(0,MAX(AQ$5:AQ264))-AQ264)</f>
        <v/>
      </c>
    </row>
    <row r="265">
      <c r="A265" s="24" t="n"/>
      <c r="B265" s="29" t="n"/>
      <c r="C265" s="30" t="n"/>
      <c r="D265" s="31" t="n"/>
      <c r="E265" s="31" t="n"/>
      <c r="F265" s="31" t="n"/>
      <c r="G265" s="21" t="n"/>
      <c r="H265" s="31" t="n"/>
      <c r="I265" s="23" t="n"/>
      <c r="J265" s="31" t="n"/>
      <c r="K265" s="32" t="n"/>
      <c r="L265" s="32" t="n"/>
      <c r="M265" s="32" t="n"/>
      <c r="N265" s="33" t="str">
        <f>IF(AND(ISNUMBER(K265),ISNUMBER(L265),ISNUMBER(M265)),IF(OR(AND(F265="多",K265&gt;L265),AND(F265="空",K265&lt;L265)),ABS(M265-K265)/ABS(K265-L265),"止损方向不对"),"")</f>
        <v/>
      </c>
      <c r="O265" s="34" t="str">
        <f>IF(AND(ISNUMBER(K265),ISNUMBER(L265)),IF(K265=L265,"",IF(INT(ROUND('参数'!$C$7/(ABS(K265-L265)*1+2*K265*'参数'!$C$12)/IF(N(J265)&gt;0,J265,1),6))*IF(N(J265)&gt;0,J265,1)&gt;0,INT(ROUND('参数'!$C$7/(ABS(K265-L265)*1+2*K265*'参数'!$C$12)/IF(N(J265)&gt;0,J265,1),6))*IF(N(J265)&gt;0,J265,1),"预算不足，这笔不做")),"")</f>
        <v/>
      </c>
      <c r="P265" s="35" t="n"/>
      <c r="Q265" s="20" t="str">
        <f>IF(AND(ISNUMBER(K265),ISNUMBER(L265),ISNUMBER(P265)),IF(AND(K265&lt;&gt;L265,P265&gt;0),ABS(K265-L265)*P265*1,""),"")</f>
        <v/>
      </c>
      <c r="R265" s="20" t="str">
        <f>IF(AND(ISNUMBER(K265),ISNUMBER(P265)),K265*P265,"")</f>
        <v/>
      </c>
      <c r="S265" s="20" t="str">
        <f>IF(AND(D265="合约",ISNUMBER(R265),N(G265)&gt;0),R265/G265,"")</f>
        <v/>
      </c>
      <c r="T265" s="36" t="str">
        <f>IF(NOT(D265="合约"),"",IF(H265&lt;&gt;"逐仓","看平台",IF(AND(ISNUMBER(K265),N(G265)&gt;0),IF(F265="空",K265*(1+1/G265-IF(ISNUMBER(I265),I265,'参数'!$C$13)),K265*(1-1/G265+IF(ISNUMBER(I265),I265,'参数'!$C$13))),"")))</f>
        <v/>
      </c>
      <c r="U265" s="37" t="str">
        <f>IF(AND(ISNUMBER(T265),ISNUMBER(L265),ISNUMBER(K265)),IF(F265="空",T265-L265,L265-T265)/K265,"")</f>
        <v/>
      </c>
      <c r="V265" s="38" t="str">
        <f>IF(ISNUMBER(U265),IF(U265&lt;'参数'!$C$15,"先降杠杆或减量","在止损外"),"")</f>
        <v/>
      </c>
      <c r="W265" s="30" t="n"/>
      <c r="X265" s="31" t="n"/>
      <c r="Y265" s="39" t="str">
        <f>IF(N(AB265)&gt;0,SUMPRODUCT(LARGE(('成交明细'!$A$5:$A$804=A265)*('成交明细'!$D$5:$D$804=IF(F265="空","卖","买"))*'成交明细'!$B$5:$B$804,COUNTIFS('成交明细'!$A$5:$A$804,A265,'成交明细'!$D$5:$D$804,IF(F265="空","卖","买")))),"")</f>
        <v/>
      </c>
      <c r="Z265" s="39" t="str">
        <f>IF(AND(N(AB265)&gt;0,N(AD265)&gt;=N(AB265)),SUMPRODUCT(MAX(('成交明细'!$A$5:$A$804=A265)*('成交明细'!$D$5:$D$804=IF(F265="空","买","卖"))*'成交明细'!$B$5:$B$804)),"")</f>
        <v/>
      </c>
      <c r="AA265" s="40" t="str">
        <f>IF(N(AB265)=0,"",IF(SUMPRODUCT(('成交明细'!$A$5:$A$804=A265)*('成交明细'!$D$5:$D$804=IF(F265="空","卖","买"))*ISNUMBER('成交明细'!$C$5:$C$804))=0,"没填时间",IFERROR(VLOOKUP(MOD(SUMPRODUCT(LARGE(('成交明细'!$A$5:$A$804=A265)*('成交明细'!$D$5:$D$804=IF(F265="空","卖","买"))*('成交明细'!$B$5:$B$804+'成交明细'!$C$5:$C$804),COUNTIFS('成交明细'!$A$5:$A$804,A265,'成交明细'!$D$5:$D$804,IF(F265="空","卖","买")))),1),'参数'!$B$39:$C$48,2,TRUE),"")))</f>
        <v/>
      </c>
      <c r="AB265" s="34" t="str">
        <f>IF(A265="","",SUMIFS('成交明细'!$F$5:$F$804,'成交明细'!$A$5:$A$804,A265,'成交明细'!$D$5:$D$804,IF(F265="空","卖","买")))</f>
        <v/>
      </c>
      <c r="AC265" s="41" t="str">
        <f>IF(N(AB265)&gt;0,SUMIFS('成交明细'!$H$5:$H$804,'成交明细'!$A$5:$A$804,A265,'成交明细'!$D$5:$D$804,IF(F265="空","卖","买"))/AB265,"")</f>
        <v/>
      </c>
      <c r="AD265" s="34" t="str">
        <f>IF(A265="","",SUMIFS('成交明细'!$F$5:$F$804,'成交明细'!$A$5:$A$804,A265,'成交明细'!$D$5:$D$804,IF(F265="空","买","卖")))</f>
        <v/>
      </c>
      <c r="AE265" s="41" t="str">
        <f>IF(N(AD265)&gt;0,SUMIFS('成交明细'!$H$5:$H$804,'成交明细'!$A$5:$A$804,A265,'成交明细'!$D$5:$D$804,IF(F265="空","买","卖"))/AD265,"")</f>
        <v/>
      </c>
      <c r="AF265" s="38" t="str">
        <f>IF(A265="","",IF(X265&lt;&gt;"已执行",IF(X265="","未填执行情况",X265),IF(N(AB265)=0,"待录成交",IF(N(AD265)&gt;N(AB265),"平仓多于开仓",IF(N(AD265)&lt;N(AB265),"持仓中","已平仓")))))</f>
        <v/>
      </c>
      <c r="AG265" s="42" t="str">
        <f>IF(N(AB265)=0,"",SUMIFS('成交明细'!$L$5:$L$804,'成交明细'!$A$5:$A$804,A265))</f>
        <v/>
      </c>
      <c r="AH265" s="43" t="str">
        <f>IF(A265="","",SUMIFS('资金费流水'!$F$5:$F$604,'资金费流水'!$B$5:$B$604,A265))</f>
        <v/>
      </c>
      <c r="AI265" s="43" t="str">
        <f>IF(AF265&lt;&gt;"已平仓","",(SUMIFS('成交明细'!$H$5:$H$804,'成交明细'!$A$5:$A$804,A265,'成交明细'!$D$5:$D$804,"卖")-SUMIFS('成交明细'!$H$5:$H$804,'成交明细'!$A$5:$A$804,A265,'成交明细'!$D$5:$D$804,"买"))*1-AG265+N(AH265))</f>
        <v/>
      </c>
      <c r="AJ265" s="44" t="str">
        <f>IF(AND(AF265="已平仓",ISNUMBER(Q265)),(SUMIFS('成交明细'!$H$5:$H$804,'成交明细'!$A$5:$A$804,A265,'成交明细'!$D$5:$D$804,"卖")-SUMIFS('成交明细'!$H$5:$H$804,'成交明细'!$A$5:$A$804,A265,'成交明细'!$D$5:$D$804,"买"))*1/Q265,"")</f>
        <v/>
      </c>
      <c r="AK265" s="44" t="str">
        <f>IF(AND(AF265="已平仓",ISNUMBER(Q265)),AI265/Q265,"")</f>
        <v/>
      </c>
      <c r="AL265" s="45" t="str">
        <f>IF(AND(ISNUMBER(AC265),ISNUMBER(K265)),IF(F265="空",K265-AC265,AC265-K265),"")</f>
        <v/>
      </c>
      <c r="AM265" s="45" t="str">
        <f>IF(OR(NOT(ISNUMBER(AI265)),NOT(ISNUMBER(AE265))),"",IF(AI265&lt;0,IF(F265="空",AE265-L265,L265-AE265),IF(NOT(ISNUMBER(M265)),"",IF(F265="空",AE265-M265,M265-AE265))))</f>
        <v/>
      </c>
      <c r="AN265" s="31" t="n"/>
      <c r="AO265" s="31" t="n"/>
      <c r="AP265" s="30" t="n"/>
      <c r="AQ265" s="44" t="str">
        <f>IF(A265="","",SUM(AK$5:AK265))</f>
        <v/>
      </c>
      <c r="AR265" s="46" t="str">
        <f>IF(A265="","",MAX(0,MAX(AQ$5:AQ265))-AQ265)</f>
        <v/>
      </c>
    </row>
    <row r="266">
      <c r="A266" s="24" t="n"/>
      <c r="B266" s="29" t="n"/>
      <c r="C266" s="30" t="n"/>
      <c r="D266" s="31" t="n"/>
      <c r="E266" s="31" t="n"/>
      <c r="F266" s="31" t="n"/>
      <c r="G266" s="21" t="n"/>
      <c r="H266" s="31" t="n"/>
      <c r="I266" s="23" t="n"/>
      <c r="J266" s="31" t="n"/>
      <c r="K266" s="32" t="n"/>
      <c r="L266" s="32" t="n"/>
      <c r="M266" s="32" t="n"/>
      <c r="N266" s="33" t="str">
        <f>IF(AND(ISNUMBER(K266),ISNUMBER(L266),ISNUMBER(M266)),IF(OR(AND(F266="多",K266&gt;L266),AND(F266="空",K266&lt;L266)),ABS(M266-K266)/ABS(K266-L266),"止损方向不对"),"")</f>
        <v/>
      </c>
      <c r="O266" s="34" t="str">
        <f>IF(AND(ISNUMBER(K266),ISNUMBER(L266)),IF(K266=L266,"",IF(INT(ROUND('参数'!$C$7/(ABS(K266-L266)*1+2*K266*'参数'!$C$12)/IF(N(J266)&gt;0,J266,1),6))*IF(N(J266)&gt;0,J266,1)&gt;0,INT(ROUND('参数'!$C$7/(ABS(K266-L266)*1+2*K266*'参数'!$C$12)/IF(N(J266)&gt;0,J266,1),6))*IF(N(J266)&gt;0,J266,1),"预算不足，这笔不做")),"")</f>
        <v/>
      </c>
      <c r="P266" s="35" t="n"/>
      <c r="Q266" s="20" t="str">
        <f>IF(AND(ISNUMBER(K266),ISNUMBER(L266),ISNUMBER(P266)),IF(AND(K266&lt;&gt;L266,P266&gt;0),ABS(K266-L266)*P266*1,""),"")</f>
        <v/>
      </c>
      <c r="R266" s="20" t="str">
        <f>IF(AND(ISNUMBER(K266),ISNUMBER(P266)),K266*P266,"")</f>
        <v/>
      </c>
      <c r="S266" s="20" t="str">
        <f>IF(AND(D266="合约",ISNUMBER(R266),N(G266)&gt;0),R266/G266,"")</f>
        <v/>
      </c>
      <c r="T266" s="36" t="str">
        <f>IF(NOT(D266="合约"),"",IF(H266&lt;&gt;"逐仓","看平台",IF(AND(ISNUMBER(K266),N(G266)&gt;0),IF(F266="空",K266*(1+1/G266-IF(ISNUMBER(I266),I266,'参数'!$C$13)),K266*(1-1/G266+IF(ISNUMBER(I266),I266,'参数'!$C$13))),"")))</f>
        <v/>
      </c>
      <c r="U266" s="37" t="str">
        <f>IF(AND(ISNUMBER(T266),ISNUMBER(L266),ISNUMBER(K266)),IF(F266="空",T266-L266,L266-T266)/K266,"")</f>
        <v/>
      </c>
      <c r="V266" s="38" t="str">
        <f>IF(ISNUMBER(U266),IF(U266&lt;'参数'!$C$15,"先降杠杆或减量","在止损外"),"")</f>
        <v/>
      </c>
      <c r="W266" s="30" t="n"/>
      <c r="X266" s="31" t="n"/>
      <c r="Y266" s="39" t="str">
        <f>IF(N(AB266)&gt;0,SUMPRODUCT(LARGE(('成交明细'!$A$5:$A$804=A266)*('成交明细'!$D$5:$D$804=IF(F266="空","卖","买"))*'成交明细'!$B$5:$B$804,COUNTIFS('成交明细'!$A$5:$A$804,A266,'成交明细'!$D$5:$D$804,IF(F266="空","卖","买")))),"")</f>
        <v/>
      </c>
      <c r="Z266" s="39" t="str">
        <f>IF(AND(N(AB266)&gt;0,N(AD266)&gt;=N(AB266)),SUMPRODUCT(MAX(('成交明细'!$A$5:$A$804=A266)*('成交明细'!$D$5:$D$804=IF(F266="空","买","卖"))*'成交明细'!$B$5:$B$804)),"")</f>
        <v/>
      </c>
      <c r="AA266" s="40" t="str">
        <f>IF(N(AB266)=0,"",IF(SUMPRODUCT(('成交明细'!$A$5:$A$804=A266)*('成交明细'!$D$5:$D$804=IF(F266="空","卖","买"))*ISNUMBER('成交明细'!$C$5:$C$804))=0,"没填时间",IFERROR(VLOOKUP(MOD(SUMPRODUCT(LARGE(('成交明细'!$A$5:$A$804=A266)*('成交明细'!$D$5:$D$804=IF(F266="空","卖","买"))*('成交明细'!$B$5:$B$804+'成交明细'!$C$5:$C$804),COUNTIFS('成交明细'!$A$5:$A$804,A266,'成交明细'!$D$5:$D$804,IF(F266="空","卖","买")))),1),'参数'!$B$39:$C$48,2,TRUE),"")))</f>
        <v/>
      </c>
      <c r="AB266" s="34" t="str">
        <f>IF(A266="","",SUMIFS('成交明细'!$F$5:$F$804,'成交明细'!$A$5:$A$804,A266,'成交明细'!$D$5:$D$804,IF(F266="空","卖","买")))</f>
        <v/>
      </c>
      <c r="AC266" s="41" t="str">
        <f>IF(N(AB266)&gt;0,SUMIFS('成交明细'!$H$5:$H$804,'成交明细'!$A$5:$A$804,A266,'成交明细'!$D$5:$D$804,IF(F266="空","卖","买"))/AB266,"")</f>
        <v/>
      </c>
      <c r="AD266" s="34" t="str">
        <f>IF(A266="","",SUMIFS('成交明细'!$F$5:$F$804,'成交明细'!$A$5:$A$804,A266,'成交明细'!$D$5:$D$804,IF(F266="空","买","卖")))</f>
        <v/>
      </c>
      <c r="AE266" s="41" t="str">
        <f>IF(N(AD266)&gt;0,SUMIFS('成交明细'!$H$5:$H$804,'成交明细'!$A$5:$A$804,A266,'成交明细'!$D$5:$D$804,IF(F266="空","买","卖"))/AD266,"")</f>
        <v/>
      </c>
      <c r="AF266" s="38" t="str">
        <f>IF(A266="","",IF(X266&lt;&gt;"已执行",IF(X266="","未填执行情况",X266),IF(N(AB266)=0,"待录成交",IF(N(AD266)&gt;N(AB266),"平仓多于开仓",IF(N(AD266)&lt;N(AB266),"持仓中","已平仓")))))</f>
        <v/>
      </c>
      <c r="AG266" s="42" t="str">
        <f>IF(N(AB266)=0,"",SUMIFS('成交明细'!$L$5:$L$804,'成交明细'!$A$5:$A$804,A266))</f>
        <v/>
      </c>
      <c r="AH266" s="43" t="str">
        <f>IF(A266="","",SUMIFS('资金费流水'!$F$5:$F$604,'资金费流水'!$B$5:$B$604,A266))</f>
        <v/>
      </c>
      <c r="AI266" s="43" t="str">
        <f>IF(AF266&lt;&gt;"已平仓","",(SUMIFS('成交明细'!$H$5:$H$804,'成交明细'!$A$5:$A$804,A266,'成交明细'!$D$5:$D$804,"卖")-SUMIFS('成交明细'!$H$5:$H$804,'成交明细'!$A$5:$A$804,A266,'成交明细'!$D$5:$D$804,"买"))*1-AG266+N(AH266))</f>
        <v/>
      </c>
      <c r="AJ266" s="44" t="str">
        <f>IF(AND(AF266="已平仓",ISNUMBER(Q266)),(SUMIFS('成交明细'!$H$5:$H$804,'成交明细'!$A$5:$A$804,A266,'成交明细'!$D$5:$D$804,"卖")-SUMIFS('成交明细'!$H$5:$H$804,'成交明细'!$A$5:$A$804,A266,'成交明细'!$D$5:$D$804,"买"))*1/Q266,"")</f>
        <v/>
      </c>
      <c r="AK266" s="44" t="str">
        <f>IF(AND(AF266="已平仓",ISNUMBER(Q266)),AI266/Q266,"")</f>
        <v/>
      </c>
      <c r="AL266" s="45" t="str">
        <f>IF(AND(ISNUMBER(AC266),ISNUMBER(K266)),IF(F266="空",K266-AC266,AC266-K266),"")</f>
        <v/>
      </c>
      <c r="AM266" s="45" t="str">
        <f>IF(OR(NOT(ISNUMBER(AI266)),NOT(ISNUMBER(AE266))),"",IF(AI266&lt;0,IF(F266="空",AE266-L266,L266-AE266),IF(NOT(ISNUMBER(M266)),"",IF(F266="空",AE266-M266,M266-AE266))))</f>
        <v/>
      </c>
      <c r="AN266" s="31" t="n"/>
      <c r="AO266" s="31" t="n"/>
      <c r="AP266" s="30" t="n"/>
      <c r="AQ266" s="44" t="str">
        <f>IF(A266="","",SUM(AK$5:AK266))</f>
        <v/>
      </c>
      <c r="AR266" s="46" t="str">
        <f>IF(A266="","",MAX(0,MAX(AQ$5:AQ266))-AQ266)</f>
        <v/>
      </c>
    </row>
    <row r="267">
      <c r="A267" s="24" t="n"/>
      <c r="B267" s="29" t="n"/>
      <c r="C267" s="30" t="n"/>
      <c r="D267" s="31" t="n"/>
      <c r="E267" s="31" t="n"/>
      <c r="F267" s="31" t="n"/>
      <c r="G267" s="21" t="n"/>
      <c r="H267" s="31" t="n"/>
      <c r="I267" s="23" t="n"/>
      <c r="J267" s="31" t="n"/>
      <c r="K267" s="32" t="n"/>
      <c r="L267" s="32" t="n"/>
      <c r="M267" s="32" t="n"/>
      <c r="N267" s="33" t="str">
        <f>IF(AND(ISNUMBER(K267),ISNUMBER(L267),ISNUMBER(M267)),IF(OR(AND(F267="多",K267&gt;L267),AND(F267="空",K267&lt;L267)),ABS(M267-K267)/ABS(K267-L267),"止损方向不对"),"")</f>
        <v/>
      </c>
      <c r="O267" s="34" t="str">
        <f>IF(AND(ISNUMBER(K267),ISNUMBER(L267)),IF(K267=L267,"",IF(INT(ROUND('参数'!$C$7/(ABS(K267-L267)*1+2*K267*'参数'!$C$12)/IF(N(J267)&gt;0,J267,1),6))*IF(N(J267)&gt;0,J267,1)&gt;0,INT(ROUND('参数'!$C$7/(ABS(K267-L267)*1+2*K267*'参数'!$C$12)/IF(N(J267)&gt;0,J267,1),6))*IF(N(J267)&gt;0,J267,1),"预算不足，这笔不做")),"")</f>
        <v/>
      </c>
      <c r="P267" s="35" t="n"/>
      <c r="Q267" s="20" t="str">
        <f>IF(AND(ISNUMBER(K267),ISNUMBER(L267),ISNUMBER(P267)),IF(AND(K267&lt;&gt;L267,P267&gt;0),ABS(K267-L267)*P267*1,""),"")</f>
        <v/>
      </c>
      <c r="R267" s="20" t="str">
        <f>IF(AND(ISNUMBER(K267),ISNUMBER(P267)),K267*P267,"")</f>
        <v/>
      </c>
      <c r="S267" s="20" t="str">
        <f>IF(AND(D267="合约",ISNUMBER(R267),N(G267)&gt;0),R267/G267,"")</f>
        <v/>
      </c>
      <c r="T267" s="36" t="str">
        <f>IF(NOT(D267="合约"),"",IF(H267&lt;&gt;"逐仓","看平台",IF(AND(ISNUMBER(K267),N(G267)&gt;0),IF(F267="空",K267*(1+1/G267-IF(ISNUMBER(I267),I267,'参数'!$C$13)),K267*(1-1/G267+IF(ISNUMBER(I267),I267,'参数'!$C$13))),"")))</f>
        <v/>
      </c>
      <c r="U267" s="37" t="str">
        <f>IF(AND(ISNUMBER(T267),ISNUMBER(L267),ISNUMBER(K267)),IF(F267="空",T267-L267,L267-T267)/K267,"")</f>
        <v/>
      </c>
      <c r="V267" s="38" t="str">
        <f>IF(ISNUMBER(U267),IF(U267&lt;'参数'!$C$15,"先降杠杆或减量","在止损外"),"")</f>
        <v/>
      </c>
      <c r="W267" s="30" t="n"/>
      <c r="X267" s="31" t="n"/>
      <c r="Y267" s="39" t="str">
        <f>IF(N(AB267)&gt;0,SUMPRODUCT(LARGE(('成交明细'!$A$5:$A$804=A267)*('成交明细'!$D$5:$D$804=IF(F267="空","卖","买"))*'成交明细'!$B$5:$B$804,COUNTIFS('成交明细'!$A$5:$A$804,A267,'成交明细'!$D$5:$D$804,IF(F267="空","卖","买")))),"")</f>
        <v/>
      </c>
      <c r="Z267" s="39" t="str">
        <f>IF(AND(N(AB267)&gt;0,N(AD267)&gt;=N(AB267)),SUMPRODUCT(MAX(('成交明细'!$A$5:$A$804=A267)*('成交明细'!$D$5:$D$804=IF(F267="空","买","卖"))*'成交明细'!$B$5:$B$804)),"")</f>
        <v/>
      </c>
      <c r="AA267" s="40" t="str">
        <f>IF(N(AB267)=0,"",IF(SUMPRODUCT(('成交明细'!$A$5:$A$804=A267)*('成交明细'!$D$5:$D$804=IF(F267="空","卖","买"))*ISNUMBER('成交明细'!$C$5:$C$804))=0,"没填时间",IFERROR(VLOOKUP(MOD(SUMPRODUCT(LARGE(('成交明细'!$A$5:$A$804=A267)*('成交明细'!$D$5:$D$804=IF(F267="空","卖","买"))*('成交明细'!$B$5:$B$804+'成交明细'!$C$5:$C$804),COUNTIFS('成交明细'!$A$5:$A$804,A267,'成交明细'!$D$5:$D$804,IF(F267="空","卖","买")))),1),'参数'!$B$39:$C$48,2,TRUE),"")))</f>
        <v/>
      </c>
      <c r="AB267" s="34" t="str">
        <f>IF(A267="","",SUMIFS('成交明细'!$F$5:$F$804,'成交明细'!$A$5:$A$804,A267,'成交明细'!$D$5:$D$804,IF(F267="空","卖","买")))</f>
        <v/>
      </c>
      <c r="AC267" s="41" t="str">
        <f>IF(N(AB267)&gt;0,SUMIFS('成交明细'!$H$5:$H$804,'成交明细'!$A$5:$A$804,A267,'成交明细'!$D$5:$D$804,IF(F267="空","卖","买"))/AB267,"")</f>
        <v/>
      </c>
      <c r="AD267" s="34" t="str">
        <f>IF(A267="","",SUMIFS('成交明细'!$F$5:$F$804,'成交明细'!$A$5:$A$804,A267,'成交明细'!$D$5:$D$804,IF(F267="空","买","卖")))</f>
        <v/>
      </c>
      <c r="AE267" s="41" t="str">
        <f>IF(N(AD267)&gt;0,SUMIFS('成交明细'!$H$5:$H$804,'成交明细'!$A$5:$A$804,A267,'成交明细'!$D$5:$D$804,IF(F267="空","买","卖"))/AD267,"")</f>
        <v/>
      </c>
      <c r="AF267" s="38" t="str">
        <f>IF(A267="","",IF(X267&lt;&gt;"已执行",IF(X267="","未填执行情况",X267),IF(N(AB267)=0,"待录成交",IF(N(AD267)&gt;N(AB267),"平仓多于开仓",IF(N(AD267)&lt;N(AB267),"持仓中","已平仓")))))</f>
        <v/>
      </c>
      <c r="AG267" s="42" t="str">
        <f>IF(N(AB267)=0,"",SUMIFS('成交明细'!$L$5:$L$804,'成交明细'!$A$5:$A$804,A267))</f>
        <v/>
      </c>
      <c r="AH267" s="43" t="str">
        <f>IF(A267="","",SUMIFS('资金费流水'!$F$5:$F$604,'资金费流水'!$B$5:$B$604,A267))</f>
        <v/>
      </c>
      <c r="AI267" s="43" t="str">
        <f>IF(AF267&lt;&gt;"已平仓","",(SUMIFS('成交明细'!$H$5:$H$804,'成交明细'!$A$5:$A$804,A267,'成交明细'!$D$5:$D$804,"卖")-SUMIFS('成交明细'!$H$5:$H$804,'成交明细'!$A$5:$A$804,A267,'成交明细'!$D$5:$D$804,"买"))*1-AG267+N(AH267))</f>
        <v/>
      </c>
      <c r="AJ267" s="44" t="str">
        <f>IF(AND(AF267="已平仓",ISNUMBER(Q267)),(SUMIFS('成交明细'!$H$5:$H$804,'成交明细'!$A$5:$A$804,A267,'成交明细'!$D$5:$D$804,"卖")-SUMIFS('成交明细'!$H$5:$H$804,'成交明细'!$A$5:$A$804,A267,'成交明细'!$D$5:$D$804,"买"))*1/Q267,"")</f>
        <v/>
      </c>
      <c r="AK267" s="44" t="str">
        <f>IF(AND(AF267="已平仓",ISNUMBER(Q267)),AI267/Q267,"")</f>
        <v/>
      </c>
      <c r="AL267" s="45" t="str">
        <f>IF(AND(ISNUMBER(AC267),ISNUMBER(K267)),IF(F267="空",K267-AC267,AC267-K267),"")</f>
        <v/>
      </c>
      <c r="AM267" s="45" t="str">
        <f>IF(OR(NOT(ISNUMBER(AI267)),NOT(ISNUMBER(AE267))),"",IF(AI267&lt;0,IF(F267="空",AE267-L267,L267-AE267),IF(NOT(ISNUMBER(M267)),"",IF(F267="空",AE267-M267,M267-AE267))))</f>
        <v/>
      </c>
      <c r="AN267" s="31" t="n"/>
      <c r="AO267" s="31" t="n"/>
      <c r="AP267" s="30" t="n"/>
      <c r="AQ267" s="44" t="str">
        <f>IF(A267="","",SUM(AK$5:AK267))</f>
        <v/>
      </c>
      <c r="AR267" s="46" t="str">
        <f>IF(A267="","",MAX(0,MAX(AQ$5:AQ267))-AQ267)</f>
        <v/>
      </c>
    </row>
    <row r="268">
      <c r="A268" s="24" t="n"/>
      <c r="B268" s="29" t="n"/>
      <c r="C268" s="30" t="n"/>
      <c r="D268" s="31" t="n"/>
      <c r="E268" s="31" t="n"/>
      <c r="F268" s="31" t="n"/>
      <c r="G268" s="21" t="n"/>
      <c r="H268" s="31" t="n"/>
      <c r="I268" s="23" t="n"/>
      <c r="J268" s="31" t="n"/>
      <c r="K268" s="32" t="n"/>
      <c r="L268" s="32" t="n"/>
      <c r="M268" s="32" t="n"/>
      <c r="N268" s="33" t="str">
        <f>IF(AND(ISNUMBER(K268),ISNUMBER(L268),ISNUMBER(M268)),IF(OR(AND(F268="多",K268&gt;L268),AND(F268="空",K268&lt;L268)),ABS(M268-K268)/ABS(K268-L268),"止损方向不对"),"")</f>
        <v/>
      </c>
      <c r="O268" s="34" t="str">
        <f>IF(AND(ISNUMBER(K268),ISNUMBER(L268)),IF(K268=L268,"",IF(INT(ROUND('参数'!$C$7/(ABS(K268-L268)*1+2*K268*'参数'!$C$12)/IF(N(J268)&gt;0,J268,1),6))*IF(N(J268)&gt;0,J268,1)&gt;0,INT(ROUND('参数'!$C$7/(ABS(K268-L268)*1+2*K268*'参数'!$C$12)/IF(N(J268)&gt;0,J268,1),6))*IF(N(J268)&gt;0,J268,1),"预算不足，这笔不做")),"")</f>
        <v/>
      </c>
      <c r="P268" s="35" t="n"/>
      <c r="Q268" s="20" t="str">
        <f>IF(AND(ISNUMBER(K268),ISNUMBER(L268),ISNUMBER(P268)),IF(AND(K268&lt;&gt;L268,P268&gt;0),ABS(K268-L268)*P268*1,""),"")</f>
        <v/>
      </c>
      <c r="R268" s="20" t="str">
        <f>IF(AND(ISNUMBER(K268),ISNUMBER(P268)),K268*P268,"")</f>
        <v/>
      </c>
      <c r="S268" s="20" t="str">
        <f>IF(AND(D268="合约",ISNUMBER(R268),N(G268)&gt;0),R268/G268,"")</f>
        <v/>
      </c>
      <c r="T268" s="36" t="str">
        <f>IF(NOT(D268="合约"),"",IF(H268&lt;&gt;"逐仓","看平台",IF(AND(ISNUMBER(K268),N(G268)&gt;0),IF(F268="空",K268*(1+1/G268-IF(ISNUMBER(I268),I268,'参数'!$C$13)),K268*(1-1/G268+IF(ISNUMBER(I268),I268,'参数'!$C$13))),"")))</f>
        <v/>
      </c>
      <c r="U268" s="37" t="str">
        <f>IF(AND(ISNUMBER(T268),ISNUMBER(L268),ISNUMBER(K268)),IF(F268="空",T268-L268,L268-T268)/K268,"")</f>
        <v/>
      </c>
      <c r="V268" s="38" t="str">
        <f>IF(ISNUMBER(U268),IF(U268&lt;'参数'!$C$15,"先降杠杆或减量","在止损外"),"")</f>
        <v/>
      </c>
      <c r="W268" s="30" t="n"/>
      <c r="X268" s="31" t="n"/>
      <c r="Y268" s="39" t="str">
        <f>IF(N(AB268)&gt;0,SUMPRODUCT(LARGE(('成交明细'!$A$5:$A$804=A268)*('成交明细'!$D$5:$D$804=IF(F268="空","卖","买"))*'成交明细'!$B$5:$B$804,COUNTIFS('成交明细'!$A$5:$A$804,A268,'成交明细'!$D$5:$D$804,IF(F268="空","卖","买")))),"")</f>
        <v/>
      </c>
      <c r="Z268" s="39" t="str">
        <f>IF(AND(N(AB268)&gt;0,N(AD268)&gt;=N(AB268)),SUMPRODUCT(MAX(('成交明细'!$A$5:$A$804=A268)*('成交明细'!$D$5:$D$804=IF(F268="空","买","卖"))*'成交明细'!$B$5:$B$804)),"")</f>
        <v/>
      </c>
      <c r="AA268" s="40" t="str">
        <f>IF(N(AB268)=0,"",IF(SUMPRODUCT(('成交明细'!$A$5:$A$804=A268)*('成交明细'!$D$5:$D$804=IF(F268="空","卖","买"))*ISNUMBER('成交明细'!$C$5:$C$804))=0,"没填时间",IFERROR(VLOOKUP(MOD(SUMPRODUCT(LARGE(('成交明细'!$A$5:$A$804=A268)*('成交明细'!$D$5:$D$804=IF(F268="空","卖","买"))*('成交明细'!$B$5:$B$804+'成交明细'!$C$5:$C$804),COUNTIFS('成交明细'!$A$5:$A$804,A268,'成交明细'!$D$5:$D$804,IF(F268="空","卖","买")))),1),'参数'!$B$39:$C$48,2,TRUE),"")))</f>
        <v/>
      </c>
      <c r="AB268" s="34" t="str">
        <f>IF(A268="","",SUMIFS('成交明细'!$F$5:$F$804,'成交明细'!$A$5:$A$804,A268,'成交明细'!$D$5:$D$804,IF(F268="空","卖","买")))</f>
        <v/>
      </c>
      <c r="AC268" s="41" t="str">
        <f>IF(N(AB268)&gt;0,SUMIFS('成交明细'!$H$5:$H$804,'成交明细'!$A$5:$A$804,A268,'成交明细'!$D$5:$D$804,IF(F268="空","卖","买"))/AB268,"")</f>
        <v/>
      </c>
      <c r="AD268" s="34" t="str">
        <f>IF(A268="","",SUMIFS('成交明细'!$F$5:$F$804,'成交明细'!$A$5:$A$804,A268,'成交明细'!$D$5:$D$804,IF(F268="空","买","卖")))</f>
        <v/>
      </c>
      <c r="AE268" s="41" t="str">
        <f>IF(N(AD268)&gt;0,SUMIFS('成交明细'!$H$5:$H$804,'成交明细'!$A$5:$A$804,A268,'成交明细'!$D$5:$D$804,IF(F268="空","买","卖"))/AD268,"")</f>
        <v/>
      </c>
      <c r="AF268" s="38" t="str">
        <f>IF(A268="","",IF(X268&lt;&gt;"已执行",IF(X268="","未填执行情况",X268),IF(N(AB268)=0,"待录成交",IF(N(AD268)&gt;N(AB268),"平仓多于开仓",IF(N(AD268)&lt;N(AB268),"持仓中","已平仓")))))</f>
        <v/>
      </c>
      <c r="AG268" s="42" t="str">
        <f>IF(N(AB268)=0,"",SUMIFS('成交明细'!$L$5:$L$804,'成交明细'!$A$5:$A$804,A268))</f>
        <v/>
      </c>
      <c r="AH268" s="43" t="str">
        <f>IF(A268="","",SUMIFS('资金费流水'!$F$5:$F$604,'资金费流水'!$B$5:$B$604,A268))</f>
        <v/>
      </c>
      <c r="AI268" s="43" t="str">
        <f>IF(AF268&lt;&gt;"已平仓","",(SUMIFS('成交明细'!$H$5:$H$804,'成交明细'!$A$5:$A$804,A268,'成交明细'!$D$5:$D$804,"卖")-SUMIFS('成交明细'!$H$5:$H$804,'成交明细'!$A$5:$A$804,A268,'成交明细'!$D$5:$D$804,"买"))*1-AG268+N(AH268))</f>
        <v/>
      </c>
      <c r="AJ268" s="44" t="str">
        <f>IF(AND(AF268="已平仓",ISNUMBER(Q268)),(SUMIFS('成交明细'!$H$5:$H$804,'成交明细'!$A$5:$A$804,A268,'成交明细'!$D$5:$D$804,"卖")-SUMIFS('成交明细'!$H$5:$H$804,'成交明细'!$A$5:$A$804,A268,'成交明细'!$D$5:$D$804,"买"))*1/Q268,"")</f>
        <v/>
      </c>
      <c r="AK268" s="44" t="str">
        <f>IF(AND(AF268="已平仓",ISNUMBER(Q268)),AI268/Q268,"")</f>
        <v/>
      </c>
      <c r="AL268" s="45" t="str">
        <f>IF(AND(ISNUMBER(AC268),ISNUMBER(K268)),IF(F268="空",K268-AC268,AC268-K268),"")</f>
        <v/>
      </c>
      <c r="AM268" s="45" t="str">
        <f>IF(OR(NOT(ISNUMBER(AI268)),NOT(ISNUMBER(AE268))),"",IF(AI268&lt;0,IF(F268="空",AE268-L268,L268-AE268),IF(NOT(ISNUMBER(M268)),"",IF(F268="空",AE268-M268,M268-AE268))))</f>
        <v/>
      </c>
      <c r="AN268" s="31" t="n"/>
      <c r="AO268" s="31" t="n"/>
      <c r="AP268" s="30" t="n"/>
      <c r="AQ268" s="44" t="str">
        <f>IF(A268="","",SUM(AK$5:AK268))</f>
        <v/>
      </c>
      <c r="AR268" s="46" t="str">
        <f>IF(A268="","",MAX(0,MAX(AQ$5:AQ268))-AQ268)</f>
        <v/>
      </c>
    </row>
    <row r="269">
      <c r="A269" s="24" t="n"/>
      <c r="B269" s="29" t="n"/>
      <c r="C269" s="30" t="n"/>
      <c r="D269" s="31" t="n"/>
      <c r="E269" s="31" t="n"/>
      <c r="F269" s="31" t="n"/>
      <c r="G269" s="21" t="n"/>
      <c r="H269" s="31" t="n"/>
      <c r="I269" s="23" t="n"/>
      <c r="J269" s="31" t="n"/>
      <c r="K269" s="32" t="n"/>
      <c r="L269" s="32" t="n"/>
      <c r="M269" s="32" t="n"/>
      <c r="N269" s="33" t="str">
        <f>IF(AND(ISNUMBER(K269),ISNUMBER(L269),ISNUMBER(M269)),IF(OR(AND(F269="多",K269&gt;L269),AND(F269="空",K269&lt;L269)),ABS(M269-K269)/ABS(K269-L269),"止损方向不对"),"")</f>
        <v/>
      </c>
      <c r="O269" s="34" t="str">
        <f>IF(AND(ISNUMBER(K269),ISNUMBER(L269)),IF(K269=L269,"",IF(INT(ROUND('参数'!$C$7/(ABS(K269-L269)*1+2*K269*'参数'!$C$12)/IF(N(J269)&gt;0,J269,1),6))*IF(N(J269)&gt;0,J269,1)&gt;0,INT(ROUND('参数'!$C$7/(ABS(K269-L269)*1+2*K269*'参数'!$C$12)/IF(N(J269)&gt;0,J269,1),6))*IF(N(J269)&gt;0,J269,1),"预算不足，这笔不做")),"")</f>
        <v/>
      </c>
      <c r="P269" s="35" t="n"/>
      <c r="Q269" s="20" t="str">
        <f>IF(AND(ISNUMBER(K269),ISNUMBER(L269),ISNUMBER(P269)),IF(AND(K269&lt;&gt;L269,P269&gt;0),ABS(K269-L269)*P269*1,""),"")</f>
        <v/>
      </c>
      <c r="R269" s="20" t="str">
        <f>IF(AND(ISNUMBER(K269),ISNUMBER(P269)),K269*P269,"")</f>
        <v/>
      </c>
      <c r="S269" s="20" t="str">
        <f>IF(AND(D269="合约",ISNUMBER(R269),N(G269)&gt;0),R269/G269,"")</f>
        <v/>
      </c>
      <c r="T269" s="36" t="str">
        <f>IF(NOT(D269="合约"),"",IF(H269&lt;&gt;"逐仓","看平台",IF(AND(ISNUMBER(K269),N(G269)&gt;0),IF(F269="空",K269*(1+1/G269-IF(ISNUMBER(I269),I269,'参数'!$C$13)),K269*(1-1/G269+IF(ISNUMBER(I269),I269,'参数'!$C$13))),"")))</f>
        <v/>
      </c>
      <c r="U269" s="37" t="str">
        <f>IF(AND(ISNUMBER(T269),ISNUMBER(L269),ISNUMBER(K269)),IF(F269="空",T269-L269,L269-T269)/K269,"")</f>
        <v/>
      </c>
      <c r="V269" s="38" t="str">
        <f>IF(ISNUMBER(U269),IF(U269&lt;'参数'!$C$15,"先降杠杆或减量","在止损外"),"")</f>
        <v/>
      </c>
      <c r="W269" s="30" t="n"/>
      <c r="X269" s="31" t="n"/>
      <c r="Y269" s="39" t="str">
        <f>IF(N(AB269)&gt;0,SUMPRODUCT(LARGE(('成交明细'!$A$5:$A$804=A269)*('成交明细'!$D$5:$D$804=IF(F269="空","卖","买"))*'成交明细'!$B$5:$B$804,COUNTIFS('成交明细'!$A$5:$A$804,A269,'成交明细'!$D$5:$D$804,IF(F269="空","卖","买")))),"")</f>
        <v/>
      </c>
      <c r="Z269" s="39" t="str">
        <f>IF(AND(N(AB269)&gt;0,N(AD269)&gt;=N(AB269)),SUMPRODUCT(MAX(('成交明细'!$A$5:$A$804=A269)*('成交明细'!$D$5:$D$804=IF(F269="空","买","卖"))*'成交明细'!$B$5:$B$804)),"")</f>
        <v/>
      </c>
      <c r="AA269" s="40" t="str">
        <f>IF(N(AB269)=0,"",IF(SUMPRODUCT(('成交明细'!$A$5:$A$804=A269)*('成交明细'!$D$5:$D$804=IF(F269="空","卖","买"))*ISNUMBER('成交明细'!$C$5:$C$804))=0,"没填时间",IFERROR(VLOOKUP(MOD(SUMPRODUCT(LARGE(('成交明细'!$A$5:$A$804=A269)*('成交明细'!$D$5:$D$804=IF(F269="空","卖","买"))*('成交明细'!$B$5:$B$804+'成交明细'!$C$5:$C$804),COUNTIFS('成交明细'!$A$5:$A$804,A269,'成交明细'!$D$5:$D$804,IF(F269="空","卖","买")))),1),'参数'!$B$39:$C$48,2,TRUE),"")))</f>
        <v/>
      </c>
      <c r="AB269" s="34" t="str">
        <f>IF(A269="","",SUMIFS('成交明细'!$F$5:$F$804,'成交明细'!$A$5:$A$804,A269,'成交明细'!$D$5:$D$804,IF(F269="空","卖","买")))</f>
        <v/>
      </c>
      <c r="AC269" s="41" t="str">
        <f>IF(N(AB269)&gt;0,SUMIFS('成交明细'!$H$5:$H$804,'成交明细'!$A$5:$A$804,A269,'成交明细'!$D$5:$D$804,IF(F269="空","卖","买"))/AB269,"")</f>
        <v/>
      </c>
      <c r="AD269" s="34" t="str">
        <f>IF(A269="","",SUMIFS('成交明细'!$F$5:$F$804,'成交明细'!$A$5:$A$804,A269,'成交明细'!$D$5:$D$804,IF(F269="空","买","卖")))</f>
        <v/>
      </c>
      <c r="AE269" s="41" t="str">
        <f>IF(N(AD269)&gt;0,SUMIFS('成交明细'!$H$5:$H$804,'成交明细'!$A$5:$A$804,A269,'成交明细'!$D$5:$D$804,IF(F269="空","买","卖"))/AD269,"")</f>
        <v/>
      </c>
      <c r="AF269" s="38" t="str">
        <f>IF(A269="","",IF(X269&lt;&gt;"已执行",IF(X269="","未填执行情况",X269),IF(N(AB269)=0,"待录成交",IF(N(AD269)&gt;N(AB269),"平仓多于开仓",IF(N(AD269)&lt;N(AB269),"持仓中","已平仓")))))</f>
        <v/>
      </c>
      <c r="AG269" s="42" t="str">
        <f>IF(N(AB269)=0,"",SUMIFS('成交明细'!$L$5:$L$804,'成交明细'!$A$5:$A$804,A269))</f>
        <v/>
      </c>
      <c r="AH269" s="43" t="str">
        <f>IF(A269="","",SUMIFS('资金费流水'!$F$5:$F$604,'资金费流水'!$B$5:$B$604,A269))</f>
        <v/>
      </c>
      <c r="AI269" s="43" t="str">
        <f>IF(AF269&lt;&gt;"已平仓","",(SUMIFS('成交明细'!$H$5:$H$804,'成交明细'!$A$5:$A$804,A269,'成交明细'!$D$5:$D$804,"卖")-SUMIFS('成交明细'!$H$5:$H$804,'成交明细'!$A$5:$A$804,A269,'成交明细'!$D$5:$D$804,"买"))*1-AG269+N(AH269))</f>
        <v/>
      </c>
      <c r="AJ269" s="44" t="str">
        <f>IF(AND(AF269="已平仓",ISNUMBER(Q269)),(SUMIFS('成交明细'!$H$5:$H$804,'成交明细'!$A$5:$A$804,A269,'成交明细'!$D$5:$D$804,"卖")-SUMIFS('成交明细'!$H$5:$H$804,'成交明细'!$A$5:$A$804,A269,'成交明细'!$D$5:$D$804,"买"))*1/Q269,"")</f>
        <v/>
      </c>
      <c r="AK269" s="44" t="str">
        <f>IF(AND(AF269="已平仓",ISNUMBER(Q269)),AI269/Q269,"")</f>
        <v/>
      </c>
      <c r="AL269" s="45" t="str">
        <f>IF(AND(ISNUMBER(AC269),ISNUMBER(K269)),IF(F269="空",K269-AC269,AC269-K269),"")</f>
        <v/>
      </c>
      <c r="AM269" s="45" t="str">
        <f>IF(OR(NOT(ISNUMBER(AI269)),NOT(ISNUMBER(AE269))),"",IF(AI269&lt;0,IF(F269="空",AE269-L269,L269-AE269),IF(NOT(ISNUMBER(M269)),"",IF(F269="空",AE269-M269,M269-AE269))))</f>
        <v/>
      </c>
      <c r="AN269" s="31" t="n"/>
      <c r="AO269" s="31" t="n"/>
      <c r="AP269" s="30" t="n"/>
      <c r="AQ269" s="44" t="str">
        <f>IF(A269="","",SUM(AK$5:AK269))</f>
        <v/>
      </c>
      <c r="AR269" s="46" t="str">
        <f>IF(A269="","",MAX(0,MAX(AQ$5:AQ269))-AQ269)</f>
        <v/>
      </c>
    </row>
    <row r="270">
      <c r="A270" s="24" t="n"/>
      <c r="B270" s="29" t="n"/>
      <c r="C270" s="30" t="n"/>
      <c r="D270" s="31" t="n"/>
      <c r="E270" s="31" t="n"/>
      <c r="F270" s="31" t="n"/>
      <c r="G270" s="21" t="n"/>
      <c r="H270" s="31" t="n"/>
      <c r="I270" s="23" t="n"/>
      <c r="J270" s="31" t="n"/>
      <c r="K270" s="32" t="n"/>
      <c r="L270" s="32" t="n"/>
      <c r="M270" s="32" t="n"/>
      <c r="N270" s="33" t="str">
        <f>IF(AND(ISNUMBER(K270),ISNUMBER(L270),ISNUMBER(M270)),IF(OR(AND(F270="多",K270&gt;L270),AND(F270="空",K270&lt;L270)),ABS(M270-K270)/ABS(K270-L270),"止损方向不对"),"")</f>
        <v/>
      </c>
      <c r="O270" s="34" t="str">
        <f>IF(AND(ISNUMBER(K270),ISNUMBER(L270)),IF(K270=L270,"",IF(INT(ROUND('参数'!$C$7/(ABS(K270-L270)*1+2*K270*'参数'!$C$12)/IF(N(J270)&gt;0,J270,1),6))*IF(N(J270)&gt;0,J270,1)&gt;0,INT(ROUND('参数'!$C$7/(ABS(K270-L270)*1+2*K270*'参数'!$C$12)/IF(N(J270)&gt;0,J270,1),6))*IF(N(J270)&gt;0,J270,1),"预算不足，这笔不做")),"")</f>
        <v/>
      </c>
      <c r="P270" s="35" t="n"/>
      <c r="Q270" s="20" t="str">
        <f>IF(AND(ISNUMBER(K270),ISNUMBER(L270),ISNUMBER(P270)),IF(AND(K270&lt;&gt;L270,P270&gt;0),ABS(K270-L270)*P270*1,""),"")</f>
        <v/>
      </c>
      <c r="R270" s="20" t="str">
        <f>IF(AND(ISNUMBER(K270),ISNUMBER(P270)),K270*P270,"")</f>
        <v/>
      </c>
      <c r="S270" s="20" t="str">
        <f>IF(AND(D270="合约",ISNUMBER(R270),N(G270)&gt;0),R270/G270,"")</f>
        <v/>
      </c>
      <c r="T270" s="36" t="str">
        <f>IF(NOT(D270="合约"),"",IF(H270&lt;&gt;"逐仓","看平台",IF(AND(ISNUMBER(K270),N(G270)&gt;0),IF(F270="空",K270*(1+1/G270-IF(ISNUMBER(I270),I270,'参数'!$C$13)),K270*(1-1/G270+IF(ISNUMBER(I270),I270,'参数'!$C$13))),"")))</f>
        <v/>
      </c>
      <c r="U270" s="37" t="str">
        <f>IF(AND(ISNUMBER(T270),ISNUMBER(L270),ISNUMBER(K270)),IF(F270="空",T270-L270,L270-T270)/K270,"")</f>
        <v/>
      </c>
      <c r="V270" s="38" t="str">
        <f>IF(ISNUMBER(U270),IF(U270&lt;'参数'!$C$15,"先降杠杆或减量","在止损外"),"")</f>
        <v/>
      </c>
      <c r="W270" s="30" t="n"/>
      <c r="X270" s="31" t="n"/>
      <c r="Y270" s="39" t="str">
        <f>IF(N(AB270)&gt;0,SUMPRODUCT(LARGE(('成交明细'!$A$5:$A$804=A270)*('成交明细'!$D$5:$D$804=IF(F270="空","卖","买"))*'成交明细'!$B$5:$B$804,COUNTIFS('成交明细'!$A$5:$A$804,A270,'成交明细'!$D$5:$D$804,IF(F270="空","卖","买")))),"")</f>
        <v/>
      </c>
      <c r="Z270" s="39" t="str">
        <f>IF(AND(N(AB270)&gt;0,N(AD270)&gt;=N(AB270)),SUMPRODUCT(MAX(('成交明细'!$A$5:$A$804=A270)*('成交明细'!$D$5:$D$804=IF(F270="空","买","卖"))*'成交明细'!$B$5:$B$804)),"")</f>
        <v/>
      </c>
      <c r="AA270" s="40" t="str">
        <f>IF(N(AB270)=0,"",IF(SUMPRODUCT(('成交明细'!$A$5:$A$804=A270)*('成交明细'!$D$5:$D$804=IF(F270="空","卖","买"))*ISNUMBER('成交明细'!$C$5:$C$804))=0,"没填时间",IFERROR(VLOOKUP(MOD(SUMPRODUCT(LARGE(('成交明细'!$A$5:$A$804=A270)*('成交明细'!$D$5:$D$804=IF(F270="空","卖","买"))*('成交明细'!$B$5:$B$804+'成交明细'!$C$5:$C$804),COUNTIFS('成交明细'!$A$5:$A$804,A270,'成交明细'!$D$5:$D$804,IF(F270="空","卖","买")))),1),'参数'!$B$39:$C$48,2,TRUE),"")))</f>
        <v/>
      </c>
      <c r="AB270" s="34" t="str">
        <f>IF(A270="","",SUMIFS('成交明细'!$F$5:$F$804,'成交明细'!$A$5:$A$804,A270,'成交明细'!$D$5:$D$804,IF(F270="空","卖","买")))</f>
        <v/>
      </c>
      <c r="AC270" s="41" t="str">
        <f>IF(N(AB270)&gt;0,SUMIFS('成交明细'!$H$5:$H$804,'成交明细'!$A$5:$A$804,A270,'成交明细'!$D$5:$D$804,IF(F270="空","卖","买"))/AB270,"")</f>
        <v/>
      </c>
      <c r="AD270" s="34" t="str">
        <f>IF(A270="","",SUMIFS('成交明细'!$F$5:$F$804,'成交明细'!$A$5:$A$804,A270,'成交明细'!$D$5:$D$804,IF(F270="空","买","卖")))</f>
        <v/>
      </c>
      <c r="AE270" s="41" t="str">
        <f>IF(N(AD270)&gt;0,SUMIFS('成交明细'!$H$5:$H$804,'成交明细'!$A$5:$A$804,A270,'成交明细'!$D$5:$D$804,IF(F270="空","买","卖"))/AD270,"")</f>
        <v/>
      </c>
      <c r="AF270" s="38" t="str">
        <f>IF(A270="","",IF(X270&lt;&gt;"已执行",IF(X270="","未填执行情况",X270),IF(N(AB270)=0,"待录成交",IF(N(AD270)&gt;N(AB270),"平仓多于开仓",IF(N(AD270)&lt;N(AB270),"持仓中","已平仓")))))</f>
        <v/>
      </c>
      <c r="AG270" s="42" t="str">
        <f>IF(N(AB270)=0,"",SUMIFS('成交明细'!$L$5:$L$804,'成交明细'!$A$5:$A$804,A270))</f>
        <v/>
      </c>
      <c r="AH270" s="43" t="str">
        <f>IF(A270="","",SUMIFS('资金费流水'!$F$5:$F$604,'资金费流水'!$B$5:$B$604,A270))</f>
        <v/>
      </c>
      <c r="AI270" s="43" t="str">
        <f>IF(AF270&lt;&gt;"已平仓","",(SUMIFS('成交明细'!$H$5:$H$804,'成交明细'!$A$5:$A$804,A270,'成交明细'!$D$5:$D$804,"卖")-SUMIFS('成交明细'!$H$5:$H$804,'成交明细'!$A$5:$A$804,A270,'成交明细'!$D$5:$D$804,"买"))*1-AG270+N(AH270))</f>
        <v/>
      </c>
      <c r="AJ270" s="44" t="str">
        <f>IF(AND(AF270="已平仓",ISNUMBER(Q270)),(SUMIFS('成交明细'!$H$5:$H$804,'成交明细'!$A$5:$A$804,A270,'成交明细'!$D$5:$D$804,"卖")-SUMIFS('成交明细'!$H$5:$H$804,'成交明细'!$A$5:$A$804,A270,'成交明细'!$D$5:$D$804,"买"))*1/Q270,"")</f>
        <v/>
      </c>
      <c r="AK270" s="44" t="str">
        <f>IF(AND(AF270="已平仓",ISNUMBER(Q270)),AI270/Q270,"")</f>
        <v/>
      </c>
      <c r="AL270" s="45" t="str">
        <f>IF(AND(ISNUMBER(AC270),ISNUMBER(K270)),IF(F270="空",K270-AC270,AC270-K270),"")</f>
        <v/>
      </c>
      <c r="AM270" s="45" t="str">
        <f>IF(OR(NOT(ISNUMBER(AI270)),NOT(ISNUMBER(AE270))),"",IF(AI270&lt;0,IF(F270="空",AE270-L270,L270-AE270),IF(NOT(ISNUMBER(M270)),"",IF(F270="空",AE270-M270,M270-AE270))))</f>
        <v/>
      </c>
      <c r="AN270" s="31" t="n"/>
      <c r="AO270" s="31" t="n"/>
      <c r="AP270" s="30" t="n"/>
      <c r="AQ270" s="44" t="str">
        <f>IF(A270="","",SUM(AK$5:AK270))</f>
        <v/>
      </c>
      <c r="AR270" s="46" t="str">
        <f>IF(A270="","",MAX(0,MAX(AQ$5:AQ270))-AQ270)</f>
        <v/>
      </c>
    </row>
    <row r="271">
      <c r="A271" s="24" t="n"/>
      <c r="B271" s="29" t="n"/>
      <c r="C271" s="30" t="n"/>
      <c r="D271" s="31" t="n"/>
      <c r="E271" s="31" t="n"/>
      <c r="F271" s="31" t="n"/>
      <c r="G271" s="21" t="n"/>
      <c r="H271" s="31" t="n"/>
      <c r="I271" s="23" t="n"/>
      <c r="J271" s="31" t="n"/>
      <c r="K271" s="32" t="n"/>
      <c r="L271" s="32" t="n"/>
      <c r="M271" s="32" t="n"/>
      <c r="N271" s="33" t="str">
        <f>IF(AND(ISNUMBER(K271),ISNUMBER(L271),ISNUMBER(M271)),IF(OR(AND(F271="多",K271&gt;L271),AND(F271="空",K271&lt;L271)),ABS(M271-K271)/ABS(K271-L271),"止损方向不对"),"")</f>
        <v/>
      </c>
      <c r="O271" s="34" t="str">
        <f>IF(AND(ISNUMBER(K271),ISNUMBER(L271)),IF(K271=L271,"",IF(INT(ROUND('参数'!$C$7/(ABS(K271-L271)*1+2*K271*'参数'!$C$12)/IF(N(J271)&gt;0,J271,1),6))*IF(N(J271)&gt;0,J271,1)&gt;0,INT(ROUND('参数'!$C$7/(ABS(K271-L271)*1+2*K271*'参数'!$C$12)/IF(N(J271)&gt;0,J271,1),6))*IF(N(J271)&gt;0,J271,1),"预算不足，这笔不做")),"")</f>
        <v/>
      </c>
      <c r="P271" s="35" t="n"/>
      <c r="Q271" s="20" t="str">
        <f>IF(AND(ISNUMBER(K271),ISNUMBER(L271),ISNUMBER(P271)),IF(AND(K271&lt;&gt;L271,P271&gt;0),ABS(K271-L271)*P271*1,""),"")</f>
        <v/>
      </c>
      <c r="R271" s="20" t="str">
        <f>IF(AND(ISNUMBER(K271),ISNUMBER(P271)),K271*P271,"")</f>
        <v/>
      </c>
      <c r="S271" s="20" t="str">
        <f>IF(AND(D271="合约",ISNUMBER(R271),N(G271)&gt;0),R271/G271,"")</f>
        <v/>
      </c>
      <c r="T271" s="36" t="str">
        <f>IF(NOT(D271="合约"),"",IF(H271&lt;&gt;"逐仓","看平台",IF(AND(ISNUMBER(K271),N(G271)&gt;0),IF(F271="空",K271*(1+1/G271-IF(ISNUMBER(I271),I271,'参数'!$C$13)),K271*(1-1/G271+IF(ISNUMBER(I271),I271,'参数'!$C$13))),"")))</f>
        <v/>
      </c>
      <c r="U271" s="37" t="str">
        <f>IF(AND(ISNUMBER(T271),ISNUMBER(L271),ISNUMBER(K271)),IF(F271="空",T271-L271,L271-T271)/K271,"")</f>
        <v/>
      </c>
      <c r="V271" s="38" t="str">
        <f>IF(ISNUMBER(U271),IF(U271&lt;'参数'!$C$15,"先降杠杆或减量","在止损外"),"")</f>
        <v/>
      </c>
      <c r="W271" s="30" t="n"/>
      <c r="X271" s="31" t="n"/>
      <c r="Y271" s="39" t="str">
        <f>IF(N(AB271)&gt;0,SUMPRODUCT(LARGE(('成交明细'!$A$5:$A$804=A271)*('成交明细'!$D$5:$D$804=IF(F271="空","卖","买"))*'成交明细'!$B$5:$B$804,COUNTIFS('成交明细'!$A$5:$A$804,A271,'成交明细'!$D$5:$D$804,IF(F271="空","卖","买")))),"")</f>
        <v/>
      </c>
      <c r="Z271" s="39" t="str">
        <f>IF(AND(N(AB271)&gt;0,N(AD271)&gt;=N(AB271)),SUMPRODUCT(MAX(('成交明细'!$A$5:$A$804=A271)*('成交明细'!$D$5:$D$804=IF(F271="空","买","卖"))*'成交明细'!$B$5:$B$804)),"")</f>
        <v/>
      </c>
      <c r="AA271" s="40" t="str">
        <f>IF(N(AB271)=0,"",IF(SUMPRODUCT(('成交明细'!$A$5:$A$804=A271)*('成交明细'!$D$5:$D$804=IF(F271="空","卖","买"))*ISNUMBER('成交明细'!$C$5:$C$804))=0,"没填时间",IFERROR(VLOOKUP(MOD(SUMPRODUCT(LARGE(('成交明细'!$A$5:$A$804=A271)*('成交明细'!$D$5:$D$804=IF(F271="空","卖","买"))*('成交明细'!$B$5:$B$804+'成交明细'!$C$5:$C$804),COUNTIFS('成交明细'!$A$5:$A$804,A271,'成交明细'!$D$5:$D$804,IF(F271="空","卖","买")))),1),'参数'!$B$39:$C$48,2,TRUE),"")))</f>
        <v/>
      </c>
      <c r="AB271" s="34" t="str">
        <f>IF(A271="","",SUMIFS('成交明细'!$F$5:$F$804,'成交明细'!$A$5:$A$804,A271,'成交明细'!$D$5:$D$804,IF(F271="空","卖","买")))</f>
        <v/>
      </c>
      <c r="AC271" s="41" t="str">
        <f>IF(N(AB271)&gt;0,SUMIFS('成交明细'!$H$5:$H$804,'成交明细'!$A$5:$A$804,A271,'成交明细'!$D$5:$D$804,IF(F271="空","卖","买"))/AB271,"")</f>
        <v/>
      </c>
      <c r="AD271" s="34" t="str">
        <f>IF(A271="","",SUMIFS('成交明细'!$F$5:$F$804,'成交明细'!$A$5:$A$804,A271,'成交明细'!$D$5:$D$804,IF(F271="空","买","卖")))</f>
        <v/>
      </c>
      <c r="AE271" s="41" t="str">
        <f>IF(N(AD271)&gt;0,SUMIFS('成交明细'!$H$5:$H$804,'成交明细'!$A$5:$A$804,A271,'成交明细'!$D$5:$D$804,IF(F271="空","买","卖"))/AD271,"")</f>
        <v/>
      </c>
      <c r="AF271" s="38" t="str">
        <f>IF(A271="","",IF(X271&lt;&gt;"已执行",IF(X271="","未填执行情况",X271),IF(N(AB271)=0,"待录成交",IF(N(AD271)&gt;N(AB271),"平仓多于开仓",IF(N(AD271)&lt;N(AB271),"持仓中","已平仓")))))</f>
        <v/>
      </c>
      <c r="AG271" s="42" t="str">
        <f>IF(N(AB271)=0,"",SUMIFS('成交明细'!$L$5:$L$804,'成交明细'!$A$5:$A$804,A271))</f>
        <v/>
      </c>
      <c r="AH271" s="43" t="str">
        <f>IF(A271="","",SUMIFS('资金费流水'!$F$5:$F$604,'资金费流水'!$B$5:$B$604,A271))</f>
        <v/>
      </c>
      <c r="AI271" s="43" t="str">
        <f>IF(AF271&lt;&gt;"已平仓","",(SUMIFS('成交明细'!$H$5:$H$804,'成交明细'!$A$5:$A$804,A271,'成交明细'!$D$5:$D$804,"卖")-SUMIFS('成交明细'!$H$5:$H$804,'成交明细'!$A$5:$A$804,A271,'成交明细'!$D$5:$D$804,"买"))*1-AG271+N(AH271))</f>
        <v/>
      </c>
      <c r="AJ271" s="44" t="str">
        <f>IF(AND(AF271="已平仓",ISNUMBER(Q271)),(SUMIFS('成交明细'!$H$5:$H$804,'成交明细'!$A$5:$A$804,A271,'成交明细'!$D$5:$D$804,"卖")-SUMIFS('成交明细'!$H$5:$H$804,'成交明细'!$A$5:$A$804,A271,'成交明细'!$D$5:$D$804,"买"))*1/Q271,"")</f>
        <v/>
      </c>
      <c r="AK271" s="44" t="str">
        <f>IF(AND(AF271="已平仓",ISNUMBER(Q271)),AI271/Q271,"")</f>
        <v/>
      </c>
      <c r="AL271" s="45" t="str">
        <f>IF(AND(ISNUMBER(AC271),ISNUMBER(K271)),IF(F271="空",K271-AC271,AC271-K271),"")</f>
        <v/>
      </c>
      <c r="AM271" s="45" t="str">
        <f>IF(OR(NOT(ISNUMBER(AI271)),NOT(ISNUMBER(AE271))),"",IF(AI271&lt;0,IF(F271="空",AE271-L271,L271-AE271),IF(NOT(ISNUMBER(M271)),"",IF(F271="空",AE271-M271,M271-AE271))))</f>
        <v/>
      </c>
      <c r="AN271" s="31" t="n"/>
      <c r="AO271" s="31" t="n"/>
      <c r="AP271" s="30" t="n"/>
      <c r="AQ271" s="44" t="str">
        <f>IF(A271="","",SUM(AK$5:AK271))</f>
        <v/>
      </c>
      <c r="AR271" s="46" t="str">
        <f>IF(A271="","",MAX(0,MAX(AQ$5:AQ271))-AQ271)</f>
        <v/>
      </c>
    </row>
    <row r="272">
      <c r="A272" s="24" t="n"/>
      <c r="B272" s="29" t="n"/>
      <c r="C272" s="30" t="n"/>
      <c r="D272" s="31" t="n"/>
      <c r="E272" s="31" t="n"/>
      <c r="F272" s="31" t="n"/>
      <c r="G272" s="21" t="n"/>
      <c r="H272" s="31" t="n"/>
      <c r="I272" s="23" t="n"/>
      <c r="J272" s="31" t="n"/>
      <c r="K272" s="32" t="n"/>
      <c r="L272" s="32" t="n"/>
      <c r="M272" s="32" t="n"/>
      <c r="N272" s="33" t="str">
        <f>IF(AND(ISNUMBER(K272),ISNUMBER(L272),ISNUMBER(M272)),IF(OR(AND(F272="多",K272&gt;L272),AND(F272="空",K272&lt;L272)),ABS(M272-K272)/ABS(K272-L272),"止损方向不对"),"")</f>
        <v/>
      </c>
      <c r="O272" s="34" t="str">
        <f>IF(AND(ISNUMBER(K272),ISNUMBER(L272)),IF(K272=L272,"",IF(INT(ROUND('参数'!$C$7/(ABS(K272-L272)*1+2*K272*'参数'!$C$12)/IF(N(J272)&gt;0,J272,1),6))*IF(N(J272)&gt;0,J272,1)&gt;0,INT(ROUND('参数'!$C$7/(ABS(K272-L272)*1+2*K272*'参数'!$C$12)/IF(N(J272)&gt;0,J272,1),6))*IF(N(J272)&gt;0,J272,1),"预算不足，这笔不做")),"")</f>
        <v/>
      </c>
      <c r="P272" s="35" t="n"/>
      <c r="Q272" s="20" t="str">
        <f>IF(AND(ISNUMBER(K272),ISNUMBER(L272),ISNUMBER(P272)),IF(AND(K272&lt;&gt;L272,P272&gt;0),ABS(K272-L272)*P272*1,""),"")</f>
        <v/>
      </c>
      <c r="R272" s="20" t="str">
        <f>IF(AND(ISNUMBER(K272),ISNUMBER(P272)),K272*P272,"")</f>
        <v/>
      </c>
      <c r="S272" s="20" t="str">
        <f>IF(AND(D272="合约",ISNUMBER(R272),N(G272)&gt;0),R272/G272,"")</f>
        <v/>
      </c>
      <c r="T272" s="36" t="str">
        <f>IF(NOT(D272="合约"),"",IF(H272&lt;&gt;"逐仓","看平台",IF(AND(ISNUMBER(K272),N(G272)&gt;0),IF(F272="空",K272*(1+1/G272-IF(ISNUMBER(I272),I272,'参数'!$C$13)),K272*(1-1/G272+IF(ISNUMBER(I272),I272,'参数'!$C$13))),"")))</f>
        <v/>
      </c>
      <c r="U272" s="37" t="str">
        <f>IF(AND(ISNUMBER(T272),ISNUMBER(L272),ISNUMBER(K272)),IF(F272="空",T272-L272,L272-T272)/K272,"")</f>
        <v/>
      </c>
      <c r="V272" s="38" t="str">
        <f>IF(ISNUMBER(U272),IF(U272&lt;'参数'!$C$15,"先降杠杆或减量","在止损外"),"")</f>
        <v/>
      </c>
      <c r="W272" s="30" t="n"/>
      <c r="X272" s="31" t="n"/>
      <c r="Y272" s="39" t="str">
        <f>IF(N(AB272)&gt;0,SUMPRODUCT(LARGE(('成交明细'!$A$5:$A$804=A272)*('成交明细'!$D$5:$D$804=IF(F272="空","卖","买"))*'成交明细'!$B$5:$B$804,COUNTIFS('成交明细'!$A$5:$A$804,A272,'成交明细'!$D$5:$D$804,IF(F272="空","卖","买")))),"")</f>
        <v/>
      </c>
      <c r="Z272" s="39" t="str">
        <f>IF(AND(N(AB272)&gt;0,N(AD272)&gt;=N(AB272)),SUMPRODUCT(MAX(('成交明细'!$A$5:$A$804=A272)*('成交明细'!$D$5:$D$804=IF(F272="空","买","卖"))*'成交明细'!$B$5:$B$804)),"")</f>
        <v/>
      </c>
      <c r="AA272" s="40" t="str">
        <f>IF(N(AB272)=0,"",IF(SUMPRODUCT(('成交明细'!$A$5:$A$804=A272)*('成交明细'!$D$5:$D$804=IF(F272="空","卖","买"))*ISNUMBER('成交明细'!$C$5:$C$804))=0,"没填时间",IFERROR(VLOOKUP(MOD(SUMPRODUCT(LARGE(('成交明细'!$A$5:$A$804=A272)*('成交明细'!$D$5:$D$804=IF(F272="空","卖","买"))*('成交明细'!$B$5:$B$804+'成交明细'!$C$5:$C$804),COUNTIFS('成交明细'!$A$5:$A$804,A272,'成交明细'!$D$5:$D$804,IF(F272="空","卖","买")))),1),'参数'!$B$39:$C$48,2,TRUE),"")))</f>
        <v/>
      </c>
      <c r="AB272" s="34" t="str">
        <f>IF(A272="","",SUMIFS('成交明细'!$F$5:$F$804,'成交明细'!$A$5:$A$804,A272,'成交明细'!$D$5:$D$804,IF(F272="空","卖","买")))</f>
        <v/>
      </c>
      <c r="AC272" s="41" t="str">
        <f>IF(N(AB272)&gt;0,SUMIFS('成交明细'!$H$5:$H$804,'成交明细'!$A$5:$A$804,A272,'成交明细'!$D$5:$D$804,IF(F272="空","卖","买"))/AB272,"")</f>
        <v/>
      </c>
      <c r="AD272" s="34" t="str">
        <f>IF(A272="","",SUMIFS('成交明细'!$F$5:$F$804,'成交明细'!$A$5:$A$804,A272,'成交明细'!$D$5:$D$804,IF(F272="空","买","卖")))</f>
        <v/>
      </c>
      <c r="AE272" s="41" t="str">
        <f>IF(N(AD272)&gt;0,SUMIFS('成交明细'!$H$5:$H$804,'成交明细'!$A$5:$A$804,A272,'成交明细'!$D$5:$D$804,IF(F272="空","买","卖"))/AD272,"")</f>
        <v/>
      </c>
      <c r="AF272" s="38" t="str">
        <f>IF(A272="","",IF(X272&lt;&gt;"已执行",IF(X272="","未填执行情况",X272),IF(N(AB272)=0,"待录成交",IF(N(AD272)&gt;N(AB272),"平仓多于开仓",IF(N(AD272)&lt;N(AB272),"持仓中","已平仓")))))</f>
        <v/>
      </c>
      <c r="AG272" s="42" t="str">
        <f>IF(N(AB272)=0,"",SUMIFS('成交明细'!$L$5:$L$804,'成交明细'!$A$5:$A$804,A272))</f>
        <v/>
      </c>
      <c r="AH272" s="43" t="str">
        <f>IF(A272="","",SUMIFS('资金费流水'!$F$5:$F$604,'资金费流水'!$B$5:$B$604,A272))</f>
        <v/>
      </c>
      <c r="AI272" s="43" t="str">
        <f>IF(AF272&lt;&gt;"已平仓","",(SUMIFS('成交明细'!$H$5:$H$804,'成交明细'!$A$5:$A$804,A272,'成交明细'!$D$5:$D$804,"卖")-SUMIFS('成交明细'!$H$5:$H$804,'成交明细'!$A$5:$A$804,A272,'成交明细'!$D$5:$D$804,"买"))*1-AG272+N(AH272))</f>
        <v/>
      </c>
      <c r="AJ272" s="44" t="str">
        <f>IF(AND(AF272="已平仓",ISNUMBER(Q272)),(SUMIFS('成交明细'!$H$5:$H$804,'成交明细'!$A$5:$A$804,A272,'成交明细'!$D$5:$D$804,"卖")-SUMIFS('成交明细'!$H$5:$H$804,'成交明细'!$A$5:$A$804,A272,'成交明细'!$D$5:$D$804,"买"))*1/Q272,"")</f>
        <v/>
      </c>
      <c r="AK272" s="44" t="str">
        <f>IF(AND(AF272="已平仓",ISNUMBER(Q272)),AI272/Q272,"")</f>
        <v/>
      </c>
      <c r="AL272" s="45" t="str">
        <f>IF(AND(ISNUMBER(AC272),ISNUMBER(K272)),IF(F272="空",K272-AC272,AC272-K272),"")</f>
        <v/>
      </c>
      <c r="AM272" s="45" t="str">
        <f>IF(OR(NOT(ISNUMBER(AI272)),NOT(ISNUMBER(AE272))),"",IF(AI272&lt;0,IF(F272="空",AE272-L272,L272-AE272),IF(NOT(ISNUMBER(M272)),"",IF(F272="空",AE272-M272,M272-AE272))))</f>
        <v/>
      </c>
      <c r="AN272" s="31" t="n"/>
      <c r="AO272" s="31" t="n"/>
      <c r="AP272" s="30" t="n"/>
      <c r="AQ272" s="44" t="str">
        <f>IF(A272="","",SUM(AK$5:AK272))</f>
        <v/>
      </c>
      <c r="AR272" s="46" t="str">
        <f>IF(A272="","",MAX(0,MAX(AQ$5:AQ272))-AQ272)</f>
        <v/>
      </c>
    </row>
    <row r="273">
      <c r="A273" s="24" t="n"/>
      <c r="B273" s="29" t="n"/>
      <c r="C273" s="30" t="n"/>
      <c r="D273" s="31" t="n"/>
      <c r="E273" s="31" t="n"/>
      <c r="F273" s="31" t="n"/>
      <c r="G273" s="21" t="n"/>
      <c r="H273" s="31" t="n"/>
      <c r="I273" s="23" t="n"/>
      <c r="J273" s="31" t="n"/>
      <c r="K273" s="32" t="n"/>
      <c r="L273" s="32" t="n"/>
      <c r="M273" s="32" t="n"/>
      <c r="N273" s="33" t="str">
        <f>IF(AND(ISNUMBER(K273),ISNUMBER(L273),ISNUMBER(M273)),IF(OR(AND(F273="多",K273&gt;L273),AND(F273="空",K273&lt;L273)),ABS(M273-K273)/ABS(K273-L273),"止损方向不对"),"")</f>
        <v/>
      </c>
      <c r="O273" s="34" t="str">
        <f>IF(AND(ISNUMBER(K273),ISNUMBER(L273)),IF(K273=L273,"",IF(INT(ROUND('参数'!$C$7/(ABS(K273-L273)*1+2*K273*'参数'!$C$12)/IF(N(J273)&gt;0,J273,1),6))*IF(N(J273)&gt;0,J273,1)&gt;0,INT(ROUND('参数'!$C$7/(ABS(K273-L273)*1+2*K273*'参数'!$C$12)/IF(N(J273)&gt;0,J273,1),6))*IF(N(J273)&gt;0,J273,1),"预算不足，这笔不做")),"")</f>
        <v/>
      </c>
      <c r="P273" s="35" t="n"/>
      <c r="Q273" s="20" t="str">
        <f>IF(AND(ISNUMBER(K273),ISNUMBER(L273),ISNUMBER(P273)),IF(AND(K273&lt;&gt;L273,P273&gt;0),ABS(K273-L273)*P273*1,""),"")</f>
        <v/>
      </c>
      <c r="R273" s="20" t="str">
        <f>IF(AND(ISNUMBER(K273),ISNUMBER(P273)),K273*P273,"")</f>
        <v/>
      </c>
      <c r="S273" s="20" t="str">
        <f>IF(AND(D273="合约",ISNUMBER(R273),N(G273)&gt;0),R273/G273,"")</f>
        <v/>
      </c>
      <c r="T273" s="36" t="str">
        <f>IF(NOT(D273="合约"),"",IF(H273&lt;&gt;"逐仓","看平台",IF(AND(ISNUMBER(K273),N(G273)&gt;0),IF(F273="空",K273*(1+1/G273-IF(ISNUMBER(I273),I273,'参数'!$C$13)),K273*(1-1/G273+IF(ISNUMBER(I273),I273,'参数'!$C$13))),"")))</f>
        <v/>
      </c>
      <c r="U273" s="37" t="str">
        <f>IF(AND(ISNUMBER(T273),ISNUMBER(L273),ISNUMBER(K273)),IF(F273="空",T273-L273,L273-T273)/K273,"")</f>
        <v/>
      </c>
      <c r="V273" s="38" t="str">
        <f>IF(ISNUMBER(U273),IF(U273&lt;'参数'!$C$15,"先降杠杆或减量","在止损外"),"")</f>
        <v/>
      </c>
      <c r="W273" s="30" t="n"/>
      <c r="X273" s="31" t="n"/>
      <c r="Y273" s="39" t="str">
        <f>IF(N(AB273)&gt;0,SUMPRODUCT(LARGE(('成交明细'!$A$5:$A$804=A273)*('成交明细'!$D$5:$D$804=IF(F273="空","卖","买"))*'成交明细'!$B$5:$B$804,COUNTIFS('成交明细'!$A$5:$A$804,A273,'成交明细'!$D$5:$D$804,IF(F273="空","卖","买")))),"")</f>
        <v/>
      </c>
      <c r="Z273" s="39" t="str">
        <f>IF(AND(N(AB273)&gt;0,N(AD273)&gt;=N(AB273)),SUMPRODUCT(MAX(('成交明细'!$A$5:$A$804=A273)*('成交明细'!$D$5:$D$804=IF(F273="空","买","卖"))*'成交明细'!$B$5:$B$804)),"")</f>
        <v/>
      </c>
      <c r="AA273" s="40" t="str">
        <f>IF(N(AB273)=0,"",IF(SUMPRODUCT(('成交明细'!$A$5:$A$804=A273)*('成交明细'!$D$5:$D$804=IF(F273="空","卖","买"))*ISNUMBER('成交明细'!$C$5:$C$804))=0,"没填时间",IFERROR(VLOOKUP(MOD(SUMPRODUCT(LARGE(('成交明细'!$A$5:$A$804=A273)*('成交明细'!$D$5:$D$804=IF(F273="空","卖","买"))*('成交明细'!$B$5:$B$804+'成交明细'!$C$5:$C$804),COUNTIFS('成交明细'!$A$5:$A$804,A273,'成交明细'!$D$5:$D$804,IF(F273="空","卖","买")))),1),'参数'!$B$39:$C$48,2,TRUE),"")))</f>
        <v/>
      </c>
      <c r="AB273" s="34" t="str">
        <f>IF(A273="","",SUMIFS('成交明细'!$F$5:$F$804,'成交明细'!$A$5:$A$804,A273,'成交明细'!$D$5:$D$804,IF(F273="空","卖","买")))</f>
        <v/>
      </c>
      <c r="AC273" s="41" t="str">
        <f>IF(N(AB273)&gt;0,SUMIFS('成交明细'!$H$5:$H$804,'成交明细'!$A$5:$A$804,A273,'成交明细'!$D$5:$D$804,IF(F273="空","卖","买"))/AB273,"")</f>
        <v/>
      </c>
      <c r="AD273" s="34" t="str">
        <f>IF(A273="","",SUMIFS('成交明细'!$F$5:$F$804,'成交明细'!$A$5:$A$804,A273,'成交明细'!$D$5:$D$804,IF(F273="空","买","卖")))</f>
        <v/>
      </c>
      <c r="AE273" s="41" t="str">
        <f>IF(N(AD273)&gt;0,SUMIFS('成交明细'!$H$5:$H$804,'成交明细'!$A$5:$A$804,A273,'成交明细'!$D$5:$D$804,IF(F273="空","买","卖"))/AD273,"")</f>
        <v/>
      </c>
      <c r="AF273" s="38" t="str">
        <f>IF(A273="","",IF(X273&lt;&gt;"已执行",IF(X273="","未填执行情况",X273),IF(N(AB273)=0,"待录成交",IF(N(AD273)&gt;N(AB273),"平仓多于开仓",IF(N(AD273)&lt;N(AB273),"持仓中","已平仓")))))</f>
        <v/>
      </c>
      <c r="AG273" s="42" t="str">
        <f>IF(N(AB273)=0,"",SUMIFS('成交明细'!$L$5:$L$804,'成交明细'!$A$5:$A$804,A273))</f>
        <v/>
      </c>
      <c r="AH273" s="43" t="str">
        <f>IF(A273="","",SUMIFS('资金费流水'!$F$5:$F$604,'资金费流水'!$B$5:$B$604,A273))</f>
        <v/>
      </c>
      <c r="AI273" s="43" t="str">
        <f>IF(AF273&lt;&gt;"已平仓","",(SUMIFS('成交明细'!$H$5:$H$804,'成交明细'!$A$5:$A$804,A273,'成交明细'!$D$5:$D$804,"卖")-SUMIFS('成交明细'!$H$5:$H$804,'成交明细'!$A$5:$A$804,A273,'成交明细'!$D$5:$D$804,"买"))*1-AG273+N(AH273))</f>
        <v/>
      </c>
      <c r="AJ273" s="44" t="str">
        <f>IF(AND(AF273="已平仓",ISNUMBER(Q273)),(SUMIFS('成交明细'!$H$5:$H$804,'成交明细'!$A$5:$A$804,A273,'成交明细'!$D$5:$D$804,"卖")-SUMIFS('成交明细'!$H$5:$H$804,'成交明细'!$A$5:$A$804,A273,'成交明细'!$D$5:$D$804,"买"))*1/Q273,"")</f>
        <v/>
      </c>
      <c r="AK273" s="44" t="str">
        <f>IF(AND(AF273="已平仓",ISNUMBER(Q273)),AI273/Q273,"")</f>
        <v/>
      </c>
      <c r="AL273" s="45" t="str">
        <f>IF(AND(ISNUMBER(AC273),ISNUMBER(K273)),IF(F273="空",K273-AC273,AC273-K273),"")</f>
        <v/>
      </c>
      <c r="AM273" s="45" t="str">
        <f>IF(OR(NOT(ISNUMBER(AI273)),NOT(ISNUMBER(AE273))),"",IF(AI273&lt;0,IF(F273="空",AE273-L273,L273-AE273),IF(NOT(ISNUMBER(M273)),"",IF(F273="空",AE273-M273,M273-AE273))))</f>
        <v/>
      </c>
      <c r="AN273" s="31" t="n"/>
      <c r="AO273" s="31" t="n"/>
      <c r="AP273" s="30" t="n"/>
      <c r="AQ273" s="44" t="str">
        <f>IF(A273="","",SUM(AK$5:AK273))</f>
        <v/>
      </c>
      <c r="AR273" s="46" t="str">
        <f>IF(A273="","",MAX(0,MAX(AQ$5:AQ273))-AQ273)</f>
        <v/>
      </c>
    </row>
    <row r="274">
      <c r="A274" s="24" t="n"/>
      <c r="B274" s="29" t="n"/>
      <c r="C274" s="30" t="n"/>
      <c r="D274" s="31" t="n"/>
      <c r="E274" s="31" t="n"/>
      <c r="F274" s="31" t="n"/>
      <c r="G274" s="21" t="n"/>
      <c r="H274" s="31" t="n"/>
      <c r="I274" s="23" t="n"/>
      <c r="J274" s="31" t="n"/>
      <c r="K274" s="32" t="n"/>
      <c r="L274" s="32" t="n"/>
      <c r="M274" s="32" t="n"/>
      <c r="N274" s="33" t="str">
        <f>IF(AND(ISNUMBER(K274),ISNUMBER(L274),ISNUMBER(M274)),IF(OR(AND(F274="多",K274&gt;L274),AND(F274="空",K274&lt;L274)),ABS(M274-K274)/ABS(K274-L274),"止损方向不对"),"")</f>
        <v/>
      </c>
      <c r="O274" s="34" t="str">
        <f>IF(AND(ISNUMBER(K274),ISNUMBER(L274)),IF(K274=L274,"",IF(INT(ROUND('参数'!$C$7/(ABS(K274-L274)*1+2*K274*'参数'!$C$12)/IF(N(J274)&gt;0,J274,1),6))*IF(N(J274)&gt;0,J274,1)&gt;0,INT(ROUND('参数'!$C$7/(ABS(K274-L274)*1+2*K274*'参数'!$C$12)/IF(N(J274)&gt;0,J274,1),6))*IF(N(J274)&gt;0,J274,1),"预算不足，这笔不做")),"")</f>
        <v/>
      </c>
      <c r="P274" s="35" t="n"/>
      <c r="Q274" s="20" t="str">
        <f>IF(AND(ISNUMBER(K274),ISNUMBER(L274),ISNUMBER(P274)),IF(AND(K274&lt;&gt;L274,P274&gt;0),ABS(K274-L274)*P274*1,""),"")</f>
        <v/>
      </c>
      <c r="R274" s="20" t="str">
        <f>IF(AND(ISNUMBER(K274),ISNUMBER(P274)),K274*P274,"")</f>
        <v/>
      </c>
      <c r="S274" s="20" t="str">
        <f>IF(AND(D274="合约",ISNUMBER(R274),N(G274)&gt;0),R274/G274,"")</f>
        <v/>
      </c>
      <c r="T274" s="36" t="str">
        <f>IF(NOT(D274="合约"),"",IF(H274&lt;&gt;"逐仓","看平台",IF(AND(ISNUMBER(K274),N(G274)&gt;0),IF(F274="空",K274*(1+1/G274-IF(ISNUMBER(I274),I274,'参数'!$C$13)),K274*(1-1/G274+IF(ISNUMBER(I274),I274,'参数'!$C$13))),"")))</f>
        <v/>
      </c>
      <c r="U274" s="37" t="str">
        <f>IF(AND(ISNUMBER(T274),ISNUMBER(L274),ISNUMBER(K274)),IF(F274="空",T274-L274,L274-T274)/K274,"")</f>
        <v/>
      </c>
      <c r="V274" s="38" t="str">
        <f>IF(ISNUMBER(U274),IF(U274&lt;'参数'!$C$15,"先降杠杆或减量","在止损外"),"")</f>
        <v/>
      </c>
      <c r="W274" s="30" t="n"/>
      <c r="X274" s="31" t="n"/>
      <c r="Y274" s="39" t="str">
        <f>IF(N(AB274)&gt;0,SUMPRODUCT(LARGE(('成交明细'!$A$5:$A$804=A274)*('成交明细'!$D$5:$D$804=IF(F274="空","卖","买"))*'成交明细'!$B$5:$B$804,COUNTIFS('成交明细'!$A$5:$A$804,A274,'成交明细'!$D$5:$D$804,IF(F274="空","卖","买")))),"")</f>
        <v/>
      </c>
      <c r="Z274" s="39" t="str">
        <f>IF(AND(N(AB274)&gt;0,N(AD274)&gt;=N(AB274)),SUMPRODUCT(MAX(('成交明细'!$A$5:$A$804=A274)*('成交明细'!$D$5:$D$804=IF(F274="空","买","卖"))*'成交明细'!$B$5:$B$804)),"")</f>
        <v/>
      </c>
      <c r="AA274" s="40" t="str">
        <f>IF(N(AB274)=0,"",IF(SUMPRODUCT(('成交明细'!$A$5:$A$804=A274)*('成交明细'!$D$5:$D$804=IF(F274="空","卖","买"))*ISNUMBER('成交明细'!$C$5:$C$804))=0,"没填时间",IFERROR(VLOOKUP(MOD(SUMPRODUCT(LARGE(('成交明细'!$A$5:$A$804=A274)*('成交明细'!$D$5:$D$804=IF(F274="空","卖","买"))*('成交明细'!$B$5:$B$804+'成交明细'!$C$5:$C$804),COUNTIFS('成交明细'!$A$5:$A$804,A274,'成交明细'!$D$5:$D$804,IF(F274="空","卖","买")))),1),'参数'!$B$39:$C$48,2,TRUE),"")))</f>
        <v/>
      </c>
      <c r="AB274" s="34" t="str">
        <f>IF(A274="","",SUMIFS('成交明细'!$F$5:$F$804,'成交明细'!$A$5:$A$804,A274,'成交明细'!$D$5:$D$804,IF(F274="空","卖","买")))</f>
        <v/>
      </c>
      <c r="AC274" s="41" t="str">
        <f>IF(N(AB274)&gt;0,SUMIFS('成交明细'!$H$5:$H$804,'成交明细'!$A$5:$A$804,A274,'成交明细'!$D$5:$D$804,IF(F274="空","卖","买"))/AB274,"")</f>
        <v/>
      </c>
      <c r="AD274" s="34" t="str">
        <f>IF(A274="","",SUMIFS('成交明细'!$F$5:$F$804,'成交明细'!$A$5:$A$804,A274,'成交明细'!$D$5:$D$804,IF(F274="空","买","卖")))</f>
        <v/>
      </c>
      <c r="AE274" s="41" t="str">
        <f>IF(N(AD274)&gt;0,SUMIFS('成交明细'!$H$5:$H$804,'成交明细'!$A$5:$A$804,A274,'成交明细'!$D$5:$D$804,IF(F274="空","买","卖"))/AD274,"")</f>
        <v/>
      </c>
      <c r="AF274" s="38" t="str">
        <f>IF(A274="","",IF(X274&lt;&gt;"已执行",IF(X274="","未填执行情况",X274),IF(N(AB274)=0,"待录成交",IF(N(AD274)&gt;N(AB274),"平仓多于开仓",IF(N(AD274)&lt;N(AB274),"持仓中","已平仓")))))</f>
        <v/>
      </c>
      <c r="AG274" s="42" t="str">
        <f>IF(N(AB274)=0,"",SUMIFS('成交明细'!$L$5:$L$804,'成交明细'!$A$5:$A$804,A274))</f>
        <v/>
      </c>
      <c r="AH274" s="43" t="str">
        <f>IF(A274="","",SUMIFS('资金费流水'!$F$5:$F$604,'资金费流水'!$B$5:$B$604,A274))</f>
        <v/>
      </c>
      <c r="AI274" s="43" t="str">
        <f>IF(AF274&lt;&gt;"已平仓","",(SUMIFS('成交明细'!$H$5:$H$804,'成交明细'!$A$5:$A$804,A274,'成交明细'!$D$5:$D$804,"卖")-SUMIFS('成交明细'!$H$5:$H$804,'成交明细'!$A$5:$A$804,A274,'成交明细'!$D$5:$D$804,"买"))*1-AG274+N(AH274))</f>
        <v/>
      </c>
      <c r="AJ274" s="44" t="str">
        <f>IF(AND(AF274="已平仓",ISNUMBER(Q274)),(SUMIFS('成交明细'!$H$5:$H$804,'成交明细'!$A$5:$A$804,A274,'成交明细'!$D$5:$D$804,"卖")-SUMIFS('成交明细'!$H$5:$H$804,'成交明细'!$A$5:$A$804,A274,'成交明细'!$D$5:$D$804,"买"))*1/Q274,"")</f>
        <v/>
      </c>
      <c r="AK274" s="44" t="str">
        <f>IF(AND(AF274="已平仓",ISNUMBER(Q274)),AI274/Q274,"")</f>
        <v/>
      </c>
      <c r="AL274" s="45" t="str">
        <f>IF(AND(ISNUMBER(AC274),ISNUMBER(K274)),IF(F274="空",K274-AC274,AC274-K274),"")</f>
        <v/>
      </c>
      <c r="AM274" s="45" t="str">
        <f>IF(OR(NOT(ISNUMBER(AI274)),NOT(ISNUMBER(AE274))),"",IF(AI274&lt;0,IF(F274="空",AE274-L274,L274-AE274),IF(NOT(ISNUMBER(M274)),"",IF(F274="空",AE274-M274,M274-AE274))))</f>
        <v/>
      </c>
      <c r="AN274" s="31" t="n"/>
      <c r="AO274" s="31" t="n"/>
      <c r="AP274" s="30" t="n"/>
      <c r="AQ274" s="44" t="str">
        <f>IF(A274="","",SUM(AK$5:AK274))</f>
        <v/>
      </c>
      <c r="AR274" s="46" t="str">
        <f>IF(A274="","",MAX(0,MAX(AQ$5:AQ274))-AQ274)</f>
        <v/>
      </c>
    </row>
    <row r="275">
      <c r="A275" s="24" t="n"/>
      <c r="B275" s="29" t="n"/>
      <c r="C275" s="30" t="n"/>
      <c r="D275" s="31" t="n"/>
      <c r="E275" s="31" t="n"/>
      <c r="F275" s="31" t="n"/>
      <c r="G275" s="21" t="n"/>
      <c r="H275" s="31" t="n"/>
      <c r="I275" s="23" t="n"/>
      <c r="J275" s="31" t="n"/>
      <c r="K275" s="32" t="n"/>
      <c r="L275" s="32" t="n"/>
      <c r="M275" s="32" t="n"/>
      <c r="N275" s="33" t="str">
        <f>IF(AND(ISNUMBER(K275),ISNUMBER(L275),ISNUMBER(M275)),IF(OR(AND(F275="多",K275&gt;L275),AND(F275="空",K275&lt;L275)),ABS(M275-K275)/ABS(K275-L275),"止损方向不对"),"")</f>
        <v/>
      </c>
      <c r="O275" s="34" t="str">
        <f>IF(AND(ISNUMBER(K275),ISNUMBER(L275)),IF(K275=L275,"",IF(INT(ROUND('参数'!$C$7/(ABS(K275-L275)*1+2*K275*'参数'!$C$12)/IF(N(J275)&gt;0,J275,1),6))*IF(N(J275)&gt;0,J275,1)&gt;0,INT(ROUND('参数'!$C$7/(ABS(K275-L275)*1+2*K275*'参数'!$C$12)/IF(N(J275)&gt;0,J275,1),6))*IF(N(J275)&gt;0,J275,1),"预算不足，这笔不做")),"")</f>
        <v/>
      </c>
      <c r="P275" s="35" t="n"/>
      <c r="Q275" s="20" t="str">
        <f>IF(AND(ISNUMBER(K275),ISNUMBER(L275),ISNUMBER(P275)),IF(AND(K275&lt;&gt;L275,P275&gt;0),ABS(K275-L275)*P275*1,""),"")</f>
        <v/>
      </c>
      <c r="R275" s="20" t="str">
        <f>IF(AND(ISNUMBER(K275),ISNUMBER(P275)),K275*P275,"")</f>
        <v/>
      </c>
      <c r="S275" s="20" t="str">
        <f>IF(AND(D275="合约",ISNUMBER(R275),N(G275)&gt;0),R275/G275,"")</f>
        <v/>
      </c>
      <c r="T275" s="36" t="str">
        <f>IF(NOT(D275="合约"),"",IF(H275&lt;&gt;"逐仓","看平台",IF(AND(ISNUMBER(K275),N(G275)&gt;0),IF(F275="空",K275*(1+1/G275-IF(ISNUMBER(I275),I275,'参数'!$C$13)),K275*(1-1/G275+IF(ISNUMBER(I275),I275,'参数'!$C$13))),"")))</f>
        <v/>
      </c>
      <c r="U275" s="37" t="str">
        <f>IF(AND(ISNUMBER(T275),ISNUMBER(L275),ISNUMBER(K275)),IF(F275="空",T275-L275,L275-T275)/K275,"")</f>
        <v/>
      </c>
      <c r="V275" s="38" t="str">
        <f>IF(ISNUMBER(U275),IF(U275&lt;'参数'!$C$15,"先降杠杆或减量","在止损外"),"")</f>
        <v/>
      </c>
      <c r="W275" s="30" t="n"/>
      <c r="X275" s="31" t="n"/>
      <c r="Y275" s="39" t="str">
        <f>IF(N(AB275)&gt;0,SUMPRODUCT(LARGE(('成交明细'!$A$5:$A$804=A275)*('成交明细'!$D$5:$D$804=IF(F275="空","卖","买"))*'成交明细'!$B$5:$B$804,COUNTIFS('成交明细'!$A$5:$A$804,A275,'成交明细'!$D$5:$D$804,IF(F275="空","卖","买")))),"")</f>
        <v/>
      </c>
      <c r="Z275" s="39" t="str">
        <f>IF(AND(N(AB275)&gt;0,N(AD275)&gt;=N(AB275)),SUMPRODUCT(MAX(('成交明细'!$A$5:$A$804=A275)*('成交明细'!$D$5:$D$804=IF(F275="空","买","卖"))*'成交明细'!$B$5:$B$804)),"")</f>
        <v/>
      </c>
      <c r="AA275" s="40" t="str">
        <f>IF(N(AB275)=0,"",IF(SUMPRODUCT(('成交明细'!$A$5:$A$804=A275)*('成交明细'!$D$5:$D$804=IF(F275="空","卖","买"))*ISNUMBER('成交明细'!$C$5:$C$804))=0,"没填时间",IFERROR(VLOOKUP(MOD(SUMPRODUCT(LARGE(('成交明细'!$A$5:$A$804=A275)*('成交明细'!$D$5:$D$804=IF(F275="空","卖","买"))*('成交明细'!$B$5:$B$804+'成交明细'!$C$5:$C$804),COUNTIFS('成交明细'!$A$5:$A$804,A275,'成交明细'!$D$5:$D$804,IF(F275="空","卖","买")))),1),'参数'!$B$39:$C$48,2,TRUE),"")))</f>
        <v/>
      </c>
      <c r="AB275" s="34" t="str">
        <f>IF(A275="","",SUMIFS('成交明细'!$F$5:$F$804,'成交明细'!$A$5:$A$804,A275,'成交明细'!$D$5:$D$804,IF(F275="空","卖","买")))</f>
        <v/>
      </c>
      <c r="AC275" s="41" t="str">
        <f>IF(N(AB275)&gt;0,SUMIFS('成交明细'!$H$5:$H$804,'成交明细'!$A$5:$A$804,A275,'成交明细'!$D$5:$D$804,IF(F275="空","卖","买"))/AB275,"")</f>
        <v/>
      </c>
      <c r="AD275" s="34" t="str">
        <f>IF(A275="","",SUMIFS('成交明细'!$F$5:$F$804,'成交明细'!$A$5:$A$804,A275,'成交明细'!$D$5:$D$804,IF(F275="空","买","卖")))</f>
        <v/>
      </c>
      <c r="AE275" s="41" t="str">
        <f>IF(N(AD275)&gt;0,SUMIFS('成交明细'!$H$5:$H$804,'成交明细'!$A$5:$A$804,A275,'成交明细'!$D$5:$D$804,IF(F275="空","买","卖"))/AD275,"")</f>
        <v/>
      </c>
      <c r="AF275" s="38" t="str">
        <f>IF(A275="","",IF(X275&lt;&gt;"已执行",IF(X275="","未填执行情况",X275),IF(N(AB275)=0,"待录成交",IF(N(AD275)&gt;N(AB275),"平仓多于开仓",IF(N(AD275)&lt;N(AB275),"持仓中","已平仓")))))</f>
        <v/>
      </c>
      <c r="AG275" s="42" t="str">
        <f>IF(N(AB275)=0,"",SUMIFS('成交明细'!$L$5:$L$804,'成交明细'!$A$5:$A$804,A275))</f>
        <v/>
      </c>
      <c r="AH275" s="43" t="str">
        <f>IF(A275="","",SUMIFS('资金费流水'!$F$5:$F$604,'资金费流水'!$B$5:$B$604,A275))</f>
        <v/>
      </c>
      <c r="AI275" s="43" t="str">
        <f>IF(AF275&lt;&gt;"已平仓","",(SUMIFS('成交明细'!$H$5:$H$804,'成交明细'!$A$5:$A$804,A275,'成交明细'!$D$5:$D$804,"卖")-SUMIFS('成交明细'!$H$5:$H$804,'成交明细'!$A$5:$A$804,A275,'成交明细'!$D$5:$D$804,"买"))*1-AG275+N(AH275))</f>
        <v/>
      </c>
      <c r="AJ275" s="44" t="str">
        <f>IF(AND(AF275="已平仓",ISNUMBER(Q275)),(SUMIFS('成交明细'!$H$5:$H$804,'成交明细'!$A$5:$A$804,A275,'成交明细'!$D$5:$D$804,"卖")-SUMIFS('成交明细'!$H$5:$H$804,'成交明细'!$A$5:$A$804,A275,'成交明细'!$D$5:$D$804,"买"))*1/Q275,"")</f>
        <v/>
      </c>
      <c r="AK275" s="44" t="str">
        <f>IF(AND(AF275="已平仓",ISNUMBER(Q275)),AI275/Q275,"")</f>
        <v/>
      </c>
      <c r="AL275" s="45" t="str">
        <f>IF(AND(ISNUMBER(AC275),ISNUMBER(K275)),IF(F275="空",K275-AC275,AC275-K275),"")</f>
        <v/>
      </c>
      <c r="AM275" s="45" t="str">
        <f>IF(OR(NOT(ISNUMBER(AI275)),NOT(ISNUMBER(AE275))),"",IF(AI275&lt;0,IF(F275="空",AE275-L275,L275-AE275),IF(NOT(ISNUMBER(M275)),"",IF(F275="空",AE275-M275,M275-AE275))))</f>
        <v/>
      </c>
      <c r="AN275" s="31" t="n"/>
      <c r="AO275" s="31" t="n"/>
      <c r="AP275" s="30" t="n"/>
      <c r="AQ275" s="44" t="str">
        <f>IF(A275="","",SUM(AK$5:AK275))</f>
        <v/>
      </c>
      <c r="AR275" s="46" t="str">
        <f>IF(A275="","",MAX(0,MAX(AQ$5:AQ275))-AQ275)</f>
        <v/>
      </c>
    </row>
    <row r="276">
      <c r="A276" s="24" t="n"/>
      <c r="B276" s="29" t="n"/>
      <c r="C276" s="30" t="n"/>
      <c r="D276" s="31" t="n"/>
      <c r="E276" s="31" t="n"/>
      <c r="F276" s="31" t="n"/>
      <c r="G276" s="21" t="n"/>
      <c r="H276" s="31" t="n"/>
      <c r="I276" s="23" t="n"/>
      <c r="J276" s="31" t="n"/>
      <c r="K276" s="32" t="n"/>
      <c r="L276" s="32" t="n"/>
      <c r="M276" s="32" t="n"/>
      <c r="N276" s="33" t="str">
        <f>IF(AND(ISNUMBER(K276),ISNUMBER(L276),ISNUMBER(M276)),IF(OR(AND(F276="多",K276&gt;L276),AND(F276="空",K276&lt;L276)),ABS(M276-K276)/ABS(K276-L276),"止损方向不对"),"")</f>
        <v/>
      </c>
      <c r="O276" s="34" t="str">
        <f>IF(AND(ISNUMBER(K276),ISNUMBER(L276)),IF(K276=L276,"",IF(INT(ROUND('参数'!$C$7/(ABS(K276-L276)*1+2*K276*'参数'!$C$12)/IF(N(J276)&gt;0,J276,1),6))*IF(N(J276)&gt;0,J276,1)&gt;0,INT(ROUND('参数'!$C$7/(ABS(K276-L276)*1+2*K276*'参数'!$C$12)/IF(N(J276)&gt;0,J276,1),6))*IF(N(J276)&gt;0,J276,1),"预算不足，这笔不做")),"")</f>
        <v/>
      </c>
      <c r="P276" s="35" t="n"/>
      <c r="Q276" s="20" t="str">
        <f>IF(AND(ISNUMBER(K276),ISNUMBER(L276),ISNUMBER(P276)),IF(AND(K276&lt;&gt;L276,P276&gt;0),ABS(K276-L276)*P276*1,""),"")</f>
        <v/>
      </c>
      <c r="R276" s="20" t="str">
        <f>IF(AND(ISNUMBER(K276),ISNUMBER(P276)),K276*P276,"")</f>
        <v/>
      </c>
      <c r="S276" s="20" t="str">
        <f>IF(AND(D276="合约",ISNUMBER(R276),N(G276)&gt;0),R276/G276,"")</f>
        <v/>
      </c>
      <c r="T276" s="36" t="str">
        <f>IF(NOT(D276="合约"),"",IF(H276&lt;&gt;"逐仓","看平台",IF(AND(ISNUMBER(K276),N(G276)&gt;0),IF(F276="空",K276*(1+1/G276-IF(ISNUMBER(I276),I276,'参数'!$C$13)),K276*(1-1/G276+IF(ISNUMBER(I276),I276,'参数'!$C$13))),"")))</f>
        <v/>
      </c>
      <c r="U276" s="37" t="str">
        <f>IF(AND(ISNUMBER(T276),ISNUMBER(L276),ISNUMBER(K276)),IF(F276="空",T276-L276,L276-T276)/K276,"")</f>
        <v/>
      </c>
      <c r="V276" s="38" t="str">
        <f>IF(ISNUMBER(U276),IF(U276&lt;'参数'!$C$15,"先降杠杆或减量","在止损外"),"")</f>
        <v/>
      </c>
      <c r="W276" s="30" t="n"/>
      <c r="X276" s="31" t="n"/>
      <c r="Y276" s="39" t="str">
        <f>IF(N(AB276)&gt;0,SUMPRODUCT(LARGE(('成交明细'!$A$5:$A$804=A276)*('成交明细'!$D$5:$D$804=IF(F276="空","卖","买"))*'成交明细'!$B$5:$B$804,COUNTIFS('成交明细'!$A$5:$A$804,A276,'成交明细'!$D$5:$D$804,IF(F276="空","卖","买")))),"")</f>
        <v/>
      </c>
      <c r="Z276" s="39" t="str">
        <f>IF(AND(N(AB276)&gt;0,N(AD276)&gt;=N(AB276)),SUMPRODUCT(MAX(('成交明细'!$A$5:$A$804=A276)*('成交明细'!$D$5:$D$804=IF(F276="空","买","卖"))*'成交明细'!$B$5:$B$804)),"")</f>
        <v/>
      </c>
      <c r="AA276" s="40" t="str">
        <f>IF(N(AB276)=0,"",IF(SUMPRODUCT(('成交明细'!$A$5:$A$804=A276)*('成交明细'!$D$5:$D$804=IF(F276="空","卖","买"))*ISNUMBER('成交明细'!$C$5:$C$804))=0,"没填时间",IFERROR(VLOOKUP(MOD(SUMPRODUCT(LARGE(('成交明细'!$A$5:$A$804=A276)*('成交明细'!$D$5:$D$804=IF(F276="空","卖","买"))*('成交明细'!$B$5:$B$804+'成交明细'!$C$5:$C$804),COUNTIFS('成交明细'!$A$5:$A$804,A276,'成交明细'!$D$5:$D$804,IF(F276="空","卖","买")))),1),'参数'!$B$39:$C$48,2,TRUE),"")))</f>
        <v/>
      </c>
      <c r="AB276" s="34" t="str">
        <f>IF(A276="","",SUMIFS('成交明细'!$F$5:$F$804,'成交明细'!$A$5:$A$804,A276,'成交明细'!$D$5:$D$804,IF(F276="空","卖","买")))</f>
        <v/>
      </c>
      <c r="AC276" s="41" t="str">
        <f>IF(N(AB276)&gt;0,SUMIFS('成交明细'!$H$5:$H$804,'成交明细'!$A$5:$A$804,A276,'成交明细'!$D$5:$D$804,IF(F276="空","卖","买"))/AB276,"")</f>
        <v/>
      </c>
      <c r="AD276" s="34" t="str">
        <f>IF(A276="","",SUMIFS('成交明细'!$F$5:$F$804,'成交明细'!$A$5:$A$804,A276,'成交明细'!$D$5:$D$804,IF(F276="空","买","卖")))</f>
        <v/>
      </c>
      <c r="AE276" s="41" t="str">
        <f>IF(N(AD276)&gt;0,SUMIFS('成交明细'!$H$5:$H$804,'成交明细'!$A$5:$A$804,A276,'成交明细'!$D$5:$D$804,IF(F276="空","买","卖"))/AD276,"")</f>
        <v/>
      </c>
      <c r="AF276" s="38" t="str">
        <f>IF(A276="","",IF(X276&lt;&gt;"已执行",IF(X276="","未填执行情况",X276),IF(N(AB276)=0,"待录成交",IF(N(AD276)&gt;N(AB276),"平仓多于开仓",IF(N(AD276)&lt;N(AB276),"持仓中","已平仓")))))</f>
        <v/>
      </c>
      <c r="AG276" s="42" t="str">
        <f>IF(N(AB276)=0,"",SUMIFS('成交明细'!$L$5:$L$804,'成交明细'!$A$5:$A$804,A276))</f>
        <v/>
      </c>
      <c r="AH276" s="43" t="str">
        <f>IF(A276="","",SUMIFS('资金费流水'!$F$5:$F$604,'资金费流水'!$B$5:$B$604,A276))</f>
        <v/>
      </c>
      <c r="AI276" s="43" t="str">
        <f>IF(AF276&lt;&gt;"已平仓","",(SUMIFS('成交明细'!$H$5:$H$804,'成交明细'!$A$5:$A$804,A276,'成交明细'!$D$5:$D$804,"卖")-SUMIFS('成交明细'!$H$5:$H$804,'成交明细'!$A$5:$A$804,A276,'成交明细'!$D$5:$D$804,"买"))*1-AG276+N(AH276))</f>
        <v/>
      </c>
      <c r="AJ276" s="44" t="str">
        <f>IF(AND(AF276="已平仓",ISNUMBER(Q276)),(SUMIFS('成交明细'!$H$5:$H$804,'成交明细'!$A$5:$A$804,A276,'成交明细'!$D$5:$D$804,"卖")-SUMIFS('成交明细'!$H$5:$H$804,'成交明细'!$A$5:$A$804,A276,'成交明细'!$D$5:$D$804,"买"))*1/Q276,"")</f>
        <v/>
      </c>
      <c r="AK276" s="44" t="str">
        <f>IF(AND(AF276="已平仓",ISNUMBER(Q276)),AI276/Q276,"")</f>
        <v/>
      </c>
      <c r="AL276" s="45" t="str">
        <f>IF(AND(ISNUMBER(AC276),ISNUMBER(K276)),IF(F276="空",K276-AC276,AC276-K276),"")</f>
        <v/>
      </c>
      <c r="AM276" s="45" t="str">
        <f>IF(OR(NOT(ISNUMBER(AI276)),NOT(ISNUMBER(AE276))),"",IF(AI276&lt;0,IF(F276="空",AE276-L276,L276-AE276),IF(NOT(ISNUMBER(M276)),"",IF(F276="空",AE276-M276,M276-AE276))))</f>
        <v/>
      </c>
      <c r="AN276" s="31" t="n"/>
      <c r="AO276" s="31" t="n"/>
      <c r="AP276" s="30" t="n"/>
      <c r="AQ276" s="44" t="str">
        <f>IF(A276="","",SUM(AK$5:AK276))</f>
        <v/>
      </c>
      <c r="AR276" s="46" t="str">
        <f>IF(A276="","",MAX(0,MAX(AQ$5:AQ276))-AQ276)</f>
        <v/>
      </c>
    </row>
    <row r="277">
      <c r="A277" s="24" t="n"/>
      <c r="B277" s="29" t="n"/>
      <c r="C277" s="30" t="n"/>
      <c r="D277" s="31" t="n"/>
      <c r="E277" s="31" t="n"/>
      <c r="F277" s="31" t="n"/>
      <c r="G277" s="21" t="n"/>
      <c r="H277" s="31" t="n"/>
      <c r="I277" s="23" t="n"/>
      <c r="J277" s="31" t="n"/>
      <c r="K277" s="32" t="n"/>
      <c r="L277" s="32" t="n"/>
      <c r="M277" s="32" t="n"/>
      <c r="N277" s="33" t="str">
        <f>IF(AND(ISNUMBER(K277),ISNUMBER(L277),ISNUMBER(M277)),IF(OR(AND(F277="多",K277&gt;L277),AND(F277="空",K277&lt;L277)),ABS(M277-K277)/ABS(K277-L277),"止损方向不对"),"")</f>
        <v/>
      </c>
      <c r="O277" s="34" t="str">
        <f>IF(AND(ISNUMBER(K277),ISNUMBER(L277)),IF(K277=L277,"",IF(INT(ROUND('参数'!$C$7/(ABS(K277-L277)*1+2*K277*'参数'!$C$12)/IF(N(J277)&gt;0,J277,1),6))*IF(N(J277)&gt;0,J277,1)&gt;0,INT(ROUND('参数'!$C$7/(ABS(K277-L277)*1+2*K277*'参数'!$C$12)/IF(N(J277)&gt;0,J277,1),6))*IF(N(J277)&gt;0,J277,1),"预算不足，这笔不做")),"")</f>
        <v/>
      </c>
      <c r="P277" s="35" t="n"/>
      <c r="Q277" s="20" t="str">
        <f>IF(AND(ISNUMBER(K277),ISNUMBER(L277),ISNUMBER(P277)),IF(AND(K277&lt;&gt;L277,P277&gt;0),ABS(K277-L277)*P277*1,""),"")</f>
        <v/>
      </c>
      <c r="R277" s="20" t="str">
        <f>IF(AND(ISNUMBER(K277),ISNUMBER(P277)),K277*P277,"")</f>
        <v/>
      </c>
      <c r="S277" s="20" t="str">
        <f>IF(AND(D277="合约",ISNUMBER(R277),N(G277)&gt;0),R277/G277,"")</f>
        <v/>
      </c>
      <c r="T277" s="36" t="str">
        <f>IF(NOT(D277="合约"),"",IF(H277&lt;&gt;"逐仓","看平台",IF(AND(ISNUMBER(K277),N(G277)&gt;0),IF(F277="空",K277*(1+1/G277-IF(ISNUMBER(I277),I277,'参数'!$C$13)),K277*(1-1/G277+IF(ISNUMBER(I277),I277,'参数'!$C$13))),"")))</f>
        <v/>
      </c>
      <c r="U277" s="37" t="str">
        <f>IF(AND(ISNUMBER(T277),ISNUMBER(L277),ISNUMBER(K277)),IF(F277="空",T277-L277,L277-T277)/K277,"")</f>
        <v/>
      </c>
      <c r="V277" s="38" t="str">
        <f>IF(ISNUMBER(U277),IF(U277&lt;'参数'!$C$15,"先降杠杆或减量","在止损外"),"")</f>
        <v/>
      </c>
      <c r="W277" s="30" t="n"/>
      <c r="X277" s="31" t="n"/>
      <c r="Y277" s="39" t="str">
        <f>IF(N(AB277)&gt;0,SUMPRODUCT(LARGE(('成交明细'!$A$5:$A$804=A277)*('成交明细'!$D$5:$D$804=IF(F277="空","卖","买"))*'成交明细'!$B$5:$B$804,COUNTIFS('成交明细'!$A$5:$A$804,A277,'成交明细'!$D$5:$D$804,IF(F277="空","卖","买")))),"")</f>
        <v/>
      </c>
      <c r="Z277" s="39" t="str">
        <f>IF(AND(N(AB277)&gt;0,N(AD277)&gt;=N(AB277)),SUMPRODUCT(MAX(('成交明细'!$A$5:$A$804=A277)*('成交明细'!$D$5:$D$804=IF(F277="空","买","卖"))*'成交明细'!$B$5:$B$804)),"")</f>
        <v/>
      </c>
      <c r="AA277" s="40" t="str">
        <f>IF(N(AB277)=0,"",IF(SUMPRODUCT(('成交明细'!$A$5:$A$804=A277)*('成交明细'!$D$5:$D$804=IF(F277="空","卖","买"))*ISNUMBER('成交明细'!$C$5:$C$804))=0,"没填时间",IFERROR(VLOOKUP(MOD(SUMPRODUCT(LARGE(('成交明细'!$A$5:$A$804=A277)*('成交明细'!$D$5:$D$804=IF(F277="空","卖","买"))*('成交明细'!$B$5:$B$804+'成交明细'!$C$5:$C$804),COUNTIFS('成交明细'!$A$5:$A$804,A277,'成交明细'!$D$5:$D$804,IF(F277="空","卖","买")))),1),'参数'!$B$39:$C$48,2,TRUE),"")))</f>
        <v/>
      </c>
      <c r="AB277" s="34" t="str">
        <f>IF(A277="","",SUMIFS('成交明细'!$F$5:$F$804,'成交明细'!$A$5:$A$804,A277,'成交明细'!$D$5:$D$804,IF(F277="空","卖","买")))</f>
        <v/>
      </c>
      <c r="AC277" s="41" t="str">
        <f>IF(N(AB277)&gt;0,SUMIFS('成交明细'!$H$5:$H$804,'成交明细'!$A$5:$A$804,A277,'成交明细'!$D$5:$D$804,IF(F277="空","卖","买"))/AB277,"")</f>
        <v/>
      </c>
      <c r="AD277" s="34" t="str">
        <f>IF(A277="","",SUMIFS('成交明细'!$F$5:$F$804,'成交明细'!$A$5:$A$804,A277,'成交明细'!$D$5:$D$804,IF(F277="空","买","卖")))</f>
        <v/>
      </c>
      <c r="AE277" s="41" t="str">
        <f>IF(N(AD277)&gt;0,SUMIFS('成交明细'!$H$5:$H$804,'成交明细'!$A$5:$A$804,A277,'成交明细'!$D$5:$D$804,IF(F277="空","买","卖"))/AD277,"")</f>
        <v/>
      </c>
      <c r="AF277" s="38" t="str">
        <f>IF(A277="","",IF(X277&lt;&gt;"已执行",IF(X277="","未填执行情况",X277),IF(N(AB277)=0,"待录成交",IF(N(AD277)&gt;N(AB277),"平仓多于开仓",IF(N(AD277)&lt;N(AB277),"持仓中","已平仓")))))</f>
        <v/>
      </c>
      <c r="AG277" s="42" t="str">
        <f>IF(N(AB277)=0,"",SUMIFS('成交明细'!$L$5:$L$804,'成交明细'!$A$5:$A$804,A277))</f>
        <v/>
      </c>
      <c r="AH277" s="43" t="str">
        <f>IF(A277="","",SUMIFS('资金费流水'!$F$5:$F$604,'资金费流水'!$B$5:$B$604,A277))</f>
        <v/>
      </c>
      <c r="AI277" s="43" t="str">
        <f>IF(AF277&lt;&gt;"已平仓","",(SUMIFS('成交明细'!$H$5:$H$804,'成交明细'!$A$5:$A$804,A277,'成交明细'!$D$5:$D$804,"卖")-SUMIFS('成交明细'!$H$5:$H$804,'成交明细'!$A$5:$A$804,A277,'成交明细'!$D$5:$D$804,"买"))*1-AG277+N(AH277))</f>
        <v/>
      </c>
      <c r="AJ277" s="44" t="str">
        <f>IF(AND(AF277="已平仓",ISNUMBER(Q277)),(SUMIFS('成交明细'!$H$5:$H$804,'成交明细'!$A$5:$A$804,A277,'成交明细'!$D$5:$D$804,"卖")-SUMIFS('成交明细'!$H$5:$H$804,'成交明细'!$A$5:$A$804,A277,'成交明细'!$D$5:$D$804,"买"))*1/Q277,"")</f>
        <v/>
      </c>
      <c r="AK277" s="44" t="str">
        <f>IF(AND(AF277="已平仓",ISNUMBER(Q277)),AI277/Q277,"")</f>
        <v/>
      </c>
      <c r="AL277" s="45" t="str">
        <f>IF(AND(ISNUMBER(AC277),ISNUMBER(K277)),IF(F277="空",K277-AC277,AC277-K277),"")</f>
        <v/>
      </c>
      <c r="AM277" s="45" t="str">
        <f>IF(OR(NOT(ISNUMBER(AI277)),NOT(ISNUMBER(AE277))),"",IF(AI277&lt;0,IF(F277="空",AE277-L277,L277-AE277),IF(NOT(ISNUMBER(M277)),"",IF(F277="空",AE277-M277,M277-AE277))))</f>
        <v/>
      </c>
      <c r="AN277" s="31" t="n"/>
      <c r="AO277" s="31" t="n"/>
      <c r="AP277" s="30" t="n"/>
      <c r="AQ277" s="44" t="str">
        <f>IF(A277="","",SUM(AK$5:AK277))</f>
        <v/>
      </c>
      <c r="AR277" s="46" t="str">
        <f>IF(A277="","",MAX(0,MAX(AQ$5:AQ277))-AQ277)</f>
        <v/>
      </c>
    </row>
    <row r="278">
      <c r="A278" s="24" t="n"/>
      <c r="B278" s="29" t="n"/>
      <c r="C278" s="30" t="n"/>
      <c r="D278" s="31" t="n"/>
      <c r="E278" s="31" t="n"/>
      <c r="F278" s="31" t="n"/>
      <c r="G278" s="21" t="n"/>
      <c r="H278" s="31" t="n"/>
      <c r="I278" s="23" t="n"/>
      <c r="J278" s="31" t="n"/>
      <c r="K278" s="32" t="n"/>
      <c r="L278" s="32" t="n"/>
      <c r="M278" s="32" t="n"/>
      <c r="N278" s="33" t="str">
        <f>IF(AND(ISNUMBER(K278),ISNUMBER(L278),ISNUMBER(M278)),IF(OR(AND(F278="多",K278&gt;L278),AND(F278="空",K278&lt;L278)),ABS(M278-K278)/ABS(K278-L278),"止损方向不对"),"")</f>
        <v/>
      </c>
      <c r="O278" s="34" t="str">
        <f>IF(AND(ISNUMBER(K278),ISNUMBER(L278)),IF(K278=L278,"",IF(INT(ROUND('参数'!$C$7/(ABS(K278-L278)*1+2*K278*'参数'!$C$12)/IF(N(J278)&gt;0,J278,1),6))*IF(N(J278)&gt;0,J278,1)&gt;0,INT(ROUND('参数'!$C$7/(ABS(K278-L278)*1+2*K278*'参数'!$C$12)/IF(N(J278)&gt;0,J278,1),6))*IF(N(J278)&gt;0,J278,1),"预算不足，这笔不做")),"")</f>
        <v/>
      </c>
      <c r="P278" s="35" t="n"/>
      <c r="Q278" s="20" t="str">
        <f>IF(AND(ISNUMBER(K278),ISNUMBER(L278),ISNUMBER(P278)),IF(AND(K278&lt;&gt;L278,P278&gt;0),ABS(K278-L278)*P278*1,""),"")</f>
        <v/>
      </c>
      <c r="R278" s="20" t="str">
        <f>IF(AND(ISNUMBER(K278),ISNUMBER(P278)),K278*P278,"")</f>
        <v/>
      </c>
      <c r="S278" s="20" t="str">
        <f>IF(AND(D278="合约",ISNUMBER(R278),N(G278)&gt;0),R278/G278,"")</f>
        <v/>
      </c>
      <c r="T278" s="36" t="str">
        <f>IF(NOT(D278="合约"),"",IF(H278&lt;&gt;"逐仓","看平台",IF(AND(ISNUMBER(K278),N(G278)&gt;0),IF(F278="空",K278*(1+1/G278-IF(ISNUMBER(I278),I278,'参数'!$C$13)),K278*(1-1/G278+IF(ISNUMBER(I278),I278,'参数'!$C$13))),"")))</f>
        <v/>
      </c>
      <c r="U278" s="37" t="str">
        <f>IF(AND(ISNUMBER(T278),ISNUMBER(L278),ISNUMBER(K278)),IF(F278="空",T278-L278,L278-T278)/K278,"")</f>
        <v/>
      </c>
      <c r="V278" s="38" t="str">
        <f>IF(ISNUMBER(U278),IF(U278&lt;'参数'!$C$15,"先降杠杆或减量","在止损外"),"")</f>
        <v/>
      </c>
      <c r="W278" s="30" t="n"/>
      <c r="X278" s="31" t="n"/>
      <c r="Y278" s="39" t="str">
        <f>IF(N(AB278)&gt;0,SUMPRODUCT(LARGE(('成交明细'!$A$5:$A$804=A278)*('成交明细'!$D$5:$D$804=IF(F278="空","卖","买"))*'成交明细'!$B$5:$B$804,COUNTIFS('成交明细'!$A$5:$A$804,A278,'成交明细'!$D$5:$D$804,IF(F278="空","卖","买")))),"")</f>
        <v/>
      </c>
      <c r="Z278" s="39" t="str">
        <f>IF(AND(N(AB278)&gt;0,N(AD278)&gt;=N(AB278)),SUMPRODUCT(MAX(('成交明细'!$A$5:$A$804=A278)*('成交明细'!$D$5:$D$804=IF(F278="空","买","卖"))*'成交明细'!$B$5:$B$804)),"")</f>
        <v/>
      </c>
      <c r="AA278" s="40" t="str">
        <f>IF(N(AB278)=0,"",IF(SUMPRODUCT(('成交明细'!$A$5:$A$804=A278)*('成交明细'!$D$5:$D$804=IF(F278="空","卖","买"))*ISNUMBER('成交明细'!$C$5:$C$804))=0,"没填时间",IFERROR(VLOOKUP(MOD(SUMPRODUCT(LARGE(('成交明细'!$A$5:$A$804=A278)*('成交明细'!$D$5:$D$804=IF(F278="空","卖","买"))*('成交明细'!$B$5:$B$804+'成交明细'!$C$5:$C$804),COUNTIFS('成交明细'!$A$5:$A$804,A278,'成交明细'!$D$5:$D$804,IF(F278="空","卖","买")))),1),'参数'!$B$39:$C$48,2,TRUE),"")))</f>
        <v/>
      </c>
      <c r="AB278" s="34" t="str">
        <f>IF(A278="","",SUMIFS('成交明细'!$F$5:$F$804,'成交明细'!$A$5:$A$804,A278,'成交明细'!$D$5:$D$804,IF(F278="空","卖","买")))</f>
        <v/>
      </c>
      <c r="AC278" s="41" t="str">
        <f>IF(N(AB278)&gt;0,SUMIFS('成交明细'!$H$5:$H$804,'成交明细'!$A$5:$A$804,A278,'成交明细'!$D$5:$D$804,IF(F278="空","卖","买"))/AB278,"")</f>
        <v/>
      </c>
      <c r="AD278" s="34" t="str">
        <f>IF(A278="","",SUMIFS('成交明细'!$F$5:$F$804,'成交明细'!$A$5:$A$804,A278,'成交明细'!$D$5:$D$804,IF(F278="空","买","卖")))</f>
        <v/>
      </c>
      <c r="AE278" s="41" t="str">
        <f>IF(N(AD278)&gt;0,SUMIFS('成交明细'!$H$5:$H$804,'成交明细'!$A$5:$A$804,A278,'成交明细'!$D$5:$D$804,IF(F278="空","买","卖"))/AD278,"")</f>
        <v/>
      </c>
      <c r="AF278" s="38" t="str">
        <f>IF(A278="","",IF(X278&lt;&gt;"已执行",IF(X278="","未填执行情况",X278),IF(N(AB278)=0,"待录成交",IF(N(AD278)&gt;N(AB278),"平仓多于开仓",IF(N(AD278)&lt;N(AB278),"持仓中","已平仓")))))</f>
        <v/>
      </c>
      <c r="AG278" s="42" t="str">
        <f>IF(N(AB278)=0,"",SUMIFS('成交明细'!$L$5:$L$804,'成交明细'!$A$5:$A$804,A278))</f>
        <v/>
      </c>
      <c r="AH278" s="43" t="str">
        <f>IF(A278="","",SUMIFS('资金费流水'!$F$5:$F$604,'资金费流水'!$B$5:$B$604,A278))</f>
        <v/>
      </c>
      <c r="AI278" s="43" t="str">
        <f>IF(AF278&lt;&gt;"已平仓","",(SUMIFS('成交明细'!$H$5:$H$804,'成交明细'!$A$5:$A$804,A278,'成交明细'!$D$5:$D$804,"卖")-SUMIFS('成交明细'!$H$5:$H$804,'成交明细'!$A$5:$A$804,A278,'成交明细'!$D$5:$D$804,"买"))*1-AG278+N(AH278))</f>
        <v/>
      </c>
      <c r="AJ278" s="44" t="str">
        <f>IF(AND(AF278="已平仓",ISNUMBER(Q278)),(SUMIFS('成交明细'!$H$5:$H$804,'成交明细'!$A$5:$A$804,A278,'成交明细'!$D$5:$D$804,"卖")-SUMIFS('成交明细'!$H$5:$H$804,'成交明细'!$A$5:$A$804,A278,'成交明细'!$D$5:$D$804,"买"))*1/Q278,"")</f>
        <v/>
      </c>
      <c r="AK278" s="44" t="str">
        <f>IF(AND(AF278="已平仓",ISNUMBER(Q278)),AI278/Q278,"")</f>
        <v/>
      </c>
      <c r="AL278" s="45" t="str">
        <f>IF(AND(ISNUMBER(AC278),ISNUMBER(K278)),IF(F278="空",K278-AC278,AC278-K278),"")</f>
        <v/>
      </c>
      <c r="AM278" s="45" t="str">
        <f>IF(OR(NOT(ISNUMBER(AI278)),NOT(ISNUMBER(AE278))),"",IF(AI278&lt;0,IF(F278="空",AE278-L278,L278-AE278),IF(NOT(ISNUMBER(M278)),"",IF(F278="空",AE278-M278,M278-AE278))))</f>
        <v/>
      </c>
      <c r="AN278" s="31" t="n"/>
      <c r="AO278" s="31" t="n"/>
      <c r="AP278" s="30" t="n"/>
      <c r="AQ278" s="44" t="str">
        <f>IF(A278="","",SUM(AK$5:AK278))</f>
        <v/>
      </c>
      <c r="AR278" s="46" t="str">
        <f>IF(A278="","",MAX(0,MAX(AQ$5:AQ278))-AQ278)</f>
        <v/>
      </c>
    </row>
    <row r="279">
      <c r="A279" s="24" t="n"/>
      <c r="B279" s="29" t="n"/>
      <c r="C279" s="30" t="n"/>
      <c r="D279" s="31" t="n"/>
      <c r="E279" s="31" t="n"/>
      <c r="F279" s="31" t="n"/>
      <c r="G279" s="21" t="n"/>
      <c r="H279" s="31" t="n"/>
      <c r="I279" s="23" t="n"/>
      <c r="J279" s="31" t="n"/>
      <c r="K279" s="32" t="n"/>
      <c r="L279" s="32" t="n"/>
      <c r="M279" s="32" t="n"/>
      <c r="N279" s="33" t="str">
        <f>IF(AND(ISNUMBER(K279),ISNUMBER(L279),ISNUMBER(M279)),IF(OR(AND(F279="多",K279&gt;L279),AND(F279="空",K279&lt;L279)),ABS(M279-K279)/ABS(K279-L279),"止损方向不对"),"")</f>
        <v/>
      </c>
      <c r="O279" s="34" t="str">
        <f>IF(AND(ISNUMBER(K279),ISNUMBER(L279)),IF(K279=L279,"",IF(INT(ROUND('参数'!$C$7/(ABS(K279-L279)*1+2*K279*'参数'!$C$12)/IF(N(J279)&gt;0,J279,1),6))*IF(N(J279)&gt;0,J279,1)&gt;0,INT(ROUND('参数'!$C$7/(ABS(K279-L279)*1+2*K279*'参数'!$C$12)/IF(N(J279)&gt;0,J279,1),6))*IF(N(J279)&gt;0,J279,1),"预算不足，这笔不做")),"")</f>
        <v/>
      </c>
      <c r="P279" s="35" t="n"/>
      <c r="Q279" s="20" t="str">
        <f>IF(AND(ISNUMBER(K279),ISNUMBER(L279),ISNUMBER(P279)),IF(AND(K279&lt;&gt;L279,P279&gt;0),ABS(K279-L279)*P279*1,""),"")</f>
        <v/>
      </c>
      <c r="R279" s="20" t="str">
        <f>IF(AND(ISNUMBER(K279),ISNUMBER(P279)),K279*P279,"")</f>
        <v/>
      </c>
      <c r="S279" s="20" t="str">
        <f>IF(AND(D279="合约",ISNUMBER(R279),N(G279)&gt;0),R279/G279,"")</f>
        <v/>
      </c>
      <c r="T279" s="36" t="str">
        <f>IF(NOT(D279="合约"),"",IF(H279&lt;&gt;"逐仓","看平台",IF(AND(ISNUMBER(K279),N(G279)&gt;0),IF(F279="空",K279*(1+1/G279-IF(ISNUMBER(I279),I279,'参数'!$C$13)),K279*(1-1/G279+IF(ISNUMBER(I279),I279,'参数'!$C$13))),"")))</f>
        <v/>
      </c>
      <c r="U279" s="37" t="str">
        <f>IF(AND(ISNUMBER(T279),ISNUMBER(L279),ISNUMBER(K279)),IF(F279="空",T279-L279,L279-T279)/K279,"")</f>
        <v/>
      </c>
      <c r="V279" s="38" t="str">
        <f>IF(ISNUMBER(U279),IF(U279&lt;'参数'!$C$15,"先降杠杆或减量","在止损外"),"")</f>
        <v/>
      </c>
      <c r="W279" s="30" t="n"/>
      <c r="X279" s="31" t="n"/>
      <c r="Y279" s="39" t="str">
        <f>IF(N(AB279)&gt;0,SUMPRODUCT(LARGE(('成交明细'!$A$5:$A$804=A279)*('成交明细'!$D$5:$D$804=IF(F279="空","卖","买"))*'成交明细'!$B$5:$B$804,COUNTIFS('成交明细'!$A$5:$A$804,A279,'成交明细'!$D$5:$D$804,IF(F279="空","卖","买")))),"")</f>
        <v/>
      </c>
      <c r="Z279" s="39" t="str">
        <f>IF(AND(N(AB279)&gt;0,N(AD279)&gt;=N(AB279)),SUMPRODUCT(MAX(('成交明细'!$A$5:$A$804=A279)*('成交明细'!$D$5:$D$804=IF(F279="空","买","卖"))*'成交明细'!$B$5:$B$804)),"")</f>
        <v/>
      </c>
      <c r="AA279" s="40" t="str">
        <f>IF(N(AB279)=0,"",IF(SUMPRODUCT(('成交明细'!$A$5:$A$804=A279)*('成交明细'!$D$5:$D$804=IF(F279="空","卖","买"))*ISNUMBER('成交明细'!$C$5:$C$804))=0,"没填时间",IFERROR(VLOOKUP(MOD(SUMPRODUCT(LARGE(('成交明细'!$A$5:$A$804=A279)*('成交明细'!$D$5:$D$804=IF(F279="空","卖","买"))*('成交明细'!$B$5:$B$804+'成交明细'!$C$5:$C$804),COUNTIFS('成交明细'!$A$5:$A$804,A279,'成交明细'!$D$5:$D$804,IF(F279="空","卖","买")))),1),'参数'!$B$39:$C$48,2,TRUE),"")))</f>
        <v/>
      </c>
      <c r="AB279" s="34" t="str">
        <f>IF(A279="","",SUMIFS('成交明细'!$F$5:$F$804,'成交明细'!$A$5:$A$804,A279,'成交明细'!$D$5:$D$804,IF(F279="空","卖","买")))</f>
        <v/>
      </c>
      <c r="AC279" s="41" t="str">
        <f>IF(N(AB279)&gt;0,SUMIFS('成交明细'!$H$5:$H$804,'成交明细'!$A$5:$A$804,A279,'成交明细'!$D$5:$D$804,IF(F279="空","卖","买"))/AB279,"")</f>
        <v/>
      </c>
      <c r="AD279" s="34" t="str">
        <f>IF(A279="","",SUMIFS('成交明细'!$F$5:$F$804,'成交明细'!$A$5:$A$804,A279,'成交明细'!$D$5:$D$804,IF(F279="空","买","卖")))</f>
        <v/>
      </c>
      <c r="AE279" s="41" t="str">
        <f>IF(N(AD279)&gt;0,SUMIFS('成交明细'!$H$5:$H$804,'成交明细'!$A$5:$A$804,A279,'成交明细'!$D$5:$D$804,IF(F279="空","买","卖"))/AD279,"")</f>
        <v/>
      </c>
      <c r="AF279" s="38" t="str">
        <f>IF(A279="","",IF(X279&lt;&gt;"已执行",IF(X279="","未填执行情况",X279),IF(N(AB279)=0,"待录成交",IF(N(AD279)&gt;N(AB279),"平仓多于开仓",IF(N(AD279)&lt;N(AB279),"持仓中","已平仓")))))</f>
        <v/>
      </c>
      <c r="AG279" s="42" t="str">
        <f>IF(N(AB279)=0,"",SUMIFS('成交明细'!$L$5:$L$804,'成交明细'!$A$5:$A$804,A279))</f>
        <v/>
      </c>
      <c r="AH279" s="43" t="str">
        <f>IF(A279="","",SUMIFS('资金费流水'!$F$5:$F$604,'资金费流水'!$B$5:$B$604,A279))</f>
        <v/>
      </c>
      <c r="AI279" s="43" t="str">
        <f>IF(AF279&lt;&gt;"已平仓","",(SUMIFS('成交明细'!$H$5:$H$804,'成交明细'!$A$5:$A$804,A279,'成交明细'!$D$5:$D$804,"卖")-SUMIFS('成交明细'!$H$5:$H$804,'成交明细'!$A$5:$A$804,A279,'成交明细'!$D$5:$D$804,"买"))*1-AG279+N(AH279))</f>
        <v/>
      </c>
      <c r="AJ279" s="44" t="str">
        <f>IF(AND(AF279="已平仓",ISNUMBER(Q279)),(SUMIFS('成交明细'!$H$5:$H$804,'成交明细'!$A$5:$A$804,A279,'成交明细'!$D$5:$D$804,"卖")-SUMIFS('成交明细'!$H$5:$H$804,'成交明细'!$A$5:$A$804,A279,'成交明细'!$D$5:$D$804,"买"))*1/Q279,"")</f>
        <v/>
      </c>
      <c r="AK279" s="44" t="str">
        <f>IF(AND(AF279="已平仓",ISNUMBER(Q279)),AI279/Q279,"")</f>
        <v/>
      </c>
      <c r="AL279" s="45" t="str">
        <f>IF(AND(ISNUMBER(AC279),ISNUMBER(K279)),IF(F279="空",K279-AC279,AC279-K279),"")</f>
        <v/>
      </c>
      <c r="AM279" s="45" t="str">
        <f>IF(OR(NOT(ISNUMBER(AI279)),NOT(ISNUMBER(AE279))),"",IF(AI279&lt;0,IF(F279="空",AE279-L279,L279-AE279),IF(NOT(ISNUMBER(M279)),"",IF(F279="空",AE279-M279,M279-AE279))))</f>
        <v/>
      </c>
      <c r="AN279" s="31" t="n"/>
      <c r="AO279" s="31" t="n"/>
      <c r="AP279" s="30" t="n"/>
      <c r="AQ279" s="44" t="str">
        <f>IF(A279="","",SUM(AK$5:AK279))</f>
        <v/>
      </c>
      <c r="AR279" s="46" t="str">
        <f>IF(A279="","",MAX(0,MAX(AQ$5:AQ279))-AQ279)</f>
        <v/>
      </c>
    </row>
    <row r="280">
      <c r="A280" s="24" t="n"/>
      <c r="B280" s="29" t="n"/>
      <c r="C280" s="30" t="n"/>
      <c r="D280" s="31" t="n"/>
      <c r="E280" s="31" t="n"/>
      <c r="F280" s="31" t="n"/>
      <c r="G280" s="21" t="n"/>
      <c r="H280" s="31" t="n"/>
      <c r="I280" s="23" t="n"/>
      <c r="J280" s="31" t="n"/>
      <c r="K280" s="32" t="n"/>
      <c r="L280" s="32" t="n"/>
      <c r="M280" s="32" t="n"/>
      <c r="N280" s="33" t="str">
        <f>IF(AND(ISNUMBER(K280),ISNUMBER(L280),ISNUMBER(M280)),IF(OR(AND(F280="多",K280&gt;L280),AND(F280="空",K280&lt;L280)),ABS(M280-K280)/ABS(K280-L280),"止损方向不对"),"")</f>
        <v/>
      </c>
      <c r="O280" s="34" t="str">
        <f>IF(AND(ISNUMBER(K280),ISNUMBER(L280)),IF(K280=L280,"",IF(INT(ROUND('参数'!$C$7/(ABS(K280-L280)*1+2*K280*'参数'!$C$12)/IF(N(J280)&gt;0,J280,1),6))*IF(N(J280)&gt;0,J280,1)&gt;0,INT(ROUND('参数'!$C$7/(ABS(K280-L280)*1+2*K280*'参数'!$C$12)/IF(N(J280)&gt;0,J280,1),6))*IF(N(J280)&gt;0,J280,1),"预算不足，这笔不做")),"")</f>
        <v/>
      </c>
      <c r="P280" s="35" t="n"/>
      <c r="Q280" s="20" t="str">
        <f>IF(AND(ISNUMBER(K280),ISNUMBER(L280),ISNUMBER(P280)),IF(AND(K280&lt;&gt;L280,P280&gt;0),ABS(K280-L280)*P280*1,""),"")</f>
        <v/>
      </c>
      <c r="R280" s="20" t="str">
        <f>IF(AND(ISNUMBER(K280),ISNUMBER(P280)),K280*P280,"")</f>
        <v/>
      </c>
      <c r="S280" s="20" t="str">
        <f>IF(AND(D280="合约",ISNUMBER(R280),N(G280)&gt;0),R280/G280,"")</f>
        <v/>
      </c>
      <c r="T280" s="36" t="str">
        <f>IF(NOT(D280="合约"),"",IF(H280&lt;&gt;"逐仓","看平台",IF(AND(ISNUMBER(K280),N(G280)&gt;0),IF(F280="空",K280*(1+1/G280-IF(ISNUMBER(I280),I280,'参数'!$C$13)),K280*(1-1/G280+IF(ISNUMBER(I280),I280,'参数'!$C$13))),"")))</f>
        <v/>
      </c>
      <c r="U280" s="37" t="str">
        <f>IF(AND(ISNUMBER(T280),ISNUMBER(L280),ISNUMBER(K280)),IF(F280="空",T280-L280,L280-T280)/K280,"")</f>
        <v/>
      </c>
      <c r="V280" s="38" t="str">
        <f>IF(ISNUMBER(U280),IF(U280&lt;'参数'!$C$15,"先降杠杆或减量","在止损外"),"")</f>
        <v/>
      </c>
      <c r="W280" s="30" t="n"/>
      <c r="X280" s="31" t="n"/>
      <c r="Y280" s="39" t="str">
        <f>IF(N(AB280)&gt;0,SUMPRODUCT(LARGE(('成交明细'!$A$5:$A$804=A280)*('成交明细'!$D$5:$D$804=IF(F280="空","卖","买"))*'成交明细'!$B$5:$B$804,COUNTIFS('成交明细'!$A$5:$A$804,A280,'成交明细'!$D$5:$D$804,IF(F280="空","卖","买")))),"")</f>
        <v/>
      </c>
      <c r="Z280" s="39" t="str">
        <f>IF(AND(N(AB280)&gt;0,N(AD280)&gt;=N(AB280)),SUMPRODUCT(MAX(('成交明细'!$A$5:$A$804=A280)*('成交明细'!$D$5:$D$804=IF(F280="空","买","卖"))*'成交明细'!$B$5:$B$804)),"")</f>
        <v/>
      </c>
      <c r="AA280" s="40" t="str">
        <f>IF(N(AB280)=0,"",IF(SUMPRODUCT(('成交明细'!$A$5:$A$804=A280)*('成交明细'!$D$5:$D$804=IF(F280="空","卖","买"))*ISNUMBER('成交明细'!$C$5:$C$804))=0,"没填时间",IFERROR(VLOOKUP(MOD(SUMPRODUCT(LARGE(('成交明细'!$A$5:$A$804=A280)*('成交明细'!$D$5:$D$804=IF(F280="空","卖","买"))*('成交明细'!$B$5:$B$804+'成交明细'!$C$5:$C$804),COUNTIFS('成交明细'!$A$5:$A$804,A280,'成交明细'!$D$5:$D$804,IF(F280="空","卖","买")))),1),'参数'!$B$39:$C$48,2,TRUE),"")))</f>
        <v/>
      </c>
      <c r="AB280" s="34" t="str">
        <f>IF(A280="","",SUMIFS('成交明细'!$F$5:$F$804,'成交明细'!$A$5:$A$804,A280,'成交明细'!$D$5:$D$804,IF(F280="空","卖","买")))</f>
        <v/>
      </c>
      <c r="AC280" s="41" t="str">
        <f>IF(N(AB280)&gt;0,SUMIFS('成交明细'!$H$5:$H$804,'成交明细'!$A$5:$A$804,A280,'成交明细'!$D$5:$D$804,IF(F280="空","卖","买"))/AB280,"")</f>
        <v/>
      </c>
      <c r="AD280" s="34" t="str">
        <f>IF(A280="","",SUMIFS('成交明细'!$F$5:$F$804,'成交明细'!$A$5:$A$804,A280,'成交明细'!$D$5:$D$804,IF(F280="空","买","卖")))</f>
        <v/>
      </c>
      <c r="AE280" s="41" t="str">
        <f>IF(N(AD280)&gt;0,SUMIFS('成交明细'!$H$5:$H$804,'成交明细'!$A$5:$A$804,A280,'成交明细'!$D$5:$D$804,IF(F280="空","买","卖"))/AD280,"")</f>
        <v/>
      </c>
      <c r="AF280" s="38" t="str">
        <f>IF(A280="","",IF(X280&lt;&gt;"已执行",IF(X280="","未填执行情况",X280),IF(N(AB280)=0,"待录成交",IF(N(AD280)&gt;N(AB280),"平仓多于开仓",IF(N(AD280)&lt;N(AB280),"持仓中","已平仓")))))</f>
        <v/>
      </c>
      <c r="AG280" s="42" t="str">
        <f>IF(N(AB280)=0,"",SUMIFS('成交明细'!$L$5:$L$804,'成交明细'!$A$5:$A$804,A280))</f>
        <v/>
      </c>
      <c r="AH280" s="43" t="str">
        <f>IF(A280="","",SUMIFS('资金费流水'!$F$5:$F$604,'资金费流水'!$B$5:$B$604,A280))</f>
        <v/>
      </c>
      <c r="AI280" s="43" t="str">
        <f>IF(AF280&lt;&gt;"已平仓","",(SUMIFS('成交明细'!$H$5:$H$804,'成交明细'!$A$5:$A$804,A280,'成交明细'!$D$5:$D$804,"卖")-SUMIFS('成交明细'!$H$5:$H$804,'成交明细'!$A$5:$A$804,A280,'成交明细'!$D$5:$D$804,"买"))*1-AG280+N(AH280))</f>
        <v/>
      </c>
      <c r="AJ280" s="44" t="str">
        <f>IF(AND(AF280="已平仓",ISNUMBER(Q280)),(SUMIFS('成交明细'!$H$5:$H$804,'成交明细'!$A$5:$A$804,A280,'成交明细'!$D$5:$D$804,"卖")-SUMIFS('成交明细'!$H$5:$H$804,'成交明细'!$A$5:$A$804,A280,'成交明细'!$D$5:$D$804,"买"))*1/Q280,"")</f>
        <v/>
      </c>
      <c r="AK280" s="44" t="str">
        <f>IF(AND(AF280="已平仓",ISNUMBER(Q280)),AI280/Q280,"")</f>
        <v/>
      </c>
      <c r="AL280" s="45" t="str">
        <f>IF(AND(ISNUMBER(AC280),ISNUMBER(K280)),IF(F280="空",K280-AC280,AC280-K280),"")</f>
        <v/>
      </c>
      <c r="AM280" s="45" t="str">
        <f>IF(OR(NOT(ISNUMBER(AI280)),NOT(ISNUMBER(AE280))),"",IF(AI280&lt;0,IF(F280="空",AE280-L280,L280-AE280),IF(NOT(ISNUMBER(M280)),"",IF(F280="空",AE280-M280,M280-AE280))))</f>
        <v/>
      </c>
      <c r="AN280" s="31" t="n"/>
      <c r="AO280" s="31" t="n"/>
      <c r="AP280" s="30" t="n"/>
      <c r="AQ280" s="44" t="str">
        <f>IF(A280="","",SUM(AK$5:AK280))</f>
        <v/>
      </c>
      <c r="AR280" s="46" t="str">
        <f>IF(A280="","",MAX(0,MAX(AQ$5:AQ280))-AQ280)</f>
        <v/>
      </c>
    </row>
    <row r="281">
      <c r="A281" s="24" t="n"/>
      <c r="B281" s="29" t="n"/>
      <c r="C281" s="30" t="n"/>
      <c r="D281" s="31" t="n"/>
      <c r="E281" s="31" t="n"/>
      <c r="F281" s="31" t="n"/>
      <c r="G281" s="21" t="n"/>
      <c r="H281" s="31" t="n"/>
      <c r="I281" s="23" t="n"/>
      <c r="J281" s="31" t="n"/>
      <c r="K281" s="32" t="n"/>
      <c r="L281" s="32" t="n"/>
      <c r="M281" s="32" t="n"/>
      <c r="N281" s="33" t="str">
        <f>IF(AND(ISNUMBER(K281),ISNUMBER(L281),ISNUMBER(M281)),IF(OR(AND(F281="多",K281&gt;L281),AND(F281="空",K281&lt;L281)),ABS(M281-K281)/ABS(K281-L281),"止损方向不对"),"")</f>
        <v/>
      </c>
      <c r="O281" s="34" t="str">
        <f>IF(AND(ISNUMBER(K281),ISNUMBER(L281)),IF(K281=L281,"",IF(INT(ROUND('参数'!$C$7/(ABS(K281-L281)*1+2*K281*'参数'!$C$12)/IF(N(J281)&gt;0,J281,1),6))*IF(N(J281)&gt;0,J281,1)&gt;0,INT(ROUND('参数'!$C$7/(ABS(K281-L281)*1+2*K281*'参数'!$C$12)/IF(N(J281)&gt;0,J281,1),6))*IF(N(J281)&gt;0,J281,1),"预算不足，这笔不做")),"")</f>
        <v/>
      </c>
      <c r="P281" s="35" t="n"/>
      <c r="Q281" s="20" t="str">
        <f>IF(AND(ISNUMBER(K281),ISNUMBER(L281),ISNUMBER(P281)),IF(AND(K281&lt;&gt;L281,P281&gt;0),ABS(K281-L281)*P281*1,""),"")</f>
        <v/>
      </c>
      <c r="R281" s="20" t="str">
        <f>IF(AND(ISNUMBER(K281),ISNUMBER(P281)),K281*P281,"")</f>
        <v/>
      </c>
      <c r="S281" s="20" t="str">
        <f>IF(AND(D281="合约",ISNUMBER(R281),N(G281)&gt;0),R281/G281,"")</f>
        <v/>
      </c>
      <c r="T281" s="36" t="str">
        <f>IF(NOT(D281="合约"),"",IF(H281&lt;&gt;"逐仓","看平台",IF(AND(ISNUMBER(K281),N(G281)&gt;0),IF(F281="空",K281*(1+1/G281-IF(ISNUMBER(I281),I281,'参数'!$C$13)),K281*(1-1/G281+IF(ISNUMBER(I281),I281,'参数'!$C$13))),"")))</f>
        <v/>
      </c>
      <c r="U281" s="37" t="str">
        <f>IF(AND(ISNUMBER(T281),ISNUMBER(L281),ISNUMBER(K281)),IF(F281="空",T281-L281,L281-T281)/K281,"")</f>
        <v/>
      </c>
      <c r="V281" s="38" t="str">
        <f>IF(ISNUMBER(U281),IF(U281&lt;'参数'!$C$15,"先降杠杆或减量","在止损外"),"")</f>
        <v/>
      </c>
      <c r="W281" s="30" t="n"/>
      <c r="X281" s="31" t="n"/>
      <c r="Y281" s="39" t="str">
        <f>IF(N(AB281)&gt;0,SUMPRODUCT(LARGE(('成交明细'!$A$5:$A$804=A281)*('成交明细'!$D$5:$D$804=IF(F281="空","卖","买"))*'成交明细'!$B$5:$B$804,COUNTIFS('成交明细'!$A$5:$A$804,A281,'成交明细'!$D$5:$D$804,IF(F281="空","卖","买")))),"")</f>
        <v/>
      </c>
      <c r="Z281" s="39" t="str">
        <f>IF(AND(N(AB281)&gt;0,N(AD281)&gt;=N(AB281)),SUMPRODUCT(MAX(('成交明细'!$A$5:$A$804=A281)*('成交明细'!$D$5:$D$804=IF(F281="空","买","卖"))*'成交明细'!$B$5:$B$804)),"")</f>
        <v/>
      </c>
      <c r="AA281" s="40" t="str">
        <f>IF(N(AB281)=0,"",IF(SUMPRODUCT(('成交明细'!$A$5:$A$804=A281)*('成交明细'!$D$5:$D$804=IF(F281="空","卖","买"))*ISNUMBER('成交明细'!$C$5:$C$804))=0,"没填时间",IFERROR(VLOOKUP(MOD(SUMPRODUCT(LARGE(('成交明细'!$A$5:$A$804=A281)*('成交明细'!$D$5:$D$804=IF(F281="空","卖","买"))*('成交明细'!$B$5:$B$804+'成交明细'!$C$5:$C$804),COUNTIFS('成交明细'!$A$5:$A$804,A281,'成交明细'!$D$5:$D$804,IF(F281="空","卖","买")))),1),'参数'!$B$39:$C$48,2,TRUE),"")))</f>
        <v/>
      </c>
      <c r="AB281" s="34" t="str">
        <f>IF(A281="","",SUMIFS('成交明细'!$F$5:$F$804,'成交明细'!$A$5:$A$804,A281,'成交明细'!$D$5:$D$804,IF(F281="空","卖","买")))</f>
        <v/>
      </c>
      <c r="AC281" s="41" t="str">
        <f>IF(N(AB281)&gt;0,SUMIFS('成交明细'!$H$5:$H$804,'成交明细'!$A$5:$A$804,A281,'成交明细'!$D$5:$D$804,IF(F281="空","卖","买"))/AB281,"")</f>
        <v/>
      </c>
      <c r="AD281" s="34" t="str">
        <f>IF(A281="","",SUMIFS('成交明细'!$F$5:$F$804,'成交明细'!$A$5:$A$804,A281,'成交明细'!$D$5:$D$804,IF(F281="空","买","卖")))</f>
        <v/>
      </c>
      <c r="AE281" s="41" t="str">
        <f>IF(N(AD281)&gt;0,SUMIFS('成交明细'!$H$5:$H$804,'成交明细'!$A$5:$A$804,A281,'成交明细'!$D$5:$D$804,IF(F281="空","买","卖"))/AD281,"")</f>
        <v/>
      </c>
      <c r="AF281" s="38" t="str">
        <f>IF(A281="","",IF(X281&lt;&gt;"已执行",IF(X281="","未填执行情况",X281),IF(N(AB281)=0,"待录成交",IF(N(AD281)&gt;N(AB281),"平仓多于开仓",IF(N(AD281)&lt;N(AB281),"持仓中","已平仓")))))</f>
        <v/>
      </c>
      <c r="AG281" s="42" t="str">
        <f>IF(N(AB281)=0,"",SUMIFS('成交明细'!$L$5:$L$804,'成交明细'!$A$5:$A$804,A281))</f>
        <v/>
      </c>
      <c r="AH281" s="43" t="str">
        <f>IF(A281="","",SUMIFS('资金费流水'!$F$5:$F$604,'资金费流水'!$B$5:$B$604,A281))</f>
        <v/>
      </c>
      <c r="AI281" s="43" t="str">
        <f>IF(AF281&lt;&gt;"已平仓","",(SUMIFS('成交明细'!$H$5:$H$804,'成交明细'!$A$5:$A$804,A281,'成交明细'!$D$5:$D$804,"卖")-SUMIFS('成交明细'!$H$5:$H$804,'成交明细'!$A$5:$A$804,A281,'成交明细'!$D$5:$D$804,"买"))*1-AG281+N(AH281))</f>
        <v/>
      </c>
      <c r="AJ281" s="44" t="str">
        <f>IF(AND(AF281="已平仓",ISNUMBER(Q281)),(SUMIFS('成交明细'!$H$5:$H$804,'成交明细'!$A$5:$A$804,A281,'成交明细'!$D$5:$D$804,"卖")-SUMIFS('成交明细'!$H$5:$H$804,'成交明细'!$A$5:$A$804,A281,'成交明细'!$D$5:$D$804,"买"))*1/Q281,"")</f>
        <v/>
      </c>
      <c r="AK281" s="44" t="str">
        <f>IF(AND(AF281="已平仓",ISNUMBER(Q281)),AI281/Q281,"")</f>
        <v/>
      </c>
      <c r="AL281" s="45" t="str">
        <f>IF(AND(ISNUMBER(AC281),ISNUMBER(K281)),IF(F281="空",K281-AC281,AC281-K281),"")</f>
        <v/>
      </c>
      <c r="AM281" s="45" t="str">
        <f>IF(OR(NOT(ISNUMBER(AI281)),NOT(ISNUMBER(AE281))),"",IF(AI281&lt;0,IF(F281="空",AE281-L281,L281-AE281),IF(NOT(ISNUMBER(M281)),"",IF(F281="空",AE281-M281,M281-AE281))))</f>
        <v/>
      </c>
      <c r="AN281" s="31" t="n"/>
      <c r="AO281" s="31" t="n"/>
      <c r="AP281" s="30" t="n"/>
      <c r="AQ281" s="44" t="str">
        <f>IF(A281="","",SUM(AK$5:AK281))</f>
        <v/>
      </c>
      <c r="AR281" s="46" t="str">
        <f>IF(A281="","",MAX(0,MAX(AQ$5:AQ281))-AQ281)</f>
        <v/>
      </c>
    </row>
    <row r="282">
      <c r="A282" s="24" t="n"/>
      <c r="B282" s="29" t="n"/>
      <c r="C282" s="30" t="n"/>
      <c r="D282" s="31" t="n"/>
      <c r="E282" s="31" t="n"/>
      <c r="F282" s="31" t="n"/>
      <c r="G282" s="21" t="n"/>
      <c r="H282" s="31" t="n"/>
      <c r="I282" s="23" t="n"/>
      <c r="J282" s="31" t="n"/>
      <c r="K282" s="32" t="n"/>
      <c r="L282" s="32" t="n"/>
      <c r="M282" s="32" t="n"/>
      <c r="N282" s="33" t="str">
        <f>IF(AND(ISNUMBER(K282),ISNUMBER(L282),ISNUMBER(M282)),IF(OR(AND(F282="多",K282&gt;L282),AND(F282="空",K282&lt;L282)),ABS(M282-K282)/ABS(K282-L282),"止损方向不对"),"")</f>
        <v/>
      </c>
      <c r="O282" s="34" t="str">
        <f>IF(AND(ISNUMBER(K282),ISNUMBER(L282)),IF(K282=L282,"",IF(INT(ROUND('参数'!$C$7/(ABS(K282-L282)*1+2*K282*'参数'!$C$12)/IF(N(J282)&gt;0,J282,1),6))*IF(N(J282)&gt;0,J282,1)&gt;0,INT(ROUND('参数'!$C$7/(ABS(K282-L282)*1+2*K282*'参数'!$C$12)/IF(N(J282)&gt;0,J282,1),6))*IF(N(J282)&gt;0,J282,1),"预算不足，这笔不做")),"")</f>
        <v/>
      </c>
      <c r="P282" s="35" t="n"/>
      <c r="Q282" s="20" t="str">
        <f>IF(AND(ISNUMBER(K282),ISNUMBER(L282),ISNUMBER(P282)),IF(AND(K282&lt;&gt;L282,P282&gt;0),ABS(K282-L282)*P282*1,""),"")</f>
        <v/>
      </c>
      <c r="R282" s="20" t="str">
        <f>IF(AND(ISNUMBER(K282),ISNUMBER(P282)),K282*P282,"")</f>
        <v/>
      </c>
      <c r="S282" s="20" t="str">
        <f>IF(AND(D282="合约",ISNUMBER(R282),N(G282)&gt;0),R282/G282,"")</f>
        <v/>
      </c>
      <c r="T282" s="36" t="str">
        <f>IF(NOT(D282="合约"),"",IF(H282&lt;&gt;"逐仓","看平台",IF(AND(ISNUMBER(K282),N(G282)&gt;0),IF(F282="空",K282*(1+1/G282-IF(ISNUMBER(I282),I282,'参数'!$C$13)),K282*(1-1/G282+IF(ISNUMBER(I282),I282,'参数'!$C$13))),"")))</f>
        <v/>
      </c>
      <c r="U282" s="37" t="str">
        <f>IF(AND(ISNUMBER(T282),ISNUMBER(L282),ISNUMBER(K282)),IF(F282="空",T282-L282,L282-T282)/K282,"")</f>
        <v/>
      </c>
      <c r="V282" s="38" t="str">
        <f>IF(ISNUMBER(U282),IF(U282&lt;'参数'!$C$15,"先降杠杆或减量","在止损外"),"")</f>
        <v/>
      </c>
      <c r="W282" s="30" t="n"/>
      <c r="X282" s="31" t="n"/>
      <c r="Y282" s="39" t="str">
        <f>IF(N(AB282)&gt;0,SUMPRODUCT(LARGE(('成交明细'!$A$5:$A$804=A282)*('成交明细'!$D$5:$D$804=IF(F282="空","卖","买"))*'成交明细'!$B$5:$B$804,COUNTIFS('成交明细'!$A$5:$A$804,A282,'成交明细'!$D$5:$D$804,IF(F282="空","卖","买")))),"")</f>
        <v/>
      </c>
      <c r="Z282" s="39" t="str">
        <f>IF(AND(N(AB282)&gt;0,N(AD282)&gt;=N(AB282)),SUMPRODUCT(MAX(('成交明细'!$A$5:$A$804=A282)*('成交明细'!$D$5:$D$804=IF(F282="空","买","卖"))*'成交明细'!$B$5:$B$804)),"")</f>
        <v/>
      </c>
      <c r="AA282" s="40" t="str">
        <f>IF(N(AB282)=0,"",IF(SUMPRODUCT(('成交明细'!$A$5:$A$804=A282)*('成交明细'!$D$5:$D$804=IF(F282="空","卖","买"))*ISNUMBER('成交明细'!$C$5:$C$804))=0,"没填时间",IFERROR(VLOOKUP(MOD(SUMPRODUCT(LARGE(('成交明细'!$A$5:$A$804=A282)*('成交明细'!$D$5:$D$804=IF(F282="空","卖","买"))*('成交明细'!$B$5:$B$804+'成交明细'!$C$5:$C$804),COUNTIFS('成交明细'!$A$5:$A$804,A282,'成交明细'!$D$5:$D$804,IF(F282="空","卖","买")))),1),'参数'!$B$39:$C$48,2,TRUE),"")))</f>
        <v/>
      </c>
      <c r="AB282" s="34" t="str">
        <f>IF(A282="","",SUMIFS('成交明细'!$F$5:$F$804,'成交明细'!$A$5:$A$804,A282,'成交明细'!$D$5:$D$804,IF(F282="空","卖","买")))</f>
        <v/>
      </c>
      <c r="AC282" s="41" t="str">
        <f>IF(N(AB282)&gt;0,SUMIFS('成交明细'!$H$5:$H$804,'成交明细'!$A$5:$A$804,A282,'成交明细'!$D$5:$D$804,IF(F282="空","卖","买"))/AB282,"")</f>
        <v/>
      </c>
      <c r="AD282" s="34" t="str">
        <f>IF(A282="","",SUMIFS('成交明细'!$F$5:$F$804,'成交明细'!$A$5:$A$804,A282,'成交明细'!$D$5:$D$804,IF(F282="空","买","卖")))</f>
        <v/>
      </c>
      <c r="AE282" s="41" t="str">
        <f>IF(N(AD282)&gt;0,SUMIFS('成交明细'!$H$5:$H$804,'成交明细'!$A$5:$A$804,A282,'成交明细'!$D$5:$D$804,IF(F282="空","买","卖"))/AD282,"")</f>
        <v/>
      </c>
      <c r="AF282" s="38" t="str">
        <f>IF(A282="","",IF(X282&lt;&gt;"已执行",IF(X282="","未填执行情况",X282),IF(N(AB282)=0,"待录成交",IF(N(AD282)&gt;N(AB282),"平仓多于开仓",IF(N(AD282)&lt;N(AB282),"持仓中","已平仓")))))</f>
        <v/>
      </c>
      <c r="AG282" s="42" t="str">
        <f>IF(N(AB282)=0,"",SUMIFS('成交明细'!$L$5:$L$804,'成交明细'!$A$5:$A$804,A282))</f>
        <v/>
      </c>
      <c r="AH282" s="43" t="str">
        <f>IF(A282="","",SUMIFS('资金费流水'!$F$5:$F$604,'资金费流水'!$B$5:$B$604,A282))</f>
        <v/>
      </c>
      <c r="AI282" s="43" t="str">
        <f>IF(AF282&lt;&gt;"已平仓","",(SUMIFS('成交明细'!$H$5:$H$804,'成交明细'!$A$5:$A$804,A282,'成交明细'!$D$5:$D$804,"卖")-SUMIFS('成交明细'!$H$5:$H$804,'成交明细'!$A$5:$A$804,A282,'成交明细'!$D$5:$D$804,"买"))*1-AG282+N(AH282))</f>
        <v/>
      </c>
      <c r="AJ282" s="44" t="str">
        <f>IF(AND(AF282="已平仓",ISNUMBER(Q282)),(SUMIFS('成交明细'!$H$5:$H$804,'成交明细'!$A$5:$A$804,A282,'成交明细'!$D$5:$D$804,"卖")-SUMIFS('成交明细'!$H$5:$H$804,'成交明细'!$A$5:$A$804,A282,'成交明细'!$D$5:$D$804,"买"))*1/Q282,"")</f>
        <v/>
      </c>
      <c r="AK282" s="44" t="str">
        <f>IF(AND(AF282="已平仓",ISNUMBER(Q282)),AI282/Q282,"")</f>
        <v/>
      </c>
      <c r="AL282" s="45" t="str">
        <f>IF(AND(ISNUMBER(AC282),ISNUMBER(K282)),IF(F282="空",K282-AC282,AC282-K282),"")</f>
        <v/>
      </c>
      <c r="AM282" s="45" t="str">
        <f>IF(OR(NOT(ISNUMBER(AI282)),NOT(ISNUMBER(AE282))),"",IF(AI282&lt;0,IF(F282="空",AE282-L282,L282-AE282),IF(NOT(ISNUMBER(M282)),"",IF(F282="空",AE282-M282,M282-AE282))))</f>
        <v/>
      </c>
      <c r="AN282" s="31" t="n"/>
      <c r="AO282" s="31" t="n"/>
      <c r="AP282" s="30" t="n"/>
      <c r="AQ282" s="44" t="str">
        <f>IF(A282="","",SUM(AK$5:AK282))</f>
        <v/>
      </c>
      <c r="AR282" s="46" t="str">
        <f>IF(A282="","",MAX(0,MAX(AQ$5:AQ282))-AQ282)</f>
        <v/>
      </c>
    </row>
    <row r="283">
      <c r="A283" s="24" t="n"/>
      <c r="B283" s="29" t="n"/>
      <c r="C283" s="30" t="n"/>
      <c r="D283" s="31" t="n"/>
      <c r="E283" s="31" t="n"/>
      <c r="F283" s="31" t="n"/>
      <c r="G283" s="21" t="n"/>
      <c r="H283" s="31" t="n"/>
      <c r="I283" s="23" t="n"/>
      <c r="J283" s="31" t="n"/>
      <c r="K283" s="32" t="n"/>
      <c r="L283" s="32" t="n"/>
      <c r="M283" s="32" t="n"/>
      <c r="N283" s="33" t="str">
        <f>IF(AND(ISNUMBER(K283),ISNUMBER(L283),ISNUMBER(M283)),IF(OR(AND(F283="多",K283&gt;L283),AND(F283="空",K283&lt;L283)),ABS(M283-K283)/ABS(K283-L283),"止损方向不对"),"")</f>
        <v/>
      </c>
      <c r="O283" s="34" t="str">
        <f>IF(AND(ISNUMBER(K283),ISNUMBER(L283)),IF(K283=L283,"",IF(INT(ROUND('参数'!$C$7/(ABS(K283-L283)*1+2*K283*'参数'!$C$12)/IF(N(J283)&gt;0,J283,1),6))*IF(N(J283)&gt;0,J283,1)&gt;0,INT(ROUND('参数'!$C$7/(ABS(K283-L283)*1+2*K283*'参数'!$C$12)/IF(N(J283)&gt;0,J283,1),6))*IF(N(J283)&gt;0,J283,1),"预算不足，这笔不做")),"")</f>
        <v/>
      </c>
      <c r="P283" s="35" t="n"/>
      <c r="Q283" s="20" t="str">
        <f>IF(AND(ISNUMBER(K283),ISNUMBER(L283),ISNUMBER(P283)),IF(AND(K283&lt;&gt;L283,P283&gt;0),ABS(K283-L283)*P283*1,""),"")</f>
        <v/>
      </c>
      <c r="R283" s="20" t="str">
        <f>IF(AND(ISNUMBER(K283),ISNUMBER(P283)),K283*P283,"")</f>
        <v/>
      </c>
      <c r="S283" s="20" t="str">
        <f>IF(AND(D283="合约",ISNUMBER(R283),N(G283)&gt;0),R283/G283,"")</f>
        <v/>
      </c>
      <c r="T283" s="36" t="str">
        <f>IF(NOT(D283="合约"),"",IF(H283&lt;&gt;"逐仓","看平台",IF(AND(ISNUMBER(K283),N(G283)&gt;0),IF(F283="空",K283*(1+1/G283-IF(ISNUMBER(I283),I283,'参数'!$C$13)),K283*(1-1/G283+IF(ISNUMBER(I283),I283,'参数'!$C$13))),"")))</f>
        <v/>
      </c>
      <c r="U283" s="37" t="str">
        <f>IF(AND(ISNUMBER(T283),ISNUMBER(L283),ISNUMBER(K283)),IF(F283="空",T283-L283,L283-T283)/K283,"")</f>
        <v/>
      </c>
      <c r="V283" s="38" t="str">
        <f>IF(ISNUMBER(U283),IF(U283&lt;'参数'!$C$15,"先降杠杆或减量","在止损外"),"")</f>
        <v/>
      </c>
      <c r="W283" s="30" t="n"/>
      <c r="X283" s="31" t="n"/>
      <c r="Y283" s="39" t="str">
        <f>IF(N(AB283)&gt;0,SUMPRODUCT(LARGE(('成交明细'!$A$5:$A$804=A283)*('成交明细'!$D$5:$D$804=IF(F283="空","卖","买"))*'成交明细'!$B$5:$B$804,COUNTIFS('成交明细'!$A$5:$A$804,A283,'成交明细'!$D$5:$D$804,IF(F283="空","卖","买")))),"")</f>
        <v/>
      </c>
      <c r="Z283" s="39" t="str">
        <f>IF(AND(N(AB283)&gt;0,N(AD283)&gt;=N(AB283)),SUMPRODUCT(MAX(('成交明细'!$A$5:$A$804=A283)*('成交明细'!$D$5:$D$804=IF(F283="空","买","卖"))*'成交明细'!$B$5:$B$804)),"")</f>
        <v/>
      </c>
      <c r="AA283" s="40" t="str">
        <f>IF(N(AB283)=0,"",IF(SUMPRODUCT(('成交明细'!$A$5:$A$804=A283)*('成交明细'!$D$5:$D$804=IF(F283="空","卖","买"))*ISNUMBER('成交明细'!$C$5:$C$804))=0,"没填时间",IFERROR(VLOOKUP(MOD(SUMPRODUCT(LARGE(('成交明细'!$A$5:$A$804=A283)*('成交明细'!$D$5:$D$804=IF(F283="空","卖","买"))*('成交明细'!$B$5:$B$804+'成交明细'!$C$5:$C$804),COUNTIFS('成交明细'!$A$5:$A$804,A283,'成交明细'!$D$5:$D$804,IF(F283="空","卖","买")))),1),'参数'!$B$39:$C$48,2,TRUE),"")))</f>
        <v/>
      </c>
      <c r="AB283" s="34" t="str">
        <f>IF(A283="","",SUMIFS('成交明细'!$F$5:$F$804,'成交明细'!$A$5:$A$804,A283,'成交明细'!$D$5:$D$804,IF(F283="空","卖","买")))</f>
        <v/>
      </c>
      <c r="AC283" s="41" t="str">
        <f>IF(N(AB283)&gt;0,SUMIFS('成交明细'!$H$5:$H$804,'成交明细'!$A$5:$A$804,A283,'成交明细'!$D$5:$D$804,IF(F283="空","卖","买"))/AB283,"")</f>
        <v/>
      </c>
      <c r="AD283" s="34" t="str">
        <f>IF(A283="","",SUMIFS('成交明细'!$F$5:$F$804,'成交明细'!$A$5:$A$804,A283,'成交明细'!$D$5:$D$804,IF(F283="空","买","卖")))</f>
        <v/>
      </c>
      <c r="AE283" s="41" t="str">
        <f>IF(N(AD283)&gt;0,SUMIFS('成交明细'!$H$5:$H$804,'成交明细'!$A$5:$A$804,A283,'成交明细'!$D$5:$D$804,IF(F283="空","买","卖"))/AD283,"")</f>
        <v/>
      </c>
      <c r="AF283" s="38" t="str">
        <f>IF(A283="","",IF(X283&lt;&gt;"已执行",IF(X283="","未填执行情况",X283),IF(N(AB283)=0,"待录成交",IF(N(AD283)&gt;N(AB283),"平仓多于开仓",IF(N(AD283)&lt;N(AB283),"持仓中","已平仓")))))</f>
        <v/>
      </c>
      <c r="AG283" s="42" t="str">
        <f>IF(N(AB283)=0,"",SUMIFS('成交明细'!$L$5:$L$804,'成交明细'!$A$5:$A$804,A283))</f>
        <v/>
      </c>
      <c r="AH283" s="43" t="str">
        <f>IF(A283="","",SUMIFS('资金费流水'!$F$5:$F$604,'资金费流水'!$B$5:$B$604,A283))</f>
        <v/>
      </c>
      <c r="AI283" s="43" t="str">
        <f>IF(AF283&lt;&gt;"已平仓","",(SUMIFS('成交明细'!$H$5:$H$804,'成交明细'!$A$5:$A$804,A283,'成交明细'!$D$5:$D$804,"卖")-SUMIFS('成交明细'!$H$5:$H$804,'成交明细'!$A$5:$A$804,A283,'成交明细'!$D$5:$D$804,"买"))*1-AG283+N(AH283))</f>
        <v/>
      </c>
      <c r="AJ283" s="44" t="str">
        <f>IF(AND(AF283="已平仓",ISNUMBER(Q283)),(SUMIFS('成交明细'!$H$5:$H$804,'成交明细'!$A$5:$A$804,A283,'成交明细'!$D$5:$D$804,"卖")-SUMIFS('成交明细'!$H$5:$H$804,'成交明细'!$A$5:$A$804,A283,'成交明细'!$D$5:$D$804,"买"))*1/Q283,"")</f>
        <v/>
      </c>
      <c r="AK283" s="44" t="str">
        <f>IF(AND(AF283="已平仓",ISNUMBER(Q283)),AI283/Q283,"")</f>
        <v/>
      </c>
      <c r="AL283" s="45" t="str">
        <f>IF(AND(ISNUMBER(AC283),ISNUMBER(K283)),IF(F283="空",K283-AC283,AC283-K283),"")</f>
        <v/>
      </c>
      <c r="AM283" s="45" t="str">
        <f>IF(OR(NOT(ISNUMBER(AI283)),NOT(ISNUMBER(AE283))),"",IF(AI283&lt;0,IF(F283="空",AE283-L283,L283-AE283),IF(NOT(ISNUMBER(M283)),"",IF(F283="空",AE283-M283,M283-AE283))))</f>
        <v/>
      </c>
      <c r="AN283" s="31" t="n"/>
      <c r="AO283" s="31" t="n"/>
      <c r="AP283" s="30" t="n"/>
      <c r="AQ283" s="44" t="str">
        <f>IF(A283="","",SUM(AK$5:AK283))</f>
        <v/>
      </c>
      <c r="AR283" s="46" t="str">
        <f>IF(A283="","",MAX(0,MAX(AQ$5:AQ283))-AQ283)</f>
        <v/>
      </c>
    </row>
    <row r="284">
      <c r="A284" s="24" t="n"/>
      <c r="B284" s="29" t="n"/>
      <c r="C284" s="30" t="n"/>
      <c r="D284" s="31" t="n"/>
      <c r="E284" s="31" t="n"/>
      <c r="F284" s="31" t="n"/>
      <c r="G284" s="21" t="n"/>
      <c r="H284" s="31" t="n"/>
      <c r="I284" s="23" t="n"/>
      <c r="J284" s="31" t="n"/>
      <c r="K284" s="32" t="n"/>
      <c r="L284" s="32" t="n"/>
      <c r="M284" s="32" t="n"/>
      <c r="N284" s="33" t="str">
        <f>IF(AND(ISNUMBER(K284),ISNUMBER(L284),ISNUMBER(M284)),IF(OR(AND(F284="多",K284&gt;L284),AND(F284="空",K284&lt;L284)),ABS(M284-K284)/ABS(K284-L284),"止损方向不对"),"")</f>
        <v/>
      </c>
      <c r="O284" s="34" t="str">
        <f>IF(AND(ISNUMBER(K284),ISNUMBER(L284)),IF(K284=L284,"",IF(INT(ROUND('参数'!$C$7/(ABS(K284-L284)*1+2*K284*'参数'!$C$12)/IF(N(J284)&gt;0,J284,1),6))*IF(N(J284)&gt;0,J284,1)&gt;0,INT(ROUND('参数'!$C$7/(ABS(K284-L284)*1+2*K284*'参数'!$C$12)/IF(N(J284)&gt;0,J284,1),6))*IF(N(J284)&gt;0,J284,1),"预算不足，这笔不做")),"")</f>
        <v/>
      </c>
      <c r="P284" s="35" t="n"/>
      <c r="Q284" s="20" t="str">
        <f>IF(AND(ISNUMBER(K284),ISNUMBER(L284),ISNUMBER(P284)),IF(AND(K284&lt;&gt;L284,P284&gt;0),ABS(K284-L284)*P284*1,""),"")</f>
        <v/>
      </c>
      <c r="R284" s="20" t="str">
        <f>IF(AND(ISNUMBER(K284),ISNUMBER(P284)),K284*P284,"")</f>
        <v/>
      </c>
      <c r="S284" s="20" t="str">
        <f>IF(AND(D284="合约",ISNUMBER(R284),N(G284)&gt;0),R284/G284,"")</f>
        <v/>
      </c>
      <c r="T284" s="36" t="str">
        <f>IF(NOT(D284="合约"),"",IF(H284&lt;&gt;"逐仓","看平台",IF(AND(ISNUMBER(K284),N(G284)&gt;0),IF(F284="空",K284*(1+1/G284-IF(ISNUMBER(I284),I284,'参数'!$C$13)),K284*(1-1/G284+IF(ISNUMBER(I284),I284,'参数'!$C$13))),"")))</f>
        <v/>
      </c>
      <c r="U284" s="37" t="str">
        <f>IF(AND(ISNUMBER(T284),ISNUMBER(L284),ISNUMBER(K284)),IF(F284="空",T284-L284,L284-T284)/K284,"")</f>
        <v/>
      </c>
      <c r="V284" s="38" t="str">
        <f>IF(ISNUMBER(U284),IF(U284&lt;'参数'!$C$15,"先降杠杆或减量","在止损外"),"")</f>
        <v/>
      </c>
      <c r="W284" s="30" t="n"/>
      <c r="X284" s="31" t="n"/>
      <c r="Y284" s="39" t="str">
        <f>IF(N(AB284)&gt;0,SUMPRODUCT(LARGE(('成交明细'!$A$5:$A$804=A284)*('成交明细'!$D$5:$D$804=IF(F284="空","卖","买"))*'成交明细'!$B$5:$B$804,COUNTIFS('成交明细'!$A$5:$A$804,A284,'成交明细'!$D$5:$D$804,IF(F284="空","卖","买")))),"")</f>
        <v/>
      </c>
      <c r="Z284" s="39" t="str">
        <f>IF(AND(N(AB284)&gt;0,N(AD284)&gt;=N(AB284)),SUMPRODUCT(MAX(('成交明细'!$A$5:$A$804=A284)*('成交明细'!$D$5:$D$804=IF(F284="空","买","卖"))*'成交明细'!$B$5:$B$804)),"")</f>
        <v/>
      </c>
      <c r="AA284" s="40" t="str">
        <f>IF(N(AB284)=0,"",IF(SUMPRODUCT(('成交明细'!$A$5:$A$804=A284)*('成交明细'!$D$5:$D$804=IF(F284="空","卖","买"))*ISNUMBER('成交明细'!$C$5:$C$804))=0,"没填时间",IFERROR(VLOOKUP(MOD(SUMPRODUCT(LARGE(('成交明细'!$A$5:$A$804=A284)*('成交明细'!$D$5:$D$804=IF(F284="空","卖","买"))*('成交明细'!$B$5:$B$804+'成交明细'!$C$5:$C$804),COUNTIFS('成交明细'!$A$5:$A$804,A284,'成交明细'!$D$5:$D$804,IF(F284="空","卖","买")))),1),'参数'!$B$39:$C$48,2,TRUE),"")))</f>
        <v/>
      </c>
      <c r="AB284" s="34" t="str">
        <f>IF(A284="","",SUMIFS('成交明细'!$F$5:$F$804,'成交明细'!$A$5:$A$804,A284,'成交明细'!$D$5:$D$804,IF(F284="空","卖","买")))</f>
        <v/>
      </c>
      <c r="AC284" s="41" t="str">
        <f>IF(N(AB284)&gt;0,SUMIFS('成交明细'!$H$5:$H$804,'成交明细'!$A$5:$A$804,A284,'成交明细'!$D$5:$D$804,IF(F284="空","卖","买"))/AB284,"")</f>
        <v/>
      </c>
      <c r="AD284" s="34" t="str">
        <f>IF(A284="","",SUMIFS('成交明细'!$F$5:$F$804,'成交明细'!$A$5:$A$804,A284,'成交明细'!$D$5:$D$804,IF(F284="空","买","卖")))</f>
        <v/>
      </c>
      <c r="AE284" s="41" t="str">
        <f>IF(N(AD284)&gt;0,SUMIFS('成交明细'!$H$5:$H$804,'成交明细'!$A$5:$A$804,A284,'成交明细'!$D$5:$D$804,IF(F284="空","买","卖"))/AD284,"")</f>
        <v/>
      </c>
      <c r="AF284" s="38" t="str">
        <f>IF(A284="","",IF(X284&lt;&gt;"已执行",IF(X284="","未填执行情况",X284),IF(N(AB284)=0,"待录成交",IF(N(AD284)&gt;N(AB284),"平仓多于开仓",IF(N(AD284)&lt;N(AB284),"持仓中","已平仓")))))</f>
        <v/>
      </c>
      <c r="AG284" s="42" t="str">
        <f>IF(N(AB284)=0,"",SUMIFS('成交明细'!$L$5:$L$804,'成交明细'!$A$5:$A$804,A284))</f>
        <v/>
      </c>
      <c r="AH284" s="43" t="str">
        <f>IF(A284="","",SUMIFS('资金费流水'!$F$5:$F$604,'资金费流水'!$B$5:$B$604,A284))</f>
        <v/>
      </c>
      <c r="AI284" s="43" t="str">
        <f>IF(AF284&lt;&gt;"已平仓","",(SUMIFS('成交明细'!$H$5:$H$804,'成交明细'!$A$5:$A$804,A284,'成交明细'!$D$5:$D$804,"卖")-SUMIFS('成交明细'!$H$5:$H$804,'成交明细'!$A$5:$A$804,A284,'成交明细'!$D$5:$D$804,"买"))*1-AG284+N(AH284))</f>
        <v/>
      </c>
      <c r="AJ284" s="44" t="str">
        <f>IF(AND(AF284="已平仓",ISNUMBER(Q284)),(SUMIFS('成交明细'!$H$5:$H$804,'成交明细'!$A$5:$A$804,A284,'成交明细'!$D$5:$D$804,"卖")-SUMIFS('成交明细'!$H$5:$H$804,'成交明细'!$A$5:$A$804,A284,'成交明细'!$D$5:$D$804,"买"))*1/Q284,"")</f>
        <v/>
      </c>
      <c r="AK284" s="44" t="str">
        <f>IF(AND(AF284="已平仓",ISNUMBER(Q284)),AI284/Q284,"")</f>
        <v/>
      </c>
      <c r="AL284" s="45" t="str">
        <f>IF(AND(ISNUMBER(AC284),ISNUMBER(K284)),IF(F284="空",K284-AC284,AC284-K284),"")</f>
        <v/>
      </c>
      <c r="AM284" s="45" t="str">
        <f>IF(OR(NOT(ISNUMBER(AI284)),NOT(ISNUMBER(AE284))),"",IF(AI284&lt;0,IF(F284="空",AE284-L284,L284-AE284),IF(NOT(ISNUMBER(M284)),"",IF(F284="空",AE284-M284,M284-AE284))))</f>
        <v/>
      </c>
      <c r="AN284" s="31" t="n"/>
      <c r="AO284" s="31" t="n"/>
      <c r="AP284" s="30" t="n"/>
      <c r="AQ284" s="44" t="str">
        <f>IF(A284="","",SUM(AK$5:AK284))</f>
        <v/>
      </c>
      <c r="AR284" s="46" t="str">
        <f>IF(A284="","",MAX(0,MAX(AQ$5:AQ284))-AQ284)</f>
        <v/>
      </c>
    </row>
    <row r="285">
      <c r="A285" s="24" t="n"/>
      <c r="B285" s="29" t="n"/>
      <c r="C285" s="30" t="n"/>
      <c r="D285" s="31" t="n"/>
      <c r="E285" s="31" t="n"/>
      <c r="F285" s="31" t="n"/>
      <c r="G285" s="21" t="n"/>
      <c r="H285" s="31" t="n"/>
      <c r="I285" s="23" t="n"/>
      <c r="J285" s="31" t="n"/>
      <c r="K285" s="32" t="n"/>
      <c r="L285" s="32" t="n"/>
      <c r="M285" s="32" t="n"/>
      <c r="N285" s="33" t="str">
        <f>IF(AND(ISNUMBER(K285),ISNUMBER(L285),ISNUMBER(M285)),IF(OR(AND(F285="多",K285&gt;L285),AND(F285="空",K285&lt;L285)),ABS(M285-K285)/ABS(K285-L285),"止损方向不对"),"")</f>
        <v/>
      </c>
      <c r="O285" s="34" t="str">
        <f>IF(AND(ISNUMBER(K285),ISNUMBER(L285)),IF(K285=L285,"",IF(INT(ROUND('参数'!$C$7/(ABS(K285-L285)*1+2*K285*'参数'!$C$12)/IF(N(J285)&gt;0,J285,1),6))*IF(N(J285)&gt;0,J285,1)&gt;0,INT(ROUND('参数'!$C$7/(ABS(K285-L285)*1+2*K285*'参数'!$C$12)/IF(N(J285)&gt;0,J285,1),6))*IF(N(J285)&gt;0,J285,1),"预算不足，这笔不做")),"")</f>
        <v/>
      </c>
      <c r="P285" s="35" t="n"/>
      <c r="Q285" s="20" t="str">
        <f>IF(AND(ISNUMBER(K285),ISNUMBER(L285),ISNUMBER(P285)),IF(AND(K285&lt;&gt;L285,P285&gt;0),ABS(K285-L285)*P285*1,""),"")</f>
        <v/>
      </c>
      <c r="R285" s="20" t="str">
        <f>IF(AND(ISNUMBER(K285),ISNUMBER(P285)),K285*P285,"")</f>
        <v/>
      </c>
      <c r="S285" s="20" t="str">
        <f>IF(AND(D285="合约",ISNUMBER(R285),N(G285)&gt;0),R285/G285,"")</f>
        <v/>
      </c>
      <c r="T285" s="36" t="str">
        <f>IF(NOT(D285="合约"),"",IF(H285&lt;&gt;"逐仓","看平台",IF(AND(ISNUMBER(K285),N(G285)&gt;0),IF(F285="空",K285*(1+1/G285-IF(ISNUMBER(I285),I285,'参数'!$C$13)),K285*(1-1/G285+IF(ISNUMBER(I285),I285,'参数'!$C$13))),"")))</f>
        <v/>
      </c>
      <c r="U285" s="37" t="str">
        <f>IF(AND(ISNUMBER(T285),ISNUMBER(L285),ISNUMBER(K285)),IF(F285="空",T285-L285,L285-T285)/K285,"")</f>
        <v/>
      </c>
      <c r="V285" s="38" t="str">
        <f>IF(ISNUMBER(U285),IF(U285&lt;'参数'!$C$15,"先降杠杆或减量","在止损外"),"")</f>
        <v/>
      </c>
      <c r="W285" s="30" t="n"/>
      <c r="X285" s="31" t="n"/>
      <c r="Y285" s="39" t="str">
        <f>IF(N(AB285)&gt;0,SUMPRODUCT(LARGE(('成交明细'!$A$5:$A$804=A285)*('成交明细'!$D$5:$D$804=IF(F285="空","卖","买"))*'成交明细'!$B$5:$B$804,COUNTIFS('成交明细'!$A$5:$A$804,A285,'成交明细'!$D$5:$D$804,IF(F285="空","卖","买")))),"")</f>
        <v/>
      </c>
      <c r="Z285" s="39" t="str">
        <f>IF(AND(N(AB285)&gt;0,N(AD285)&gt;=N(AB285)),SUMPRODUCT(MAX(('成交明细'!$A$5:$A$804=A285)*('成交明细'!$D$5:$D$804=IF(F285="空","买","卖"))*'成交明细'!$B$5:$B$804)),"")</f>
        <v/>
      </c>
      <c r="AA285" s="40" t="str">
        <f>IF(N(AB285)=0,"",IF(SUMPRODUCT(('成交明细'!$A$5:$A$804=A285)*('成交明细'!$D$5:$D$804=IF(F285="空","卖","买"))*ISNUMBER('成交明细'!$C$5:$C$804))=0,"没填时间",IFERROR(VLOOKUP(MOD(SUMPRODUCT(LARGE(('成交明细'!$A$5:$A$804=A285)*('成交明细'!$D$5:$D$804=IF(F285="空","卖","买"))*('成交明细'!$B$5:$B$804+'成交明细'!$C$5:$C$804),COUNTIFS('成交明细'!$A$5:$A$804,A285,'成交明细'!$D$5:$D$804,IF(F285="空","卖","买")))),1),'参数'!$B$39:$C$48,2,TRUE),"")))</f>
        <v/>
      </c>
      <c r="AB285" s="34" t="str">
        <f>IF(A285="","",SUMIFS('成交明细'!$F$5:$F$804,'成交明细'!$A$5:$A$804,A285,'成交明细'!$D$5:$D$804,IF(F285="空","卖","买")))</f>
        <v/>
      </c>
      <c r="AC285" s="41" t="str">
        <f>IF(N(AB285)&gt;0,SUMIFS('成交明细'!$H$5:$H$804,'成交明细'!$A$5:$A$804,A285,'成交明细'!$D$5:$D$804,IF(F285="空","卖","买"))/AB285,"")</f>
        <v/>
      </c>
      <c r="AD285" s="34" t="str">
        <f>IF(A285="","",SUMIFS('成交明细'!$F$5:$F$804,'成交明细'!$A$5:$A$804,A285,'成交明细'!$D$5:$D$804,IF(F285="空","买","卖")))</f>
        <v/>
      </c>
      <c r="AE285" s="41" t="str">
        <f>IF(N(AD285)&gt;0,SUMIFS('成交明细'!$H$5:$H$804,'成交明细'!$A$5:$A$804,A285,'成交明细'!$D$5:$D$804,IF(F285="空","买","卖"))/AD285,"")</f>
        <v/>
      </c>
      <c r="AF285" s="38" t="str">
        <f>IF(A285="","",IF(X285&lt;&gt;"已执行",IF(X285="","未填执行情况",X285),IF(N(AB285)=0,"待录成交",IF(N(AD285)&gt;N(AB285),"平仓多于开仓",IF(N(AD285)&lt;N(AB285),"持仓中","已平仓")))))</f>
        <v/>
      </c>
      <c r="AG285" s="42" t="str">
        <f>IF(N(AB285)=0,"",SUMIFS('成交明细'!$L$5:$L$804,'成交明细'!$A$5:$A$804,A285))</f>
        <v/>
      </c>
      <c r="AH285" s="43" t="str">
        <f>IF(A285="","",SUMIFS('资金费流水'!$F$5:$F$604,'资金费流水'!$B$5:$B$604,A285))</f>
        <v/>
      </c>
      <c r="AI285" s="43" t="str">
        <f>IF(AF285&lt;&gt;"已平仓","",(SUMIFS('成交明细'!$H$5:$H$804,'成交明细'!$A$5:$A$804,A285,'成交明细'!$D$5:$D$804,"卖")-SUMIFS('成交明细'!$H$5:$H$804,'成交明细'!$A$5:$A$804,A285,'成交明细'!$D$5:$D$804,"买"))*1-AG285+N(AH285))</f>
        <v/>
      </c>
      <c r="AJ285" s="44" t="str">
        <f>IF(AND(AF285="已平仓",ISNUMBER(Q285)),(SUMIFS('成交明细'!$H$5:$H$804,'成交明细'!$A$5:$A$804,A285,'成交明细'!$D$5:$D$804,"卖")-SUMIFS('成交明细'!$H$5:$H$804,'成交明细'!$A$5:$A$804,A285,'成交明细'!$D$5:$D$804,"买"))*1/Q285,"")</f>
        <v/>
      </c>
      <c r="AK285" s="44" t="str">
        <f>IF(AND(AF285="已平仓",ISNUMBER(Q285)),AI285/Q285,"")</f>
        <v/>
      </c>
      <c r="AL285" s="45" t="str">
        <f>IF(AND(ISNUMBER(AC285),ISNUMBER(K285)),IF(F285="空",K285-AC285,AC285-K285),"")</f>
        <v/>
      </c>
      <c r="AM285" s="45" t="str">
        <f>IF(OR(NOT(ISNUMBER(AI285)),NOT(ISNUMBER(AE285))),"",IF(AI285&lt;0,IF(F285="空",AE285-L285,L285-AE285),IF(NOT(ISNUMBER(M285)),"",IF(F285="空",AE285-M285,M285-AE285))))</f>
        <v/>
      </c>
      <c r="AN285" s="31" t="n"/>
      <c r="AO285" s="31" t="n"/>
      <c r="AP285" s="30" t="n"/>
      <c r="AQ285" s="44" t="str">
        <f>IF(A285="","",SUM(AK$5:AK285))</f>
        <v/>
      </c>
      <c r="AR285" s="46" t="str">
        <f>IF(A285="","",MAX(0,MAX(AQ$5:AQ285))-AQ285)</f>
        <v/>
      </c>
    </row>
    <row r="286">
      <c r="A286" s="24" t="n"/>
      <c r="B286" s="29" t="n"/>
      <c r="C286" s="30" t="n"/>
      <c r="D286" s="31" t="n"/>
      <c r="E286" s="31" t="n"/>
      <c r="F286" s="31" t="n"/>
      <c r="G286" s="21" t="n"/>
      <c r="H286" s="31" t="n"/>
      <c r="I286" s="23" t="n"/>
      <c r="J286" s="31" t="n"/>
      <c r="K286" s="32" t="n"/>
      <c r="L286" s="32" t="n"/>
      <c r="M286" s="32" t="n"/>
      <c r="N286" s="33" t="str">
        <f>IF(AND(ISNUMBER(K286),ISNUMBER(L286),ISNUMBER(M286)),IF(OR(AND(F286="多",K286&gt;L286),AND(F286="空",K286&lt;L286)),ABS(M286-K286)/ABS(K286-L286),"止损方向不对"),"")</f>
        <v/>
      </c>
      <c r="O286" s="34" t="str">
        <f>IF(AND(ISNUMBER(K286),ISNUMBER(L286)),IF(K286=L286,"",IF(INT(ROUND('参数'!$C$7/(ABS(K286-L286)*1+2*K286*'参数'!$C$12)/IF(N(J286)&gt;0,J286,1),6))*IF(N(J286)&gt;0,J286,1)&gt;0,INT(ROUND('参数'!$C$7/(ABS(K286-L286)*1+2*K286*'参数'!$C$12)/IF(N(J286)&gt;0,J286,1),6))*IF(N(J286)&gt;0,J286,1),"预算不足，这笔不做")),"")</f>
        <v/>
      </c>
      <c r="P286" s="35" t="n"/>
      <c r="Q286" s="20" t="str">
        <f>IF(AND(ISNUMBER(K286),ISNUMBER(L286),ISNUMBER(P286)),IF(AND(K286&lt;&gt;L286,P286&gt;0),ABS(K286-L286)*P286*1,""),"")</f>
        <v/>
      </c>
      <c r="R286" s="20" t="str">
        <f>IF(AND(ISNUMBER(K286),ISNUMBER(P286)),K286*P286,"")</f>
        <v/>
      </c>
      <c r="S286" s="20" t="str">
        <f>IF(AND(D286="合约",ISNUMBER(R286),N(G286)&gt;0),R286/G286,"")</f>
        <v/>
      </c>
      <c r="T286" s="36" t="str">
        <f>IF(NOT(D286="合约"),"",IF(H286&lt;&gt;"逐仓","看平台",IF(AND(ISNUMBER(K286),N(G286)&gt;0),IF(F286="空",K286*(1+1/G286-IF(ISNUMBER(I286),I286,'参数'!$C$13)),K286*(1-1/G286+IF(ISNUMBER(I286),I286,'参数'!$C$13))),"")))</f>
        <v/>
      </c>
      <c r="U286" s="37" t="str">
        <f>IF(AND(ISNUMBER(T286),ISNUMBER(L286),ISNUMBER(K286)),IF(F286="空",T286-L286,L286-T286)/K286,"")</f>
        <v/>
      </c>
      <c r="V286" s="38" t="str">
        <f>IF(ISNUMBER(U286),IF(U286&lt;'参数'!$C$15,"先降杠杆或减量","在止损外"),"")</f>
        <v/>
      </c>
      <c r="W286" s="30" t="n"/>
      <c r="X286" s="31" t="n"/>
      <c r="Y286" s="39" t="str">
        <f>IF(N(AB286)&gt;0,SUMPRODUCT(LARGE(('成交明细'!$A$5:$A$804=A286)*('成交明细'!$D$5:$D$804=IF(F286="空","卖","买"))*'成交明细'!$B$5:$B$804,COUNTIFS('成交明细'!$A$5:$A$804,A286,'成交明细'!$D$5:$D$804,IF(F286="空","卖","买")))),"")</f>
        <v/>
      </c>
      <c r="Z286" s="39" t="str">
        <f>IF(AND(N(AB286)&gt;0,N(AD286)&gt;=N(AB286)),SUMPRODUCT(MAX(('成交明细'!$A$5:$A$804=A286)*('成交明细'!$D$5:$D$804=IF(F286="空","买","卖"))*'成交明细'!$B$5:$B$804)),"")</f>
        <v/>
      </c>
      <c r="AA286" s="40" t="str">
        <f>IF(N(AB286)=0,"",IF(SUMPRODUCT(('成交明细'!$A$5:$A$804=A286)*('成交明细'!$D$5:$D$804=IF(F286="空","卖","买"))*ISNUMBER('成交明细'!$C$5:$C$804))=0,"没填时间",IFERROR(VLOOKUP(MOD(SUMPRODUCT(LARGE(('成交明细'!$A$5:$A$804=A286)*('成交明细'!$D$5:$D$804=IF(F286="空","卖","买"))*('成交明细'!$B$5:$B$804+'成交明细'!$C$5:$C$804),COUNTIFS('成交明细'!$A$5:$A$804,A286,'成交明细'!$D$5:$D$804,IF(F286="空","卖","买")))),1),'参数'!$B$39:$C$48,2,TRUE),"")))</f>
        <v/>
      </c>
      <c r="AB286" s="34" t="str">
        <f>IF(A286="","",SUMIFS('成交明细'!$F$5:$F$804,'成交明细'!$A$5:$A$804,A286,'成交明细'!$D$5:$D$804,IF(F286="空","卖","买")))</f>
        <v/>
      </c>
      <c r="AC286" s="41" t="str">
        <f>IF(N(AB286)&gt;0,SUMIFS('成交明细'!$H$5:$H$804,'成交明细'!$A$5:$A$804,A286,'成交明细'!$D$5:$D$804,IF(F286="空","卖","买"))/AB286,"")</f>
        <v/>
      </c>
      <c r="AD286" s="34" t="str">
        <f>IF(A286="","",SUMIFS('成交明细'!$F$5:$F$804,'成交明细'!$A$5:$A$804,A286,'成交明细'!$D$5:$D$804,IF(F286="空","买","卖")))</f>
        <v/>
      </c>
      <c r="AE286" s="41" t="str">
        <f>IF(N(AD286)&gt;0,SUMIFS('成交明细'!$H$5:$H$804,'成交明细'!$A$5:$A$804,A286,'成交明细'!$D$5:$D$804,IF(F286="空","买","卖"))/AD286,"")</f>
        <v/>
      </c>
      <c r="AF286" s="38" t="str">
        <f>IF(A286="","",IF(X286&lt;&gt;"已执行",IF(X286="","未填执行情况",X286),IF(N(AB286)=0,"待录成交",IF(N(AD286)&gt;N(AB286),"平仓多于开仓",IF(N(AD286)&lt;N(AB286),"持仓中","已平仓")))))</f>
        <v/>
      </c>
      <c r="AG286" s="42" t="str">
        <f>IF(N(AB286)=0,"",SUMIFS('成交明细'!$L$5:$L$804,'成交明细'!$A$5:$A$804,A286))</f>
        <v/>
      </c>
      <c r="AH286" s="43" t="str">
        <f>IF(A286="","",SUMIFS('资金费流水'!$F$5:$F$604,'资金费流水'!$B$5:$B$604,A286))</f>
        <v/>
      </c>
      <c r="AI286" s="43" t="str">
        <f>IF(AF286&lt;&gt;"已平仓","",(SUMIFS('成交明细'!$H$5:$H$804,'成交明细'!$A$5:$A$804,A286,'成交明细'!$D$5:$D$804,"卖")-SUMIFS('成交明细'!$H$5:$H$804,'成交明细'!$A$5:$A$804,A286,'成交明细'!$D$5:$D$804,"买"))*1-AG286+N(AH286))</f>
        <v/>
      </c>
      <c r="AJ286" s="44" t="str">
        <f>IF(AND(AF286="已平仓",ISNUMBER(Q286)),(SUMIFS('成交明细'!$H$5:$H$804,'成交明细'!$A$5:$A$804,A286,'成交明细'!$D$5:$D$804,"卖")-SUMIFS('成交明细'!$H$5:$H$804,'成交明细'!$A$5:$A$804,A286,'成交明细'!$D$5:$D$804,"买"))*1/Q286,"")</f>
        <v/>
      </c>
      <c r="AK286" s="44" t="str">
        <f>IF(AND(AF286="已平仓",ISNUMBER(Q286)),AI286/Q286,"")</f>
        <v/>
      </c>
      <c r="AL286" s="45" t="str">
        <f>IF(AND(ISNUMBER(AC286),ISNUMBER(K286)),IF(F286="空",K286-AC286,AC286-K286),"")</f>
        <v/>
      </c>
      <c r="AM286" s="45" t="str">
        <f>IF(OR(NOT(ISNUMBER(AI286)),NOT(ISNUMBER(AE286))),"",IF(AI286&lt;0,IF(F286="空",AE286-L286,L286-AE286),IF(NOT(ISNUMBER(M286)),"",IF(F286="空",AE286-M286,M286-AE286))))</f>
        <v/>
      </c>
      <c r="AN286" s="31" t="n"/>
      <c r="AO286" s="31" t="n"/>
      <c r="AP286" s="30" t="n"/>
      <c r="AQ286" s="44" t="str">
        <f>IF(A286="","",SUM(AK$5:AK286))</f>
        <v/>
      </c>
      <c r="AR286" s="46" t="str">
        <f>IF(A286="","",MAX(0,MAX(AQ$5:AQ286))-AQ286)</f>
        <v/>
      </c>
    </row>
    <row r="287">
      <c r="A287" s="24" t="n"/>
      <c r="B287" s="29" t="n"/>
      <c r="C287" s="30" t="n"/>
      <c r="D287" s="31" t="n"/>
      <c r="E287" s="31" t="n"/>
      <c r="F287" s="31" t="n"/>
      <c r="G287" s="21" t="n"/>
      <c r="H287" s="31" t="n"/>
      <c r="I287" s="23" t="n"/>
      <c r="J287" s="31" t="n"/>
      <c r="K287" s="32" t="n"/>
      <c r="L287" s="32" t="n"/>
      <c r="M287" s="32" t="n"/>
      <c r="N287" s="33" t="str">
        <f>IF(AND(ISNUMBER(K287),ISNUMBER(L287),ISNUMBER(M287)),IF(OR(AND(F287="多",K287&gt;L287),AND(F287="空",K287&lt;L287)),ABS(M287-K287)/ABS(K287-L287),"止损方向不对"),"")</f>
        <v/>
      </c>
      <c r="O287" s="34" t="str">
        <f>IF(AND(ISNUMBER(K287),ISNUMBER(L287)),IF(K287=L287,"",IF(INT(ROUND('参数'!$C$7/(ABS(K287-L287)*1+2*K287*'参数'!$C$12)/IF(N(J287)&gt;0,J287,1),6))*IF(N(J287)&gt;0,J287,1)&gt;0,INT(ROUND('参数'!$C$7/(ABS(K287-L287)*1+2*K287*'参数'!$C$12)/IF(N(J287)&gt;0,J287,1),6))*IF(N(J287)&gt;0,J287,1),"预算不足，这笔不做")),"")</f>
        <v/>
      </c>
      <c r="P287" s="35" t="n"/>
      <c r="Q287" s="20" t="str">
        <f>IF(AND(ISNUMBER(K287),ISNUMBER(L287),ISNUMBER(P287)),IF(AND(K287&lt;&gt;L287,P287&gt;0),ABS(K287-L287)*P287*1,""),"")</f>
        <v/>
      </c>
      <c r="R287" s="20" t="str">
        <f>IF(AND(ISNUMBER(K287),ISNUMBER(P287)),K287*P287,"")</f>
        <v/>
      </c>
      <c r="S287" s="20" t="str">
        <f>IF(AND(D287="合约",ISNUMBER(R287),N(G287)&gt;0),R287/G287,"")</f>
        <v/>
      </c>
      <c r="T287" s="36" t="str">
        <f>IF(NOT(D287="合约"),"",IF(H287&lt;&gt;"逐仓","看平台",IF(AND(ISNUMBER(K287),N(G287)&gt;0),IF(F287="空",K287*(1+1/G287-IF(ISNUMBER(I287),I287,'参数'!$C$13)),K287*(1-1/G287+IF(ISNUMBER(I287),I287,'参数'!$C$13))),"")))</f>
        <v/>
      </c>
      <c r="U287" s="37" t="str">
        <f>IF(AND(ISNUMBER(T287),ISNUMBER(L287),ISNUMBER(K287)),IF(F287="空",T287-L287,L287-T287)/K287,"")</f>
        <v/>
      </c>
      <c r="V287" s="38" t="str">
        <f>IF(ISNUMBER(U287),IF(U287&lt;'参数'!$C$15,"先降杠杆或减量","在止损外"),"")</f>
        <v/>
      </c>
      <c r="W287" s="30" t="n"/>
      <c r="X287" s="31" t="n"/>
      <c r="Y287" s="39" t="str">
        <f>IF(N(AB287)&gt;0,SUMPRODUCT(LARGE(('成交明细'!$A$5:$A$804=A287)*('成交明细'!$D$5:$D$804=IF(F287="空","卖","买"))*'成交明细'!$B$5:$B$804,COUNTIFS('成交明细'!$A$5:$A$804,A287,'成交明细'!$D$5:$D$804,IF(F287="空","卖","买")))),"")</f>
        <v/>
      </c>
      <c r="Z287" s="39" t="str">
        <f>IF(AND(N(AB287)&gt;0,N(AD287)&gt;=N(AB287)),SUMPRODUCT(MAX(('成交明细'!$A$5:$A$804=A287)*('成交明细'!$D$5:$D$804=IF(F287="空","买","卖"))*'成交明细'!$B$5:$B$804)),"")</f>
        <v/>
      </c>
      <c r="AA287" s="40" t="str">
        <f>IF(N(AB287)=0,"",IF(SUMPRODUCT(('成交明细'!$A$5:$A$804=A287)*('成交明细'!$D$5:$D$804=IF(F287="空","卖","买"))*ISNUMBER('成交明细'!$C$5:$C$804))=0,"没填时间",IFERROR(VLOOKUP(MOD(SUMPRODUCT(LARGE(('成交明细'!$A$5:$A$804=A287)*('成交明细'!$D$5:$D$804=IF(F287="空","卖","买"))*('成交明细'!$B$5:$B$804+'成交明细'!$C$5:$C$804),COUNTIFS('成交明细'!$A$5:$A$804,A287,'成交明细'!$D$5:$D$804,IF(F287="空","卖","买")))),1),'参数'!$B$39:$C$48,2,TRUE),"")))</f>
        <v/>
      </c>
      <c r="AB287" s="34" t="str">
        <f>IF(A287="","",SUMIFS('成交明细'!$F$5:$F$804,'成交明细'!$A$5:$A$804,A287,'成交明细'!$D$5:$D$804,IF(F287="空","卖","买")))</f>
        <v/>
      </c>
      <c r="AC287" s="41" t="str">
        <f>IF(N(AB287)&gt;0,SUMIFS('成交明细'!$H$5:$H$804,'成交明细'!$A$5:$A$804,A287,'成交明细'!$D$5:$D$804,IF(F287="空","卖","买"))/AB287,"")</f>
        <v/>
      </c>
      <c r="AD287" s="34" t="str">
        <f>IF(A287="","",SUMIFS('成交明细'!$F$5:$F$804,'成交明细'!$A$5:$A$804,A287,'成交明细'!$D$5:$D$804,IF(F287="空","买","卖")))</f>
        <v/>
      </c>
      <c r="AE287" s="41" t="str">
        <f>IF(N(AD287)&gt;0,SUMIFS('成交明细'!$H$5:$H$804,'成交明细'!$A$5:$A$804,A287,'成交明细'!$D$5:$D$804,IF(F287="空","买","卖"))/AD287,"")</f>
        <v/>
      </c>
      <c r="AF287" s="38" t="str">
        <f>IF(A287="","",IF(X287&lt;&gt;"已执行",IF(X287="","未填执行情况",X287),IF(N(AB287)=0,"待录成交",IF(N(AD287)&gt;N(AB287),"平仓多于开仓",IF(N(AD287)&lt;N(AB287),"持仓中","已平仓")))))</f>
        <v/>
      </c>
      <c r="AG287" s="42" t="str">
        <f>IF(N(AB287)=0,"",SUMIFS('成交明细'!$L$5:$L$804,'成交明细'!$A$5:$A$804,A287))</f>
        <v/>
      </c>
      <c r="AH287" s="43" t="str">
        <f>IF(A287="","",SUMIFS('资金费流水'!$F$5:$F$604,'资金费流水'!$B$5:$B$604,A287))</f>
        <v/>
      </c>
      <c r="AI287" s="43" t="str">
        <f>IF(AF287&lt;&gt;"已平仓","",(SUMIFS('成交明细'!$H$5:$H$804,'成交明细'!$A$5:$A$804,A287,'成交明细'!$D$5:$D$804,"卖")-SUMIFS('成交明细'!$H$5:$H$804,'成交明细'!$A$5:$A$804,A287,'成交明细'!$D$5:$D$804,"买"))*1-AG287+N(AH287))</f>
        <v/>
      </c>
      <c r="AJ287" s="44" t="str">
        <f>IF(AND(AF287="已平仓",ISNUMBER(Q287)),(SUMIFS('成交明细'!$H$5:$H$804,'成交明细'!$A$5:$A$804,A287,'成交明细'!$D$5:$D$804,"卖")-SUMIFS('成交明细'!$H$5:$H$804,'成交明细'!$A$5:$A$804,A287,'成交明细'!$D$5:$D$804,"买"))*1/Q287,"")</f>
        <v/>
      </c>
      <c r="AK287" s="44" t="str">
        <f>IF(AND(AF287="已平仓",ISNUMBER(Q287)),AI287/Q287,"")</f>
        <v/>
      </c>
      <c r="AL287" s="45" t="str">
        <f>IF(AND(ISNUMBER(AC287),ISNUMBER(K287)),IF(F287="空",K287-AC287,AC287-K287),"")</f>
        <v/>
      </c>
      <c r="AM287" s="45" t="str">
        <f>IF(OR(NOT(ISNUMBER(AI287)),NOT(ISNUMBER(AE287))),"",IF(AI287&lt;0,IF(F287="空",AE287-L287,L287-AE287),IF(NOT(ISNUMBER(M287)),"",IF(F287="空",AE287-M287,M287-AE287))))</f>
        <v/>
      </c>
      <c r="AN287" s="31" t="n"/>
      <c r="AO287" s="31" t="n"/>
      <c r="AP287" s="30" t="n"/>
      <c r="AQ287" s="44" t="str">
        <f>IF(A287="","",SUM(AK$5:AK287))</f>
        <v/>
      </c>
      <c r="AR287" s="46" t="str">
        <f>IF(A287="","",MAX(0,MAX(AQ$5:AQ287))-AQ287)</f>
        <v/>
      </c>
    </row>
    <row r="288">
      <c r="A288" s="24" t="n"/>
      <c r="B288" s="29" t="n"/>
      <c r="C288" s="30" t="n"/>
      <c r="D288" s="31" t="n"/>
      <c r="E288" s="31" t="n"/>
      <c r="F288" s="31" t="n"/>
      <c r="G288" s="21" t="n"/>
      <c r="H288" s="31" t="n"/>
      <c r="I288" s="23" t="n"/>
      <c r="J288" s="31" t="n"/>
      <c r="K288" s="32" t="n"/>
      <c r="L288" s="32" t="n"/>
      <c r="M288" s="32" t="n"/>
      <c r="N288" s="33" t="str">
        <f>IF(AND(ISNUMBER(K288),ISNUMBER(L288),ISNUMBER(M288)),IF(OR(AND(F288="多",K288&gt;L288),AND(F288="空",K288&lt;L288)),ABS(M288-K288)/ABS(K288-L288),"止损方向不对"),"")</f>
        <v/>
      </c>
      <c r="O288" s="34" t="str">
        <f>IF(AND(ISNUMBER(K288),ISNUMBER(L288)),IF(K288=L288,"",IF(INT(ROUND('参数'!$C$7/(ABS(K288-L288)*1+2*K288*'参数'!$C$12)/IF(N(J288)&gt;0,J288,1),6))*IF(N(J288)&gt;0,J288,1)&gt;0,INT(ROUND('参数'!$C$7/(ABS(K288-L288)*1+2*K288*'参数'!$C$12)/IF(N(J288)&gt;0,J288,1),6))*IF(N(J288)&gt;0,J288,1),"预算不足，这笔不做")),"")</f>
        <v/>
      </c>
      <c r="P288" s="35" t="n"/>
      <c r="Q288" s="20" t="str">
        <f>IF(AND(ISNUMBER(K288),ISNUMBER(L288),ISNUMBER(P288)),IF(AND(K288&lt;&gt;L288,P288&gt;0),ABS(K288-L288)*P288*1,""),"")</f>
        <v/>
      </c>
      <c r="R288" s="20" t="str">
        <f>IF(AND(ISNUMBER(K288),ISNUMBER(P288)),K288*P288,"")</f>
        <v/>
      </c>
      <c r="S288" s="20" t="str">
        <f>IF(AND(D288="合约",ISNUMBER(R288),N(G288)&gt;0),R288/G288,"")</f>
        <v/>
      </c>
      <c r="T288" s="36" t="str">
        <f>IF(NOT(D288="合约"),"",IF(H288&lt;&gt;"逐仓","看平台",IF(AND(ISNUMBER(K288),N(G288)&gt;0),IF(F288="空",K288*(1+1/G288-IF(ISNUMBER(I288),I288,'参数'!$C$13)),K288*(1-1/G288+IF(ISNUMBER(I288),I288,'参数'!$C$13))),"")))</f>
        <v/>
      </c>
      <c r="U288" s="37" t="str">
        <f>IF(AND(ISNUMBER(T288),ISNUMBER(L288),ISNUMBER(K288)),IF(F288="空",T288-L288,L288-T288)/K288,"")</f>
        <v/>
      </c>
      <c r="V288" s="38" t="str">
        <f>IF(ISNUMBER(U288),IF(U288&lt;'参数'!$C$15,"先降杠杆或减量","在止损外"),"")</f>
        <v/>
      </c>
      <c r="W288" s="30" t="n"/>
      <c r="X288" s="31" t="n"/>
      <c r="Y288" s="39" t="str">
        <f>IF(N(AB288)&gt;0,SUMPRODUCT(LARGE(('成交明细'!$A$5:$A$804=A288)*('成交明细'!$D$5:$D$804=IF(F288="空","卖","买"))*'成交明细'!$B$5:$B$804,COUNTIFS('成交明细'!$A$5:$A$804,A288,'成交明细'!$D$5:$D$804,IF(F288="空","卖","买")))),"")</f>
        <v/>
      </c>
      <c r="Z288" s="39" t="str">
        <f>IF(AND(N(AB288)&gt;0,N(AD288)&gt;=N(AB288)),SUMPRODUCT(MAX(('成交明细'!$A$5:$A$804=A288)*('成交明细'!$D$5:$D$804=IF(F288="空","买","卖"))*'成交明细'!$B$5:$B$804)),"")</f>
        <v/>
      </c>
      <c r="AA288" s="40" t="str">
        <f>IF(N(AB288)=0,"",IF(SUMPRODUCT(('成交明细'!$A$5:$A$804=A288)*('成交明细'!$D$5:$D$804=IF(F288="空","卖","买"))*ISNUMBER('成交明细'!$C$5:$C$804))=0,"没填时间",IFERROR(VLOOKUP(MOD(SUMPRODUCT(LARGE(('成交明细'!$A$5:$A$804=A288)*('成交明细'!$D$5:$D$804=IF(F288="空","卖","买"))*('成交明细'!$B$5:$B$804+'成交明细'!$C$5:$C$804),COUNTIFS('成交明细'!$A$5:$A$804,A288,'成交明细'!$D$5:$D$804,IF(F288="空","卖","买")))),1),'参数'!$B$39:$C$48,2,TRUE),"")))</f>
        <v/>
      </c>
      <c r="AB288" s="34" t="str">
        <f>IF(A288="","",SUMIFS('成交明细'!$F$5:$F$804,'成交明细'!$A$5:$A$804,A288,'成交明细'!$D$5:$D$804,IF(F288="空","卖","买")))</f>
        <v/>
      </c>
      <c r="AC288" s="41" t="str">
        <f>IF(N(AB288)&gt;0,SUMIFS('成交明细'!$H$5:$H$804,'成交明细'!$A$5:$A$804,A288,'成交明细'!$D$5:$D$804,IF(F288="空","卖","买"))/AB288,"")</f>
        <v/>
      </c>
      <c r="AD288" s="34" t="str">
        <f>IF(A288="","",SUMIFS('成交明细'!$F$5:$F$804,'成交明细'!$A$5:$A$804,A288,'成交明细'!$D$5:$D$804,IF(F288="空","买","卖")))</f>
        <v/>
      </c>
      <c r="AE288" s="41" t="str">
        <f>IF(N(AD288)&gt;0,SUMIFS('成交明细'!$H$5:$H$804,'成交明细'!$A$5:$A$804,A288,'成交明细'!$D$5:$D$804,IF(F288="空","买","卖"))/AD288,"")</f>
        <v/>
      </c>
      <c r="AF288" s="38" t="str">
        <f>IF(A288="","",IF(X288&lt;&gt;"已执行",IF(X288="","未填执行情况",X288),IF(N(AB288)=0,"待录成交",IF(N(AD288)&gt;N(AB288),"平仓多于开仓",IF(N(AD288)&lt;N(AB288),"持仓中","已平仓")))))</f>
        <v/>
      </c>
      <c r="AG288" s="42" t="str">
        <f>IF(N(AB288)=0,"",SUMIFS('成交明细'!$L$5:$L$804,'成交明细'!$A$5:$A$804,A288))</f>
        <v/>
      </c>
      <c r="AH288" s="43" t="str">
        <f>IF(A288="","",SUMIFS('资金费流水'!$F$5:$F$604,'资金费流水'!$B$5:$B$604,A288))</f>
        <v/>
      </c>
      <c r="AI288" s="43" t="str">
        <f>IF(AF288&lt;&gt;"已平仓","",(SUMIFS('成交明细'!$H$5:$H$804,'成交明细'!$A$5:$A$804,A288,'成交明细'!$D$5:$D$804,"卖")-SUMIFS('成交明细'!$H$5:$H$804,'成交明细'!$A$5:$A$804,A288,'成交明细'!$D$5:$D$804,"买"))*1-AG288+N(AH288))</f>
        <v/>
      </c>
      <c r="AJ288" s="44" t="str">
        <f>IF(AND(AF288="已平仓",ISNUMBER(Q288)),(SUMIFS('成交明细'!$H$5:$H$804,'成交明细'!$A$5:$A$804,A288,'成交明细'!$D$5:$D$804,"卖")-SUMIFS('成交明细'!$H$5:$H$804,'成交明细'!$A$5:$A$804,A288,'成交明细'!$D$5:$D$804,"买"))*1/Q288,"")</f>
        <v/>
      </c>
      <c r="AK288" s="44" t="str">
        <f>IF(AND(AF288="已平仓",ISNUMBER(Q288)),AI288/Q288,"")</f>
        <v/>
      </c>
      <c r="AL288" s="45" t="str">
        <f>IF(AND(ISNUMBER(AC288),ISNUMBER(K288)),IF(F288="空",K288-AC288,AC288-K288),"")</f>
        <v/>
      </c>
      <c r="AM288" s="45" t="str">
        <f>IF(OR(NOT(ISNUMBER(AI288)),NOT(ISNUMBER(AE288))),"",IF(AI288&lt;0,IF(F288="空",AE288-L288,L288-AE288),IF(NOT(ISNUMBER(M288)),"",IF(F288="空",AE288-M288,M288-AE288))))</f>
        <v/>
      </c>
      <c r="AN288" s="31" t="n"/>
      <c r="AO288" s="31" t="n"/>
      <c r="AP288" s="30" t="n"/>
      <c r="AQ288" s="44" t="str">
        <f>IF(A288="","",SUM(AK$5:AK288))</f>
        <v/>
      </c>
      <c r="AR288" s="46" t="str">
        <f>IF(A288="","",MAX(0,MAX(AQ$5:AQ288))-AQ288)</f>
        <v/>
      </c>
    </row>
    <row r="289">
      <c r="A289" s="24" t="n"/>
      <c r="B289" s="29" t="n"/>
      <c r="C289" s="30" t="n"/>
      <c r="D289" s="31" t="n"/>
      <c r="E289" s="31" t="n"/>
      <c r="F289" s="31" t="n"/>
      <c r="G289" s="21" t="n"/>
      <c r="H289" s="31" t="n"/>
      <c r="I289" s="23" t="n"/>
      <c r="J289" s="31" t="n"/>
      <c r="K289" s="32" t="n"/>
      <c r="L289" s="32" t="n"/>
      <c r="M289" s="32" t="n"/>
      <c r="N289" s="33" t="str">
        <f>IF(AND(ISNUMBER(K289),ISNUMBER(L289),ISNUMBER(M289)),IF(OR(AND(F289="多",K289&gt;L289),AND(F289="空",K289&lt;L289)),ABS(M289-K289)/ABS(K289-L289),"止损方向不对"),"")</f>
        <v/>
      </c>
      <c r="O289" s="34" t="str">
        <f>IF(AND(ISNUMBER(K289),ISNUMBER(L289)),IF(K289=L289,"",IF(INT(ROUND('参数'!$C$7/(ABS(K289-L289)*1+2*K289*'参数'!$C$12)/IF(N(J289)&gt;0,J289,1),6))*IF(N(J289)&gt;0,J289,1)&gt;0,INT(ROUND('参数'!$C$7/(ABS(K289-L289)*1+2*K289*'参数'!$C$12)/IF(N(J289)&gt;0,J289,1),6))*IF(N(J289)&gt;0,J289,1),"预算不足，这笔不做")),"")</f>
        <v/>
      </c>
      <c r="P289" s="35" t="n"/>
      <c r="Q289" s="20" t="str">
        <f>IF(AND(ISNUMBER(K289),ISNUMBER(L289),ISNUMBER(P289)),IF(AND(K289&lt;&gt;L289,P289&gt;0),ABS(K289-L289)*P289*1,""),"")</f>
        <v/>
      </c>
      <c r="R289" s="20" t="str">
        <f>IF(AND(ISNUMBER(K289),ISNUMBER(P289)),K289*P289,"")</f>
        <v/>
      </c>
      <c r="S289" s="20" t="str">
        <f>IF(AND(D289="合约",ISNUMBER(R289),N(G289)&gt;0),R289/G289,"")</f>
        <v/>
      </c>
      <c r="T289" s="36" t="str">
        <f>IF(NOT(D289="合约"),"",IF(H289&lt;&gt;"逐仓","看平台",IF(AND(ISNUMBER(K289),N(G289)&gt;0),IF(F289="空",K289*(1+1/G289-IF(ISNUMBER(I289),I289,'参数'!$C$13)),K289*(1-1/G289+IF(ISNUMBER(I289),I289,'参数'!$C$13))),"")))</f>
        <v/>
      </c>
      <c r="U289" s="37" t="str">
        <f>IF(AND(ISNUMBER(T289),ISNUMBER(L289),ISNUMBER(K289)),IF(F289="空",T289-L289,L289-T289)/K289,"")</f>
        <v/>
      </c>
      <c r="V289" s="38" t="str">
        <f>IF(ISNUMBER(U289),IF(U289&lt;'参数'!$C$15,"先降杠杆或减量","在止损外"),"")</f>
        <v/>
      </c>
      <c r="W289" s="30" t="n"/>
      <c r="X289" s="31" t="n"/>
      <c r="Y289" s="39" t="str">
        <f>IF(N(AB289)&gt;0,SUMPRODUCT(LARGE(('成交明细'!$A$5:$A$804=A289)*('成交明细'!$D$5:$D$804=IF(F289="空","卖","买"))*'成交明细'!$B$5:$B$804,COUNTIFS('成交明细'!$A$5:$A$804,A289,'成交明细'!$D$5:$D$804,IF(F289="空","卖","买")))),"")</f>
        <v/>
      </c>
      <c r="Z289" s="39" t="str">
        <f>IF(AND(N(AB289)&gt;0,N(AD289)&gt;=N(AB289)),SUMPRODUCT(MAX(('成交明细'!$A$5:$A$804=A289)*('成交明细'!$D$5:$D$804=IF(F289="空","买","卖"))*'成交明细'!$B$5:$B$804)),"")</f>
        <v/>
      </c>
      <c r="AA289" s="40" t="str">
        <f>IF(N(AB289)=0,"",IF(SUMPRODUCT(('成交明细'!$A$5:$A$804=A289)*('成交明细'!$D$5:$D$804=IF(F289="空","卖","买"))*ISNUMBER('成交明细'!$C$5:$C$804))=0,"没填时间",IFERROR(VLOOKUP(MOD(SUMPRODUCT(LARGE(('成交明细'!$A$5:$A$804=A289)*('成交明细'!$D$5:$D$804=IF(F289="空","卖","买"))*('成交明细'!$B$5:$B$804+'成交明细'!$C$5:$C$804),COUNTIFS('成交明细'!$A$5:$A$804,A289,'成交明细'!$D$5:$D$804,IF(F289="空","卖","买")))),1),'参数'!$B$39:$C$48,2,TRUE),"")))</f>
        <v/>
      </c>
      <c r="AB289" s="34" t="str">
        <f>IF(A289="","",SUMIFS('成交明细'!$F$5:$F$804,'成交明细'!$A$5:$A$804,A289,'成交明细'!$D$5:$D$804,IF(F289="空","卖","买")))</f>
        <v/>
      </c>
      <c r="AC289" s="41" t="str">
        <f>IF(N(AB289)&gt;0,SUMIFS('成交明细'!$H$5:$H$804,'成交明细'!$A$5:$A$804,A289,'成交明细'!$D$5:$D$804,IF(F289="空","卖","买"))/AB289,"")</f>
        <v/>
      </c>
      <c r="AD289" s="34" t="str">
        <f>IF(A289="","",SUMIFS('成交明细'!$F$5:$F$804,'成交明细'!$A$5:$A$804,A289,'成交明细'!$D$5:$D$804,IF(F289="空","买","卖")))</f>
        <v/>
      </c>
      <c r="AE289" s="41" t="str">
        <f>IF(N(AD289)&gt;0,SUMIFS('成交明细'!$H$5:$H$804,'成交明细'!$A$5:$A$804,A289,'成交明细'!$D$5:$D$804,IF(F289="空","买","卖"))/AD289,"")</f>
        <v/>
      </c>
      <c r="AF289" s="38" t="str">
        <f>IF(A289="","",IF(X289&lt;&gt;"已执行",IF(X289="","未填执行情况",X289),IF(N(AB289)=0,"待录成交",IF(N(AD289)&gt;N(AB289),"平仓多于开仓",IF(N(AD289)&lt;N(AB289),"持仓中","已平仓")))))</f>
        <v/>
      </c>
      <c r="AG289" s="42" t="str">
        <f>IF(N(AB289)=0,"",SUMIFS('成交明细'!$L$5:$L$804,'成交明细'!$A$5:$A$804,A289))</f>
        <v/>
      </c>
      <c r="AH289" s="43" t="str">
        <f>IF(A289="","",SUMIFS('资金费流水'!$F$5:$F$604,'资金费流水'!$B$5:$B$604,A289))</f>
        <v/>
      </c>
      <c r="AI289" s="43" t="str">
        <f>IF(AF289&lt;&gt;"已平仓","",(SUMIFS('成交明细'!$H$5:$H$804,'成交明细'!$A$5:$A$804,A289,'成交明细'!$D$5:$D$804,"卖")-SUMIFS('成交明细'!$H$5:$H$804,'成交明细'!$A$5:$A$804,A289,'成交明细'!$D$5:$D$804,"买"))*1-AG289+N(AH289))</f>
        <v/>
      </c>
      <c r="AJ289" s="44" t="str">
        <f>IF(AND(AF289="已平仓",ISNUMBER(Q289)),(SUMIFS('成交明细'!$H$5:$H$804,'成交明细'!$A$5:$A$804,A289,'成交明细'!$D$5:$D$804,"卖")-SUMIFS('成交明细'!$H$5:$H$804,'成交明细'!$A$5:$A$804,A289,'成交明细'!$D$5:$D$804,"买"))*1/Q289,"")</f>
        <v/>
      </c>
      <c r="AK289" s="44" t="str">
        <f>IF(AND(AF289="已平仓",ISNUMBER(Q289)),AI289/Q289,"")</f>
        <v/>
      </c>
      <c r="AL289" s="45" t="str">
        <f>IF(AND(ISNUMBER(AC289),ISNUMBER(K289)),IF(F289="空",K289-AC289,AC289-K289),"")</f>
        <v/>
      </c>
      <c r="AM289" s="45" t="str">
        <f>IF(OR(NOT(ISNUMBER(AI289)),NOT(ISNUMBER(AE289))),"",IF(AI289&lt;0,IF(F289="空",AE289-L289,L289-AE289),IF(NOT(ISNUMBER(M289)),"",IF(F289="空",AE289-M289,M289-AE289))))</f>
        <v/>
      </c>
      <c r="AN289" s="31" t="n"/>
      <c r="AO289" s="31" t="n"/>
      <c r="AP289" s="30" t="n"/>
      <c r="AQ289" s="44" t="str">
        <f>IF(A289="","",SUM(AK$5:AK289))</f>
        <v/>
      </c>
      <c r="AR289" s="46" t="str">
        <f>IF(A289="","",MAX(0,MAX(AQ$5:AQ289))-AQ289)</f>
        <v/>
      </c>
    </row>
    <row r="290">
      <c r="A290" s="24" t="n"/>
      <c r="B290" s="29" t="n"/>
      <c r="C290" s="30" t="n"/>
      <c r="D290" s="31" t="n"/>
      <c r="E290" s="31" t="n"/>
      <c r="F290" s="31" t="n"/>
      <c r="G290" s="21" t="n"/>
      <c r="H290" s="31" t="n"/>
      <c r="I290" s="23" t="n"/>
      <c r="J290" s="31" t="n"/>
      <c r="K290" s="32" t="n"/>
      <c r="L290" s="32" t="n"/>
      <c r="M290" s="32" t="n"/>
      <c r="N290" s="33" t="str">
        <f>IF(AND(ISNUMBER(K290),ISNUMBER(L290),ISNUMBER(M290)),IF(OR(AND(F290="多",K290&gt;L290),AND(F290="空",K290&lt;L290)),ABS(M290-K290)/ABS(K290-L290),"止损方向不对"),"")</f>
        <v/>
      </c>
      <c r="O290" s="34" t="str">
        <f>IF(AND(ISNUMBER(K290),ISNUMBER(L290)),IF(K290=L290,"",IF(INT(ROUND('参数'!$C$7/(ABS(K290-L290)*1+2*K290*'参数'!$C$12)/IF(N(J290)&gt;0,J290,1),6))*IF(N(J290)&gt;0,J290,1)&gt;0,INT(ROUND('参数'!$C$7/(ABS(K290-L290)*1+2*K290*'参数'!$C$12)/IF(N(J290)&gt;0,J290,1),6))*IF(N(J290)&gt;0,J290,1),"预算不足，这笔不做")),"")</f>
        <v/>
      </c>
      <c r="P290" s="35" t="n"/>
      <c r="Q290" s="20" t="str">
        <f>IF(AND(ISNUMBER(K290),ISNUMBER(L290),ISNUMBER(P290)),IF(AND(K290&lt;&gt;L290,P290&gt;0),ABS(K290-L290)*P290*1,""),"")</f>
        <v/>
      </c>
      <c r="R290" s="20" t="str">
        <f>IF(AND(ISNUMBER(K290),ISNUMBER(P290)),K290*P290,"")</f>
        <v/>
      </c>
      <c r="S290" s="20" t="str">
        <f>IF(AND(D290="合约",ISNUMBER(R290),N(G290)&gt;0),R290/G290,"")</f>
        <v/>
      </c>
      <c r="T290" s="36" t="str">
        <f>IF(NOT(D290="合约"),"",IF(H290&lt;&gt;"逐仓","看平台",IF(AND(ISNUMBER(K290),N(G290)&gt;0),IF(F290="空",K290*(1+1/G290-IF(ISNUMBER(I290),I290,'参数'!$C$13)),K290*(1-1/G290+IF(ISNUMBER(I290),I290,'参数'!$C$13))),"")))</f>
        <v/>
      </c>
      <c r="U290" s="37" t="str">
        <f>IF(AND(ISNUMBER(T290),ISNUMBER(L290),ISNUMBER(K290)),IF(F290="空",T290-L290,L290-T290)/K290,"")</f>
        <v/>
      </c>
      <c r="V290" s="38" t="str">
        <f>IF(ISNUMBER(U290),IF(U290&lt;'参数'!$C$15,"先降杠杆或减量","在止损外"),"")</f>
        <v/>
      </c>
      <c r="W290" s="30" t="n"/>
      <c r="X290" s="31" t="n"/>
      <c r="Y290" s="39" t="str">
        <f>IF(N(AB290)&gt;0,SUMPRODUCT(LARGE(('成交明细'!$A$5:$A$804=A290)*('成交明细'!$D$5:$D$804=IF(F290="空","卖","买"))*'成交明细'!$B$5:$B$804,COUNTIFS('成交明细'!$A$5:$A$804,A290,'成交明细'!$D$5:$D$804,IF(F290="空","卖","买")))),"")</f>
        <v/>
      </c>
      <c r="Z290" s="39" t="str">
        <f>IF(AND(N(AB290)&gt;0,N(AD290)&gt;=N(AB290)),SUMPRODUCT(MAX(('成交明细'!$A$5:$A$804=A290)*('成交明细'!$D$5:$D$804=IF(F290="空","买","卖"))*'成交明细'!$B$5:$B$804)),"")</f>
        <v/>
      </c>
      <c r="AA290" s="40" t="str">
        <f>IF(N(AB290)=0,"",IF(SUMPRODUCT(('成交明细'!$A$5:$A$804=A290)*('成交明细'!$D$5:$D$804=IF(F290="空","卖","买"))*ISNUMBER('成交明细'!$C$5:$C$804))=0,"没填时间",IFERROR(VLOOKUP(MOD(SUMPRODUCT(LARGE(('成交明细'!$A$5:$A$804=A290)*('成交明细'!$D$5:$D$804=IF(F290="空","卖","买"))*('成交明细'!$B$5:$B$804+'成交明细'!$C$5:$C$804),COUNTIFS('成交明细'!$A$5:$A$804,A290,'成交明细'!$D$5:$D$804,IF(F290="空","卖","买")))),1),'参数'!$B$39:$C$48,2,TRUE),"")))</f>
        <v/>
      </c>
      <c r="AB290" s="34" t="str">
        <f>IF(A290="","",SUMIFS('成交明细'!$F$5:$F$804,'成交明细'!$A$5:$A$804,A290,'成交明细'!$D$5:$D$804,IF(F290="空","卖","买")))</f>
        <v/>
      </c>
      <c r="AC290" s="41" t="str">
        <f>IF(N(AB290)&gt;0,SUMIFS('成交明细'!$H$5:$H$804,'成交明细'!$A$5:$A$804,A290,'成交明细'!$D$5:$D$804,IF(F290="空","卖","买"))/AB290,"")</f>
        <v/>
      </c>
      <c r="AD290" s="34" t="str">
        <f>IF(A290="","",SUMIFS('成交明细'!$F$5:$F$804,'成交明细'!$A$5:$A$804,A290,'成交明细'!$D$5:$D$804,IF(F290="空","买","卖")))</f>
        <v/>
      </c>
      <c r="AE290" s="41" t="str">
        <f>IF(N(AD290)&gt;0,SUMIFS('成交明细'!$H$5:$H$804,'成交明细'!$A$5:$A$804,A290,'成交明细'!$D$5:$D$804,IF(F290="空","买","卖"))/AD290,"")</f>
        <v/>
      </c>
      <c r="AF290" s="38" t="str">
        <f>IF(A290="","",IF(X290&lt;&gt;"已执行",IF(X290="","未填执行情况",X290),IF(N(AB290)=0,"待录成交",IF(N(AD290)&gt;N(AB290),"平仓多于开仓",IF(N(AD290)&lt;N(AB290),"持仓中","已平仓")))))</f>
        <v/>
      </c>
      <c r="AG290" s="42" t="str">
        <f>IF(N(AB290)=0,"",SUMIFS('成交明细'!$L$5:$L$804,'成交明细'!$A$5:$A$804,A290))</f>
        <v/>
      </c>
      <c r="AH290" s="43" t="str">
        <f>IF(A290="","",SUMIFS('资金费流水'!$F$5:$F$604,'资金费流水'!$B$5:$B$604,A290))</f>
        <v/>
      </c>
      <c r="AI290" s="43" t="str">
        <f>IF(AF290&lt;&gt;"已平仓","",(SUMIFS('成交明细'!$H$5:$H$804,'成交明细'!$A$5:$A$804,A290,'成交明细'!$D$5:$D$804,"卖")-SUMIFS('成交明细'!$H$5:$H$804,'成交明细'!$A$5:$A$804,A290,'成交明细'!$D$5:$D$804,"买"))*1-AG290+N(AH290))</f>
        <v/>
      </c>
      <c r="AJ290" s="44" t="str">
        <f>IF(AND(AF290="已平仓",ISNUMBER(Q290)),(SUMIFS('成交明细'!$H$5:$H$804,'成交明细'!$A$5:$A$804,A290,'成交明细'!$D$5:$D$804,"卖")-SUMIFS('成交明细'!$H$5:$H$804,'成交明细'!$A$5:$A$804,A290,'成交明细'!$D$5:$D$804,"买"))*1/Q290,"")</f>
        <v/>
      </c>
      <c r="AK290" s="44" t="str">
        <f>IF(AND(AF290="已平仓",ISNUMBER(Q290)),AI290/Q290,"")</f>
        <v/>
      </c>
      <c r="AL290" s="45" t="str">
        <f>IF(AND(ISNUMBER(AC290),ISNUMBER(K290)),IF(F290="空",K290-AC290,AC290-K290),"")</f>
        <v/>
      </c>
      <c r="AM290" s="45" t="str">
        <f>IF(OR(NOT(ISNUMBER(AI290)),NOT(ISNUMBER(AE290))),"",IF(AI290&lt;0,IF(F290="空",AE290-L290,L290-AE290),IF(NOT(ISNUMBER(M290)),"",IF(F290="空",AE290-M290,M290-AE290))))</f>
        <v/>
      </c>
      <c r="AN290" s="31" t="n"/>
      <c r="AO290" s="31" t="n"/>
      <c r="AP290" s="30" t="n"/>
      <c r="AQ290" s="44" t="str">
        <f>IF(A290="","",SUM(AK$5:AK290))</f>
        <v/>
      </c>
      <c r="AR290" s="46" t="str">
        <f>IF(A290="","",MAX(0,MAX(AQ$5:AQ290))-AQ290)</f>
        <v/>
      </c>
    </row>
    <row r="291">
      <c r="A291" s="24" t="n"/>
      <c r="B291" s="29" t="n"/>
      <c r="C291" s="30" t="n"/>
      <c r="D291" s="31" t="n"/>
      <c r="E291" s="31" t="n"/>
      <c r="F291" s="31" t="n"/>
      <c r="G291" s="21" t="n"/>
      <c r="H291" s="31" t="n"/>
      <c r="I291" s="23" t="n"/>
      <c r="J291" s="31" t="n"/>
      <c r="K291" s="32" t="n"/>
      <c r="L291" s="32" t="n"/>
      <c r="M291" s="32" t="n"/>
      <c r="N291" s="33" t="str">
        <f>IF(AND(ISNUMBER(K291),ISNUMBER(L291),ISNUMBER(M291)),IF(OR(AND(F291="多",K291&gt;L291),AND(F291="空",K291&lt;L291)),ABS(M291-K291)/ABS(K291-L291),"止损方向不对"),"")</f>
        <v/>
      </c>
      <c r="O291" s="34" t="str">
        <f>IF(AND(ISNUMBER(K291),ISNUMBER(L291)),IF(K291=L291,"",IF(INT(ROUND('参数'!$C$7/(ABS(K291-L291)*1+2*K291*'参数'!$C$12)/IF(N(J291)&gt;0,J291,1),6))*IF(N(J291)&gt;0,J291,1)&gt;0,INT(ROUND('参数'!$C$7/(ABS(K291-L291)*1+2*K291*'参数'!$C$12)/IF(N(J291)&gt;0,J291,1),6))*IF(N(J291)&gt;0,J291,1),"预算不足，这笔不做")),"")</f>
        <v/>
      </c>
      <c r="P291" s="35" t="n"/>
      <c r="Q291" s="20" t="str">
        <f>IF(AND(ISNUMBER(K291),ISNUMBER(L291),ISNUMBER(P291)),IF(AND(K291&lt;&gt;L291,P291&gt;0),ABS(K291-L291)*P291*1,""),"")</f>
        <v/>
      </c>
      <c r="R291" s="20" t="str">
        <f>IF(AND(ISNUMBER(K291),ISNUMBER(P291)),K291*P291,"")</f>
        <v/>
      </c>
      <c r="S291" s="20" t="str">
        <f>IF(AND(D291="合约",ISNUMBER(R291),N(G291)&gt;0),R291/G291,"")</f>
        <v/>
      </c>
      <c r="T291" s="36" t="str">
        <f>IF(NOT(D291="合约"),"",IF(H291&lt;&gt;"逐仓","看平台",IF(AND(ISNUMBER(K291),N(G291)&gt;0),IF(F291="空",K291*(1+1/G291-IF(ISNUMBER(I291),I291,'参数'!$C$13)),K291*(1-1/G291+IF(ISNUMBER(I291),I291,'参数'!$C$13))),"")))</f>
        <v/>
      </c>
      <c r="U291" s="37" t="str">
        <f>IF(AND(ISNUMBER(T291),ISNUMBER(L291),ISNUMBER(K291)),IF(F291="空",T291-L291,L291-T291)/K291,"")</f>
        <v/>
      </c>
      <c r="V291" s="38" t="str">
        <f>IF(ISNUMBER(U291),IF(U291&lt;'参数'!$C$15,"先降杠杆或减量","在止损外"),"")</f>
        <v/>
      </c>
      <c r="W291" s="30" t="n"/>
      <c r="X291" s="31" t="n"/>
      <c r="Y291" s="39" t="str">
        <f>IF(N(AB291)&gt;0,SUMPRODUCT(LARGE(('成交明细'!$A$5:$A$804=A291)*('成交明细'!$D$5:$D$804=IF(F291="空","卖","买"))*'成交明细'!$B$5:$B$804,COUNTIFS('成交明细'!$A$5:$A$804,A291,'成交明细'!$D$5:$D$804,IF(F291="空","卖","买")))),"")</f>
        <v/>
      </c>
      <c r="Z291" s="39" t="str">
        <f>IF(AND(N(AB291)&gt;0,N(AD291)&gt;=N(AB291)),SUMPRODUCT(MAX(('成交明细'!$A$5:$A$804=A291)*('成交明细'!$D$5:$D$804=IF(F291="空","买","卖"))*'成交明细'!$B$5:$B$804)),"")</f>
        <v/>
      </c>
      <c r="AA291" s="40" t="str">
        <f>IF(N(AB291)=0,"",IF(SUMPRODUCT(('成交明细'!$A$5:$A$804=A291)*('成交明细'!$D$5:$D$804=IF(F291="空","卖","买"))*ISNUMBER('成交明细'!$C$5:$C$804))=0,"没填时间",IFERROR(VLOOKUP(MOD(SUMPRODUCT(LARGE(('成交明细'!$A$5:$A$804=A291)*('成交明细'!$D$5:$D$804=IF(F291="空","卖","买"))*('成交明细'!$B$5:$B$804+'成交明细'!$C$5:$C$804),COUNTIFS('成交明细'!$A$5:$A$804,A291,'成交明细'!$D$5:$D$804,IF(F291="空","卖","买")))),1),'参数'!$B$39:$C$48,2,TRUE),"")))</f>
        <v/>
      </c>
      <c r="AB291" s="34" t="str">
        <f>IF(A291="","",SUMIFS('成交明细'!$F$5:$F$804,'成交明细'!$A$5:$A$804,A291,'成交明细'!$D$5:$D$804,IF(F291="空","卖","买")))</f>
        <v/>
      </c>
      <c r="AC291" s="41" t="str">
        <f>IF(N(AB291)&gt;0,SUMIFS('成交明细'!$H$5:$H$804,'成交明细'!$A$5:$A$804,A291,'成交明细'!$D$5:$D$804,IF(F291="空","卖","买"))/AB291,"")</f>
        <v/>
      </c>
      <c r="AD291" s="34" t="str">
        <f>IF(A291="","",SUMIFS('成交明细'!$F$5:$F$804,'成交明细'!$A$5:$A$804,A291,'成交明细'!$D$5:$D$804,IF(F291="空","买","卖")))</f>
        <v/>
      </c>
      <c r="AE291" s="41" t="str">
        <f>IF(N(AD291)&gt;0,SUMIFS('成交明细'!$H$5:$H$804,'成交明细'!$A$5:$A$804,A291,'成交明细'!$D$5:$D$804,IF(F291="空","买","卖"))/AD291,"")</f>
        <v/>
      </c>
      <c r="AF291" s="38" t="str">
        <f>IF(A291="","",IF(X291&lt;&gt;"已执行",IF(X291="","未填执行情况",X291),IF(N(AB291)=0,"待录成交",IF(N(AD291)&gt;N(AB291),"平仓多于开仓",IF(N(AD291)&lt;N(AB291),"持仓中","已平仓")))))</f>
        <v/>
      </c>
      <c r="AG291" s="42" t="str">
        <f>IF(N(AB291)=0,"",SUMIFS('成交明细'!$L$5:$L$804,'成交明细'!$A$5:$A$804,A291))</f>
        <v/>
      </c>
      <c r="AH291" s="43" t="str">
        <f>IF(A291="","",SUMIFS('资金费流水'!$F$5:$F$604,'资金费流水'!$B$5:$B$604,A291))</f>
        <v/>
      </c>
      <c r="AI291" s="43" t="str">
        <f>IF(AF291&lt;&gt;"已平仓","",(SUMIFS('成交明细'!$H$5:$H$804,'成交明细'!$A$5:$A$804,A291,'成交明细'!$D$5:$D$804,"卖")-SUMIFS('成交明细'!$H$5:$H$804,'成交明细'!$A$5:$A$804,A291,'成交明细'!$D$5:$D$804,"买"))*1-AG291+N(AH291))</f>
        <v/>
      </c>
      <c r="AJ291" s="44" t="str">
        <f>IF(AND(AF291="已平仓",ISNUMBER(Q291)),(SUMIFS('成交明细'!$H$5:$H$804,'成交明细'!$A$5:$A$804,A291,'成交明细'!$D$5:$D$804,"卖")-SUMIFS('成交明细'!$H$5:$H$804,'成交明细'!$A$5:$A$804,A291,'成交明细'!$D$5:$D$804,"买"))*1/Q291,"")</f>
        <v/>
      </c>
      <c r="AK291" s="44" t="str">
        <f>IF(AND(AF291="已平仓",ISNUMBER(Q291)),AI291/Q291,"")</f>
        <v/>
      </c>
      <c r="AL291" s="45" t="str">
        <f>IF(AND(ISNUMBER(AC291),ISNUMBER(K291)),IF(F291="空",K291-AC291,AC291-K291),"")</f>
        <v/>
      </c>
      <c r="AM291" s="45" t="str">
        <f>IF(OR(NOT(ISNUMBER(AI291)),NOT(ISNUMBER(AE291))),"",IF(AI291&lt;0,IF(F291="空",AE291-L291,L291-AE291),IF(NOT(ISNUMBER(M291)),"",IF(F291="空",AE291-M291,M291-AE291))))</f>
        <v/>
      </c>
      <c r="AN291" s="31" t="n"/>
      <c r="AO291" s="31" t="n"/>
      <c r="AP291" s="30" t="n"/>
      <c r="AQ291" s="44" t="str">
        <f>IF(A291="","",SUM(AK$5:AK291))</f>
        <v/>
      </c>
      <c r="AR291" s="46" t="str">
        <f>IF(A291="","",MAX(0,MAX(AQ$5:AQ291))-AQ291)</f>
        <v/>
      </c>
    </row>
    <row r="292">
      <c r="A292" s="24" t="n"/>
      <c r="B292" s="29" t="n"/>
      <c r="C292" s="30" t="n"/>
      <c r="D292" s="31" t="n"/>
      <c r="E292" s="31" t="n"/>
      <c r="F292" s="31" t="n"/>
      <c r="G292" s="21" t="n"/>
      <c r="H292" s="31" t="n"/>
      <c r="I292" s="23" t="n"/>
      <c r="J292" s="31" t="n"/>
      <c r="K292" s="32" t="n"/>
      <c r="L292" s="32" t="n"/>
      <c r="M292" s="32" t="n"/>
      <c r="N292" s="33" t="str">
        <f>IF(AND(ISNUMBER(K292),ISNUMBER(L292),ISNUMBER(M292)),IF(OR(AND(F292="多",K292&gt;L292),AND(F292="空",K292&lt;L292)),ABS(M292-K292)/ABS(K292-L292),"止损方向不对"),"")</f>
        <v/>
      </c>
      <c r="O292" s="34" t="str">
        <f>IF(AND(ISNUMBER(K292),ISNUMBER(L292)),IF(K292=L292,"",IF(INT(ROUND('参数'!$C$7/(ABS(K292-L292)*1+2*K292*'参数'!$C$12)/IF(N(J292)&gt;0,J292,1),6))*IF(N(J292)&gt;0,J292,1)&gt;0,INT(ROUND('参数'!$C$7/(ABS(K292-L292)*1+2*K292*'参数'!$C$12)/IF(N(J292)&gt;0,J292,1),6))*IF(N(J292)&gt;0,J292,1),"预算不足，这笔不做")),"")</f>
        <v/>
      </c>
      <c r="P292" s="35" t="n"/>
      <c r="Q292" s="20" t="str">
        <f>IF(AND(ISNUMBER(K292),ISNUMBER(L292),ISNUMBER(P292)),IF(AND(K292&lt;&gt;L292,P292&gt;0),ABS(K292-L292)*P292*1,""),"")</f>
        <v/>
      </c>
      <c r="R292" s="20" t="str">
        <f>IF(AND(ISNUMBER(K292),ISNUMBER(P292)),K292*P292,"")</f>
        <v/>
      </c>
      <c r="S292" s="20" t="str">
        <f>IF(AND(D292="合约",ISNUMBER(R292),N(G292)&gt;0),R292/G292,"")</f>
        <v/>
      </c>
      <c r="T292" s="36" t="str">
        <f>IF(NOT(D292="合约"),"",IF(H292&lt;&gt;"逐仓","看平台",IF(AND(ISNUMBER(K292),N(G292)&gt;0),IF(F292="空",K292*(1+1/G292-IF(ISNUMBER(I292),I292,'参数'!$C$13)),K292*(1-1/G292+IF(ISNUMBER(I292),I292,'参数'!$C$13))),"")))</f>
        <v/>
      </c>
      <c r="U292" s="37" t="str">
        <f>IF(AND(ISNUMBER(T292),ISNUMBER(L292),ISNUMBER(K292)),IF(F292="空",T292-L292,L292-T292)/K292,"")</f>
        <v/>
      </c>
      <c r="V292" s="38" t="str">
        <f>IF(ISNUMBER(U292),IF(U292&lt;'参数'!$C$15,"先降杠杆或减量","在止损外"),"")</f>
        <v/>
      </c>
      <c r="W292" s="30" t="n"/>
      <c r="X292" s="31" t="n"/>
      <c r="Y292" s="39" t="str">
        <f>IF(N(AB292)&gt;0,SUMPRODUCT(LARGE(('成交明细'!$A$5:$A$804=A292)*('成交明细'!$D$5:$D$804=IF(F292="空","卖","买"))*'成交明细'!$B$5:$B$804,COUNTIFS('成交明细'!$A$5:$A$804,A292,'成交明细'!$D$5:$D$804,IF(F292="空","卖","买")))),"")</f>
        <v/>
      </c>
      <c r="Z292" s="39" t="str">
        <f>IF(AND(N(AB292)&gt;0,N(AD292)&gt;=N(AB292)),SUMPRODUCT(MAX(('成交明细'!$A$5:$A$804=A292)*('成交明细'!$D$5:$D$804=IF(F292="空","买","卖"))*'成交明细'!$B$5:$B$804)),"")</f>
        <v/>
      </c>
      <c r="AA292" s="40" t="str">
        <f>IF(N(AB292)=0,"",IF(SUMPRODUCT(('成交明细'!$A$5:$A$804=A292)*('成交明细'!$D$5:$D$804=IF(F292="空","卖","买"))*ISNUMBER('成交明细'!$C$5:$C$804))=0,"没填时间",IFERROR(VLOOKUP(MOD(SUMPRODUCT(LARGE(('成交明细'!$A$5:$A$804=A292)*('成交明细'!$D$5:$D$804=IF(F292="空","卖","买"))*('成交明细'!$B$5:$B$804+'成交明细'!$C$5:$C$804),COUNTIFS('成交明细'!$A$5:$A$804,A292,'成交明细'!$D$5:$D$804,IF(F292="空","卖","买")))),1),'参数'!$B$39:$C$48,2,TRUE),"")))</f>
        <v/>
      </c>
      <c r="AB292" s="34" t="str">
        <f>IF(A292="","",SUMIFS('成交明细'!$F$5:$F$804,'成交明细'!$A$5:$A$804,A292,'成交明细'!$D$5:$D$804,IF(F292="空","卖","买")))</f>
        <v/>
      </c>
      <c r="AC292" s="41" t="str">
        <f>IF(N(AB292)&gt;0,SUMIFS('成交明细'!$H$5:$H$804,'成交明细'!$A$5:$A$804,A292,'成交明细'!$D$5:$D$804,IF(F292="空","卖","买"))/AB292,"")</f>
        <v/>
      </c>
      <c r="AD292" s="34" t="str">
        <f>IF(A292="","",SUMIFS('成交明细'!$F$5:$F$804,'成交明细'!$A$5:$A$804,A292,'成交明细'!$D$5:$D$804,IF(F292="空","买","卖")))</f>
        <v/>
      </c>
      <c r="AE292" s="41" t="str">
        <f>IF(N(AD292)&gt;0,SUMIFS('成交明细'!$H$5:$H$804,'成交明细'!$A$5:$A$804,A292,'成交明细'!$D$5:$D$804,IF(F292="空","买","卖"))/AD292,"")</f>
        <v/>
      </c>
      <c r="AF292" s="38" t="str">
        <f>IF(A292="","",IF(X292&lt;&gt;"已执行",IF(X292="","未填执行情况",X292),IF(N(AB292)=0,"待录成交",IF(N(AD292)&gt;N(AB292),"平仓多于开仓",IF(N(AD292)&lt;N(AB292),"持仓中","已平仓")))))</f>
        <v/>
      </c>
      <c r="AG292" s="42" t="str">
        <f>IF(N(AB292)=0,"",SUMIFS('成交明细'!$L$5:$L$804,'成交明细'!$A$5:$A$804,A292))</f>
        <v/>
      </c>
      <c r="AH292" s="43" t="str">
        <f>IF(A292="","",SUMIFS('资金费流水'!$F$5:$F$604,'资金费流水'!$B$5:$B$604,A292))</f>
        <v/>
      </c>
      <c r="AI292" s="43" t="str">
        <f>IF(AF292&lt;&gt;"已平仓","",(SUMIFS('成交明细'!$H$5:$H$804,'成交明细'!$A$5:$A$804,A292,'成交明细'!$D$5:$D$804,"卖")-SUMIFS('成交明细'!$H$5:$H$804,'成交明细'!$A$5:$A$804,A292,'成交明细'!$D$5:$D$804,"买"))*1-AG292+N(AH292))</f>
        <v/>
      </c>
      <c r="AJ292" s="44" t="str">
        <f>IF(AND(AF292="已平仓",ISNUMBER(Q292)),(SUMIFS('成交明细'!$H$5:$H$804,'成交明细'!$A$5:$A$804,A292,'成交明细'!$D$5:$D$804,"卖")-SUMIFS('成交明细'!$H$5:$H$804,'成交明细'!$A$5:$A$804,A292,'成交明细'!$D$5:$D$804,"买"))*1/Q292,"")</f>
        <v/>
      </c>
      <c r="AK292" s="44" t="str">
        <f>IF(AND(AF292="已平仓",ISNUMBER(Q292)),AI292/Q292,"")</f>
        <v/>
      </c>
      <c r="AL292" s="45" t="str">
        <f>IF(AND(ISNUMBER(AC292),ISNUMBER(K292)),IF(F292="空",K292-AC292,AC292-K292),"")</f>
        <v/>
      </c>
      <c r="AM292" s="45" t="str">
        <f>IF(OR(NOT(ISNUMBER(AI292)),NOT(ISNUMBER(AE292))),"",IF(AI292&lt;0,IF(F292="空",AE292-L292,L292-AE292),IF(NOT(ISNUMBER(M292)),"",IF(F292="空",AE292-M292,M292-AE292))))</f>
        <v/>
      </c>
      <c r="AN292" s="31" t="n"/>
      <c r="AO292" s="31" t="n"/>
      <c r="AP292" s="30" t="n"/>
      <c r="AQ292" s="44" t="str">
        <f>IF(A292="","",SUM(AK$5:AK292))</f>
        <v/>
      </c>
      <c r="AR292" s="46" t="str">
        <f>IF(A292="","",MAX(0,MAX(AQ$5:AQ292))-AQ292)</f>
        <v/>
      </c>
    </row>
    <row r="293">
      <c r="A293" s="24" t="n"/>
      <c r="B293" s="29" t="n"/>
      <c r="C293" s="30" t="n"/>
      <c r="D293" s="31" t="n"/>
      <c r="E293" s="31" t="n"/>
      <c r="F293" s="31" t="n"/>
      <c r="G293" s="21" t="n"/>
      <c r="H293" s="31" t="n"/>
      <c r="I293" s="23" t="n"/>
      <c r="J293" s="31" t="n"/>
      <c r="K293" s="32" t="n"/>
      <c r="L293" s="32" t="n"/>
      <c r="M293" s="32" t="n"/>
      <c r="N293" s="33" t="str">
        <f>IF(AND(ISNUMBER(K293),ISNUMBER(L293),ISNUMBER(M293)),IF(OR(AND(F293="多",K293&gt;L293),AND(F293="空",K293&lt;L293)),ABS(M293-K293)/ABS(K293-L293),"止损方向不对"),"")</f>
        <v/>
      </c>
      <c r="O293" s="34" t="str">
        <f>IF(AND(ISNUMBER(K293),ISNUMBER(L293)),IF(K293=L293,"",IF(INT(ROUND('参数'!$C$7/(ABS(K293-L293)*1+2*K293*'参数'!$C$12)/IF(N(J293)&gt;0,J293,1),6))*IF(N(J293)&gt;0,J293,1)&gt;0,INT(ROUND('参数'!$C$7/(ABS(K293-L293)*1+2*K293*'参数'!$C$12)/IF(N(J293)&gt;0,J293,1),6))*IF(N(J293)&gt;0,J293,1),"预算不足，这笔不做")),"")</f>
        <v/>
      </c>
      <c r="P293" s="35" t="n"/>
      <c r="Q293" s="20" t="str">
        <f>IF(AND(ISNUMBER(K293),ISNUMBER(L293),ISNUMBER(P293)),IF(AND(K293&lt;&gt;L293,P293&gt;0),ABS(K293-L293)*P293*1,""),"")</f>
        <v/>
      </c>
      <c r="R293" s="20" t="str">
        <f>IF(AND(ISNUMBER(K293),ISNUMBER(P293)),K293*P293,"")</f>
        <v/>
      </c>
      <c r="S293" s="20" t="str">
        <f>IF(AND(D293="合约",ISNUMBER(R293),N(G293)&gt;0),R293/G293,"")</f>
        <v/>
      </c>
      <c r="T293" s="36" t="str">
        <f>IF(NOT(D293="合约"),"",IF(H293&lt;&gt;"逐仓","看平台",IF(AND(ISNUMBER(K293),N(G293)&gt;0),IF(F293="空",K293*(1+1/G293-IF(ISNUMBER(I293),I293,'参数'!$C$13)),K293*(1-1/G293+IF(ISNUMBER(I293),I293,'参数'!$C$13))),"")))</f>
        <v/>
      </c>
      <c r="U293" s="37" t="str">
        <f>IF(AND(ISNUMBER(T293),ISNUMBER(L293),ISNUMBER(K293)),IF(F293="空",T293-L293,L293-T293)/K293,"")</f>
        <v/>
      </c>
      <c r="V293" s="38" t="str">
        <f>IF(ISNUMBER(U293),IF(U293&lt;'参数'!$C$15,"先降杠杆或减量","在止损外"),"")</f>
        <v/>
      </c>
      <c r="W293" s="30" t="n"/>
      <c r="X293" s="31" t="n"/>
      <c r="Y293" s="39" t="str">
        <f>IF(N(AB293)&gt;0,SUMPRODUCT(LARGE(('成交明细'!$A$5:$A$804=A293)*('成交明细'!$D$5:$D$804=IF(F293="空","卖","买"))*'成交明细'!$B$5:$B$804,COUNTIFS('成交明细'!$A$5:$A$804,A293,'成交明细'!$D$5:$D$804,IF(F293="空","卖","买")))),"")</f>
        <v/>
      </c>
      <c r="Z293" s="39" t="str">
        <f>IF(AND(N(AB293)&gt;0,N(AD293)&gt;=N(AB293)),SUMPRODUCT(MAX(('成交明细'!$A$5:$A$804=A293)*('成交明细'!$D$5:$D$804=IF(F293="空","买","卖"))*'成交明细'!$B$5:$B$804)),"")</f>
        <v/>
      </c>
      <c r="AA293" s="40" t="str">
        <f>IF(N(AB293)=0,"",IF(SUMPRODUCT(('成交明细'!$A$5:$A$804=A293)*('成交明细'!$D$5:$D$804=IF(F293="空","卖","买"))*ISNUMBER('成交明细'!$C$5:$C$804))=0,"没填时间",IFERROR(VLOOKUP(MOD(SUMPRODUCT(LARGE(('成交明细'!$A$5:$A$804=A293)*('成交明细'!$D$5:$D$804=IF(F293="空","卖","买"))*('成交明细'!$B$5:$B$804+'成交明细'!$C$5:$C$804),COUNTIFS('成交明细'!$A$5:$A$804,A293,'成交明细'!$D$5:$D$804,IF(F293="空","卖","买")))),1),'参数'!$B$39:$C$48,2,TRUE),"")))</f>
        <v/>
      </c>
      <c r="AB293" s="34" t="str">
        <f>IF(A293="","",SUMIFS('成交明细'!$F$5:$F$804,'成交明细'!$A$5:$A$804,A293,'成交明细'!$D$5:$D$804,IF(F293="空","卖","买")))</f>
        <v/>
      </c>
      <c r="AC293" s="41" t="str">
        <f>IF(N(AB293)&gt;0,SUMIFS('成交明细'!$H$5:$H$804,'成交明细'!$A$5:$A$804,A293,'成交明细'!$D$5:$D$804,IF(F293="空","卖","买"))/AB293,"")</f>
        <v/>
      </c>
      <c r="AD293" s="34" t="str">
        <f>IF(A293="","",SUMIFS('成交明细'!$F$5:$F$804,'成交明细'!$A$5:$A$804,A293,'成交明细'!$D$5:$D$804,IF(F293="空","买","卖")))</f>
        <v/>
      </c>
      <c r="AE293" s="41" t="str">
        <f>IF(N(AD293)&gt;0,SUMIFS('成交明细'!$H$5:$H$804,'成交明细'!$A$5:$A$804,A293,'成交明细'!$D$5:$D$804,IF(F293="空","买","卖"))/AD293,"")</f>
        <v/>
      </c>
      <c r="AF293" s="38" t="str">
        <f>IF(A293="","",IF(X293&lt;&gt;"已执行",IF(X293="","未填执行情况",X293),IF(N(AB293)=0,"待录成交",IF(N(AD293)&gt;N(AB293),"平仓多于开仓",IF(N(AD293)&lt;N(AB293),"持仓中","已平仓")))))</f>
        <v/>
      </c>
      <c r="AG293" s="42" t="str">
        <f>IF(N(AB293)=0,"",SUMIFS('成交明细'!$L$5:$L$804,'成交明细'!$A$5:$A$804,A293))</f>
        <v/>
      </c>
      <c r="AH293" s="43" t="str">
        <f>IF(A293="","",SUMIFS('资金费流水'!$F$5:$F$604,'资金费流水'!$B$5:$B$604,A293))</f>
        <v/>
      </c>
      <c r="AI293" s="43" t="str">
        <f>IF(AF293&lt;&gt;"已平仓","",(SUMIFS('成交明细'!$H$5:$H$804,'成交明细'!$A$5:$A$804,A293,'成交明细'!$D$5:$D$804,"卖")-SUMIFS('成交明细'!$H$5:$H$804,'成交明细'!$A$5:$A$804,A293,'成交明细'!$D$5:$D$804,"买"))*1-AG293+N(AH293))</f>
        <v/>
      </c>
      <c r="AJ293" s="44" t="str">
        <f>IF(AND(AF293="已平仓",ISNUMBER(Q293)),(SUMIFS('成交明细'!$H$5:$H$804,'成交明细'!$A$5:$A$804,A293,'成交明细'!$D$5:$D$804,"卖")-SUMIFS('成交明细'!$H$5:$H$804,'成交明细'!$A$5:$A$804,A293,'成交明细'!$D$5:$D$804,"买"))*1/Q293,"")</f>
        <v/>
      </c>
      <c r="AK293" s="44" t="str">
        <f>IF(AND(AF293="已平仓",ISNUMBER(Q293)),AI293/Q293,"")</f>
        <v/>
      </c>
      <c r="AL293" s="45" t="str">
        <f>IF(AND(ISNUMBER(AC293),ISNUMBER(K293)),IF(F293="空",K293-AC293,AC293-K293),"")</f>
        <v/>
      </c>
      <c r="AM293" s="45" t="str">
        <f>IF(OR(NOT(ISNUMBER(AI293)),NOT(ISNUMBER(AE293))),"",IF(AI293&lt;0,IF(F293="空",AE293-L293,L293-AE293),IF(NOT(ISNUMBER(M293)),"",IF(F293="空",AE293-M293,M293-AE293))))</f>
        <v/>
      </c>
      <c r="AN293" s="31" t="n"/>
      <c r="AO293" s="31" t="n"/>
      <c r="AP293" s="30" t="n"/>
      <c r="AQ293" s="44" t="str">
        <f>IF(A293="","",SUM(AK$5:AK293))</f>
        <v/>
      </c>
      <c r="AR293" s="46" t="str">
        <f>IF(A293="","",MAX(0,MAX(AQ$5:AQ293))-AQ293)</f>
        <v/>
      </c>
    </row>
    <row r="294">
      <c r="A294" s="24" t="n"/>
      <c r="B294" s="29" t="n"/>
      <c r="C294" s="30" t="n"/>
      <c r="D294" s="31" t="n"/>
      <c r="E294" s="31" t="n"/>
      <c r="F294" s="31" t="n"/>
      <c r="G294" s="21" t="n"/>
      <c r="H294" s="31" t="n"/>
      <c r="I294" s="23" t="n"/>
      <c r="J294" s="31" t="n"/>
      <c r="K294" s="32" t="n"/>
      <c r="L294" s="32" t="n"/>
      <c r="M294" s="32" t="n"/>
      <c r="N294" s="33" t="str">
        <f>IF(AND(ISNUMBER(K294),ISNUMBER(L294),ISNUMBER(M294)),IF(OR(AND(F294="多",K294&gt;L294),AND(F294="空",K294&lt;L294)),ABS(M294-K294)/ABS(K294-L294),"止损方向不对"),"")</f>
        <v/>
      </c>
      <c r="O294" s="34" t="str">
        <f>IF(AND(ISNUMBER(K294),ISNUMBER(L294)),IF(K294=L294,"",IF(INT(ROUND('参数'!$C$7/(ABS(K294-L294)*1+2*K294*'参数'!$C$12)/IF(N(J294)&gt;0,J294,1),6))*IF(N(J294)&gt;0,J294,1)&gt;0,INT(ROUND('参数'!$C$7/(ABS(K294-L294)*1+2*K294*'参数'!$C$12)/IF(N(J294)&gt;0,J294,1),6))*IF(N(J294)&gt;0,J294,1),"预算不足，这笔不做")),"")</f>
        <v/>
      </c>
      <c r="P294" s="35" t="n"/>
      <c r="Q294" s="20" t="str">
        <f>IF(AND(ISNUMBER(K294),ISNUMBER(L294),ISNUMBER(P294)),IF(AND(K294&lt;&gt;L294,P294&gt;0),ABS(K294-L294)*P294*1,""),"")</f>
        <v/>
      </c>
      <c r="R294" s="20" t="str">
        <f>IF(AND(ISNUMBER(K294),ISNUMBER(P294)),K294*P294,"")</f>
        <v/>
      </c>
      <c r="S294" s="20" t="str">
        <f>IF(AND(D294="合约",ISNUMBER(R294),N(G294)&gt;0),R294/G294,"")</f>
        <v/>
      </c>
      <c r="T294" s="36" t="str">
        <f>IF(NOT(D294="合约"),"",IF(H294&lt;&gt;"逐仓","看平台",IF(AND(ISNUMBER(K294),N(G294)&gt;0),IF(F294="空",K294*(1+1/G294-IF(ISNUMBER(I294),I294,'参数'!$C$13)),K294*(1-1/G294+IF(ISNUMBER(I294),I294,'参数'!$C$13))),"")))</f>
        <v/>
      </c>
      <c r="U294" s="37" t="str">
        <f>IF(AND(ISNUMBER(T294),ISNUMBER(L294),ISNUMBER(K294)),IF(F294="空",T294-L294,L294-T294)/K294,"")</f>
        <v/>
      </c>
      <c r="V294" s="38" t="str">
        <f>IF(ISNUMBER(U294),IF(U294&lt;'参数'!$C$15,"先降杠杆或减量","在止损外"),"")</f>
        <v/>
      </c>
      <c r="W294" s="30" t="n"/>
      <c r="X294" s="31" t="n"/>
      <c r="Y294" s="39" t="str">
        <f>IF(N(AB294)&gt;0,SUMPRODUCT(LARGE(('成交明细'!$A$5:$A$804=A294)*('成交明细'!$D$5:$D$804=IF(F294="空","卖","买"))*'成交明细'!$B$5:$B$804,COUNTIFS('成交明细'!$A$5:$A$804,A294,'成交明细'!$D$5:$D$804,IF(F294="空","卖","买")))),"")</f>
        <v/>
      </c>
      <c r="Z294" s="39" t="str">
        <f>IF(AND(N(AB294)&gt;0,N(AD294)&gt;=N(AB294)),SUMPRODUCT(MAX(('成交明细'!$A$5:$A$804=A294)*('成交明细'!$D$5:$D$804=IF(F294="空","买","卖"))*'成交明细'!$B$5:$B$804)),"")</f>
        <v/>
      </c>
      <c r="AA294" s="40" t="str">
        <f>IF(N(AB294)=0,"",IF(SUMPRODUCT(('成交明细'!$A$5:$A$804=A294)*('成交明细'!$D$5:$D$804=IF(F294="空","卖","买"))*ISNUMBER('成交明细'!$C$5:$C$804))=0,"没填时间",IFERROR(VLOOKUP(MOD(SUMPRODUCT(LARGE(('成交明细'!$A$5:$A$804=A294)*('成交明细'!$D$5:$D$804=IF(F294="空","卖","买"))*('成交明细'!$B$5:$B$804+'成交明细'!$C$5:$C$804),COUNTIFS('成交明细'!$A$5:$A$804,A294,'成交明细'!$D$5:$D$804,IF(F294="空","卖","买")))),1),'参数'!$B$39:$C$48,2,TRUE),"")))</f>
        <v/>
      </c>
      <c r="AB294" s="34" t="str">
        <f>IF(A294="","",SUMIFS('成交明细'!$F$5:$F$804,'成交明细'!$A$5:$A$804,A294,'成交明细'!$D$5:$D$804,IF(F294="空","卖","买")))</f>
        <v/>
      </c>
      <c r="AC294" s="41" t="str">
        <f>IF(N(AB294)&gt;0,SUMIFS('成交明细'!$H$5:$H$804,'成交明细'!$A$5:$A$804,A294,'成交明细'!$D$5:$D$804,IF(F294="空","卖","买"))/AB294,"")</f>
        <v/>
      </c>
      <c r="AD294" s="34" t="str">
        <f>IF(A294="","",SUMIFS('成交明细'!$F$5:$F$804,'成交明细'!$A$5:$A$804,A294,'成交明细'!$D$5:$D$804,IF(F294="空","买","卖")))</f>
        <v/>
      </c>
      <c r="AE294" s="41" t="str">
        <f>IF(N(AD294)&gt;0,SUMIFS('成交明细'!$H$5:$H$804,'成交明细'!$A$5:$A$804,A294,'成交明细'!$D$5:$D$804,IF(F294="空","买","卖"))/AD294,"")</f>
        <v/>
      </c>
      <c r="AF294" s="38" t="str">
        <f>IF(A294="","",IF(X294&lt;&gt;"已执行",IF(X294="","未填执行情况",X294),IF(N(AB294)=0,"待录成交",IF(N(AD294)&gt;N(AB294),"平仓多于开仓",IF(N(AD294)&lt;N(AB294),"持仓中","已平仓")))))</f>
        <v/>
      </c>
      <c r="AG294" s="42" t="str">
        <f>IF(N(AB294)=0,"",SUMIFS('成交明细'!$L$5:$L$804,'成交明细'!$A$5:$A$804,A294))</f>
        <v/>
      </c>
      <c r="AH294" s="43" t="str">
        <f>IF(A294="","",SUMIFS('资金费流水'!$F$5:$F$604,'资金费流水'!$B$5:$B$604,A294))</f>
        <v/>
      </c>
      <c r="AI294" s="43" t="str">
        <f>IF(AF294&lt;&gt;"已平仓","",(SUMIFS('成交明细'!$H$5:$H$804,'成交明细'!$A$5:$A$804,A294,'成交明细'!$D$5:$D$804,"卖")-SUMIFS('成交明细'!$H$5:$H$804,'成交明细'!$A$5:$A$804,A294,'成交明细'!$D$5:$D$804,"买"))*1-AG294+N(AH294))</f>
        <v/>
      </c>
      <c r="AJ294" s="44" t="str">
        <f>IF(AND(AF294="已平仓",ISNUMBER(Q294)),(SUMIFS('成交明细'!$H$5:$H$804,'成交明细'!$A$5:$A$804,A294,'成交明细'!$D$5:$D$804,"卖")-SUMIFS('成交明细'!$H$5:$H$804,'成交明细'!$A$5:$A$804,A294,'成交明细'!$D$5:$D$804,"买"))*1/Q294,"")</f>
        <v/>
      </c>
      <c r="AK294" s="44" t="str">
        <f>IF(AND(AF294="已平仓",ISNUMBER(Q294)),AI294/Q294,"")</f>
        <v/>
      </c>
      <c r="AL294" s="45" t="str">
        <f>IF(AND(ISNUMBER(AC294),ISNUMBER(K294)),IF(F294="空",K294-AC294,AC294-K294),"")</f>
        <v/>
      </c>
      <c r="AM294" s="45" t="str">
        <f>IF(OR(NOT(ISNUMBER(AI294)),NOT(ISNUMBER(AE294))),"",IF(AI294&lt;0,IF(F294="空",AE294-L294,L294-AE294),IF(NOT(ISNUMBER(M294)),"",IF(F294="空",AE294-M294,M294-AE294))))</f>
        <v/>
      </c>
      <c r="AN294" s="31" t="n"/>
      <c r="AO294" s="31" t="n"/>
      <c r="AP294" s="30" t="n"/>
      <c r="AQ294" s="44" t="str">
        <f>IF(A294="","",SUM(AK$5:AK294))</f>
        <v/>
      </c>
      <c r="AR294" s="46" t="str">
        <f>IF(A294="","",MAX(0,MAX(AQ$5:AQ294))-AQ294)</f>
        <v/>
      </c>
    </row>
    <row r="295">
      <c r="A295" s="24" t="n"/>
      <c r="B295" s="29" t="n"/>
      <c r="C295" s="30" t="n"/>
      <c r="D295" s="31" t="n"/>
      <c r="E295" s="31" t="n"/>
      <c r="F295" s="31" t="n"/>
      <c r="G295" s="21" t="n"/>
      <c r="H295" s="31" t="n"/>
      <c r="I295" s="23" t="n"/>
      <c r="J295" s="31" t="n"/>
      <c r="K295" s="32" t="n"/>
      <c r="L295" s="32" t="n"/>
      <c r="M295" s="32" t="n"/>
      <c r="N295" s="33" t="str">
        <f>IF(AND(ISNUMBER(K295),ISNUMBER(L295),ISNUMBER(M295)),IF(OR(AND(F295="多",K295&gt;L295),AND(F295="空",K295&lt;L295)),ABS(M295-K295)/ABS(K295-L295),"止损方向不对"),"")</f>
        <v/>
      </c>
      <c r="O295" s="34" t="str">
        <f>IF(AND(ISNUMBER(K295),ISNUMBER(L295)),IF(K295=L295,"",IF(INT(ROUND('参数'!$C$7/(ABS(K295-L295)*1+2*K295*'参数'!$C$12)/IF(N(J295)&gt;0,J295,1),6))*IF(N(J295)&gt;0,J295,1)&gt;0,INT(ROUND('参数'!$C$7/(ABS(K295-L295)*1+2*K295*'参数'!$C$12)/IF(N(J295)&gt;0,J295,1),6))*IF(N(J295)&gt;0,J295,1),"预算不足，这笔不做")),"")</f>
        <v/>
      </c>
      <c r="P295" s="35" t="n"/>
      <c r="Q295" s="20" t="str">
        <f>IF(AND(ISNUMBER(K295),ISNUMBER(L295),ISNUMBER(P295)),IF(AND(K295&lt;&gt;L295,P295&gt;0),ABS(K295-L295)*P295*1,""),"")</f>
        <v/>
      </c>
      <c r="R295" s="20" t="str">
        <f>IF(AND(ISNUMBER(K295),ISNUMBER(P295)),K295*P295,"")</f>
        <v/>
      </c>
      <c r="S295" s="20" t="str">
        <f>IF(AND(D295="合约",ISNUMBER(R295),N(G295)&gt;0),R295/G295,"")</f>
        <v/>
      </c>
      <c r="T295" s="36" t="str">
        <f>IF(NOT(D295="合约"),"",IF(H295&lt;&gt;"逐仓","看平台",IF(AND(ISNUMBER(K295),N(G295)&gt;0),IF(F295="空",K295*(1+1/G295-IF(ISNUMBER(I295),I295,'参数'!$C$13)),K295*(1-1/G295+IF(ISNUMBER(I295),I295,'参数'!$C$13))),"")))</f>
        <v/>
      </c>
      <c r="U295" s="37" t="str">
        <f>IF(AND(ISNUMBER(T295),ISNUMBER(L295),ISNUMBER(K295)),IF(F295="空",T295-L295,L295-T295)/K295,"")</f>
        <v/>
      </c>
      <c r="V295" s="38" t="str">
        <f>IF(ISNUMBER(U295),IF(U295&lt;'参数'!$C$15,"先降杠杆或减量","在止损外"),"")</f>
        <v/>
      </c>
      <c r="W295" s="30" t="n"/>
      <c r="X295" s="31" t="n"/>
      <c r="Y295" s="39" t="str">
        <f>IF(N(AB295)&gt;0,SUMPRODUCT(LARGE(('成交明细'!$A$5:$A$804=A295)*('成交明细'!$D$5:$D$804=IF(F295="空","卖","买"))*'成交明细'!$B$5:$B$804,COUNTIFS('成交明细'!$A$5:$A$804,A295,'成交明细'!$D$5:$D$804,IF(F295="空","卖","买")))),"")</f>
        <v/>
      </c>
      <c r="Z295" s="39" t="str">
        <f>IF(AND(N(AB295)&gt;0,N(AD295)&gt;=N(AB295)),SUMPRODUCT(MAX(('成交明细'!$A$5:$A$804=A295)*('成交明细'!$D$5:$D$804=IF(F295="空","买","卖"))*'成交明细'!$B$5:$B$804)),"")</f>
        <v/>
      </c>
      <c r="AA295" s="40" t="str">
        <f>IF(N(AB295)=0,"",IF(SUMPRODUCT(('成交明细'!$A$5:$A$804=A295)*('成交明细'!$D$5:$D$804=IF(F295="空","卖","买"))*ISNUMBER('成交明细'!$C$5:$C$804))=0,"没填时间",IFERROR(VLOOKUP(MOD(SUMPRODUCT(LARGE(('成交明细'!$A$5:$A$804=A295)*('成交明细'!$D$5:$D$804=IF(F295="空","卖","买"))*('成交明细'!$B$5:$B$804+'成交明细'!$C$5:$C$804),COUNTIFS('成交明细'!$A$5:$A$804,A295,'成交明细'!$D$5:$D$804,IF(F295="空","卖","买")))),1),'参数'!$B$39:$C$48,2,TRUE),"")))</f>
        <v/>
      </c>
      <c r="AB295" s="34" t="str">
        <f>IF(A295="","",SUMIFS('成交明细'!$F$5:$F$804,'成交明细'!$A$5:$A$804,A295,'成交明细'!$D$5:$D$804,IF(F295="空","卖","买")))</f>
        <v/>
      </c>
      <c r="AC295" s="41" t="str">
        <f>IF(N(AB295)&gt;0,SUMIFS('成交明细'!$H$5:$H$804,'成交明细'!$A$5:$A$804,A295,'成交明细'!$D$5:$D$804,IF(F295="空","卖","买"))/AB295,"")</f>
        <v/>
      </c>
      <c r="AD295" s="34" t="str">
        <f>IF(A295="","",SUMIFS('成交明细'!$F$5:$F$804,'成交明细'!$A$5:$A$804,A295,'成交明细'!$D$5:$D$804,IF(F295="空","买","卖")))</f>
        <v/>
      </c>
      <c r="AE295" s="41" t="str">
        <f>IF(N(AD295)&gt;0,SUMIFS('成交明细'!$H$5:$H$804,'成交明细'!$A$5:$A$804,A295,'成交明细'!$D$5:$D$804,IF(F295="空","买","卖"))/AD295,"")</f>
        <v/>
      </c>
      <c r="AF295" s="38" t="str">
        <f>IF(A295="","",IF(X295&lt;&gt;"已执行",IF(X295="","未填执行情况",X295),IF(N(AB295)=0,"待录成交",IF(N(AD295)&gt;N(AB295),"平仓多于开仓",IF(N(AD295)&lt;N(AB295),"持仓中","已平仓")))))</f>
        <v/>
      </c>
      <c r="AG295" s="42" t="str">
        <f>IF(N(AB295)=0,"",SUMIFS('成交明细'!$L$5:$L$804,'成交明细'!$A$5:$A$804,A295))</f>
        <v/>
      </c>
      <c r="AH295" s="43" t="str">
        <f>IF(A295="","",SUMIFS('资金费流水'!$F$5:$F$604,'资金费流水'!$B$5:$B$604,A295))</f>
        <v/>
      </c>
      <c r="AI295" s="43" t="str">
        <f>IF(AF295&lt;&gt;"已平仓","",(SUMIFS('成交明细'!$H$5:$H$804,'成交明细'!$A$5:$A$804,A295,'成交明细'!$D$5:$D$804,"卖")-SUMIFS('成交明细'!$H$5:$H$804,'成交明细'!$A$5:$A$804,A295,'成交明细'!$D$5:$D$804,"买"))*1-AG295+N(AH295))</f>
        <v/>
      </c>
      <c r="AJ295" s="44" t="str">
        <f>IF(AND(AF295="已平仓",ISNUMBER(Q295)),(SUMIFS('成交明细'!$H$5:$H$804,'成交明细'!$A$5:$A$804,A295,'成交明细'!$D$5:$D$804,"卖")-SUMIFS('成交明细'!$H$5:$H$804,'成交明细'!$A$5:$A$804,A295,'成交明细'!$D$5:$D$804,"买"))*1/Q295,"")</f>
        <v/>
      </c>
      <c r="AK295" s="44" t="str">
        <f>IF(AND(AF295="已平仓",ISNUMBER(Q295)),AI295/Q295,"")</f>
        <v/>
      </c>
      <c r="AL295" s="45" t="str">
        <f>IF(AND(ISNUMBER(AC295),ISNUMBER(K295)),IF(F295="空",K295-AC295,AC295-K295),"")</f>
        <v/>
      </c>
      <c r="AM295" s="45" t="str">
        <f>IF(OR(NOT(ISNUMBER(AI295)),NOT(ISNUMBER(AE295))),"",IF(AI295&lt;0,IF(F295="空",AE295-L295,L295-AE295),IF(NOT(ISNUMBER(M295)),"",IF(F295="空",AE295-M295,M295-AE295))))</f>
        <v/>
      </c>
      <c r="AN295" s="31" t="n"/>
      <c r="AO295" s="31" t="n"/>
      <c r="AP295" s="30" t="n"/>
      <c r="AQ295" s="44" t="str">
        <f>IF(A295="","",SUM(AK$5:AK295))</f>
        <v/>
      </c>
      <c r="AR295" s="46" t="str">
        <f>IF(A295="","",MAX(0,MAX(AQ$5:AQ295))-AQ295)</f>
        <v/>
      </c>
    </row>
    <row r="296">
      <c r="A296" s="24" t="n"/>
      <c r="B296" s="29" t="n"/>
      <c r="C296" s="30" t="n"/>
      <c r="D296" s="31" t="n"/>
      <c r="E296" s="31" t="n"/>
      <c r="F296" s="31" t="n"/>
      <c r="G296" s="21" t="n"/>
      <c r="H296" s="31" t="n"/>
      <c r="I296" s="23" t="n"/>
      <c r="J296" s="31" t="n"/>
      <c r="K296" s="32" t="n"/>
      <c r="L296" s="32" t="n"/>
      <c r="M296" s="32" t="n"/>
      <c r="N296" s="33" t="str">
        <f>IF(AND(ISNUMBER(K296),ISNUMBER(L296),ISNUMBER(M296)),IF(OR(AND(F296="多",K296&gt;L296),AND(F296="空",K296&lt;L296)),ABS(M296-K296)/ABS(K296-L296),"止损方向不对"),"")</f>
        <v/>
      </c>
      <c r="O296" s="34" t="str">
        <f>IF(AND(ISNUMBER(K296),ISNUMBER(L296)),IF(K296=L296,"",IF(INT(ROUND('参数'!$C$7/(ABS(K296-L296)*1+2*K296*'参数'!$C$12)/IF(N(J296)&gt;0,J296,1),6))*IF(N(J296)&gt;0,J296,1)&gt;0,INT(ROUND('参数'!$C$7/(ABS(K296-L296)*1+2*K296*'参数'!$C$12)/IF(N(J296)&gt;0,J296,1),6))*IF(N(J296)&gt;0,J296,1),"预算不足，这笔不做")),"")</f>
        <v/>
      </c>
      <c r="P296" s="35" t="n"/>
      <c r="Q296" s="20" t="str">
        <f>IF(AND(ISNUMBER(K296),ISNUMBER(L296),ISNUMBER(P296)),IF(AND(K296&lt;&gt;L296,P296&gt;0),ABS(K296-L296)*P296*1,""),"")</f>
        <v/>
      </c>
      <c r="R296" s="20" t="str">
        <f>IF(AND(ISNUMBER(K296),ISNUMBER(P296)),K296*P296,"")</f>
        <v/>
      </c>
      <c r="S296" s="20" t="str">
        <f>IF(AND(D296="合约",ISNUMBER(R296),N(G296)&gt;0),R296/G296,"")</f>
        <v/>
      </c>
      <c r="T296" s="36" t="str">
        <f>IF(NOT(D296="合约"),"",IF(H296&lt;&gt;"逐仓","看平台",IF(AND(ISNUMBER(K296),N(G296)&gt;0),IF(F296="空",K296*(1+1/G296-IF(ISNUMBER(I296),I296,'参数'!$C$13)),K296*(1-1/G296+IF(ISNUMBER(I296),I296,'参数'!$C$13))),"")))</f>
        <v/>
      </c>
      <c r="U296" s="37" t="str">
        <f>IF(AND(ISNUMBER(T296),ISNUMBER(L296),ISNUMBER(K296)),IF(F296="空",T296-L296,L296-T296)/K296,"")</f>
        <v/>
      </c>
      <c r="V296" s="38" t="str">
        <f>IF(ISNUMBER(U296),IF(U296&lt;'参数'!$C$15,"先降杠杆或减量","在止损外"),"")</f>
        <v/>
      </c>
      <c r="W296" s="30" t="n"/>
      <c r="X296" s="31" t="n"/>
      <c r="Y296" s="39" t="str">
        <f>IF(N(AB296)&gt;0,SUMPRODUCT(LARGE(('成交明细'!$A$5:$A$804=A296)*('成交明细'!$D$5:$D$804=IF(F296="空","卖","买"))*'成交明细'!$B$5:$B$804,COUNTIFS('成交明细'!$A$5:$A$804,A296,'成交明细'!$D$5:$D$804,IF(F296="空","卖","买")))),"")</f>
        <v/>
      </c>
      <c r="Z296" s="39" t="str">
        <f>IF(AND(N(AB296)&gt;0,N(AD296)&gt;=N(AB296)),SUMPRODUCT(MAX(('成交明细'!$A$5:$A$804=A296)*('成交明细'!$D$5:$D$804=IF(F296="空","买","卖"))*'成交明细'!$B$5:$B$804)),"")</f>
        <v/>
      </c>
      <c r="AA296" s="40" t="str">
        <f>IF(N(AB296)=0,"",IF(SUMPRODUCT(('成交明细'!$A$5:$A$804=A296)*('成交明细'!$D$5:$D$804=IF(F296="空","卖","买"))*ISNUMBER('成交明细'!$C$5:$C$804))=0,"没填时间",IFERROR(VLOOKUP(MOD(SUMPRODUCT(LARGE(('成交明细'!$A$5:$A$804=A296)*('成交明细'!$D$5:$D$804=IF(F296="空","卖","买"))*('成交明细'!$B$5:$B$804+'成交明细'!$C$5:$C$804),COUNTIFS('成交明细'!$A$5:$A$804,A296,'成交明细'!$D$5:$D$804,IF(F296="空","卖","买")))),1),'参数'!$B$39:$C$48,2,TRUE),"")))</f>
        <v/>
      </c>
      <c r="AB296" s="34" t="str">
        <f>IF(A296="","",SUMIFS('成交明细'!$F$5:$F$804,'成交明细'!$A$5:$A$804,A296,'成交明细'!$D$5:$D$804,IF(F296="空","卖","买")))</f>
        <v/>
      </c>
      <c r="AC296" s="41" t="str">
        <f>IF(N(AB296)&gt;0,SUMIFS('成交明细'!$H$5:$H$804,'成交明细'!$A$5:$A$804,A296,'成交明细'!$D$5:$D$804,IF(F296="空","卖","买"))/AB296,"")</f>
        <v/>
      </c>
      <c r="AD296" s="34" t="str">
        <f>IF(A296="","",SUMIFS('成交明细'!$F$5:$F$804,'成交明细'!$A$5:$A$804,A296,'成交明细'!$D$5:$D$804,IF(F296="空","买","卖")))</f>
        <v/>
      </c>
      <c r="AE296" s="41" t="str">
        <f>IF(N(AD296)&gt;0,SUMIFS('成交明细'!$H$5:$H$804,'成交明细'!$A$5:$A$804,A296,'成交明细'!$D$5:$D$804,IF(F296="空","买","卖"))/AD296,"")</f>
        <v/>
      </c>
      <c r="AF296" s="38" t="str">
        <f>IF(A296="","",IF(X296&lt;&gt;"已执行",IF(X296="","未填执行情况",X296),IF(N(AB296)=0,"待录成交",IF(N(AD296)&gt;N(AB296),"平仓多于开仓",IF(N(AD296)&lt;N(AB296),"持仓中","已平仓")))))</f>
        <v/>
      </c>
      <c r="AG296" s="42" t="str">
        <f>IF(N(AB296)=0,"",SUMIFS('成交明细'!$L$5:$L$804,'成交明细'!$A$5:$A$804,A296))</f>
        <v/>
      </c>
      <c r="AH296" s="43" t="str">
        <f>IF(A296="","",SUMIFS('资金费流水'!$F$5:$F$604,'资金费流水'!$B$5:$B$604,A296))</f>
        <v/>
      </c>
      <c r="AI296" s="43" t="str">
        <f>IF(AF296&lt;&gt;"已平仓","",(SUMIFS('成交明细'!$H$5:$H$804,'成交明细'!$A$5:$A$804,A296,'成交明细'!$D$5:$D$804,"卖")-SUMIFS('成交明细'!$H$5:$H$804,'成交明细'!$A$5:$A$804,A296,'成交明细'!$D$5:$D$804,"买"))*1-AG296+N(AH296))</f>
        <v/>
      </c>
      <c r="AJ296" s="44" t="str">
        <f>IF(AND(AF296="已平仓",ISNUMBER(Q296)),(SUMIFS('成交明细'!$H$5:$H$804,'成交明细'!$A$5:$A$804,A296,'成交明细'!$D$5:$D$804,"卖")-SUMIFS('成交明细'!$H$5:$H$804,'成交明细'!$A$5:$A$804,A296,'成交明细'!$D$5:$D$804,"买"))*1/Q296,"")</f>
        <v/>
      </c>
      <c r="AK296" s="44" t="str">
        <f>IF(AND(AF296="已平仓",ISNUMBER(Q296)),AI296/Q296,"")</f>
        <v/>
      </c>
      <c r="AL296" s="45" t="str">
        <f>IF(AND(ISNUMBER(AC296),ISNUMBER(K296)),IF(F296="空",K296-AC296,AC296-K296),"")</f>
        <v/>
      </c>
      <c r="AM296" s="45" t="str">
        <f>IF(OR(NOT(ISNUMBER(AI296)),NOT(ISNUMBER(AE296))),"",IF(AI296&lt;0,IF(F296="空",AE296-L296,L296-AE296),IF(NOT(ISNUMBER(M296)),"",IF(F296="空",AE296-M296,M296-AE296))))</f>
        <v/>
      </c>
      <c r="AN296" s="31" t="n"/>
      <c r="AO296" s="31" t="n"/>
      <c r="AP296" s="30" t="n"/>
      <c r="AQ296" s="44" t="str">
        <f>IF(A296="","",SUM(AK$5:AK296))</f>
        <v/>
      </c>
      <c r="AR296" s="46" t="str">
        <f>IF(A296="","",MAX(0,MAX(AQ$5:AQ296))-AQ296)</f>
        <v/>
      </c>
    </row>
    <row r="297">
      <c r="A297" s="24" t="n"/>
      <c r="B297" s="29" t="n"/>
      <c r="C297" s="30" t="n"/>
      <c r="D297" s="31" t="n"/>
      <c r="E297" s="31" t="n"/>
      <c r="F297" s="31" t="n"/>
      <c r="G297" s="21" t="n"/>
      <c r="H297" s="31" t="n"/>
      <c r="I297" s="23" t="n"/>
      <c r="J297" s="31" t="n"/>
      <c r="K297" s="32" t="n"/>
      <c r="L297" s="32" t="n"/>
      <c r="M297" s="32" t="n"/>
      <c r="N297" s="33" t="str">
        <f>IF(AND(ISNUMBER(K297),ISNUMBER(L297),ISNUMBER(M297)),IF(OR(AND(F297="多",K297&gt;L297),AND(F297="空",K297&lt;L297)),ABS(M297-K297)/ABS(K297-L297),"止损方向不对"),"")</f>
        <v/>
      </c>
      <c r="O297" s="34" t="str">
        <f>IF(AND(ISNUMBER(K297),ISNUMBER(L297)),IF(K297=L297,"",IF(INT(ROUND('参数'!$C$7/(ABS(K297-L297)*1+2*K297*'参数'!$C$12)/IF(N(J297)&gt;0,J297,1),6))*IF(N(J297)&gt;0,J297,1)&gt;0,INT(ROUND('参数'!$C$7/(ABS(K297-L297)*1+2*K297*'参数'!$C$12)/IF(N(J297)&gt;0,J297,1),6))*IF(N(J297)&gt;0,J297,1),"预算不足，这笔不做")),"")</f>
        <v/>
      </c>
      <c r="P297" s="35" t="n"/>
      <c r="Q297" s="20" t="str">
        <f>IF(AND(ISNUMBER(K297),ISNUMBER(L297),ISNUMBER(P297)),IF(AND(K297&lt;&gt;L297,P297&gt;0),ABS(K297-L297)*P297*1,""),"")</f>
        <v/>
      </c>
      <c r="R297" s="20" t="str">
        <f>IF(AND(ISNUMBER(K297),ISNUMBER(P297)),K297*P297,"")</f>
        <v/>
      </c>
      <c r="S297" s="20" t="str">
        <f>IF(AND(D297="合约",ISNUMBER(R297),N(G297)&gt;0),R297/G297,"")</f>
        <v/>
      </c>
      <c r="T297" s="36" t="str">
        <f>IF(NOT(D297="合约"),"",IF(H297&lt;&gt;"逐仓","看平台",IF(AND(ISNUMBER(K297),N(G297)&gt;0),IF(F297="空",K297*(1+1/G297-IF(ISNUMBER(I297),I297,'参数'!$C$13)),K297*(1-1/G297+IF(ISNUMBER(I297),I297,'参数'!$C$13))),"")))</f>
        <v/>
      </c>
      <c r="U297" s="37" t="str">
        <f>IF(AND(ISNUMBER(T297),ISNUMBER(L297),ISNUMBER(K297)),IF(F297="空",T297-L297,L297-T297)/K297,"")</f>
        <v/>
      </c>
      <c r="V297" s="38" t="str">
        <f>IF(ISNUMBER(U297),IF(U297&lt;'参数'!$C$15,"先降杠杆或减量","在止损外"),"")</f>
        <v/>
      </c>
      <c r="W297" s="30" t="n"/>
      <c r="X297" s="31" t="n"/>
      <c r="Y297" s="39" t="str">
        <f>IF(N(AB297)&gt;0,SUMPRODUCT(LARGE(('成交明细'!$A$5:$A$804=A297)*('成交明细'!$D$5:$D$804=IF(F297="空","卖","买"))*'成交明细'!$B$5:$B$804,COUNTIFS('成交明细'!$A$5:$A$804,A297,'成交明细'!$D$5:$D$804,IF(F297="空","卖","买")))),"")</f>
        <v/>
      </c>
      <c r="Z297" s="39" t="str">
        <f>IF(AND(N(AB297)&gt;0,N(AD297)&gt;=N(AB297)),SUMPRODUCT(MAX(('成交明细'!$A$5:$A$804=A297)*('成交明细'!$D$5:$D$804=IF(F297="空","买","卖"))*'成交明细'!$B$5:$B$804)),"")</f>
        <v/>
      </c>
      <c r="AA297" s="40" t="str">
        <f>IF(N(AB297)=0,"",IF(SUMPRODUCT(('成交明细'!$A$5:$A$804=A297)*('成交明细'!$D$5:$D$804=IF(F297="空","卖","买"))*ISNUMBER('成交明细'!$C$5:$C$804))=0,"没填时间",IFERROR(VLOOKUP(MOD(SUMPRODUCT(LARGE(('成交明细'!$A$5:$A$804=A297)*('成交明细'!$D$5:$D$804=IF(F297="空","卖","买"))*('成交明细'!$B$5:$B$804+'成交明细'!$C$5:$C$804),COUNTIFS('成交明细'!$A$5:$A$804,A297,'成交明细'!$D$5:$D$804,IF(F297="空","卖","买")))),1),'参数'!$B$39:$C$48,2,TRUE),"")))</f>
        <v/>
      </c>
      <c r="AB297" s="34" t="str">
        <f>IF(A297="","",SUMIFS('成交明细'!$F$5:$F$804,'成交明细'!$A$5:$A$804,A297,'成交明细'!$D$5:$D$804,IF(F297="空","卖","买")))</f>
        <v/>
      </c>
      <c r="AC297" s="41" t="str">
        <f>IF(N(AB297)&gt;0,SUMIFS('成交明细'!$H$5:$H$804,'成交明细'!$A$5:$A$804,A297,'成交明细'!$D$5:$D$804,IF(F297="空","卖","买"))/AB297,"")</f>
        <v/>
      </c>
      <c r="AD297" s="34" t="str">
        <f>IF(A297="","",SUMIFS('成交明细'!$F$5:$F$804,'成交明细'!$A$5:$A$804,A297,'成交明细'!$D$5:$D$804,IF(F297="空","买","卖")))</f>
        <v/>
      </c>
      <c r="AE297" s="41" t="str">
        <f>IF(N(AD297)&gt;0,SUMIFS('成交明细'!$H$5:$H$804,'成交明细'!$A$5:$A$804,A297,'成交明细'!$D$5:$D$804,IF(F297="空","买","卖"))/AD297,"")</f>
        <v/>
      </c>
      <c r="AF297" s="38" t="str">
        <f>IF(A297="","",IF(X297&lt;&gt;"已执行",IF(X297="","未填执行情况",X297),IF(N(AB297)=0,"待录成交",IF(N(AD297)&gt;N(AB297),"平仓多于开仓",IF(N(AD297)&lt;N(AB297),"持仓中","已平仓")))))</f>
        <v/>
      </c>
      <c r="AG297" s="42" t="str">
        <f>IF(N(AB297)=0,"",SUMIFS('成交明细'!$L$5:$L$804,'成交明细'!$A$5:$A$804,A297))</f>
        <v/>
      </c>
      <c r="AH297" s="43" t="str">
        <f>IF(A297="","",SUMIFS('资金费流水'!$F$5:$F$604,'资金费流水'!$B$5:$B$604,A297))</f>
        <v/>
      </c>
      <c r="AI297" s="43" t="str">
        <f>IF(AF297&lt;&gt;"已平仓","",(SUMIFS('成交明细'!$H$5:$H$804,'成交明细'!$A$5:$A$804,A297,'成交明细'!$D$5:$D$804,"卖")-SUMIFS('成交明细'!$H$5:$H$804,'成交明细'!$A$5:$A$804,A297,'成交明细'!$D$5:$D$804,"买"))*1-AG297+N(AH297))</f>
        <v/>
      </c>
      <c r="AJ297" s="44" t="str">
        <f>IF(AND(AF297="已平仓",ISNUMBER(Q297)),(SUMIFS('成交明细'!$H$5:$H$804,'成交明细'!$A$5:$A$804,A297,'成交明细'!$D$5:$D$804,"卖")-SUMIFS('成交明细'!$H$5:$H$804,'成交明细'!$A$5:$A$804,A297,'成交明细'!$D$5:$D$804,"买"))*1/Q297,"")</f>
        <v/>
      </c>
      <c r="AK297" s="44" t="str">
        <f>IF(AND(AF297="已平仓",ISNUMBER(Q297)),AI297/Q297,"")</f>
        <v/>
      </c>
      <c r="AL297" s="45" t="str">
        <f>IF(AND(ISNUMBER(AC297),ISNUMBER(K297)),IF(F297="空",K297-AC297,AC297-K297),"")</f>
        <v/>
      </c>
      <c r="AM297" s="45" t="str">
        <f>IF(OR(NOT(ISNUMBER(AI297)),NOT(ISNUMBER(AE297))),"",IF(AI297&lt;0,IF(F297="空",AE297-L297,L297-AE297),IF(NOT(ISNUMBER(M297)),"",IF(F297="空",AE297-M297,M297-AE297))))</f>
        <v/>
      </c>
      <c r="AN297" s="31" t="n"/>
      <c r="AO297" s="31" t="n"/>
      <c r="AP297" s="30" t="n"/>
      <c r="AQ297" s="44" t="str">
        <f>IF(A297="","",SUM(AK$5:AK297))</f>
        <v/>
      </c>
      <c r="AR297" s="46" t="str">
        <f>IF(A297="","",MAX(0,MAX(AQ$5:AQ297))-AQ297)</f>
        <v/>
      </c>
    </row>
    <row r="298">
      <c r="A298" s="24" t="n"/>
      <c r="B298" s="29" t="n"/>
      <c r="C298" s="30" t="n"/>
      <c r="D298" s="31" t="n"/>
      <c r="E298" s="31" t="n"/>
      <c r="F298" s="31" t="n"/>
      <c r="G298" s="21" t="n"/>
      <c r="H298" s="31" t="n"/>
      <c r="I298" s="23" t="n"/>
      <c r="J298" s="31" t="n"/>
      <c r="K298" s="32" t="n"/>
      <c r="L298" s="32" t="n"/>
      <c r="M298" s="32" t="n"/>
      <c r="N298" s="33" t="str">
        <f>IF(AND(ISNUMBER(K298),ISNUMBER(L298),ISNUMBER(M298)),IF(OR(AND(F298="多",K298&gt;L298),AND(F298="空",K298&lt;L298)),ABS(M298-K298)/ABS(K298-L298),"止损方向不对"),"")</f>
        <v/>
      </c>
      <c r="O298" s="34" t="str">
        <f>IF(AND(ISNUMBER(K298),ISNUMBER(L298)),IF(K298=L298,"",IF(INT(ROUND('参数'!$C$7/(ABS(K298-L298)*1+2*K298*'参数'!$C$12)/IF(N(J298)&gt;0,J298,1),6))*IF(N(J298)&gt;0,J298,1)&gt;0,INT(ROUND('参数'!$C$7/(ABS(K298-L298)*1+2*K298*'参数'!$C$12)/IF(N(J298)&gt;0,J298,1),6))*IF(N(J298)&gt;0,J298,1),"预算不足，这笔不做")),"")</f>
        <v/>
      </c>
      <c r="P298" s="35" t="n"/>
      <c r="Q298" s="20" t="str">
        <f>IF(AND(ISNUMBER(K298),ISNUMBER(L298),ISNUMBER(P298)),IF(AND(K298&lt;&gt;L298,P298&gt;0),ABS(K298-L298)*P298*1,""),"")</f>
        <v/>
      </c>
      <c r="R298" s="20" t="str">
        <f>IF(AND(ISNUMBER(K298),ISNUMBER(P298)),K298*P298,"")</f>
        <v/>
      </c>
      <c r="S298" s="20" t="str">
        <f>IF(AND(D298="合约",ISNUMBER(R298),N(G298)&gt;0),R298/G298,"")</f>
        <v/>
      </c>
      <c r="T298" s="36" t="str">
        <f>IF(NOT(D298="合约"),"",IF(H298&lt;&gt;"逐仓","看平台",IF(AND(ISNUMBER(K298),N(G298)&gt;0),IF(F298="空",K298*(1+1/G298-IF(ISNUMBER(I298),I298,'参数'!$C$13)),K298*(1-1/G298+IF(ISNUMBER(I298),I298,'参数'!$C$13))),"")))</f>
        <v/>
      </c>
      <c r="U298" s="37" t="str">
        <f>IF(AND(ISNUMBER(T298),ISNUMBER(L298),ISNUMBER(K298)),IF(F298="空",T298-L298,L298-T298)/K298,"")</f>
        <v/>
      </c>
      <c r="V298" s="38" t="str">
        <f>IF(ISNUMBER(U298),IF(U298&lt;'参数'!$C$15,"先降杠杆或减量","在止损外"),"")</f>
        <v/>
      </c>
      <c r="W298" s="30" t="n"/>
      <c r="X298" s="31" t="n"/>
      <c r="Y298" s="39" t="str">
        <f>IF(N(AB298)&gt;0,SUMPRODUCT(LARGE(('成交明细'!$A$5:$A$804=A298)*('成交明细'!$D$5:$D$804=IF(F298="空","卖","买"))*'成交明细'!$B$5:$B$804,COUNTIFS('成交明细'!$A$5:$A$804,A298,'成交明细'!$D$5:$D$804,IF(F298="空","卖","买")))),"")</f>
        <v/>
      </c>
      <c r="Z298" s="39" t="str">
        <f>IF(AND(N(AB298)&gt;0,N(AD298)&gt;=N(AB298)),SUMPRODUCT(MAX(('成交明细'!$A$5:$A$804=A298)*('成交明细'!$D$5:$D$804=IF(F298="空","买","卖"))*'成交明细'!$B$5:$B$804)),"")</f>
        <v/>
      </c>
      <c r="AA298" s="40" t="str">
        <f>IF(N(AB298)=0,"",IF(SUMPRODUCT(('成交明细'!$A$5:$A$804=A298)*('成交明细'!$D$5:$D$804=IF(F298="空","卖","买"))*ISNUMBER('成交明细'!$C$5:$C$804))=0,"没填时间",IFERROR(VLOOKUP(MOD(SUMPRODUCT(LARGE(('成交明细'!$A$5:$A$804=A298)*('成交明细'!$D$5:$D$804=IF(F298="空","卖","买"))*('成交明细'!$B$5:$B$804+'成交明细'!$C$5:$C$804),COUNTIFS('成交明细'!$A$5:$A$804,A298,'成交明细'!$D$5:$D$804,IF(F298="空","卖","买")))),1),'参数'!$B$39:$C$48,2,TRUE),"")))</f>
        <v/>
      </c>
      <c r="AB298" s="34" t="str">
        <f>IF(A298="","",SUMIFS('成交明细'!$F$5:$F$804,'成交明细'!$A$5:$A$804,A298,'成交明细'!$D$5:$D$804,IF(F298="空","卖","买")))</f>
        <v/>
      </c>
      <c r="AC298" s="41" t="str">
        <f>IF(N(AB298)&gt;0,SUMIFS('成交明细'!$H$5:$H$804,'成交明细'!$A$5:$A$804,A298,'成交明细'!$D$5:$D$804,IF(F298="空","卖","买"))/AB298,"")</f>
        <v/>
      </c>
      <c r="AD298" s="34" t="str">
        <f>IF(A298="","",SUMIFS('成交明细'!$F$5:$F$804,'成交明细'!$A$5:$A$804,A298,'成交明细'!$D$5:$D$804,IF(F298="空","买","卖")))</f>
        <v/>
      </c>
      <c r="AE298" s="41" t="str">
        <f>IF(N(AD298)&gt;0,SUMIFS('成交明细'!$H$5:$H$804,'成交明细'!$A$5:$A$804,A298,'成交明细'!$D$5:$D$804,IF(F298="空","买","卖"))/AD298,"")</f>
        <v/>
      </c>
      <c r="AF298" s="38" t="str">
        <f>IF(A298="","",IF(X298&lt;&gt;"已执行",IF(X298="","未填执行情况",X298),IF(N(AB298)=0,"待录成交",IF(N(AD298)&gt;N(AB298),"平仓多于开仓",IF(N(AD298)&lt;N(AB298),"持仓中","已平仓")))))</f>
        <v/>
      </c>
      <c r="AG298" s="42" t="str">
        <f>IF(N(AB298)=0,"",SUMIFS('成交明细'!$L$5:$L$804,'成交明细'!$A$5:$A$804,A298))</f>
        <v/>
      </c>
      <c r="AH298" s="43" t="str">
        <f>IF(A298="","",SUMIFS('资金费流水'!$F$5:$F$604,'资金费流水'!$B$5:$B$604,A298))</f>
        <v/>
      </c>
      <c r="AI298" s="43" t="str">
        <f>IF(AF298&lt;&gt;"已平仓","",(SUMIFS('成交明细'!$H$5:$H$804,'成交明细'!$A$5:$A$804,A298,'成交明细'!$D$5:$D$804,"卖")-SUMIFS('成交明细'!$H$5:$H$804,'成交明细'!$A$5:$A$804,A298,'成交明细'!$D$5:$D$804,"买"))*1-AG298+N(AH298))</f>
        <v/>
      </c>
      <c r="AJ298" s="44" t="str">
        <f>IF(AND(AF298="已平仓",ISNUMBER(Q298)),(SUMIFS('成交明细'!$H$5:$H$804,'成交明细'!$A$5:$A$804,A298,'成交明细'!$D$5:$D$804,"卖")-SUMIFS('成交明细'!$H$5:$H$804,'成交明细'!$A$5:$A$804,A298,'成交明细'!$D$5:$D$804,"买"))*1/Q298,"")</f>
        <v/>
      </c>
      <c r="AK298" s="44" t="str">
        <f>IF(AND(AF298="已平仓",ISNUMBER(Q298)),AI298/Q298,"")</f>
        <v/>
      </c>
      <c r="AL298" s="45" t="str">
        <f>IF(AND(ISNUMBER(AC298),ISNUMBER(K298)),IF(F298="空",K298-AC298,AC298-K298),"")</f>
        <v/>
      </c>
      <c r="AM298" s="45" t="str">
        <f>IF(OR(NOT(ISNUMBER(AI298)),NOT(ISNUMBER(AE298))),"",IF(AI298&lt;0,IF(F298="空",AE298-L298,L298-AE298),IF(NOT(ISNUMBER(M298)),"",IF(F298="空",AE298-M298,M298-AE298))))</f>
        <v/>
      </c>
      <c r="AN298" s="31" t="n"/>
      <c r="AO298" s="31" t="n"/>
      <c r="AP298" s="30" t="n"/>
      <c r="AQ298" s="44" t="str">
        <f>IF(A298="","",SUM(AK$5:AK298))</f>
        <v/>
      </c>
      <c r="AR298" s="46" t="str">
        <f>IF(A298="","",MAX(0,MAX(AQ$5:AQ298))-AQ298)</f>
        <v/>
      </c>
    </row>
    <row r="299">
      <c r="A299" s="24" t="n"/>
      <c r="B299" s="29" t="n"/>
      <c r="C299" s="30" t="n"/>
      <c r="D299" s="31" t="n"/>
      <c r="E299" s="31" t="n"/>
      <c r="F299" s="31" t="n"/>
      <c r="G299" s="21" t="n"/>
      <c r="H299" s="31" t="n"/>
      <c r="I299" s="23" t="n"/>
      <c r="J299" s="31" t="n"/>
      <c r="K299" s="32" t="n"/>
      <c r="L299" s="32" t="n"/>
      <c r="M299" s="32" t="n"/>
      <c r="N299" s="33" t="str">
        <f>IF(AND(ISNUMBER(K299),ISNUMBER(L299),ISNUMBER(M299)),IF(OR(AND(F299="多",K299&gt;L299),AND(F299="空",K299&lt;L299)),ABS(M299-K299)/ABS(K299-L299),"止损方向不对"),"")</f>
        <v/>
      </c>
      <c r="O299" s="34" t="str">
        <f>IF(AND(ISNUMBER(K299),ISNUMBER(L299)),IF(K299=L299,"",IF(INT(ROUND('参数'!$C$7/(ABS(K299-L299)*1+2*K299*'参数'!$C$12)/IF(N(J299)&gt;0,J299,1),6))*IF(N(J299)&gt;0,J299,1)&gt;0,INT(ROUND('参数'!$C$7/(ABS(K299-L299)*1+2*K299*'参数'!$C$12)/IF(N(J299)&gt;0,J299,1),6))*IF(N(J299)&gt;0,J299,1),"预算不足，这笔不做")),"")</f>
        <v/>
      </c>
      <c r="P299" s="35" t="n"/>
      <c r="Q299" s="20" t="str">
        <f>IF(AND(ISNUMBER(K299),ISNUMBER(L299),ISNUMBER(P299)),IF(AND(K299&lt;&gt;L299,P299&gt;0),ABS(K299-L299)*P299*1,""),"")</f>
        <v/>
      </c>
      <c r="R299" s="20" t="str">
        <f>IF(AND(ISNUMBER(K299),ISNUMBER(P299)),K299*P299,"")</f>
        <v/>
      </c>
      <c r="S299" s="20" t="str">
        <f>IF(AND(D299="合约",ISNUMBER(R299),N(G299)&gt;0),R299/G299,"")</f>
        <v/>
      </c>
      <c r="T299" s="36" t="str">
        <f>IF(NOT(D299="合约"),"",IF(H299&lt;&gt;"逐仓","看平台",IF(AND(ISNUMBER(K299),N(G299)&gt;0),IF(F299="空",K299*(1+1/G299-IF(ISNUMBER(I299),I299,'参数'!$C$13)),K299*(1-1/G299+IF(ISNUMBER(I299),I299,'参数'!$C$13))),"")))</f>
        <v/>
      </c>
      <c r="U299" s="37" t="str">
        <f>IF(AND(ISNUMBER(T299),ISNUMBER(L299),ISNUMBER(K299)),IF(F299="空",T299-L299,L299-T299)/K299,"")</f>
        <v/>
      </c>
      <c r="V299" s="38" t="str">
        <f>IF(ISNUMBER(U299),IF(U299&lt;'参数'!$C$15,"先降杠杆或减量","在止损外"),"")</f>
        <v/>
      </c>
      <c r="W299" s="30" t="n"/>
      <c r="X299" s="31" t="n"/>
      <c r="Y299" s="39" t="str">
        <f>IF(N(AB299)&gt;0,SUMPRODUCT(LARGE(('成交明细'!$A$5:$A$804=A299)*('成交明细'!$D$5:$D$804=IF(F299="空","卖","买"))*'成交明细'!$B$5:$B$804,COUNTIFS('成交明细'!$A$5:$A$804,A299,'成交明细'!$D$5:$D$804,IF(F299="空","卖","买")))),"")</f>
        <v/>
      </c>
      <c r="Z299" s="39" t="str">
        <f>IF(AND(N(AB299)&gt;0,N(AD299)&gt;=N(AB299)),SUMPRODUCT(MAX(('成交明细'!$A$5:$A$804=A299)*('成交明细'!$D$5:$D$804=IF(F299="空","买","卖"))*'成交明细'!$B$5:$B$804)),"")</f>
        <v/>
      </c>
      <c r="AA299" s="40" t="str">
        <f>IF(N(AB299)=0,"",IF(SUMPRODUCT(('成交明细'!$A$5:$A$804=A299)*('成交明细'!$D$5:$D$804=IF(F299="空","卖","买"))*ISNUMBER('成交明细'!$C$5:$C$804))=0,"没填时间",IFERROR(VLOOKUP(MOD(SUMPRODUCT(LARGE(('成交明细'!$A$5:$A$804=A299)*('成交明细'!$D$5:$D$804=IF(F299="空","卖","买"))*('成交明细'!$B$5:$B$804+'成交明细'!$C$5:$C$804),COUNTIFS('成交明细'!$A$5:$A$804,A299,'成交明细'!$D$5:$D$804,IF(F299="空","卖","买")))),1),'参数'!$B$39:$C$48,2,TRUE),"")))</f>
        <v/>
      </c>
      <c r="AB299" s="34" t="str">
        <f>IF(A299="","",SUMIFS('成交明细'!$F$5:$F$804,'成交明细'!$A$5:$A$804,A299,'成交明细'!$D$5:$D$804,IF(F299="空","卖","买")))</f>
        <v/>
      </c>
      <c r="AC299" s="41" t="str">
        <f>IF(N(AB299)&gt;0,SUMIFS('成交明细'!$H$5:$H$804,'成交明细'!$A$5:$A$804,A299,'成交明细'!$D$5:$D$804,IF(F299="空","卖","买"))/AB299,"")</f>
        <v/>
      </c>
      <c r="AD299" s="34" t="str">
        <f>IF(A299="","",SUMIFS('成交明细'!$F$5:$F$804,'成交明细'!$A$5:$A$804,A299,'成交明细'!$D$5:$D$804,IF(F299="空","买","卖")))</f>
        <v/>
      </c>
      <c r="AE299" s="41" t="str">
        <f>IF(N(AD299)&gt;0,SUMIFS('成交明细'!$H$5:$H$804,'成交明细'!$A$5:$A$804,A299,'成交明细'!$D$5:$D$804,IF(F299="空","买","卖"))/AD299,"")</f>
        <v/>
      </c>
      <c r="AF299" s="38" t="str">
        <f>IF(A299="","",IF(X299&lt;&gt;"已执行",IF(X299="","未填执行情况",X299),IF(N(AB299)=0,"待录成交",IF(N(AD299)&gt;N(AB299),"平仓多于开仓",IF(N(AD299)&lt;N(AB299),"持仓中","已平仓")))))</f>
        <v/>
      </c>
      <c r="AG299" s="42" t="str">
        <f>IF(N(AB299)=0,"",SUMIFS('成交明细'!$L$5:$L$804,'成交明细'!$A$5:$A$804,A299))</f>
        <v/>
      </c>
      <c r="AH299" s="43" t="str">
        <f>IF(A299="","",SUMIFS('资金费流水'!$F$5:$F$604,'资金费流水'!$B$5:$B$604,A299))</f>
        <v/>
      </c>
      <c r="AI299" s="43" t="str">
        <f>IF(AF299&lt;&gt;"已平仓","",(SUMIFS('成交明细'!$H$5:$H$804,'成交明细'!$A$5:$A$804,A299,'成交明细'!$D$5:$D$804,"卖")-SUMIFS('成交明细'!$H$5:$H$804,'成交明细'!$A$5:$A$804,A299,'成交明细'!$D$5:$D$804,"买"))*1-AG299+N(AH299))</f>
        <v/>
      </c>
      <c r="AJ299" s="44" t="str">
        <f>IF(AND(AF299="已平仓",ISNUMBER(Q299)),(SUMIFS('成交明细'!$H$5:$H$804,'成交明细'!$A$5:$A$804,A299,'成交明细'!$D$5:$D$804,"卖")-SUMIFS('成交明细'!$H$5:$H$804,'成交明细'!$A$5:$A$804,A299,'成交明细'!$D$5:$D$804,"买"))*1/Q299,"")</f>
        <v/>
      </c>
      <c r="AK299" s="44" t="str">
        <f>IF(AND(AF299="已平仓",ISNUMBER(Q299)),AI299/Q299,"")</f>
        <v/>
      </c>
      <c r="AL299" s="45" t="str">
        <f>IF(AND(ISNUMBER(AC299),ISNUMBER(K299)),IF(F299="空",K299-AC299,AC299-K299),"")</f>
        <v/>
      </c>
      <c r="AM299" s="45" t="str">
        <f>IF(OR(NOT(ISNUMBER(AI299)),NOT(ISNUMBER(AE299))),"",IF(AI299&lt;0,IF(F299="空",AE299-L299,L299-AE299),IF(NOT(ISNUMBER(M299)),"",IF(F299="空",AE299-M299,M299-AE299))))</f>
        <v/>
      </c>
      <c r="AN299" s="31" t="n"/>
      <c r="AO299" s="31" t="n"/>
      <c r="AP299" s="30" t="n"/>
      <c r="AQ299" s="44" t="str">
        <f>IF(A299="","",SUM(AK$5:AK299))</f>
        <v/>
      </c>
      <c r="AR299" s="46" t="str">
        <f>IF(A299="","",MAX(0,MAX(AQ$5:AQ299))-AQ299)</f>
        <v/>
      </c>
    </row>
    <row r="300">
      <c r="A300" s="24" t="n"/>
      <c r="B300" s="29" t="n"/>
      <c r="C300" s="30" t="n"/>
      <c r="D300" s="31" t="n"/>
      <c r="E300" s="31" t="n"/>
      <c r="F300" s="31" t="n"/>
      <c r="G300" s="21" t="n"/>
      <c r="H300" s="31" t="n"/>
      <c r="I300" s="23" t="n"/>
      <c r="J300" s="31" t="n"/>
      <c r="K300" s="32" t="n"/>
      <c r="L300" s="32" t="n"/>
      <c r="M300" s="32" t="n"/>
      <c r="N300" s="33" t="str">
        <f>IF(AND(ISNUMBER(K300),ISNUMBER(L300),ISNUMBER(M300)),IF(OR(AND(F300="多",K300&gt;L300),AND(F300="空",K300&lt;L300)),ABS(M300-K300)/ABS(K300-L300),"止损方向不对"),"")</f>
        <v/>
      </c>
      <c r="O300" s="34" t="str">
        <f>IF(AND(ISNUMBER(K300),ISNUMBER(L300)),IF(K300=L300,"",IF(INT(ROUND('参数'!$C$7/(ABS(K300-L300)*1+2*K300*'参数'!$C$12)/IF(N(J300)&gt;0,J300,1),6))*IF(N(J300)&gt;0,J300,1)&gt;0,INT(ROUND('参数'!$C$7/(ABS(K300-L300)*1+2*K300*'参数'!$C$12)/IF(N(J300)&gt;0,J300,1),6))*IF(N(J300)&gt;0,J300,1),"预算不足，这笔不做")),"")</f>
        <v/>
      </c>
      <c r="P300" s="35" t="n"/>
      <c r="Q300" s="20" t="str">
        <f>IF(AND(ISNUMBER(K300),ISNUMBER(L300),ISNUMBER(P300)),IF(AND(K300&lt;&gt;L300,P300&gt;0),ABS(K300-L300)*P300*1,""),"")</f>
        <v/>
      </c>
      <c r="R300" s="20" t="str">
        <f>IF(AND(ISNUMBER(K300),ISNUMBER(P300)),K300*P300,"")</f>
        <v/>
      </c>
      <c r="S300" s="20" t="str">
        <f>IF(AND(D300="合约",ISNUMBER(R300),N(G300)&gt;0),R300/G300,"")</f>
        <v/>
      </c>
      <c r="T300" s="36" t="str">
        <f>IF(NOT(D300="合约"),"",IF(H300&lt;&gt;"逐仓","看平台",IF(AND(ISNUMBER(K300),N(G300)&gt;0),IF(F300="空",K300*(1+1/G300-IF(ISNUMBER(I300),I300,'参数'!$C$13)),K300*(1-1/G300+IF(ISNUMBER(I300),I300,'参数'!$C$13))),"")))</f>
        <v/>
      </c>
      <c r="U300" s="37" t="str">
        <f>IF(AND(ISNUMBER(T300),ISNUMBER(L300),ISNUMBER(K300)),IF(F300="空",T300-L300,L300-T300)/K300,"")</f>
        <v/>
      </c>
      <c r="V300" s="38" t="str">
        <f>IF(ISNUMBER(U300),IF(U300&lt;'参数'!$C$15,"先降杠杆或减量","在止损外"),"")</f>
        <v/>
      </c>
      <c r="W300" s="30" t="n"/>
      <c r="X300" s="31" t="n"/>
      <c r="Y300" s="39" t="str">
        <f>IF(N(AB300)&gt;0,SUMPRODUCT(LARGE(('成交明细'!$A$5:$A$804=A300)*('成交明细'!$D$5:$D$804=IF(F300="空","卖","买"))*'成交明细'!$B$5:$B$804,COUNTIFS('成交明细'!$A$5:$A$804,A300,'成交明细'!$D$5:$D$804,IF(F300="空","卖","买")))),"")</f>
        <v/>
      </c>
      <c r="Z300" s="39" t="str">
        <f>IF(AND(N(AB300)&gt;0,N(AD300)&gt;=N(AB300)),SUMPRODUCT(MAX(('成交明细'!$A$5:$A$804=A300)*('成交明细'!$D$5:$D$804=IF(F300="空","买","卖"))*'成交明细'!$B$5:$B$804)),"")</f>
        <v/>
      </c>
      <c r="AA300" s="40" t="str">
        <f>IF(N(AB300)=0,"",IF(SUMPRODUCT(('成交明细'!$A$5:$A$804=A300)*('成交明细'!$D$5:$D$804=IF(F300="空","卖","买"))*ISNUMBER('成交明细'!$C$5:$C$804))=0,"没填时间",IFERROR(VLOOKUP(MOD(SUMPRODUCT(LARGE(('成交明细'!$A$5:$A$804=A300)*('成交明细'!$D$5:$D$804=IF(F300="空","卖","买"))*('成交明细'!$B$5:$B$804+'成交明细'!$C$5:$C$804),COUNTIFS('成交明细'!$A$5:$A$804,A300,'成交明细'!$D$5:$D$804,IF(F300="空","卖","买")))),1),'参数'!$B$39:$C$48,2,TRUE),"")))</f>
        <v/>
      </c>
      <c r="AB300" s="34" t="str">
        <f>IF(A300="","",SUMIFS('成交明细'!$F$5:$F$804,'成交明细'!$A$5:$A$804,A300,'成交明细'!$D$5:$D$804,IF(F300="空","卖","买")))</f>
        <v/>
      </c>
      <c r="AC300" s="41" t="str">
        <f>IF(N(AB300)&gt;0,SUMIFS('成交明细'!$H$5:$H$804,'成交明细'!$A$5:$A$804,A300,'成交明细'!$D$5:$D$804,IF(F300="空","卖","买"))/AB300,"")</f>
        <v/>
      </c>
      <c r="AD300" s="34" t="str">
        <f>IF(A300="","",SUMIFS('成交明细'!$F$5:$F$804,'成交明细'!$A$5:$A$804,A300,'成交明细'!$D$5:$D$804,IF(F300="空","买","卖")))</f>
        <v/>
      </c>
      <c r="AE300" s="41" t="str">
        <f>IF(N(AD300)&gt;0,SUMIFS('成交明细'!$H$5:$H$804,'成交明细'!$A$5:$A$804,A300,'成交明细'!$D$5:$D$804,IF(F300="空","买","卖"))/AD300,"")</f>
        <v/>
      </c>
      <c r="AF300" s="38" t="str">
        <f>IF(A300="","",IF(X300&lt;&gt;"已执行",IF(X300="","未填执行情况",X300),IF(N(AB300)=0,"待录成交",IF(N(AD300)&gt;N(AB300),"平仓多于开仓",IF(N(AD300)&lt;N(AB300),"持仓中","已平仓")))))</f>
        <v/>
      </c>
      <c r="AG300" s="42" t="str">
        <f>IF(N(AB300)=0,"",SUMIFS('成交明细'!$L$5:$L$804,'成交明细'!$A$5:$A$804,A300))</f>
        <v/>
      </c>
      <c r="AH300" s="43" t="str">
        <f>IF(A300="","",SUMIFS('资金费流水'!$F$5:$F$604,'资金费流水'!$B$5:$B$604,A300))</f>
        <v/>
      </c>
      <c r="AI300" s="43" t="str">
        <f>IF(AF300&lt;&gt;"已平仓","",(SUMIFS('成交明细'!$H$5:$H$804,'成交明细'!$A$5:$A$804,A300,'成交明细'!$D$5:$D$804,"卖")-SUMIFS('成交明细'!$H$5:$H$804,'成交明细'!$A$5:$A$804,A300,'成交明细'!$D$5:$D$804,"买"))*1-AG300+N(AH300))</f>
        <v/>
      </c>
      <c r="AJ300" s="44" t="str">
        <f>IF(AND(AF300="已平仓",ISNUMBER(Q300)),(SUMIFS('成交明细'!$H$5:$H$804,'成交明细'!$A$5:$A$804,A300,'成交明细'!$D$5:$D$804,"卖")-SUMIFS('成交明细'!$H$5:$H$804,'成交明细'!$A$5:$A$804,A300,'成交明细'!$D$5:$D$804,"买"))*1/Q300,"")</f>
        <v/>
      </c>
      <c r="AK300" s="44" t="str">
        <f>IF(AND(AF300="已平仓",ISNUMBER(Q300)),AI300/Q300,"")</f>
        <v/>
      </c>
      <c r="AL300" s="45" t="str">
        <f>IF(AND(ISNUMBER(AC300),ISNUMBER(K300)),IF(F300="空",K300-AC300,AC300-K300),"")</f>
        <v/>
      </c>
      <c r="AM300" s="45" t="str">
        <f>IF(OR(NOT(ISNUMBER(AI300)),NOT(ISNUMBER(AE300))),"",IF(AI300&lt;0,IF(F300="空",AE300-L300,L300-AE300),IF(NOT(ISNUMBER(M300)),"",IF(F300="空",AE300-M300,M300-AE300))))</f>
        <v/>
      </c>
      <c r="AN300" s="31" t="n"/>
      <c r="AO300" s="31" t="n"/>
      <c r="AP300" s="30" t="n"/>
      <c r="AQ300" s="44" t="str">
        <f>IF(A300="","",SUM(AK$5:AK300))</f>
        <v/>
      </c>
      <c r="AR300" s="46" t="str">
        <f>IF(A300="","",MAX(0,MAX(AQ$5:AQ300))-AQ300)</f>
        <v/>
      </c>
    </row>
    <row r="301">
      <c r="A301" s="24" t="n"/>
      <c r="B301" s="29" t="n"/>
      <c r="C301" s="30" t="n"/>
      <c r="D301" s="31" t="n"/>
      <c r="E301" s="31" t="n"/>
      <c r="F301" s="31" t="n"/>
      <c r="G301" s="21" t="n"/>
      <c r="H301" s="31" t="n"/>
      <c r="I301" s="23" t="n"/>
      <c r="J301" s="31" t="n"/>
      <c r="K301" s="32" t="n"/>
      <c r="L301" s="32" t="n"/>
      <c r="M301" s="32" t="n"/>
      <c r="N301" s="33" t="str">
        <f>IF(AND(ISNUMBER(K301),ISNUMBER(L301),ISNUMBER(M301)),IF(OR(AND(F301="多",K301&gt;L301),AND(F301="空",K301&lt;L301)),ABS(M301-K301)/ABS(K301-L301),"止损方向不对"),"")</f>
        <v/>
      </c>
      <c r="O301" s="34" t="str">
        <f>IF(AND(ISNUMBER(K301),ISNUMBER(L301)),IF(K301=L301,"",IF(INT(ROUND('参数'!$C$7/(ABS(K301-L301)*1+2*K301*'参数'!$C$12)/IF(N(J301)&gt;0,J301,1),6))*IF(N(J301)&gt;0,J301,1)&gt;0,INT(ROUND('参数'!$C$7/(ABS(K301-L301)*1+2*K301*'参数'!$C$12)/IF(N(J301)&gt;0,J301,1),6))*IF(N(J301)&gt;0,J301,1),"预算不足，这笔不做")),"")</f>
        <v/>
      </c>
      <c r="P301" s="35" t="n"/>
      <c r="Q301" s="20" t="str">
        <f>IF(AND(ISNUMBER(K301),ISNUMBER(L301),ISNUMBER(P301)),IF(AND(K301&lt;&gt;L301,P301&gt;0),ABS(K301-L301)*P301*1,""),"")</f>
        <v/>
      </c>
      <c r="R301" s="20" t="str">
        <f>IF(AND(ISNUMBER(K301),ISNUMBER(P301)),K301*P301,"")</f>
        <v/>
      </c>
      <c r="S301" s="20" t="str">
        <f>IF(AND(D301="合约",ISNUMBER(R301),N(G301)&gt;0),R301/G301,"")</f>
        <v/>
      </c>
      <c r="T301" s="36" t="str">
        <f>IF(NOT(D301="合约"),"",IF(H301&lt;&gt;"逐仓","看平台",IF(AND(ISNUMBER(K301),N(G301)&gt;0),IF(F301="空",K301*(1+1/G301-IF(ISNUMBER(I301),I301,'参数'!$C$13)),K301*(1-1/G301+IF(ISNUMBER(I301),I301,'参数'!$C$13))),"")))</f>
        <v/>
      </c>
      <c r="U301" s="37" t="str">
        <f>IF(AND(ISNUMBER(T301),ISNUMBER(L301),ISNUMBER(K301)),IF(F301="空",T301-L301,L301-T301)/K301,"")</f>
        <v/>
      </c>
      <c r="V301" s="38" t="str">
        <f>IF(ISNUMBER(U301),IF(U301&lt;'参数'!$C$15,"先降杠杆或减量","在止损外"),"")</f>
        <v/>
      </c>
      <c r="W301" s="30" t="n"/>
      <c r="X301" s="31" t="n"/>
      <c r="Y301" s="39" t="str">
        <f>IF(N(AB301)&gt;0,SUMPRODUCT(LARGE(('成交明细'!$A$5:$A$804=A301)*('成交明细'!$D$5:$D$804=IF(F301="空","卖","买"))*'成交明细'!$B$5:$B$804,COUNTIFS('成交明细'!$A$5:$A$804,A301,'成交明细'!$D$5:$D$804,IF(F301="空","卖","买")))),"")</f>
        <v/>
      </c>
      <c r="Z301" s="39" t="str">
        <f>IF(AND(N(AB301)&gt;0,N(AD301)&gt;=N(AB301)),SUMPRODUCT(MAX(('成交明细'!$A$5:$A$804=A301)*('成交明细'!$D$5:$D$804=IF(F301="空","买","卖"))*'成交明细'!$B$5:$B$804)),"")</f>
        <v/>
      </c>
      <c r="AA301" s="40" t="str">
        <f>IF(N(AB301)=0,"",IF(SUMPRODUCT(('成交明细'!$A$5:$A$804=A301)*('成交明细'!$D$5:$D$804=IF(F301="空","卖","买"))*ISNUMBER('成交明细'!$C$5:$C$804))=0,"没填时间",IFERROR(VLOOKUP(MOD(SUMPRODUCT(LARGE(('成交明细'!$A$5:$A$804=A301)*('成交明细'!$D$5:$D$804=IF(F301="空","卖","买"))*('成交明细'!$B$5:$B$804+'成交明细'!$C$5:$C$804),COUNTIFS('成交明细'!$A$5:$A$804,A301,'成交明细'!$D$5:$D$804,IF(F301="空","卖","买")))),1),'参数'!$B$39:$C$48,2,TRUE),"")))</f>
        <v/>
      </c>
      <c r="AB301" s="34" t="str">
        <f>IF(A301="","",SUMIFS('成交明细'!$F$5:$F$804,'成交明细'!$A$5:$A$804,A301,'成交明细'!$D$5:$D$804,IF(F301="空","卖","买")))</f>
        <v/>
      </c>
      <c r="AC301" s="41" t="str">
        <f>IF(N(AB301)&gt;0,SUMIFS('成交明细'!$H$5:$H$804,'成交明细'!$A$5:$A$804,A301,'成交明细'!$D$5:$D$804,IF(F301="空","卖","买"))/AB301,"")</f>
        <v/>
      </c>
      <c r="AD301" s="34" t="str">
        <f>IF(A301="","",SUMIFS('成交明细'!$F$5:$F$804,'成交明细'!$A$5:$A$804,A301,'成交明细'!$D$5:$D$804,IF(F301="空","买","卖")))</f>
        <v/>
      </c>
      <c r="AE301" s="41" t="str">
        <f>IF(N(AD301)&gt;0,SUMIFS('成交明细'!$H$5:$H$804,'成交明细'!$A$5:$A$804,A301,'成交明细'!$D$5:$D$804,IF(F301="空","买","卖"))/AD301,"")</f>
        <v/>
      </c>
      <c r="AF301" s="38" t="str">
        <f>IF(A301="","",IF(X301&lt;&gt;"已执行",IF(X301="","未填执行情况",X301),IF(N(AB301)=0,"待录成交",IF(N(AD301)&gt;N(AB301),"平仓多于开仓",IF(N(AD301)&lt;N(AB301),"持仓中","已平仓")))))</f>
        <v/>
      </c>
      <c r="AG301" s="42" t="str">
        <f>IF(N(AB301)=0,"",SUMIFS('成交明细'!$L$5:$L$804,'成交明细'!$A$5:$A$804,A301))</f>
        <v/>
      </c>
      <c r="AH301" s="43" t="str">
        <f>IF(A301="","",SUMIFS('资金费流水'!$F$5:$F$604,'资金费流水'!$B$5:$B$604,A301))</f>
        <v/>
      </c>
      <c r="AI301" s="43" t="str">
        <f>IF(AF301&lt;&gt;"已平仓","",(SUMIFS('成交明细'!$H$5:$H$804,'成交明细'!$A$5:$A$804,A301,'成交明细'!$D$5:$D$804,"卖")-SUMIFS('成交明细'!$H$5:$H$804,'成交明细'!$A$5:$A$804,A301,'成交明细'!$D$5:$D$804,"买"))*1-AG301+N(AH301))</f>
        <v/>
      </c>
      <c r="AJ301" s="44" t="str">
        <f>IF(AND(AF301="已平仓",ISNUMBER(Q301)),(SUMIFS('成交明细'!$H$5:$H$804,'成交明细'!$A$5:$A$804,A301,'成交明细'!$D$5:$D$804,"卖")-SUMIFS('成交明细'!$H$5:$H$804,'成交明细'!$A$5:$A$804,A301,'成交明细'!$D$5:$D$804,"买"))*1/Q301,"")</f>
        <v/>
      </c>
      <c r="AK301" s="44" t="str">
        <f>IF(AND(AF301="已平仓",ISNUMBER(Q301)),AI301/Q301,"")</f>
        <v/>
      </c>
      <c r="AL301" s="45" t="str">
        <f>IF(AND(ISNUMBER(AC301),ISNUMBER(K301)),IF(F301="空",K301-AC301,AC301-K301),"")</f>
        <v/>
      </c>
      <c r="AM301" s="45" t="str">
        <f>IF(OR(NOT(ISNUMBER(AI301)),NOT(ISNUMBER(AE301))),"",IF(AI301&lt;0,IF(F301="空",AE301-L301,L301-AE301),IF(NOT(ISNUMBER(M301)),"",IF(F301="空",AE301-M301,M301-AE301))))</f>
        <v/>
      </c>
      <c r="AN301" s="31" t="n"/>
      <c r="AO301" s="31" t="n"/>
      <c r="AP301" s="30" t="n"/>
      <c r="AQ301" s="44" t="str">
        <f>IF(A301="","",SUM(AK$5:AK301))</f>
        <v/>
      </c>
      <c r="AR301" s="46" t="str">
        <f>IF(A301="","",MAX(0,MAX(AQ$5:AQ301))-AQ301)</f>
        <v/>
      </c>
    </row>
    <row r="302">
      <c r="A302" s="24" t="n"/>
      <c r="B302" s="29" t="n"/>
      <c r="C302" s="30" t="n"/>
      <c r="D302" s="31" t="n"/>
      <c r="E302" s="31" t="n"/>
      <c r="F302" s="31" t="n"/>
      <c r="G302" s="21" t="n"/>
      <c r="H302" s="31" t="n"/>
      <c r="I302" s="23" t="n"/>
      <c r="J302" s="31" t="n"/>
      <c r="K302" s="32" t="n"/>
      <c r="L302" s="32" t="n"/>
      <c r="M302" s="32" t="n"/>
      <c r="N302" s="33" t="str">
        <f>IF(AND(ISNUMBER(K302),ISNUMBER(L302),ISNUMBER(M302)),IF(OR(AND(F302="多",K302&gt;L302),AND(F302="空",K302&lt;L302)),ABS(M302-K302)/ABS(K302-L302),"止损方向不对"),"")</f>
        <v/>
      </c>
      <c r="O302" s="34" t="str">
        <f>IF(AND(ISNUMBER(K302),ISNUMBER(L302)),IF(K302=L302,"",IF(INT(ROUND('参数'!$C$7/(ABS(K302-L302)*1+2*K302*'参数'!$C$12)/IF(N(J302)&gt;0,J302,1),6))*IF(N(J302)&gt;0,J302,1)&gt;0,INT(ROUND('参数'!$C$7/(ABS(K302-L302)*1+2*K302*'参数'!$C$12)/IF(N(J302)&gt;0,J302,1),6))*IF(N(J302)&gt;0,J302,1),"预算不足，这笔不做")),"")</f>
        <v/>
      </c>
      <c r="P302" s="35" t="n"/>
      <c r="Q302" s="20" t="str">
        <f>IF(AND(ISNUMBER(K302),ISNUMBER(L302),ISNUMBER(P302)),IF(AND(K302&lt;&gt;L302,P302&gt;0),ABS(K302-L302)*P302*1,""),"")</f>
        <v/>
      </c>
      <c r="R302" s="20" t="str">
        <f>IF(AND(ISNUMBER(K302),ISNUMBER(P302)),K302*P302,"")</f>
        <v/>
      </c>
      <c r="S302" s="20" t="str">
        <f>IF(AND(D302="合约",ISNUMBER(R302),N(G302)&gt;0),R302/G302,"")</f>
        <v/>
      </c>
      <c r="T302" s="36" t="str">
        <f>IF(NOT(D302="合约"),"",IF(H302&lt;&gt;"逐仓","看平台",IF(AND(ISNUMBER(K302),N(G302)&gt;0),IF(F302="空",K302*(1+1/G302-IF(ISNUMBER(I302),I302,'参数'!$C$13)),K302*(1-1/G302+IF(ISNUMBER(I302),I302,'参数'!$C$13))),"")))</f>
        <v/>
      </c>
      <c r="U302" s="37" t="str">
        <f>IF(AND(ISNUMBER(T302),ISNUMBER(L302),ISNUMBER(K302)),IF(F302="空",T302-L302,L302-T302)/K302,"")</f>
        <v/>
      </c>
      <c r="V302" s="38" t="str">
        <f>IF(ISNUMBER(U302),IF(U302&lt;'参数'!$C$15,"先降杠杆或减量","在止损外"),"")</f>
        <v/>
      </c>
      <c r="W302" s="30" t="n"/>
      <c r="X302" s="31" t="n"/>
      <c r="Y302" s="39" t="str">
        <f>IF(N(AB302)&gt;0,SUMPRODUCT(LARGE(('成交明细'!$A$5:$A$804=A302)*('成交明细'!$D$5:$D$804=IF(F302="空","卖","买"))*'成交明细'!$B$5:$B$804,COUNTIFS('成交明细'!$A$5:$A$804,A302,'成交明细'!$D$5:$D$804,IF(F302="空","卖","买")))),"")</f>
        <v/>
      </c>
      <c r="Z302" s="39" t="str">
        <f>IF(AND(N(AB302)&gt;0,N(AD302)&gt;=N(AB302)),SUMPRODUCT(MAX(('成交明细'!$A$5:$A$804=A302)*('成交明细'!$D$5:$D$804=IF(F302="空","买","卖"))*'成交明细'!$B$5:$B$804)),"")</f>
        <v/>
      </c>
      <c r="AA302" s="40" t="str">
        <f>IF(N(AB302)=0,"",IF(SUMPRODUCT(('成交明细'!$A$5:$A$804=A302)*('成交明细'!$D$5:$D$804=IF(F302="空","卖","买"))*ISNUMBER('成交明细'!$C$5:$C$804))=0,"没填时间",IFERROR(VLOOKUP(MOD(SUMPRODUCT(LARGE(('成交明细'!$A$5:$A$804=A302)*('成交明细'!$D$5:$D$804=IF(F302="空","卖","买"))*('成交明细'!$B$5:$B$804+'成交明细'!$C$5:$C$804),COUNTIFS('成交明细'!$A$5:$A$804,A302,'成交明细'!$D$5:$D$804,IF(F302="空","卖","买")))),1),'参数'!$B$39:$C$48,2,TRUE),"")))</f>
        <v/>
      </c>
      <c r="AB302" s="34" t="str">
        <f>IF(A302="","",SUMIFS('成交明细'!$F$5:$F$804,'成交明细'!$A$5:$A$804,A302,'成交明细'!$D$5:$D$804,IF(F302="空","卖","买")))</f>
        <v/>
      </c>
      <c r="AC302" s="41" t="str">
        <f>IF(N(AB302)&gt;0,SUMIFS('成交明细'!$H$5:$H$804,'成交明细'!$A$5:$A$804,A302,'成交明细'!$D$5:$D$804,IF(F302="空","卖","买"))/AB302,"")</f>
        <v/>
      </c>
      <c r="AD302" s="34" t="str">
        <f>IF(A302="","",SUMIFS('成交明细'!$F$5:$F$804,'成交明细'!$A$5:$A$804,A302,'成交明细'!$D$5:$D$804,IF(F302="空","买","卖")))</f>
        <v/>
      </c>
      <c r="AE302" s="41" t="str">
        <f>IF(N(AD302)&gt;0,SUMIFS('成交明细'!$H$5:$H$804,'成交明细'!$A$5:$A$804,A302,'成交明细'!$D$5:$D$804,IF(F302="空","买","卖"))/AD302,"")</f>
        <v/>
      </c>
      <c r="AF302" s="38" t="str">
        <f>IF(A302="","",IF(X302&lt;&gt;"已执行",IF(X302="","未填执行情况",X302),IF(N(AB302)=0,"待录成交",IF(N(AD302)&gt;N(AB302),"平仓多于开仓",IF(N(AD302)&lt;N(AB302),"持仓中","已平仓")))))</f>
        <v/>
      </c>
      <c r="AG302" s="42" t="str">
        <f>IF(N(AB302)=0,"",SUMIFS('成交明细'!$L$5:$L$804,'成交明细'!$A$5:$A$804,A302))</f>
        <v/>
      </c>
      <c r="AH302" s="43" t="str">
        <f>IF(A302="","",SUMIFS('资金费流水'!$F$5:$F$604,'资金费流水'!$B$5:$B$604,A302))</f>
        <v/>
      </c>
      <c r="AI302" s="43" t="str">
        <f>IF(AF302&lt;&gt;"已平仓","",(SUMIFS('成交明细'!$H$5:$H$804,'成交明细'!$A$5:$A$804,A302,'成交明细'!$D$5:$D$804,"卖")-SUMIFS('成交明细'!$H$5:$H$804,'成交明细'!$A$5:$A$804,A302,'成交明细'!$D$5:$D$804,"买"))*1-AG302+N(AH302))</f>
        <v/>
      </c>
      <c r="AJ302" s="44" t="str">
        <f>IF(AND(AF302="已平仓",ISNUMBER(Q302)),(SUMIFS('成交明细'!$H$5:$H$804,'成交明细'!$A$5:$A$804,A302,'成交明细'!$D$5:$D$804,"卖")-SUMIFS('成交明细'!$H$5:$H$804,'成交明细'!$A$5:$A$804,A302,'成交明细'!$D$5:$D$804,"买"))*1/Q302,"")</f>
        <v/>
      </c>
      <c r="AK302" s="44" t="str">
        <f>IF(AND(AF302="已平仓",ISNUMBER(Q302)),AI302/Q302,"")</f>
        <v/>
      </c>
      <c r="AL302" s="45" t="str">
        <f>IF(AND(ISNUMBER(AC302),ISNUMBER(K302)),IF(F302="空",K302-AC302,AC302-K302),"")</f>
        <v/>
      </c>
      <c r="AM302" s="45" t="str">
        <f>IF(OR(NOT(ISNUMBER(AI302)),NOT(ISNUMBER(AE302))),"",IF(AI302&lt;0,IF(F302="空",AE302-L302,L302-AE302),IF(NOT(ISNUMBER(M302)),"",IF(F302="空",AE302-M302,M302-AE302))))</f>
        <v/>
      </c>
      <c r="AN302" s="31" t="n"/>
      <c r="AO302" s="31" t="n"/>
      <c r="AP302" s="30" t="n"/>
      <c r="AQ302" s="44" t="str">
        <f>IF(A302="","",SUM(AK$5:AK302))</f>
        <v/>
      </c>
      <c r="AR302" s="46" t="str">
        <f>IF(A302="","",MAX(0,MAX(AQ$5:AQ302))-AQ302)</f>
        <v/>
      </c>
    </row>
    <row r="303">
      <c r="A303" s="24" t="n"/>
      <c r="B303" s="29" t="n"/>
      <c r="C303" s="30" t="n"/>
      <c r="D303" s="31" t="n"/>
      <c r="E303" s="31" t="n"/>
      <c r="F303" s="31" t="n"/>
      <c r="G303" s="21" t="n"/>
      <c r="H303" s="31" t="n"/>
      <c r="I303" s="23" t="n"/>
      <c r="J303" s="31" t="n"/>
      <c r="K303" s="32" t="n"/>
      <c r="L303" s="32" t="n"/>
      <c r="M303" s="32" t="n"/>
      <c r="N303" s="33" t="str">
        <f>IF(AND(ISNUMBER(K303),ISNUMBER(L303),ISNUMBER(M303)),IF(OR(AND(F303="多",K303&gt;L303),AND(F303="空",K303&lt;L303)),ABS(M303-K303)/ABS(K303-L303),"止损方向不对"),"")</f>
        <v/>
      </c>
      <c r="O303" s="34" t="str">
        <f>IF(AND(ISNUMBER(K303),ISNUMBER(L303)),IF(K303=L303,"",IF(INT(ROUND('参数'!$C$7/(ABS(K303-L303)*1+2*K303*'参数'!$C$12)/IF(N(J303)&gt;0,J303,1),6))*IF(N(J303)&gt;0,J303,1)&gt;0,INT(ROUND('参数'!$C$7/(ABS(K303-L303)*1+2*K303*'参数'!$C$12)/IF(N(J303)&gt;0,J303,1),6))*IF(N(J303)&gt;0,J303,1),"预算不足，这笔不做")),"")</f>
        <v/>
      </c>
      <c r="P303" s="35" t="n"/>
      <c r="Q303" s="20" t="str">
        <f>IF(AND(ISNUMBER(K303),ISNUMBER(L303),ISNUMBER(P303)),IF(AND(K303&lt;&gt;L303,P303&gt;0),ABS(K303-L303)*P303*1,""),"")</f>
        <v/>
      </c>
      <c r="R303" s="20" t="str">
        <f>IF(AND(ISNUMBER(K303),ISNUMBER(P303)),K303*P303,"")</f>
        <v/>
      </c>
      <c r="S303" s="20" t="str">
        <f>IF(AND(D303="合约",ISNUMBER(R303),N(G303)&gt;0),R303/G303,"")</f>
        <v/>
      </c>
      <c r="T303" s="36" t="str">
        <f>IF(NOT(D303="合约"),"",IF(H303&lt;&gt;"逐仓","看平台",IF(AND(ISNUMBER(K303),N(G303)&gt;0),IF(F303="空",K303*(1+1/G303-IF(ISNUMBER(I303),I303,'参数'!$C$13)),K303*(1-1/G303+IF(ISNUMBER(I303),I303,'参数'!$C$13))),"")))</f>
        <v/>
      </c>
      <c r="U303" s="37" t="str">
        <f>IF(AND(ISNUMBER(T303),ISNUMBER(L303),ISNUMBER(K303)),IF(F303="空",T303-L303,L303-T303)/K303,"")</f>
        <v/>
      </c>
      <c r="V303" s="38" t="str">
        <f>IF(ISNUMBER(U303),IF(U303&lt;'参数'!$C$15,"先降杠杆或减量","在止损外"),"")</f>
        <v/>
      </c>
      <c r="W303" s="30" t="n"/>
      <c r="X303" s="31" t="n"/>
      <c r="Y303" s="39" t="str">
        <f>IF(N(AB303)&gt;0,SUMPRODUCT(LARGE(('成交明细'!$A$5:$A$804=A303)*('成交明细'!$D$5:$D$804=IF(F303="空","卖","买"))*'成交明细'!$B$5:$B$804,COUNTIFS('成交明细'!$A$5:$A$804,A303,'成交明细'!$D$5:$D$804,IF(F303="空","卖","买")))),"")</f>
        <v/>
      </c>
      <c r="Z303" s="39" t="str">
        <f>IF(AND(N(AB303)&gt;0,N(AD303)&gt;=N(AB303)),SUMPRODUCT(MAX(('成交明细'!$A$5:$A$804=A303)*('成交明细'!$D$5:$D$804=IF(F303="空","买","卖"))*'成交明细'!$B$5:$B$804)),"")</f>
        <v/>
      </c>
      <c r="AA303" s="40" t="str">
        <f>IF(N(AB303)=0,"",IF(SUMPRODUCT(('成交明细'!$A$5:$A$804=A303)*('成交明细'!$D$5:$D$804=IF(F303="空","卖","买"))*ISNUMBER('成交明细'!$C$5:$C$804))=0,"没填时间",IFERROR(VLOOKUP(MOD(SUMPRODUCT(LARGE(('成交明细'!$A$5:$A$804=A303)*('成交明细'!$D$5:$D$804=IF(F303="空","卖","买"))*('成交明细'!$B$5:$B$804+'成交明细'!$C$5:$C$804),COUNTIFS('成交明细'!$A$5:$A$804,A303,'成交明细'!$D$5:$D$804,IF(F303="空","卖","买")))),1),'参数'!$B$39:$C$48,2,TRUE),"")))</f>
        <v/>
      </c>
      <c r="AB303" s="34" t="str">
        <f>IF(A303="","",SUMIFS('成交明细'!$F$5:$F$804,'成交明细'!$A$5:$A$804,A303,'成交明细'!$D$5:$D$804,IF(F303="空","卖","买")))</f>
        <v/>
      </c>
      <c r="AC303" s="41" t="str">
        <f>IF(N(AB303)&gt;0,SUMIFS('成交明细'!$H$5:$H$804,'成交明细'!$A$5:$A$804,A303,'成交明细'!$D$5:$D$804,IF(F303="空","卖","买"))/AB303,"")</f>
        <v/>
      </c>
      <c r="AD303" s="34" t="str">
        <f>IF(A303="","",SUMIFS('成交明细'!$F$5:$F$804,'成交明细'!$A$5:$A$804,A303,'成交明细'!$D$5:$D$804,IF(F303="空","买","卖")))</f>
        <v/>
      </c>
      <c r="AE303" s="41" t="str">
        <f>IF(N(AD303)&gt;0,SUMIFS('成交明细'!$H$5:$H$804,'成交明细'!$A$5:$A$804,A303,'成交明细'!$D$5:$D$804,IF(F303="空","买","卖"))/AD303,"")</f>
        <v/>
      </c>
      <c r="AF303" s="38" t="str">
        <f>IF(A303="","",IF(X303&lt;&gt;"已执行",IF(X303="","未填执行情况",X303),IF(N(AB303)=0,"待录成交",IF(N(AD303)&gt;N(AB303),"平仓多于开仓",IF(N(AD303)&lt;N(AB303),"持仓中","已平仓")))))</f>
        <v/>
      </c>
      <c r="AG303" s="42" t="str">
        <f>IF(N(AB303)=0,"",SUMIFS('成交明细'!$L$5:$L$804,'成交明细'!$A$5:$A$804,A303))</f>
        <v/>
      </c>
      <c r="AH303" s="43" t="str">
        <f>IF(A303="","",SUMIFS('资金费流水'!$F$5:$F$604,'资金费流水'!$B$5:$B$604,A303))</f>
        <v/>
      </c>
      <c r="AI303" s="43" t="str">
        <f>IF(AF303&lt;&gt;"已平仓","",(SUMIFS('成交明细'!$H$5:$H$804,'成交明细'!$A$5:$A$804,A303,'成交明细'!$D$5:$D$804,"卖")-SUMIFS('成交明细'!$H$5:$H$804,'成交明细'!$A$5:$A$804,A303,'成交明细'!$D$5:$D$804,"买"))*1-AG303+N(AH303))</f>
        <v/>
      </c>
      <c r="AJ303" s="44" t="str">
        <f>IF(AND(AF303="已平仓",ISNUMBER(Q303)),(SUMIFS('成交明细'!$H$5:$H$804,'成交明细'!$A$5:$A$804,A303,'成交明细'!$D$5:$D$804,"卖")-SUMIFS('成交明细'!$H$5:$H$804,'成交明细'!$A$5:$A$804,A303,'成交明细'!$D$5:$D$804,"买"))*1/Q303,"")</f>
        <v/>
      </c>
      <c r="AK303" s="44" t="str">
        <f>IF(AND(AF303="已平仓",ISNUMBER(Q303)),AI303/Q303,"")</f>
        <v/>
      </c>
      <c r="AL303" s="45" t="str">
        <f>IF(AND(ISNUMBER(AC303),ISNUMBER(K303)),IF(F303="空",K303-AC303,AC303-K303),"")</f>
        <v/>
      </c>
      <c r="AM303" s="45" t="str">
        <f>IF(OR(NOT(ISNUMBER(AI303)),NOT(ISNUMBER(AE303))),"",IF(AI303&lt;0,IF(F303="空",AE303-L303,L303-AE303),IF(NOT(ISNUMBER(M303)),"",IF(F303="空",AE303-M303,M303-AE303))))</f>
        <v/>
      </c>
      <c r="AN303" s="31" t="n"/>
      <c r="AO303" s="31" t="n"/>
      <c r="AP303" s="30" t="n"/>
      <c r="AQ303" s="44" t="str">
        <f>IF(A303="","",SUM(AK$5:AK303))</f>
        <v/>
      </c>
      <c r="AR303" s="46" t="str">
        <f>IF(A303="","",MAX(0,MAX(AQ$5:AQ303))-AQ303)</f>
        <v/>
      </c>
    </row>
    <row r="304">
      <c r="A304" s="24" t="n"/>
      <c r="B304" s="29" t="n"/>
      <c r="C304" s="30" t="n"/>
      <c r="D304" s="31" t="n"/>
      <c r="E304" s="31" t="n"/>
      <c r="F304" s="31" t="n"/>
      <c r="G304" s="21" t="n"/>
      <c r="H304" s="31" t="n"/>
      <c r="I304" s="23" t="n"/>
      <c r="J304" s="31" t="n"/>
      <c r="K304" s="32" t="n"/>
      <c r="L304" s="32" t="n"/>
      <c r="M304" s="32" t="n"/>
      <c r="N304" s="33" t="str">
        <f>IF(AND(ISNUMBER(K304),ISNUMBER(L304),ISNUMBER(M304)),IF(OR(AND(F304="多",K304&gt;L304),AND(F304="空",K304&lt;L304)),ABS(M304-K304)/ABS(K304-L304),"止损方向不对"),"")</f>
        <v/>
      </c>
      <c r="O304" s="34" t="str">
        <f>IF(AND(ISNUMBER(K304),ISNUMBER(L304)),IF(K304=L304,"",IF(INT(ROUND('参数'!$C$7/(ABS(K304-L304)*1+2*K304*'参数'!$C$12)/IF(N(J304)&gt;0,J304,1),6))*IF(N(J304)&gt;0,J304,1)&gt;0,INT(ROUND('参数'!$C$7/(ABS(K304-L304)*1+2*K304*'参数'!$C$12)/IF(N(J304)&gt;0,J304,1),6))*IF(N(J304)&gt;0,J304,1),"预算不足，这笔不做")),"")</f>
        <v/>
      </c>
      <c r="P304" s="35" t="n"/>
      <c r="Q304" s="20" t="str">
        <f>IF(AND(ISNUMBER(K304),ISNUMBER(L304),ISNUMBER(P304)),IF(AND(K304&lt;&gt;L304,P304&gt;0),ABS(K304-L304)*P304*1,""),"")</f>
        <v/>
      </c>
      <c r="R304" s="20" t="str">
        <f>IF(AND(ISNUMBER(K304),ISNUMBER(P304)),K304*P304,"")</f>
        <v/>
      </c>
      <c r="S304" s="20" t="str">
        <f>IF(AND(D304="合约",ISNUMBER(R304),N(G304)&gt;0),R304/G304,"")</f>
        <v/>
      </c>
      <c r="T304" s="36" t="str">
        <f>IF(NOT(D304="合约"),"",IF(H304&lt;&gt;"逐仓","看平台",IF(AND(ISNUMBER(K304),N(G304)&gt;0),IF(F304="空",K304*(1+1/G304-IF(ISNUMBER(I304),I304,'参数'!$C$13)),K304*(1-1/G304+IF(ISNUMBER(I304),I304,'参数'!$C$13))),"")))</f>
        <v/>
      </c>
      <c r="U304" s="37" t="str">
        <f>IF(AND(ISNUMBER(T304),ISNUMBER(L304),ISNUMBER(K304)),IF(F304="空",T304-L304,L304-T304)/K304,"")</f>
        <v/>
      </c>
      <c r="V304" s="38" t="str">
        <f>IF(ISNUMBER(U304),IF(U304&lt;'参数'!$C$15,"先降杠杆或减量","在止损外"),"")</f>
        <v/>
      </c>
      <c r="W304" s="30" t="n"/>
      <c r="X304" s="31" t="n"/>
      <c r="Y304" s="39" t="str">
        <f>IF(N(AB304)&gt;0,SUMPRODUCT(LARGE(('成交明细'!$A$5:$A$804=A304)*('成交明细'!$D$5:$D$804=IF(F304="空","卖","买"))*'成交明细'!$B$5:$B$804,COUNTIFS('成交明细'!$A$5:$A$804,A304,'成交明细'!$D$5:$D$804,IF(F304="空","卖","买")))),"")</f>
        <v/>
      </c>
      <c r="Z304" s="39" t="str">
        <f>IF(AND(N(AB304)&gt;0,N(AD304)&gt;=N(AB304)),SUMPRODUCT(MAX(('成交明细'!$A$5:$A$804=A304)*('成交明细'!$D$5:$D$804=IF(F304="空","买","卖"))*'成交明细'!$B$5:$B$804)),"")</f>
        <v/>
      </c>
      <c r="AA304" s="40" t="str">
        <f>IF(N(AB304)=0,"",IF(SUMPRODUCT(('成交明细'!$A$5:$A$804=A304)*('成交明细'!$D$5:$D$804=IF(F304="空","卖","买"))*ISNUMBER('成交明细'!$C$5:$C$804))=0,"没填时间",IFERROR(VLOOKUP(MOD(SUMPRODUCT(LARGE(('成交明细'!$A$5:$A$804=A304)*('成交明细'!$D$5:$D$804=IF(F304="空","卖","买"))*('成交明细'!$B$5:$B$804+'成交明细'!$C$5:$C$804),COUNTIFS('成交明细'!$A$5:$A$804,A304,'成交明细'!$D$5:$D$804,IF(F304="空","卖","买")))),1),'参数'!$B$39:$C$48,2,TRUE),"")))</f>
        <v/>
      </c>
      <c r="AB304" s="34" t="str">
        <f>IF(A304="","",SUMIFS('成交明细'!$F$5:$F$804,'成交明细'!$A$5:$A$804,A304,'成交明细'!$D$5:$D$804,IF(F304="空","卖","买")))</f>
        <v/>
      </c>
      <c r="AC304" s="41" t="str">
        <f>IF(N(AB304)&gt;0,SUMIFS('成交明细'!$H$5:$H$804,'成交明细'!$A$5:$A$804,A304,'成交明细'!$D$5:$D$804,IF(F304="空","卖","买"))/AB304,"")</f>
        <v/>
      </c>
      <c r="AD304" s="34" t="str">
        <f>IF(A304="","",SUMIFS('成交明细'!$F$5:$F$804,'成交明细'!$A$5:$A$804,A304,'成交明细'!$D$5:$D$804,IF(F304="空","买","卖")))</f>
        <v/>
      </c>
      <c r="AE304" s="41" t="str">
        <f>IF(N(AD304)&gt;0,SUMIFS('成交明细'!$H$5:$H$804,'成交明细'!$A$5:$A$804,A304,'成交明细'!$D$5:$D$804,IF(F304="空","买","卖"))/AD304,"")</f>
        <v/>
      </c>
      <c r="AF304" s="38" t="str">
        <f>IF(A304="","",IF(X304&lt;&gt;"已执行",IF(X304="","未填执行情况",X304),IF(N(AB304)=0,"待录成交",IF(N(AD304)&gt;N(AB304),"平仓多于开仓",IF(N(AD304)&lt;N(AB304),"持仓中","已平仓")))))</f>
        <v/>
      </c>
      <c r="AG304" s="42" t="str">
        <f>IF(N(AB304)=0,"",SUMIFS('成交明细'!$L$5:$L$804,'成交明细'!$A$5:$A$804,A304))</f>
        <v/>
      </c>
      <c r="AH304" s="43" t="str">
        <f>IF(A304="","",SUMIFS('资金费流水'!$F$5:$F$604,'资金费流水'!$B$5:$B$604,A304))</f>
        <v/>
      </c>
      <c r="AI304" s="43" t="str">
        <f>IF(AF304&lt;&gt;"已平仓","",(SUMIFS('成交明细'!$H$5:$H$804,'成交明细'!$A$5:$A$804,A304,'成交明细'!$D$5:$D$804,"卖")-SUMIFS('成交明细'!$H$5:$H$804,'成交明细'!$A$5:$A$804,A304,'成交明细'!$D$5:$D$804,"买"))*1-AG304+N(AH304))</f>
        <v/>
      </c>
      <c r="AJ304" s="44" t="str">
        <f>IF(AND(AF304="已平仓",ISNUMBER(Q304)),(SUMIFS('成交明细'!$H$5:$H$804,'成交明细'!$A$5:$A$804,A304,'成交明细'!$D$5:$D$804,"卖")-SUMIFS('成交明细'!$H$5:$H$804,'成交明细'!$A$5:$A$804,A304,'成交明细'!$D$5:$D$804,"买"))*1/Q304,"")</f>
        <v/>
      </c>
      <c r="AK304" s="44" t="str">
        <f>IF(AND(AF304="已平仓",ISNUMBER(Q304)),AI304/Q304,"")</f>
        <v/>
      </c>
      <c r="AL304" s="45" t="str">
        <f>IF(AND(ISNUMBER(AC304),ISNUMBER(K304)),IF(F304="空",K304-AC304,AC304-K304),"")</f>
        <v/>
      </c>
      <c r="AM304" s="45" t="str">
        <f>IF(OR(NOT(ISNUMBER(AI304)),NOT(ISNUMBER(AE304))),"",IF(AI304&lt;0,IF(F304="空",AE304-L304,L304-AE304),IF(NOT(ISNUMBER(M304)),"",IF(F304="空",AE304-M304,M304-AE304))))</f>
        <v/>
      </c>
      <c r="AN304" s="31" t="n"/>
      <c r="AO304" s="31" t="n"/>
      <c r="AP304" s="30" t="n"/>
      <c r="AQ304" s="44" t="str">
        <f>IF(A304="","",SUM(AK$5:AK304))</f>
        <v/>
      </c>
      <c r="AR304" s="46" t="str">
        <f>IF(A304="","",MAX(0,MAX(AQ$5:AQ304))-AQ304)</f>
        <v/>
      </c>
    </row>
  </sheetData>
  <mergeCells count="9">
    <mergeCell ref="A2:AR2"/>
    <mergeCell ref="A3:Q3"/>
    <mergeCell ref="AP1:AR1"/>
    <mergeCell ref="AQ3:AR3"/>
    <mergeCell ref="A1:AO1"/>
    <mergeCell ref="R3:V3"/>
    <mergeCell ref="AG3:AM3"/>
    <mergeCell ref="X3:AF3"/>
    <mergeCell ref="AN3:AP3"/>
  </mergeCells>
  <conditionalFormatting sqref="AI5:AI3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J5:AJ30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K5:AK30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Q5:AQ30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AF5:AF304">
    <cfRule type="cellIs" priority="9" operator="equal" dxfId="2">
      <formula>"持仓中"</formula>
    </cfRule>
    <cfRule type="expression" priority="10" dxfId="3">
      <formula>OR($AF5="待录成交",$AF5="平仓多于开仓",$AF5="未填执行情况")</formula>
    </cfRule>
  </conditionalFormatting>
  <conditionalFormatting sqref="O5:O304">
    <cfRule type="cellIs" priority="11" operator="equal" dxfId="3">
      <formula>"预算不足，这笔不做"</formula>
    </cfRule>
  </conditionalFormatting>
  <conditionalFormatting sqref="N5:N304">
    <cfRule type="cellIs" priority="12" operator="equal" dxfId="3">
      <formula>"止损方向不对"</formula>
    </cfRule>
  </conditionalFormatting>
  <conditionalFormatting sqref="P5:P304">
    <cfRule type="expression" priority="13" dxfId="4">
      <formula>AND(ISNUMBER($P5),ISNUMBER($O5),$P5&gt;$O5)</formula>
    </cfRule>
  </conditionalFormatting>
  <conditionalFormatting sqref="AN5:AO304">
    <cfRule type="expression" priority="14" dxfId="5">
      <formula>AND(OR($AN5="C",$AN5="D"),N($AK5)&gt;0)</formula>
    </cfRule>
  </conditionalFormatting>
  <conditionalFormatting sqref="AL5:AL304">
    <cfRule type="expression" priority="15" dxfId="4">
      <formula>AND(ISNUMBER($AL5),$AL5&gt;ABS($K5)*0.01)</formula>
    </cfRule>
  </conditionalFormatting>
  <conditionalFormatting sqref="F5:F304">
    <cfRule type="expression" priority="16" dxfId="3">
      <formula>AND($D5="现货",$F5="空")</formula>
    </cfRule>
  </conditionalFormatting>
  <conditionalFormatting sqref="V5:V304">
    <cfRule type="cellIs" priority="17" operator="equal" dxfId="6">
      <formula>"先降杠杆或减量"</formula>
    </cfRule>
  </conditionalFormatting>
  <dataValidations count="9">
    <dataValidation sqref="A5:A30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3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5:E304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F5:F304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X5:X30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N5:AN30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O5:AO304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  <dataValidation sqref="D5:D304" showDropDown="0" showInputMessage="1" showErrorMessage="1" allowBlank="1" errorTitle="不在选项里" error="请从下拉里选；要加新选项，先去参数页的下拉选项里加。" promptTitle="怎么填" prompt="现货还是合约。现货不用填杠杆和保证金模式。" type="list" errorStyle="stop">
      <formula1>'参数'!$I$22:$I$33</formula1>
    </dataValidation>
    <dataValidation sqref="H5:H304" showDropDown="0" showInputMessage="1" showErrorMessage="1" allowBlank="1" errorTitle="不在选项里" error="请从下拉里选；要加新选项，先去参数页的下拉选项里加。" promptTitle="怎么填" prompt="逐仓才估强平价；全仓、币本位显示「看平台」。" type="list" errorStyle="stop">
      <formula1>'参数'!$J$22:$J$33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  <colBreaks count="1" manualBreakCount="1">
    <brk id="23" min="0" max="16383" man="1"/>
  </colBreaks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N8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6.5" customWidth="1" min="7" max="7"/>
    <col width="10" customWidth="1" min="8" max="8"/>
    <col width="8" customWidth="1" min="9" max="9"/>
    <col width="8" customWidth="1" min="10" max="10"/>
    <col width="9" customWidth="1" min="11" max="11"/>
    <col width="8" customWidth="1" min="12" max="12"/>
    <col width="10" customWidth="1" min="13" max="13"/>
    <col width="20" customWidth="1" min="14" max="14"/>
  </cols>
  <sheetData>
    <row r="1" ht="30" customHeight="1">
      <c r="A1" s="13" t="inlineStr">
        <is>
          <t>加密货币交易日志：成交明细（每成交一笔记一行）</t>
        </is>
      </c>
      <c r="L1" s="14" t="inlineStr">
        <is>
          <t>TradeLearn · XtradingTime 交易内训</t>
        </is>
      </c>
    </row>
    <row r="2" ht="20" customHeight="1">
      <c r="A2" s="2" t="inlineStr">
        <is>
          <t>照成交记录抄，挂单还是吃单要分清，费率不一样。手续费用别的币扣的，换算成 USDT 填在「实际费用」。链上转账费记在「其他费用」。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inlineStr">
        <is>
          <t>核对</t>
        </is>
      </c>
      <c r="N3" s="28" t="n"/>
    </row>
    <row r="4" ht="54.4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时间</t>
        </is>
      </c>
      <c r="D4" s="25" t="inlineStr">
        <is>
          <t>买卖</t>
        </is>
      </c>
      <c r="E4" s="25" t="inlineStr">
        <is>
          <t>成交价</t>
        </is>
      </c>
      <c r="F4" s="25" t="inlineStr">
        <is>
          <t>数量</t>
        </is>
      </c>
      <c r="G4" s="25" t="inlineStr">
        <is>
          <t>挂单 / 吃单</t>
        </is>
      </c>
      <c r="H4" s="25" t="inlineStr">
        <is>
          <t>价格 × 数量</t>
        </is>
      </c>
      <c r="I4" s="25" t="inlineStr">
        <is>
          <t>手续费估算</t>
        </is>
      </c>
      <c r="J4" s="25" t="inlineStr">
        <is>
          <t>其他费用（链上转账等）</t>
        </is>
      </c>
      <c r="K4" s="25" t="inlineStr">
        <is>
          <t>实际费用（成交单有就填）</t>
        </is>
      </c>
      <c r="L4" s="25" t="inlineStr">
        <is>
          <t>计入费用</t>
        </is>
      </c>
      <c r="M4" s="25" t="inlineStr">
        <is>
          <t>品种</t>
        </is>
      </c>
      <c r="N4" s="25" t="inlineStr">
        <is>
          <t>备注</t>
        </is>
      </c>
    </row>
    <row r="5">
      <c r="A5" s="24" t="n"/>
      <c r="B5" s="29" t="n"/>
      <c r="C5" s="27" t="n"/>
      <c r="D5" s="31" t="n"/>
      <c r="E5" s="32" t="n"/>
      <c r="F5" s="35" t="n"/>
      <c r="G5" s="31" t="n"/>
      <c r="H5" s="20" t="str">
        <f>IF(AND(ISNUMBER(E5),ISNUMBER(F5)),E5*F5,"")</f>
        <v/>
      </c>
      <c r="I5" s="42" t="str">
        <f>IF(ISNUMBER(H5),ROUND(H5*IF(G5="挂单",'参数'!$C$11,'参数'!$C$12),4),"")</f>
        <v/>
      </c>
      <c r="J5" s="47" t="n"/>
      <c r="K5" s="47" t="n"/>
      <c r="L5" s="20" t="str">
        <f>IF(ISNUMBER(K5),K5+N(J5),IF(ISNUMBER(H5),I5+N(J5),""))</f>
        <v/>
      </c>
      <c r="M5" s="40" t="str">
        <f>IF(A5="","",IFERROR(T(INDEX('交易记录'!$C$5:$C$304,MATCH(A5,'交易记录'!$A$5:$A$304,0))),"编号没找到"))</f>
        <v/>
      </c>
      <c r="N5" s="30" t="n"/>
    </row>
    <row r="6">
      <c r="A6" s="24" t="n"/>
      <c r="B6" s="29" t="n"/>
      <c r="C6" s="27" t="n"/>
      <c r="D6" s="31" t="n"/>
      <c r="E6" s="32" t="n"/>
      <c r="F6" s="35" t="n"/>
      <c r="G6" s="31" t="n"/>
      <c r="H6" s="20" t="str">
        <f>IF(AND(ISNUMBER(E6),ISNUMBER(F6)),E6*F6,"")</f>
        <v/>
      </c>
      <c r="I6" s="42" t="str">
        <f>IF(ISNUMBER(H6),ROUND(H6*IF(G6="挂单",'参数'!$C$11,'参数'!$C$12),4),"")</f>
        <v/>
      </c>
      <c r="J6" s="47" t="n"/>
      <c r="K6" s="47" t="n"/>
      <c r="L6" s="20" t="str">
        <f>IF(ISNUMBER(K6),K6+N(J6),IF(ISNUMBER(H6),I6+N(J6),""))</f>
        <v/>
      </c>
      <c r="M6" s="40" t="str">
        <f>IF(A6="","",IFERROR(T(INDEX('交易记录'!$C$5:$C$304,MATCH(A6,'交易记录'!$A$5:$A$304,0))),"编号没找到"))</f>
        <v/>
      </c>
      <c r="N6" s="30" t="n"/>
    </row>
    <row r="7">
      <c r="A7" s="24" t="n"/>
      <c r="B7" s="29" t="n"/>
      <c r="C7" s="27" t="n"/>
      <c r="D7" s="31" t="n"/>
      <c r="E7" s="32" t="n"/>
      <c r="F7" s="35" t="n"/>
      <c r="G7" s="31" t="n"/>
      <c r="H7" s="20" t="str">
        <f>IF(AND(ISNUMBER(E7),ISNUMBER(F7)),E7*F7,"")</f>
        <v/>
      </c>
      <c r="I7" s="42" t="str">
        <f>IF(ISNUMBER(H7),ROUND(H7*IF(G7="挂单",'参数'!$C$11,'参数'!$C$12),4),"")</f>
        <v/>
      </c>
      <c r="J7" s="47" t="n"/>
      <c r="K7" s="47" t="n"/>
      <c r="L7" s="20" t="str">
        <f>IF(ISNUMBER(K7),K7+N(J7),IF(ISNUMBER(H7),I7+N(J7),""))</f>
        <v/>
      </c>
      <c r="M7" s="40" t="str">
        <f>IF(A7="","",IFERROR(T(INDEX('交易记录'!$C$5:$C$304,MATCH(A7,'交易记录'!$A$5:$A$304,0))),"编号没找到"))</f>
        <v/>
      </c>
      <c r="N7" s="30" t="n"/>
    </row>
    <row r="8">
      <c r="A8" s="24" t="n"/>
      <c r="B8" s="29" t="n"/>
      <c r="C8" s="27" t="n"/>
      <c r="D8" s="31" t="n"/>
      <c r="E8" s="32" t="n"/>
      <c r="F8" s="35" t="n"/>
      <c r="G8" s="31" t="n"/>
      <c r="H8" s="20" t="str">
        <f>IF(AND(ISNUMBER(E8),ISNUMBER(F8)),E8*F8,"")</f>
        <v/>
      </c>
      <c r="I8" s="42" t="str">
        <f>IF(ISNUMBER(H8),ROUND(H8*IF(G8="挂单",'参数'!$C$11,'参数'!$C$12),4),"")</f>
        <v/>
      </c>
      <c r="J8" s="47" t="n"/>
      <c r="K8" s="47" t="n"/>
      <c r="L8" s="20" t="str">
        <f>IF(ISNUMBER(K8),K8+N(J8),IF(ISNUMBER(H8),I8+N(J8),""))</f>
        <v/>
      </c>
      <c r="M8" s="40" t="str">
        <f>IF(A8="","",IFERROR(T(INDEX('交易记录'!$C$5:$C$304,MATCH(A8,'交易记录'!$A$5:$A$304,0))),"编号没找到"))</f>
        <v/>
      </c>
      <c r="N8" s="30" t="n"/>
    </row>
    <row r="9">
      <c r="A9" s="24" t="n"/>
      <c r="B9" s="29" t="n"/>
      <c r="C9" s="27" t="n"/>
      <c r="D9" s="31" t="n"/>
      <c r="E9" s="32" t="n"/>
      <c r="F9" s="35" t="n"/>
      <c r="G9" s="31" t="n"/>
      <c r="H9" s="20" t="str">
        <f>IF(AND(ISNUMBER(E9),ISNUMBER(F9)),E9*F9,"")</f>
        <v/>
      </c>
      <c r="I9" s="42" t="str">
        <f>IF(ISNUMBER(H9),ROUND(H9*IF(G9="挂单",'参数'!$C$11,'参数'!$C$12),4),"")</f>
        <v/>
      </c>
      <c r="J9" s="47" t="n"/>
      <c r="K9" s="47" t="n"/>
      <c r="L9" s="20" t="str">
        <f>IF(ISNUMBER(K9),K9+N(J9),IF(ISNUMBER(H9),I9+N(J9),""))</f>
        <v/>
      </c>
      <c r="M9" s="40" t="str">
        <f>IF(A9="","",IFERROR(T(INDEX('交易记录'!$C$5:$C$304,MATCH(A9,'交易记录'!$A$5:$A$304,0))),"编号没找到"))</f>
        <v/>
      </c>
      <c r="N9" s="30" t="n"/>
    </row>
    <row r="10">
      <c r="A10" s="24" t="n"/>
      <c r="B10" s="29" t="n"/>
      <c r="C10" s="27" t="n"/>
      <c r="D10" s="31" t="n"/>
      <c r="E10" s="32" t="n"/>
      <c r="F10" s="35" t="n"/>
      <c r="G10" s="31" t="n"/>
      <c r="H10" s="20" t="str">
        <f>IF(AND(ISNUMBER(E10),ISNUMBER(F10)),E10*F10,"")</f>
        <v/>
      </c>
      <c r="I10" s="42" t="str">
        <f>IF(ISNUMBER(H10),ROUND(H10*IF(G10="挂单",'参数'!$C$11,'参数'!$C$12),4),"")</f>
        <v/>
      </c>
      <c r="J10" s="47" t="n"/>
      <c r="K10" s="47" t="n"/>
      <c r="L10" s="20" t="str">
        <f>IF(ISNUMBER(K10),K10+N(J10),IF(ISNUMBER(H10),I10+N(J10),""))</f>
        <v/>
      </c>
      <c r="M10" s="40" t="str">
        <f>IF(A10="","",IFERROR(T(INDEX('交易记录'!$C$5:$C$304,MATCH(A10,'交易记录'!$A$5:$A$304,0))),"编号没找到"))</f>
        <v/>
      </c>
      <c r="N10" s="30" t="n"/>
    </row>
    <row r="11">
      <c r="A11" s="24" t="n"/>
      <c r="B11" s="29" t="n"/>
      <c r="C11" s="27" t="n"/>
      <c r="D11" s="31" t="n"/>
      <c r="E11" s="32" t="n"/>
      <c r="F11" s="35" t="n"/>
      <c r="G11" s="31" t="n"/>
      <c r="H11" s="20" t="str">
        <f>IF(AND(ISNUMBER(E11),ISNUMBER(F11)),E11*F11,"")</f>
        <v/>
      </c>
      <c r="I11" s="42" t="str">
        <f>IF(ISNUMBER(H11),ROUND(H11*IF(G11="挂单",'参数'!$C$11,'参数'!$C$12),4),"")</f>
        <v/>
      </c>
      <c r="J11" s="47" t="n"/>
      <c r="K11" s="47" t="n"/>
      <c r="L11" s="20" t="str">
        <f>IF(ISNUMBER(K11),K11+N(J11),IF(ISNUMBER(H11),I11+N(J11),""))</f>
        <v/>
      </c>
      <c r="M11" s="40" t="str">
        <f>IF(A11="","",IFERROR(T(INDEX('交易记录'!$C$5:$C$304,MATCH(A11,'交易记录'!$A$5:$A$304,0))),"编号没找到"))</f>
        <v/>
      </c>
      <c r="N11" s="30" t="n"/>
    </row>
    <row r="12">
      <c r="A12" s="24" t="n"/>
      <c r="B12" s="29" t="n"/>
      <c r="C12" s="27" t="n"/>
      <c r="D12" s="31" t="n"/>
      <c r="E12" s="32" t="n"/>
      <c r="F12" s="35" t="n"/>
      <c r="G12" s="31" t="n"/>
      <c r="H12" s="20" t="str">
        <f>IF(AND(ISNUMBER(E12),ISNUMBER(F12)),E12*F12,"")</f>
        <v/>
      </c>
      <c r="I12" s="42" t="str">
        <f>IF(ISNUMBER(H12),ROUND(H12*IF(G12="挂单",'参数'!$C$11,'参数'!$C$12),4),"")</f>
        <v/>
      </c>
      <c r="J12" s="47" t="n"/>
      <c r="K12" s="47" t="n"/>
      <c r="L12" s="20" t="str">
        <f>IF(ISNUMBER(K12),K12+N(J12),IF(ISNUMBER(H12),I12+N(J12),""))</f>
        <v/>
      </c>
      <c r="M12" s="40" t="str">
        <f>IF(A12="","",IFERROR(T(INDEX('交易记录'!$C$5:$C$304,MATCH(A12,'交易记录'!$A$5:$A$304,0))),"编号没找到"))</f>
        <v/>
      </c>
      <c r="N12" s="30" t="n"/>
    </row>
    <row r="13">
      <c r="A13" s="24" t="n"/>
      <c r="B13" s="29" t="n"/>
      <c r="C13" s="27" t="n"/>
      <c r="D13" s="31" t="n"/>
      <c r="E13" s="32" t="n"/>
      <c r="F13" s="35" t="n"/>
      <c r="G13" s="31" t="n"/>
      <c r="H13" s="20" t="str">
        <f>IF(AND(ISNUMBER(E13),ISNUMBER(F13)),E13*F13,"")</f>
        <v/>
      </c>
      <c r="I13" s="42" t="str">
        <f>IF(ISNUMBER(H13),ROUND(H13*IF(G13="挂单",'参数'!$C$11,'参数'!$C$12),4),"")</f>
        <v/>
      </c>
      <c r="J13" s="47" t="n"/>
      <c r="K13" s="47" t="n"/>
      <c r="L13" s="20" t="str">
        <f>IF(ISNUMBER(K13),K13+N(J13),IF(ISNUMBER(H13),I13+N(J13),""))</f>
        <v/>
      </c>
      <c r="M13" s="40" t="str">
        <f>IF(A13="","",IFERROR(T(INDEX('交易记录'!$C$5:$C$304,MATCH(A13,'交易记录'!$A$5:$A$304,0))),"编号没找到"))</f>
        <v/>
      </c>
      <c r="N13" s="30" t="n"/>
    </row>
    <row r="14">
      <c r="A14" s="24" t="n"/>
      <c r="B14" s="29" t="n"/>
      <c r="C14" s="27" t="n"/>
      <c r="D14" s="31" t="n"/>
      <c r="E14" s="32" t="n"/>
      <c r="F14" s="35" t="n"/>
      <c r="G14" s="31" t="n"/>
      <c r="H14" s="20" t="str">
        <f>IF(AND(ISNUMBER(E14),ISNUMBER(F14)),E14*F14,"")</f>
        <v/>
      </c>
      <c r="I14" s="42" t="str">
        <f>IF(ISNUMBER(H14),ROUND(H14*IF(G14="挂单",'参数'!$C$11,'参数'!$C$12),4),"")</f>
        <v/>
      </c>
      <c r="J14" s="47" t="n"/>
      <c r="K14" s="47" t="n"/>
      <c r="L14" s="20" t="str">
        <f>IF(ISNUMBER(K14),K14+N(J14),IF(ISNUMBER(H14),I14+N(J14),""))</f>
        <v/>
      </c>
      <c r="M14" s="40" t="str">
        <f>IF(A14="","",IFERROR(T(INDEX('交易记录'!$C$5:$C$304,MATCH(A14,'交易记录'!$A$5:$A$304,0))),"编号没找到"))</f>
        <v/>
      </c>
      <c r="N14" s="30" t="n"/>
    </row>
    <row r="15">
      <c r="A15" s="24" t="n"/>
      <c r="B15" s="29" t="n"/>
      <c r="C15" s="27" t="n"/>
      <c r="D15" s="31" t="n"/>
      <c r="E15" s="32" t="n"/>
      <c r="F15" s="35" t="n"/>
      <c r="G15" s="31" t="n"/>
      <c r="H15" s="20" t="str">
        <f>IF(AND(ISNUMBER(E15),ISNUMBER(F15)),E15*F15,"")</f>
        <v/>
      </c>
      <c r="I15" s="42" t="str">
        <f>IF(ISNUMBER(H15),ROUND(H15*IF(G15="挂单",'参数'!$C$11,'参数'!$C$12),4),"")</f>
        <v/>
      </c>
      <c r="J15" s="47" t="n"/>
      <c r="K15" s="47" t="n"/>
      <c r="L15" s="20" t="str">
        <f>IF(ISNUMBER(K15),K15+N(J15),IF(ISNUMBER(H15),I15+N(J15),""))</f>
        <v/>
      </c>
      <c r="M15" s="40" t="str">
        <f>IF(A15="","",IFERROR(T(INDEX('交易记录'!$C$5:$C$304,MATCH(A15,'交易记录'!$A$5:$A$304,0))),"编号没找到"))</f>
        <v/>
      </c>
      <c r="N15" s="30" t="n"/>
    </row>
    <row r="16">
      <c r="A16" s="24" t="n"/>
      <c r="B16" s="29" t="n"/>
      <c r="C16" s="27" t="n"/>
      <c r="D16" s="31" t="n"/>
      <c r="E16" s="32" t="n"/>
      <c r="F16" s="35" t="n"/>
      <c r="G16" s="31" t="n"/>
      <c r="H16" s="20" t="str">
        <f>IF(AND(ISNUMBER(E16),ISNUMBER(F16)),E16*F16,"")</f>
        <v/>
      </c>
      <c r="I16" s="42" t="str">
        <f>IF(ISNUMBER(H16),ROUND(H16*IF(G16="挂单",'参数'!$C$11,'参数'!$C$12),4),"")</f>
        <v/>
      </c>
      <c r="J16" s="47" t="n"/>
      <c r="K16" s="47" t="n"/>
      <c r="L16" s="20" t="str">
        <f>IF(ISNUMBER(K16),K16+N(J16),IF(ISNUMBER(H16),I16+N(J16),""))</f>
        <v/>
      </c>
      <c r="M16" s="40" t="str">
        <f>IF(A16="","",IFERROR(T(INDEX('交易记录'!$C$5:$C$304,MATCH(A16,'交易记录'!$A$5:$A$304,0))),"编号没找到"))</f>
        <v/>
      </c>
      <c r="N16" s="30" t="n"/>
    </row>
    <row r="17">
      <c r="A17" s="24" t="n"/>
      <c r="B17" s="29" t="n"/>
      <c r="C17" s="27" t="n"/>
      <c r="D17" s="31" t="n"/>
      <c r="E17" s="32" t="n"/>
      <c r="F17" s="35" t="n"/>
      <c r="G17" s="31" t="n"/>
      <c r="H17" s="20" t="str">
        <f>IF(AND(ISNUMBER(E17),ISNUMBER(F17)),E17*F17,"")</f>
        <v/>
      </c>
      <c r="I17" s="42" t="str">
        <f>IF(ISNUMBER(H17),ROUND(H17*IF(G17="挂单",'参数'!$C$11,'参数'!$C$12),4),"")</f>
        <v/>
      </c>
      <c r="J17" s="47" t="n"/>
      <c r="K17" s="47" t="n"/>
      <c r="L17" s="20" t="str">
        <f>IF(ISNUMBER(K17),K17+N(J17),IF(ISNUMBER(H17),I17+N(J17),""))</f>
        <v/>
      </c>
      <c r="M17" s="40" t="str">
        <f>IF(A17="","",IFERROR(T(INDEX('交易记录'!$C$5:$C$304,MATCH(A17,'交易记录'!$A$5:$A$304,0))),"编号没找到"))</f>
        <v/>
      </c>
      <c r="N17" s="30" t="n"/>
    </row>
    <row r="18">
      <c r="A18" s="24" t="n"/>
      <c r="B18" s="29" t="n"/>
      <c r="C18" s="27" t="n"/>
      <c r="D18" s="31" t="n"/>
      <c r="E18" s="32" t="n"/>
      <c r="F18" s="35" t="n"/>
      <c r="G18" s="31" t="n"/>
      <c r="H18" s="20" t="str">
        <f>IF(AND(ISNUMBER(E18),ISNUMBER(F18)),E18*F18,"")</f>
        <v/>
      </c>
      <c r="I18" s="42" t="str">
        <f>IF(ISNUMBER(H18),ROUND(H18*IF(G18="挂单",'参数'!$C$11,'参数'!$C$12),4),"")</f>
        <v/>
      </c>
      <c r="J18" s="47" t="n"/>
      <c r="K18" s="47" t="n"/>
      <c r="L18" s="20" t="str">
        <f>IF(ISNUMBER(K18),K18+N(J18),IF(ISNUMBER(H18),I18+N(J18),""))</f>
        <v/>
      </c>
      <c r="M18" s="40" t="str">
        <f>IF(A18="","",IFERROR(T(INDEX('交易记录'!$C$5:$C$304,MATCH(A18,'交易记录'!$A$5:$A$304,0))),"编号没找到"))</f>
        <v/>
      </c>
      <c r="N18" s="30" t="n"/>
    </row>
    <row r="19">
      <c r="A19" s="24" t="n"/>
      <c r="B19" s="29" t="n"/>
      <c r="C19" s="27" t="n"/>
      <c r="D19" s="31" t="n"/>
      <c r="E19" s="32" t="n"/>
      <c r="F19" s="35" t="n"/>
      <c r="G19" s="31" t="n"/>
      <c r="H19" s="20" t="str">
        <f>IF(AND(ISNUMBER(E19),ISNUMBER(F19)),E19*F19,"")</f>
        <v/>
      </c>
      <c r="I19" s="42" t="str">
        <f>IF(ISNUMBER(H19),ROUND(H19*IF(G19="挂单",'参数'!$C$11,'参数'!$C$12),4),"")</f>
        <v/>
      </c>
      <c r="J19" s="47" t="n"/>
      <c r="K19" s="47" t="n"/>
      <c r="L19" s="20" t="str">
        <f>IF(ISNUMBER(K19),K19+N(J19),IF(ISNUMBER(H19),I19+N(J19),""))</f>
        <v/>
      </c>
      <c r="M19" s="40" t="str">
        <f>IF(A19="","",IFERROR(T(INDEX('交易记录'!$C$5:$C$304,MATCH(A19,'交易记录'!$A$5:$A$304,0))),"编号没找到"))</f>
        <v/>
      </c>
      <c r="N19" s="30" t="n"/>
    </row>
    <row r="20">
      <c r="A20" s="24" t="n"/>
      <c r="B20" s="29" t="n"/>
      <c r="C20" s="27" t="n"/>
      <c r="D20" s="31" t="n"/>
      <c r="E20" s="32" t="n"/>
      <c r="F20" s="35" t="n"/>
      <c r="G20" s="31" t="n"/>
      <c r="H20" s="20" t="str">
        <f>IF(AND(ISNUMBER(E20),ISNUMBER(F20)),E20*F20,"")</f>
        <v/>
      </c>
      <c r="I20" s="42" t="str">
        <f>IF(ISNUMBER(H20),ROUND(H20*IF(G20="挂单",'参数'!$C$11,'参数'!$C$12),4),"")</f>
        <v/>
      </c>
      <c r="J20" s="47" t="n"/>
      <c r="K20" s="47" t="n"/>
      <c r="L20" s="20" t="str">
        <f>IF(ISNUMBER(K20),K20+N(J20),IF(ISNUMBER(H20),I20+N(J20),""))</f>
        <v/>
      </c>
      <c r="M20" s="40" t="str">
        <f>IF(A20="","",IFERROR(T(INDEX('交易记录'!$C$5:$C$304,MATCH(A20,'交易记录'!$A$5:$A$304,0))),"编号没找到"))</f>
        <v/>
      </c>
      <c r="N20" s="30" t="n"/>
    </row>
    <row r="21">
      <c r="A21" s="24" t="n"/>
      <c r="B21" s="29" t="n"/>
      <c r="C21" s="27" t="n"/>
      <c r="D21" s="31" t="n"/>
      <c r="E21" s="32" t="n"/>
      <c r="F21" s="35" t="n"/>
      <c r="G21" s="31" t="n"/>
      <c r="H21" s="20" t="str">
        <f>IF(AND(ISNUMBER(E21),ISNUMBER(F21)),E21*F21,"")</f>
        <v/>
      </c>
      <c r="I21" s="42" t="str">
        <f>IF(ISNUMBER(H21),ROUND(H21*IF(G21="挂单",'参数'!$C$11,'参数'!$C$12),4),"")</f>
        <v/>
      </c>
      <c r="J21" s="47" t="n"/>
      <c r="K21" s="47" t="n"/>
      <c r="L21" s="20" t="str">
        <f>IF(ISNUMBER(K21),K21+N(J21),IF(ISNUMBER(H21),I21+N(J21),""))</f>
        <v/>
      </c>
      <c r="M21" s="40" t="str">
        <f>IF(A21="","",IFERROR(T(INDEX('交易记录'!$C$5:$C$304,MATCH(A21,'交易记录'!$A$5:$A$304,0))),"编号没找到"))</f>
        <v/>
      </c>
      <c r="N21" s="30" t="n"/>
    </row>
    <row r="22">
      <c r="A22" s="24" t="n"/>
      <c r="B22" s="29" t="n"/>
      <c r="C22" s="27" t="n"/>
      <c r="D22" s="31" t="n"/>
      <c r="E22" s="32" t="n"/>
      <c r="F22" s="35" t="n"/>
      <c r="G22" s="31" t="n"/>
      <c r="H22" s="20" t="str">
        <f>IF(AND(ISNUMBER(E22),ISNUMBER(F22)),E22*F22,"")</f>
        <v/>
      </c>
      <c r="I22" s="42" t="str">
        <f>IF(ISNUMBER(H22),ROUND(H22*IF(G22="挂单",'参数'!$C$11,'参数'!$C$12),4),"")</f>
        <v/>
      </c>
      <c r="J22" s="47" t="n"/>
      <c r="K22" s="47" t="n"/>
      <c r="L22" s="20" t="str">
        <f>IF(ISNUMBER(K22),K22+N(J22),IF(ISNUMBER(H22),I22+N(J22),""))</f>
        <v/>
      </c>
      <c r="M22" s="40" t="str">
        <f>IF(A22="","",IFERROR(T(INDEX('交易记录'!$C$5:$C$304,MATCH(A22,'交易记录'!$A$5:$A$304,0))),"编号没找到"))</f>
        <v/>
      </c>
      <c r="N22" s="30" t="n"/>
    </row>
    <row r="23">
      <c r="A23" s="24" t="n"/>
      <c r="B23" s="29" t="n"/>
      <c r="C23" s="27" t="n"/>
      <c r="D23" s="31" t="n"/>
      <c r="E23" s="32" t="n"/>
      <c r="F23" s="35" t="n"/>
      <c r="G23" s="31" t="n"/>
      <c r="H23" s="20" t="str">
        <f>IF(AND(ISNUMBER(E23),ISNUMBER(F23)),E23*F23,"")</f>
        <v/>
      </c>
      <c r="I23" s="42" t="str">
        <f>IF(ISNUMBER(H23),ROUND(H23*IF(G23="挂单",'参数'!$C$11,'参数'!$C$12),4),"")</f>
        <v/>
      </c>
      <c r="J23" s="47" t="n"/>
      <c r="K23" s="47" t="n"/>
      <c r="L23" s="20" t="str">
        <f>IF(ISNUMBER(K23),K23+N(J23),IF(ISNUMBER(H23),I23+N(J23),""))</f>
        <v/>
      </c>
      <c r="M23" s="40" t="str">
        <f>IF(A23="","",IFERROR(T(INDEX('交易记录'!$C$5:$C$304,MATCH(A23,'交易记录'!$A$5:$A$304,0))),"编号没找到"))</f>
        <v/>
      </c>
      <c r="N23" s="30" t="n"/>
    </row>
    <row r="24">
      <c r="A24" s="24" t="n"/>
      <c r="B24" s="29" t="n"/>
      <c r="C24" s="27" t="n"/>
      <c r="D24" s="31" t="n"/>
      <c r="E24" s="32" t="n"/>
      <c r="F24" s="35" t="n"/>
      <c r="G24" s="31" t="n"/>
      <c r="H24" s="20" t="str">
        <f>IF(AND(ISNUMBER(E24),ISNUMBER(F24)),E24*F24,"")</f>
        <v/>
      </c>
      <c r="I24" s="42" t="str">
        <f>IF(ISNUMBER(H24),ROUND(H24*IF(G24="挂单",'参数'!$C$11,'参数'!$C$12),4),"")</f>
        <v/>
      </c>
      <c r="J24" s="47" t="n"/>
      <c r="K24" s="47" t="n"/>
      <c r="L24" s="20" t="str">
        <f>IF(ISNUMBER(K24),K24+N(J24),IF(ISNUMBER(H24),I24+N(J24),""))</f>
        <v/>
      </c>
      <c r="M24" s="40" t="str">
        <f>IF(A24="","",IFERROR(T(INDEX('交易记录'!$C$5:$C$304,MATCH(A24,'交易记录'!$A$5:$A$304,0))),"编号没找到"))</f>
        <v/>
      </c>
      <c r="N24" s="30" t="n"/>
    </row>
    <row r="25">
      <c r="A25" s="24" t="n"/>
      <c r="B25" s="29" t="n"/>
      <c r="C25" s="27" t="n"/>
      <c r="D25" s="31" t="n"/>
      <c r="E25" s="32" t="n"/>
      <c r="F25" s="35" t="n"/>
      <c r="G25" s="31" t="n"/>
      <c r="H25" s="20" t="str">
        <f>IF(AND(ISNUMBER(E25),ISNUMBER(F25)),E25*F25,"")</f>
        <v/>
      </c>
      <c r="I25" s="42" t="str">
        <f>IF(ISNUMBER(H25),ROUND(H25*IF(G25="挂单",'参数'!$C$11,'参数'!$C$12),4),"")</f>
        <v/>
      </c>
      <c r="J25" s="47" t="n"/>
      <c r="K25" s="47" t="n"/>
      <c r="L25" s="20" t="str">
        <f>IF(ISNUMBER(K25),K25+N(J25),IF(ISNUMBER(H25),I25+N(J25),""))</f>
        <v/>
      </c>
      <c r="M25" s="40" t="str">
        <f>IF(A25="","",IFERROR(T(INDEX('交易记录'!$C$5:$C$304,MATCH(A25,'交易记录'!$A$5:$A$304,0))),"编号没找到"))</f>
        <v/>
      </c>
      <c r="N25" s="30" t="n"/>
    </row>
    <row r="26">
      <c r="A26" s="24" t="n"/>
      <c r="B26" s="29" t="n"/>
      <c r="C26" s="27" t="n"/>
      <c r="D26" s="31" t="n"/>
      <c r="E26" s="32" t="n"/>
      <c r="F26" s="35" t="n"/>
      <c r="G26" s="31" t="n"/>
      <c r="H26" s="20" t="str">
        <f>IF(AND(ISNUMBER(E26),ISNUMBER(F26)),E26*F26,"")</f>
        <v/>
      </c>
      <c r="I26" s="42" t="str">
        <f>IF(ISNUMBER(H26),ROUND(H26*IF(G26="挂单",'参数'!$C$11,'参数'!$C$12),4),"")</f>
        <v/>
      </c>
      <c r="J26" s="47" t="n"/>
      <c r="K26" s="47" t="n"/>
      <c r="L26" s="20" t="str">
        <f>IF(ISNUMBER(K26),K26+N(J26),IF(ISNUMBER(H26),I26+N(J26),""))</f>
        <v/>
      </c>
      <c r="M26" s="40" t="str">
        <f>IF(A26="","",IFERROR(T(INDEX('交易记录'!$C$5:$C$304,MATCH(A26,'交易记录'!$A$5:$A$304,0))),"编号没找到"))</f>
        <v/>
      </c>
      <c r="N26" s="30" t="n"/>
    </row>
    <row r="27">
      <c r="A27" s="24" t="n"/>
      <c r="B27" s="29" t="n"/>
      <c r="C27" s="27" t="n"/>
      <c r="D27" s="31" t="n"/>
      <c r="E27" s="32" t="n"/>
      <c r="F27" s="35" t="n"/>
      <c r="G27" s="31" t="n"/>
      <c r="H27" s="20" t="str">
        <f>IF(AND(ISNUMBER(E27),ISNUMBER(F27)),E27*F27,"")</f>
        <v/>
      </c>
      <c r="I27" s="42" t="str">
        <f>IF(ISNUMBER(H27),ROUND(H27*IF(G27="挂单",'参数'!$C$11,'参数'!$C$12),4),"")</f>
        <v/>
      </c>
      <c r="J27" s="47" t="n"/>
      <c r="K27" s="47" t="n"/>
      <c r="L27" s="20" t="str">
        <f>IF(ISNUMBER(K27),K27+N(J27),IF(ISNUMBER(H27),I27+N(J27),""))</f>
        <v/>
      </c>
      <c r="M27" s="40" t="str">
        <f>IF(A27="","",IFERROR(T(INDEX('交易记录'!$C$5:$C$304,MATCH(A27,'交易记录'!$A$5:$A$304,0))),"编号没找到"))</f>
        <v/>
      </c>
      <c r="N27" s="30" t="n"/>
    </row>
    <row r="28">
      <c r="A28" s="24" t="n"/>
      <c r="B28" s="29" t="n"/>
      <c r="C28" s="27" t="n"/>
      <c r="D28" s="31" t="n"/>
      <c r="E28" s="32" t="n"/>
      <c r="F28" s="35" t="n"/>
      <c r="G28" s="31" t="n"/>
      <c r="H28" s="20" t="str">
        <f>IF(AND(ISNUMBER(E28),ISNUMBER(F28)),E28*F28,"")</f>
        <v/>
      </c>
      <c r="I28" s="42" t="str">
        <f>IF(ISNUMBER(H28),ROUND(H28*IF(G28="挂单",'参数'!$C$11,'参数'!$C$12),4),"")</f>
        <v/>
      </c>
      <c r="J28" s="47" t="n"/>
      <c r="K28" s="47" t="n"/>
      <c r="L28" s="20" t="str">
        <f>IF(ISNUMBER(K28),K28+N(J28),IF(ISNUMBER(H28),I28+N(J28),""))</f>
        <v/>
      </c>
      <c r="M28" s="40" t="str">
        <f>IF(A28="","",IFERROR(T(INDEX('交易记录'!$C$5:$C$304,MATCH(A28,'交易记录'!$A$5:$A$304,0))),"编号没找到"))</f>
        <v/>
      </c>
      <c r="N28" s="30" t="n"/>
    </row>
    <row r="29">
      <c r="A29" s="24" t="n"/>
      <c r="B29" s="29" t="n"/>
      <c r="C29" s="27" t="n"/>
      <c r="D29" s="31" t="n"/>
      <c r="E29" s="32" t="n"/>
      <c r="F29" s="35" t="n"/>
      <c r="G29" s="31" t="n"/>
      <c r="H29" s="20" t="str">
        <f>IF(AND(ISNUMBER(E29),ISNUMBER(F29)),E29*F29,"")</f>
        <v/>
      </c>
      <c r="I29" s="42" t="str">
        <f>IF(ISNUMBER(H29),ROUND(H29*IF(G29="挂单",'参数'!$C$11,'参数'!$C$12),4),"")</f>
        <v/>
      </c>
      <c r="J29" s="47" t="n"/>
      <c r="K29" s="47" t="n"/>
      <c r="L29" s="20" t="str">
        <f>IF(ISNUMBER(K29),K29+N(J29),IF(ISNUMBER(H29),I29+N(J29),""))</f>
        <v/>
      </c>
      <c r="M29" s="40" t="str">
        <f>IF(A29="","",IFERROR(T(INDEX('交易记录'!$C$5:$C$304,MATCH(A29,'交易记录'!$A$5:$A$304,0))),"编号没找到"))</f>
        <v/>
      </c>
      <c r="N29" s="30" t="n"/>
    </row>
    <row r="30">
      <c r="A30" s="24" t="n"/>
      <c r="B30" s="29" t="n"/>
      <c r="C30" s="27" t="n"/>
      <c r="D30" s="31" t="n"/>
      <c r="E30" s="32" t="n"/>
      <c r="F30" s="35" t="n"/>
      <c r="G30" s="31" t="n"/>
      <c r="H30" s="20" t="str">
        <f>IF(AND(ISNUMBER(E30),ISNUMBER(F30)),E30*F30,"")</f>
        <v/>
      </c>
      <c r="I30" s="42" t="str">
        <f>IF(ISNUMBER(H30),ROUND(H30*IF(G30="挂单",'参数'!$C$11,'参数'!$C$12),4),"")</f>
        <v/>
      </c>
      <c r="J30" s="47" t="n"/>
      <c r="K30" s="47" t="n"/>
      <c r="L30" s="20" t="str">
        <f>IF(ISNUMBER(K30),K30+N(J30),IF(ISNUMBER(H30),I30+N(J30),""))</f>
        <v/>
      </c>
      <c r="M30" s="40" t="str">
        <f>IF(A30="","",IFERROR(T(INDEX('交易记录'!$C$5:$C$304,MATCH(A30,'交易记录'!$A$5:$A$304,0))),"编号没找到"))</f>
        <v/>
      </c>
      <c r="N30" s="30" t="n"/>
    </row>
    <row r="31">
      <c r="A31" s="24" t="n"/>
      <c r="B31" s="29" t="n"/>
      <c r="C31" s="27" t="n"/>
      <c r="D31" s="31" t="n"/>
      <c r="E31" s="32" t="n"/>
      <c r="F31" s="35" t="n"/>
      <c r="G31" s="31" t="n"/>
      <c r="H31" s="20" t="str">
        <f>IF(AND(ISNUMBER(E31),ISNUMBER(F31)),E31*F31,"")</f>
        <v/>
      </c>
      <c r="I31" s="42" t="str">
        <f>IF(ISNUMBER(H31),ROUND(H31*IF(G31="挂单",'参数'!$C$11,'参数'!$C$12),4),"")</f>
        <v/>
      </c>
      <c r="J31" s="47" t="n"/>
      <c r="K31" s="47" t="n"/>
      <c r="L31" s="20" t="str">
        <f>IF(ISNUMBER(K31),K31+N(J31),IF(ISNUMBER(H31),I31+N(J31),""))</f>
        <v/>
      </c>
      <c r="M31" s="40" t="str">
        <f>IF(A31="","",IFERROR(T(INDEX('交易记录'!$C$5:$C$304,MATCH(A31,'交易记录'!$A$5:$A$304,0))),"编号没找到"))</f>
        <v/>
      </c>
      <c r="N31" s="30" t="n"/>
    </row>
    <row r="32">
      <c r="A32" s="24" t="n"/>
      <c r="B32" s="29" t="n"/>
      <c r="C32" s="27" t="n"/>
      <c r="D32" s="31" t="n"/>
      <c r="E32" s="32" t="n"/>
      <c r="F32" s="35" t="n"/>
      <c r="G32" s="31" t="n"/>
      <c r="H32" s="20" t="str">
        <f>IF(AND(ISNUMBER(E32),ISNUMBER(F32)),E32*F32,"")</f>
        <v/>
      </c>
      <c r="I32" s="42" t="str">
        <f>IF(ISNUMBER(H32),ROUND(H32*IF(G32="挂单",'参数'!$C$11,'参数'!$C$12),4),"")</f>
        <v/>
      </c>
      <c r="J32" s="47" t="n"/>
      <c r="K32" s="47" t="n"/>
      <c r="L32" s="20" t="str">
        <f>IF(ISNUMBER(K32),K32+N(J32),IF(ISNUMBER(H32),I32+N(J32),""))</f>
        <v/>
      </c>
      <c r="M32" s="40" t="str">
        <f>IF(A32="","",IFERROR(T(INDEX('交易记录'!$C$5:$C$304,MATCH(A32,'交易记录'!$A$5:$A$304,0))),"编号没找到"))</f>
        <v/>
      </c>
      <c r="N32" s="30" t="n"/>
    </row>
    <row r="33">
      <c r="A33" s="24" t="n"/>
      <c r="B33" s="29" t="n"/>
      <c r="C33" s="27" t="n"/>
      <c r="D33" s="31" t="n"/>
      <c r="E33" s="32" t="n"/>
      <c r="F33" s="35" t="n"/>
      <c r="G33" s="31" t="n"/>
      <c r="H33" s="20" t="str">
        <f>IF(AND(ISNUMBER(E33),ISNUMBER(F33)),E33*F33,"")</f>
        <v/>
      </c>
      <c r="I33" s="42" t="str">
        <f>IF(ISNUMBER(H33),ROUND(H33*IF(G33="挂单",'参数'!$C$11,'参数'!$C$12),4),"")</f>
        <v/>
      </c>
      <c r="J33" s="47" t="n"/>
      <c r="K33" s="47" t="n"/>
      <c r="L33" s="20" t="str">
        <f>IF(ISNUMBER(K33),K33+N(J33),IF(ISNUMBER(H33),I33+N(J33),""))</f>
        <v/>
      </c>
      <c r="M33" s="40" t="str">
        <f>IF(A33="","",IFERROR(T(INDEX('交易记录'!$C$5:$C$304,MATCH(A33,'交易记录'!$A$5:$A$304,0))),"编号没找到"))</f>
        <v/>
      </c>
      <c r="N33" s="30" t="n"/>
    </row>
    <row r="34">
      <c r="A34" s="24" t="n"/>
      <c r="B34" s="29" t="n"/>
      <c r="C34" s="27" t="n"/>
      <c r="D34" s="31" t="n"/>
      <c r="E34" s="32" t="n"/>
      <c r="F34" s="35" t="n"/>
      <c r="G34" s="31" t="n"/>
      <c r="H34" s="20" t="str">
        <f>IF(AND(ISNUMBER(E34),ISNUMBER(F34)),E34*F34,"")</f>
        <v/>
      </c>
      <c r="I34" s="42" t="str">
        <f>IF(ISNUMBER(H34),ROUND(H34*IF(G34="挂单",'参数'!$C$11,'参数'!$C$12),4),"")</f>
        <v/>
      </c>
      <c r="J34" s="47" t="n"/>
      <c r="K34" s="47" t="n"/>
      <c r="L34" s="20" t="str">
        <f>IF(ISNUMBER(K34),K34+N(J34),IF(ISNUMBER(H34),I34+N(J34),""))</f>
        <v/>
      </c>
      <c r="M34" s="40" t="str">
        <f>IF(A34="","",IFERROR(T(INDEX('交易记录'!$C$5:$C$304,MATCH(A34,'交易记录'!$A$5:$A$304,0))),"编号没找到"))</f>
        <v/>
      </c>
      <c r="N34" s="30" t="n"/>
    </row>
    <row r="35">
      <c r="A35" s="24" t="n"/>
      <c r="B35" s="29" t="n"/>
      <c r="C35" s="27" t="n"/>
      <c r="D35" s="31" t="n"/>
      <c r="E35" s="32" t="n"/>
      <c r="F35" s="35" t="n"/>
      <c r="G35" s="31" t="n"/>
      <c r="H35" s="20" t="str">
        <f>IF(AND(ISNUMBER(E35),ISNUMBER(F35)),E35*F35,"")</f>
        <v/>
      </c>
      <c r="I35" s="42" t="str">
        <f>IF(ISNUMBER(H35),ROUND(H35*IF(G35="挂单",'参数'!$C$11,'参数'!$C$12),4),"")</f>
        <v/>
      </c>
      <c r="J35" s="47" t="n"/>
      <c r="K35" s="47" t="n"/>
      <c r="L35" s="20" t="str">
        <f>IF(ISNUMBER(K35),K35+N(J35),IF(ISNUMBER(H35),I35+N(J35),""))</f>
        <v/>
      </c>
      <c r="M35" s="40" t="str">
        <f>IF(A35="","",IFERROR(T(INDEX('交易记录'!$C$5:$C$304,MATCH(A35,'交易记录'!$A$5:$A$304,0))),"编号没找到"))</f>
        <v/>
      </c>
      <c r="N35" s="30" t="n"/>
    </row>
    <row r="36">
      <c r="A36" s="24" t="n"/>
      <c r="B36" s="29" t="n"/>
      <c r="C36" s="27" t="n"/>
      <c r="D36" s="31" t="n"/>
      <c r="E36" s="32" t="n"/>
      <c r="F36" s="35" t="n"/>
      <c r="G36" s="31" t="n"/>
      <c r="H36" s="20" t="str">
        <f>IF(AND(ISNUMBER(E36),ISNUMBER(F36)),E36*F36,"")</f>
        <v/>
      </c>
      <c r="I36" s="42" t="str">
        <f>IF(ISNUMBER(H36),ROUND(H36*IF(G36="挂单",'参数'!$C$11,'参数'!$C$12),4),"")</f>
        <v/>
      </c>
      <c r="J36" s="47" t="n"/>
      <c r="K36" s="47" t="n"/>
      <c r="L36" s="20" t="str">
        <f>IF(ISNUMBER(K36),K36+N(J36),IF(ISNUMBER(H36),I36+N(J36),""))</f>
        <v/>
      </c>
      <c r="M36" s="40" t="str">
        <f>IF(A36="","",IFERROR(T(INDEX('交易记录'!$C$5:$C$304,MATCH(A36,'交易记录'!$A$5:$A$304,0))),"编号没找到"))</f>
        <v/>
      </c>
      <c r="N36" s="30" t="n"/>
    </row>
    <row r="37">
      <c r="A37" s="24" t="n"/>
      <c r="B37" s="29" t="n"/>
      <c r="C37" s="27" t="n"/>
      <c r="D37" s="31" t="n"/>
      <c r="E37" s="32" t="n"/>
      <c r="F37" s="35" t="n"/>
      <c r="G37" s="31" t="n"/>
      <c r="H37" s="20" t="str">
        <f>IF(AND(ISNUMBER(E37),ISNUMBER(F37)),E37*F37,"")</f>
        <v/>
      </c>
      <c r="I37" s="42" t="str">
        <f>IF(ISNUMBER(H37),ROUND(H37*IF(G37="挂单",'参数'!$C$11,'参数'!$C$12),4),"")</f>
        <v/>
      </c>
      <c r="J37" s="47" t="n"/>
      <c r="K37" s="47" t="n"/>
      <c r="L37" s="20" t="str">
        <f>IF(ISNUMBER(K37),K37+N(J37),IF(ISNUMBER(H37),I37+N(J37),""))</f>
        <v/>
      </c>
      <c r="M37" s="40" t="str">
        <f>IF(A37="","",IFERROR(T(INDEX('交易记录'!$C$5:$C$304,MATCH(A37,'交易记录'!$A$5:$A$304,0))),"编号没找到"))</f>
        <v/>
      </c>
      <c r="N37" s="30" t="n"/>
    </row>
    <row r="38">
      <c r="A38" s="24" t="n"/>
      <c r="B38" s="29" t="n"/>
      <c r="C38" s="27" t="n"/>
      <c r="D38" s="31" t="n"/>
      <c r="E38" s="32" t="n"/>
      <c r="F38" s="35" t="n"/>
      <c r="G38" s="31" t="n"/>
      <c r="H38" s="20" t="str">
        <f>IF(AND(ISNUMBER(E38),ISNUMBER(F38)),E38*F38,"")</f>
        <v/>
      </c>
      <c r="I38" s="42" t="str">
        <f>IF(ISNUMBER(H38),ROUND(H38*IF(G38="挂单",'参数'!$C$11,'参数'!$C$12),4),"")</f>
        <v/>
      </c>
      <c r="J38" s="47" t="n"/>
      <c r="K38" s="47" t="n"/>
      <c r="L38" s="20" t="str">
        <f>IF(ISNUMBER(K38),K38+N(J38),IF(ISNUMBER(H38),I38+N(J38),""))</f>
        <v/>
      </c>
      <c r="M38" s="40" t="str">
        <f>IF(A38="","",IFERROR(T(INDEX('交易记录'!$C$5:$C$304,MATCH(A38,'交易记录'!$A$5:$A$304,0))),"编号没找到"))</f>
        <v/>
      </c>
      <c r="N38" s="30" t="n"/>
    </row>
    <row r="39">
      <c r="A39" s="24" t="n"/>
      <c r="B39" s="29" t="n"/>
      <c r="C39" s="27" t="n"/>
      <c r="D39" s="31" t="n"/>
      <c r="E39" s="32" t="n"/>
      <c r="F39" s="35" t="n"/>
      <c r="G39" s="31" t="n"/>
      <c r="H39" s="20" t="str">
        <f>IF(AND(ISNUMBER(E39),ISNUMBER(F39)),E39*F39,"")</f>
        <v/>
      </c>
      <c r="I39" s="42" t="str">
        <f>IF(ISNUMBER(H39),ROUND(H39*IF(G39="挂单",'参数'!$C$11,'参数'!$C$12),4),"")</f>
        <v/>
      </c>
      <c r="J39" s="47" t="n"/>
      <c r="K39" s="47" t="n"/>
      <c r="L39" s="20" t="str">
        <f>IF(ISNUMBER(K39),K39+N(J39),IF(ISNUMBER(H39),I39+N(J39),""))</f>
        <v/>
      </c>
      <c r="M39" s="40" t="str">
        <f>IF(A39="","",IFERROR(T(INDEX('交易记录'!$C$5:$C$304,MATCH(A39,'交易记录'!$A$5:$A$304,0))),"编号没找到"))</f>
        <v/>
      </c>
      <c r="N39" s="30" t="n"/>
    </row>
    <row r="40">
      <c r="A40" s="24" t="n"/>
      <c r="B40" s="29" t="n"/>
      <c r="C40" s="27" t="n"/>
      <c r="D40" s="31" t="n"/>
      <c r="E40" s="32" t="n"/>
      <c r="F40" s="35" t="n"/>
      <c r="G40" s="31" t="n"/>
      <c r="H40" s="20" t="str">
        <f>IF(AND(ISNUMBER(E40),ISNUMBER(F40)),E40*F40,"")</f>
        <v/>
      </c>
      <c r="I40" s="42" t="str">
        <f>IF(ISNUMBER(H40),ROUND(H40*IF(G40="挂单",'参数'!$C$11,'参数'!$C$12),4),"")</f>
        <v/>
      </c>
      <c r="J40" s="47" t="n"/>
      <c r="K40" s="47" t="n"/>
      <c r="L40" s="20" t="str">
        <f>IF(ISNUMBER(K40),K40+N(J40),IF(ISNUMBER(H40),I40+N(J40),""))</f>
        <v/>
      </c>
      <c r="M40" s="40" t="str">
        <f>IF(A40="","",IFERROR(T(INDEX('交易记录'!$C$5:$C$304,MATCH(A40,'交易记录'!$A$5:$A$304,0))),"编号没找到"))</f>
        <v/>
      </c>
      <c r="N40" s="30" t="n"/>
    </row>
    <row r="41">
      <c r="A41" s="24" t="n"/>
      <c r="B41" s="29" t="n"/>
      <c r="C41" s="27" t="n"/>
      <c r="D41" s="31" t="n"/>
      <c r="E41" s="32" t="n"/>
      <c r="F41" s="35" t="n"/>
      <c r="G41" s="31" t="n"/>
      <c r="H41" s="20" t="str">
        <f>IF(AND(ISNUMBER(E41),ISNUMBER(F41)),E41*F41,"")</f>
        <v/>
      </c>
      <c r="I41" s="42" t="str">
        <f>IF(ISNUMBER(H41),ROUND(H41*IF(G41="挂单",'参数'!$C$11,'参数'!$C$12),4),"")</f>
        <v/>
      </c>
      <c r="J41" s="47" t="n"/>
      <c r="K41" s="47" t="n"/>
      <c r="L41" s="20" t="str">
        <f>IF(ISNUMBER(K41),K41+N(J41),IF(ISNUMBER(H41),I41+N(J41),""))</f>
        <v/>
      </c>
      <c r="M41" s="40" t="str">
        <f>IF(A41="","",IFERROR(T(INDEX('交易记录'!$C$5:$C$304,MATCH(A41,'交易记录'!$A$5:$A$304,0))),"编号没找到"))</f>
        <v/>
      </c>
      <c r="N41" s="30" t="n"/>
    </row>
    <row r="42">
      <c r="A42" s="24" t="n"/>
      <c r="B42" s="29" t="n"/>
      <c r="C42" s="27" t="n"/>
      <c r="D42" s="31" t="n"/>
      <c r="E42" s="32" t="n"/>
      <c r="F42" s="35" t="n"/>
      <c r="G42" s="31" t="n"/>
      <c r="H42" s="20" t="str">
        <f>IF(AND(ISNUMBER(E42),ISNUMBER(F42)),E42*F42,"")</f>
        <v/>
      </c>
      <c r="I42" s="42" t="str">
        <f>IF(ISNUMBER(H42),ROUND(H42*IF(G42="挂单",'参数'!$C$11,'参数'!$C$12),4),"")</f>
        <v/>
      </c>
      <c r="J42" s="47" t="n"/>
      <c r="K42" s="47" t="n"/>
      <c r="L42" s="20" t="str">
        <f>IF(ISNUMBER(K42),K42+N(J42),IF(ISNUMBER(H42),I42+N(J42),""))</f>
        <v/>
      </c>
      <c r="M42" s="40" t="str">
        <f>IF(A42="","",IFERROR(T(INDEX('交易记录'!$C$5:$C$304,MATCH(A42,'交易记录'!$A$5:$A$304,0))),"编号没找到"))</f>
        <v/>
      </c>
      <c r="N42" s="30" t="n"/>
    </row>
    <row r="43">
      <c r="A43" s="24" t="n"/>
      <c r="B43" s="29" t="n"/>
      <c r="C43" s="27" t="n"/>
      <c r="D43" s="31" t="n"/>
      <c r="E43" s="32" t="n"/>
      <c r="F43" s="35" t="n"/>
      <c r="G43" s="31" t="n"/>
      <c r="H43" s="20" t="str">
        <f>IF(AND(ISNUMBER(E43),ISNUMBER(F43)),E43*F43,"")</f>
        <v/>
      </c>
      <c r="I43" s="42" t="str">
        <f>IF(ISNUMBER(H43),ROUND(H43*IF(G43="挂单",'参数'!$C$11,'参数'!$C$12),4),"")</f>
        <v/>
      </c>
      <c r="J43" s="47" t="n"/>
      <c r="K43" s="47" t="n"/>
      <c r="L43" s="20" t="str">
        <f>IF(ISNUMBER(K43),K43+N(J43),IF(ISNUMBER(H43),I43+N(J43),""))</f>
        <v/>
      </c>
      <c r="M43" s="40" t="str">
        <f>IF(A43="","",IFERROR(T(INDEX('交易记录'!$C$5:$C$304,MATCH(A43,'交易记录'!$A$5:$A$304,0))),"编号没找到"))</f>
        <v/>
      </c>
      <c r="N43" s="30" t="n"/>
    </row>
    <row r="44">
      <c r="A44" s="24" t="n"/>
      <c r="B44" s="29" t="n"/>
      <c r="C44" s="27" t="n"/>
      <c r="D44" s="31" t="n"/>
      <c r="E44" s="32" t="n"/>
      <c r="F44" s="35" t="n"/>
      <c r="G44" s="31" t="n"/>
      <c r="H44" s="20" t="str">
        <f>IF(AND(ISNUMBER(E44),ISNUMBER(F44)),E44*F44,"")</f>
        <v/>
      </c>
      <c r="I44" s="42" t="str">
        <f>IF(ISNUMBER(H44),ROUND(H44*IF(G44="挂单",'参数'!$C$11,'参数'!$C$12),4),"")</f>
        <v/>
      </c>
      <c r="J44" s="47" t="n"/>
      <c r="K44" s="47" t="n"/>
      <c r="L44" s="20" t="str">
        <f>IF(ISNUMBER(K44),K44+N(J44),IF(ISNUMBER(H44),I44+N(J44),""))</f>
        <v/>
      </c>
      <c r="M44" s="40" t="str">
        <f>IF(A44="","",IFERROR(T(INDEX('交易记录'!$C$5:$C$304,MATCH(A44,'交易记录'!$A$5:$A$304,0))),"编号没找到"))</f>
        <v/>
      </c>
      <c r="N44" s="30" t="n"/>
    </row>
    <row r="45">
      <c r="A45" s="24" t="n"/>
      <c r="B45" s="29" t="n"/>
      <c r="C45" s="27" t="n"/>
      <c r="D45" s="31" t="n"/>
      <c r="E45" s="32" t="n"/>
      <c r="F45" s="35" t="n"/>
      <c r="G45" s="31" t="n"/>
      <c r="H45" s="20" t="str">
        <f>IF(AND(ISNUMBER(E45),ISNUMBER(F45)),E45*F45,"")</f>
        <v/>
      </c>
      <c r="I45" s="42" t="str">
        <f>IF(ISNUMBER(H45),ROUND(H45*IF(G45="挂单",'参数'!$C$11,'参数'!$C$12),4),"")</f>
        <v/>
      </c>
      <c r="J45" s="47" t="n"/>
      <c r="K45" s="47" t="n"/>
      <c r="L45" s="20" t="str">
        <f>IF(ISNUMBER(K45),K45+N(J45),IF(ISNUMBER(H45),I45+N(J45),""))</f>
        <v/>
      </c>
      <c r="M45" s="40" t="str">
        <f>IF(A45="","",IFERROR(T(INDEX('交易记录'!$C$5:$C$304,MATCH(A45,'交易记录'!$A$5:$A$304,0))),"编号没找到"))</f>
        <v/>
      </c>
      <c r="N45" s="30" t="n"/>
    </row>
    <row r="46">
      <c r="A46" s="24" t="n"/>
      <c r="B46" s="29" t="n"/>
      <c r="C46" s="27" t="n"/>
      <c r="D46" s="31" t="n"/>
      <c r="E46" s="32" t="n"/>
      <c r="F46" s="35" t="n"/>
      <c r="G46" s="31" t="n"/>
      <c r="H46" s="20" t="str">
        <f>IF(AND(ISNUMBER(E46),ISNUMBER(F46)),E46*F46,"")</f>
        <v/>
      </c>
      <c r="I46" s="42" t="str">
        <f>IF(ISNUMBER(H46),ROUND(H46*IF(G46="挂单",'参数'!$C$11,'参数'!$C$12),4),"")</f>
        <v/>
      </c>
      <c r="J46" s="47" t="n"/>
      <c r="K46" s="47" t="n"/>
      <c r="L46" s="20" t="str">
        <f>IF(ISNUMBER(K46),K46+N(J46),IF(ISNUMBER(H46),I46+N(J46),""))</f>
        <v/>
      </c>
      <c r="M46" s="40" t="str">
        <f>IF(A46="","",IFERROR(T(INDEX('交易记录'!$C$5:$C$304,MATCH(A46,'交易记录'!$A$5:$A$304,0))),"编号没找到"))</f>
        <v/>
      </c>
      <c r="N46" s="30" t="n"/>
    </row>
    <row r="47">
      <c r="A47" s="24" t="n"/>
      <c r="B47" s="29" t="n"/>
      <c r="C47" s="27" t="n"/>
      <c r="D47" s="31" t="n"/>
      <c r="E47" s="32" t="n"/>
      <c r="F47" s="35" t="n"/>
      <c r="G47" s="31" t="n"/>
      <c r="H47" s="20" t="str">
        <f>IF(AND(ISNUMBER(E47),ISNUMBER(F47)),E47*F47,"")</f>
        <v/>
      </c>
      <c r="I47" s="42" t="str">
        <f>IF(ISNUMBER(H47),ROUND(H47*IF(G47="挂单",'参数'!$C$11,'参数'!$C$12),4),"")</f>
        <v/>
      </c>
      <c r="J47" s="47" t="n"/>
      <c r="K47" s="47" t="n"/>
      <c r="L47" s="20" t="str">
        <f>IF(ISNUMBER(K47),K47+N(J47),IF(ISNUMBER(H47),I47+N(J47),""))</f>
        <v/>
      </c>
      <c r="M47" s="40" t="str">
        <f>IF(A47="","",IFERROR(T(INDEX('交易记录'!$C$5:$C$304,MATCH(A47,'交易记录'!$A$5:$A$304,0))),"编号没找到"))</f>
        <v/>
      </c>
      <c r="N47" s="30" t="n"/>
    </row>
    <row r="48">
      <c r="A48" s="24" t="n"/>
      <c r="B48" s="29" t="n"/>
      <c r="C48" s="27" t="n"/>
      <c r="D48" s="31" t="n"/>
      <c r="E48" s="32" t="n"/>
      <c r="F48" s="35" t="n"/>
      <c r="G48" s="31" t="n"/>
      <c r="H48" s="20" t="str">
        <f>IF(AND(ISNUMBER(E48),ISNUMBER(F48)),E48*F48,"")</f>
        <v/>
      </c>
      <c r="I48" s="42" t="str">
        <f>IF(ISNUMBER(H48),ROUND(H48*IF(G48="挂单",'参数'!$C$11,'参数'!$C$12),4),"")</f>
        <v/>
      </c>
      <c r="J48" s="47" t="n"/>
      <c r="K48" s="47" t="n"/>
      <c r="L48" s="20" t="str">
        <f>IF(ISNUMBER(K48),K48+N(J48),IF(ISNUMBER(H48),I48+N(J48),""))</f>
        <v/>
      </c>
      <c r="M48" s="40" t="str">
        <f>IF(A48="","",IFERROR(T(INDEX('交易记录'!$C$5:$C$304,MATCH(A48,'交易记录'!$A$5:$A$304,0))),"编号没找到"))</f>
        <v/>
      </c>
      <c r="N48" s="30" t="n"/>
    </row>
    <row r="49">
      <c r="A49" s="24" t="n"/>
      <c r="B49" s="29" t="n"/>
      <c r="C49" s="27" t="n"/>
      <c r="D49" s="31" t="n"/>
      <c r="E49" s="32" t="n"/>
      <c r="F49" s="35" t="n"/>
      <c r="G49" s="31" t="n"/>
      <c r="H49" s="20" t="str">
        <f>IF(AND(ISNUMBER(E49),ISNUMBER(F49)),E49*F49,"")</f>
        <v/>
      </c>
      <c r="I49" s="42" t="str">
        <f>IF(ISNUMBER(H49),ROUND(H49*IF(G49="挂单",'参数'!$C$11,'参数'!$C$12),4),"")</f>
        <v/>
      </c>
      <c r="J49" s="47" t="n"/>
      <c r="K49" s="47" t="n"/>
      <c r="L49" s="20" t="str">
        <f>IF(ISNUMBER(K49),K49+N(J49),IF(ISNUMBER(H49),I49+N(J49),""))</f>
        <v/>
      </c>
      <c r="M49" s="40" t="str">
        <f>IF(A49="","",IFERROR(T(INDEX('交易记录'!$C$5:$C$304,MATCH(A49,'交易记录'!$A$5:$A$304,0))),"编号没找到"))</f>
        <v/>
      </c>
      <c r="N49" s="30" t="n"/>
    </row>
    <row r="50">
      <c r="A50" s="24" t="n"/>
      <c r="B50" s="29" t="n"/>
      <c r="C50" s="27" t="n"/>
      <c r="D50" s="31" t="n"/>
      <c r="E50" s="32" t="n"/>
      <c r="F50" s="35" t="n"/>
      <c r="G50" s="31" t="n"/>
      <c r="H50" s="20" t="str">
        <f>IF(AND(ISNUMBER(E50),ISNUMBER(F50)),E50*F50,"")</f>
        <v/>
      </c>
      <c r="I50" s="42" t="str">
        <f>IF(ISNUMBER(H50),ROUND(H50*IF(G50="挂单",'参数'!$C$11,'参数'!$C$12),4),"")</f>
        <v/>
      </c>
      <c r="J50" s="47" t="n"/>
      <c r="K50" s="47" t="n"/>
      <c r="L50" s="20" t="str">
        <f>IF(ISNUMBER(K50),K50+N(J50),IF(ISNUMBER(H50),I50+N(J50),""))</f>
        <v/>
      </c>
      <c r="M50" s="40" t="str">
        <f>IF(A50="","",IFERROR(T(INDEX('交易记录'!$C$5:$C$304,MATCH(A50,'交易记录'!$A$5:$A$304,0))),"编号没找到"))</f>
        <v/>
      </c>
      <c r="N50" s="30" t="n"/>
    </row>
    <row r="51">
      <c r="A51" s="24" t="n"/>
      <c r="B51" s="29" t="n"/>
      <c r="C51" s="27" t="n"/>
      <c r="D51" s="31" t="n"/>
      <c r="E51" s="32" t="n"/>
      <c r="F51" s="35" t="n"/>
      <c r="G51" s="31" t="n"/>
      <c r="H51" s="20" t="str">
        <f>IF(AND(ISNUMBER(E51),ISNUMBER(F51)),E51*F51,"")</f>
        <v/>
      </c>
      <c r="I51" s="42" t="str">
        <f>IF(ISNUMBER(H51),ROUND(H51*IF(G51="挂单",'参数'!$C$11,'参数'!$C$12),4),"")</f>
        <v/>
      </c>
      <c r="J51" s="47" t="n"/>
      <c r="K51" s="47" t="n"/>
      <c r="L51" s="20" t="str">
        <f>IF(ISNUMBER(K51),K51+N(J51),IF(ISNUMBER(H51),I51+N(J51),""))</f>
        <v/>
      </c>
      <c r="M51" s="40" t="str">
        <f>IF(A51="","",IFERROR(T(INDEX('交易记录'!$C$5:$C$304,MATCH(A51,'交易记录'!$A$5:$A$304,0))),"编号没找到"))</f>
        <v/>
      </c>
      <c r="N51" s="30" t="n"/>
    </row>
    <row r="52">
      <c r="A52" s="24" t="n"/>
      <c r="B52" s="29" t="n"/>
      <c r="C52" s="27" t="n"/>
      <c r="D52" s="31" t="n"/>
      <c r="E52" s="32" t="n"/>
      <c r="F52" s="35" t="n"/>
      <c r="G52" s="31" t="n"/>
      <c r="H52" s="20" t="str">
        <f>IF(AND(ISNUMBER(E52),ISNUMBER(F52)),E52*F52,"")</f>
        <v/>
      </c>
      <c r="I52" s="42" t="str">
        <f>IF(ISNUMBER(H52),ROUND(H52*IF(G52="挂单",'参数'!$C$11,'参数'!$C$12),4),"")</f>
        <v/>
      </c>
      <c r="J52" s="47" t="n"/>
      <c r="K52" s="47" t="n"/>
      <c r="L52" s="20" t="str">
        <f>IF(ISNUMBER(K52),K52+N(J52),IF(ISNUMBER(H52),I52+N(J52),""))</f>
        <v/>
      </c>
      <c r="M52" s="40" t="str">
        <f>IF(A52="","",IFERROR(T(INDEX('交易记录'!$C$5:$C$304,MATCH(A52,'交易记录'!$A$5:$A$304,0))),"编号没找到"))</f>
        <v/>
      </c>
      <c r="N52" s="30" t="n"/>
    </row>
    <row r="53">
      <c r="A53" s="24" t="n"/>
      <c r="B53" s="29" t="n"/>
      <c r="C53" s="27" t="n"/>
      <c r="D53" s="31" t="n"/>
      <c r="E53" s="32" t="n"/>
      <c r="F53" s="35" t="n"/>
      <c r="G53" s="31" t="n"/>
      <c r="H53" s="20" t="str">
        <f>IF(AND(ISNUMBER(E53),ISNUMBER(F53)),E53*F53,"")</f>
        <v/>
      </c>
      <c r="I53" s="42" t="str">
        <f>IF(ISNUMBER(H53),ROUND(H53*IF(G53="挂单",'参数'!$C$11,'参数'!$C$12),4),"")</f>
        <v/>
      </c>
      <c r="J53" s="47" t="n"/>
      <c r="K53" s="47" t="n"/>
      <c r="L53" s="20" t="str">
        <f>IF(ISNUMBER(K53),K53+N(J53),IF(ISNUMBER(H53),I53+N(J53),""))</f>
        <v/>
      </c>
      <c r="M53" s="40" t="str">
        <f>IF(A53="","",IFERROR(T(INDEX('交易记录'!$C$5:$C$304,MATCH(A53,'交易记录'!$A$5:$A$304,0))),"编号没找到"))</f>
        <v/>
      </c>
      <c r="N53" s="30" t="n"/>
    </row>
    <row r="54">
      <c r="A54" s="24" t="n"/>
      <c r="B54" s="29" t="n"/>
      <c r="C54" s="27" t="n"/>
      <c r="D54" s="31" t="n"/>
      <c r="E54" s="32" t="n"/>
      <c r="F54" s="35" t="n"/>
      <c r="G54" s="31" t="n"/>
      <c r="H54" s="20" t="str">
        <f>IF(AND(ISNUMBER(E54),ISNUMBER(F54)),E54*F54,"")</f>
        <v/>
      </c>
      <c r="I54" s="42" t="str">
        <f>IF(ISNUMBER(H54),ROUND(H54*IF(G54="挂单",'参数'!$C$11,'参数'!$C$12),4),"")</f>
        <v/>
      </c>
      <c r="J54" s="47" t="n"/>
      <c r="K54" s="47" t="n"/>
      <c r="L54" s="20" t="str">
        <f>IF(ISNUMBER(K54),K54+N(J54),IF(ISNUMBER(H54),I54+N(J54),""))</f>
        <v/>
      </c>
      <c r="M54" s="40" t="str">
        <f>IF(A54="","",IFERROR(T(INDEX('交易记录'!$C$5:$C$304,MATCH(A54,'交易记录'!$A$5:$A$304,0))),"编号没找到"))</f>
        <v/>
      </c>
      <c r="N54" s="30" t="n"/>
    </row>
    <row r="55">
      <c r="A55" s="24" t="n"/>
      <c r="B55" s="29" t="n"/>
      <c r="C55" s="27" t="n"/>
      <c r="D55" s="31" t="n"/>
      <c r="E55" s="32" t="n"/>
      <c r="F55" s="35" t="n"/>
      <c r="G55" s="31" t="n"/>
      <c r="H55" s="20" t="str">
        <f>IF(AND(ISNUMBER(E55),ISNUMBER(F55)),E55*F55,"")</f>
        <v/>
      </c>
      <c r="I55" s="42" t="str">
        <f>IF(ISNUMBER(H55),ROUND(H55*IF(G55="挂单",'参数'!$C$11,'参数'!$C$12),4),"")</f>
        <v/>
      </c>
      <c r="J55" s="47" t="n"/>
      <c r="K55" s="47" t="n"/>
      <c r="L55" s="20" t="str">
        <f>IF(ISNUMBER(K55),K55+N(J55),IF(ISNUMBER(H55),I55+N(J55),""))</f>
        <v/>
      </c>
      <c r="M55" s="40" t="str">
        <f>IF(A55="","",IFERROR(T(INDEX('交易记录'!$C$5:$C$304,MATCH(A55,'交易记录'!$A$5:$A$304,0))),"编号没找到"))</f>
        <v/>
      </c>
      <c r="N55" s="30" t="n"/>
    </row>
    <row r="56">
      <c r="A56" s="24" t="n"/>
      <c r="B56" s="29" t="n"/>
      <c r="C56" s="27" t="n"/>
      <c r="D56" s="31" t="n"/>
      <c r="E56" s="32" t="n"/>
      <c r="F56" s="35" t="n"/>
      <c r="G56" s="31" t="n"/>
      <c r="H56" s="20" t="str">
        <f>IF(AND(ISNUMBER(E56),ISNUMBER(F56)),E56*F56,"")</f>
        <v/>
      </c>
      <c r="I56" s="42" t="str">
        <f>IF(ISNUMBER(H56),ROUND(H56*IF(G56="挂单",'参数'!$C$11,'参数'!$C$12),4),"")</f>
        <v/>
      </c>
      <c r="J56" s="47" t="n"/>
      <c r="K56" s="47" t="n"/>
      <c r="L56" s="20" t="str">
        <f>IF(ISNUMBER(K56),K56+N(J56),IF(ISNUMBER(H56),I56+N(J56),""))</f>
        <v/>
      </c>
      <c r="M56" s="40" t="str">
        <f>IF(A56="","",IFERROR(T(INDEX('交易记录'!$C$5:$C$304,MATCH(A56,'交易记录'!$A$5:$A$304,0))),"编号没找到"))</f>
        <v/>
      </c>
      <c r="N56" s="30" t="n"/>
    </row>
    <row r="57">
      <c r="A57" s="24" t="n"/>
      <c r="B57" s="29" t="n"/>
      <c r="C57" s="27" t="n"/>
      <c r="D57" s="31" t="n"/>
      <c r="E57" s="32" t="n"/>
      <c r="F57" s="35" t="n"/>
      <c r="G57" s="31" t="n"/>
      <c r="H57" s="20" t="str">
        <f>IF(AND(ISNUMBER(E57),ISNUMBER(F57)),E57*F57,"")</f>
        <v/>
      </c>
      <c r="I57" s="42" t="str">
        <f>IF(ISNUMBER(H57),ROUND(H57*IF(G57="挂单",'参数'!$C$11,'参数'!$C$12),4),"")</f>
        <v/>
      </c>
      <c r="J57" s="47" t="n"/>
      <c r="K57" s="47" t="n"/>
      <c r="L57" s="20" t="str">
        <f>IF(ISNUMBER(K57),K57+N(J57),IF(ISNUMBER(H57),I57+N(J57),""))</f>
        <v/>
      </c>
      <c r="M57" s="40" t="str">
        <f>IF(A57="","",IFERROR(T(INDEX('交易记录'!$C$5:$C$304,MATCH(A57,'交易记录'!$A$5:$A$304,0))),"编号没找到"))</f>
        <v/>
      </c>
      <c r="N57" s="30" t="n"/>
    </row>
    <row r="58">
      <c r="A58" s="24" t="n"/>
      <c r="B58" s="29" t="n"/>
      <c r="C58" s="27" t="n"/>
      <c r="D58" s="31" t="n"/>
      <c r="E58" s="32" t="n"/>
      <c r="F58" s="35" t="n"/>
      <c r="G58" s="31" t="n"/>
      <c r="H58" s="20" t="str">
        <f>IF(AND(ISNUMBER(E58),ISNUMBER(F58)),E58*F58,"")</f>
        <v/>
      </c>
      <c r="I58" s="42" t="str">
        <f>IF(ISNUMBER(H58),ROUND(H58*IF(G58="挂单",'参数'!$C$11,'参数'!$C$12),4),"")</f>
        <v/>
      </c>
      <c r="J58" s="47" t="n"/>
      <c r="K58" s="47" t="n"/>
      <c r="L58" s="20" t="str">
        <f>IF(ISNUMBER(K58),K58+N(J58),IF(ISNUMBER(H58),I58+N(J58),""))</f>
        <v/>
      </c>
      <c r="M58" s="40" t="str">
        <f>IF(A58="","",IFERROR(T(INDEX('交易记录'!$C$5:$C$304,MATCH(A58,'交易记录'!$A$5:$A$304,0))),"编号没找到"))</f>
        <v/>
      </c>
      <c r="N58" s="30" t="n"/>
    </row>
    <row r="59">
      <c r="A59" s="24" t="n"/>
      <c r="B59" s="29" t="n"/>
      <c r="C59" s="27" t="n"/>
      <c r="D59" s="31" t="n"/>
      <c r="E59" s="32" t="n"/>
      <c r="F59" s="35" t="n"/>
      <c r="G59" s="31" t="n"/>
      <c r="H59" s="20" t="str">
        <f>IF(AND(ISNUMBER(E59),ISNUMBER(F59)),E59*F59,"")</f>
        <v/>
      </c>
      <c r="I59" s="42" t="str">
        <f>IF(ISNUMBER(H59),ROUND(H59*IF(G59="挂单",'参数'!$C$11,'参数'!$C$12),4),"")</f>
        <v/>
      </c>
      <c r="J59" s="47" t="n"/>
      <c r="K59" s="47" t="n"/>
      <c r="L59" s="20" t="str">
        <f>IF(ISNUMBER(K59),K59+N(J59),IF(ISNUMBER(H59),I59+N(J59),""))</f>
        <v/>
      </c>
      <c r="M59" s="40" t="str">
        <f>IF(A59="","",IFERROR(T(INDEX('交易记录'!$C$5:$C$304,MATCH(A59,'交易记录'!$A$5:$A$304,0))),"编号没找到"))</f>
        <v/>
      </c>
      <c r="N59" s="30" t="n"/>
    </row>
    <row r="60">
      <c r="A60" s="24" t="n"/>
      <c r="B60" s="29" t="n"/>
      <c r="C60" s="27" t="n"/>
      <c r="D60" s="31" t="n"/>
      <c r="E60" s="32" t="n"/>
      <c r="F60" s="35" t="n"/>
      <c r="G60" s="31" t="n"/>
      <c r="H60" s="20" t="str">
        <f>IF(AND(ISNUMBER(E60),ISNUMBER(F60)),E60*F60,"")</f>
        <v/>
      </c>
      <c r="I60" s="42" t="str">
        <f>IF(ISNUMBER(H60),ROUND(H60*IF(G60="挂单",'参数'!$C$11,'参数'!$C$12),4),"")</f>
        <v/>
      </c>
      <c r="J60" s="47" t="n"/>
      <c r="K60" s="47" t="n"/>
      <c r="L60" s="20" t="str">
        <f>IF(ISNUMBER(K60),K60+N(J60),IF(ISNUMBER(H60),I60+N(J60),""))</f>
        <v/>
      </c>
      <c r="M60" s="40" t="str">
        <f>IF(A60="","",IFERROR(T(INDEX('交易记录'!$C$5:$C$304,MATCH(A60,'交易记录'!$A$5:$A$304,0))),"编号没找到"))</f>
        <v/>
      </c>
      <c r="N60" s="30" t="n"/>
    </row>
    <row r="61">
      <c r="A61" s="24" t="n"/>
      <c r="B61" s="29" t="n"/>
      <c r="C61" s="27" t="n"/>
      <c r="D61" s="31" t="n"/>
      <c r="E61" s="32" t="n"/>
      <c r="F61" s="35" t="n"/>
      <c r="G61" s="31" t="n"/>
      <c r="H61" s="20" t="str">
        <f>IF(AND(ISNUMBER(E61),ISNUMBER(F61)),E61*F61,"")</f>
        <v/>
      </c>
      <c r="I61" s="42" t="str">
        <f>IF(ISNUMBER(H61),ROUND(H61*IF(G61="挂单",'参数'!$C$11,'参数'!$C$12),4),"")</f>
        <v/>
      </c>
      <c r="J61" s="47" t="n"/>
      <c r="K61" s="47" t="n"/>
      <c r="L61" s="20" t="str">
        <f>IF(ISNUMBER(K61),K61+N(J61),IF(ISNUMBER(H61),I61+N(J61),""))</f>
        <v/>
      </c>
      <c r="M61" s="40" t="str">
        <f>IF(A61="","",IFERROR(T(INDEX('交易记录'!$C$5:$C$304,MATCH(A61,'交易记录'!$A$5:$A$304,0))),"编号没找到"))</f>
        <v/>
      </c>
      <c r="N61" s="30" t="n"/>
    </row>
    <row r="62">
      <c r="A62" s="24" t="n"/>
      <c r="B62" s="29" t="n"/>
      <c r="C62" s="27" t="n"/>
      <c r="D62" s="31" t="n"/>
      <c r="E62" s="32" t="n"/>
      <c r="F62" s="35" t="n"/>
      <c r="G62" s="31" t="n"/>
      <c r="H62" s="20" t="str">
        <f>IF(AND(ISNUMBER(E62),ISNUMBER(F62)),E62*F62,"")</f>
        <v/>
      </c>
      <c r="I62" s="42" t="str">
        <f>IF(ISNUMBER(H62),ROUND(H62*IF(G62="挂单",'参数'!$C$11,'参数'!$C$12),4),"")</f>
        <v/>
      </c>
      <c r="J62" s="47" t="n"/>
      <c r="K62" s="47" t="n"/>
      <c r="L62" s="20" t="str">
        <f>IF(ISNUMBER(K62),K62+N(J62),IF(ISNUMBER(H62),I62+N(J62),""))</f>
        <v/>
      </c>
      <c r="M62" s="40" t="str">
        <f>IF(A62="","",IFERROR(T(INDEX('交易记录'!$C$5:$C$304,MATCH(A62,'交易记录'!$A$5:$A$304,0))),"编号没找到"))</f>
        <v/>
      </c>
      <c r="N62" s="30" t="n"/>
    </row>
    <row r="63">
      <c r="A63" s="24" t="n"/>
      <c r="B63" s="29" t="n"/>
      <c r="C63" s="27" t="n"/>
      <c r="D63" s="31" t="n"/>
      <c r="E63" s="32" t="n"/>
      <c r="F63" s="35" t="n"/>
      <c r="G63" s="31" t="n"/>
      <c r="H63" s="20" t="str">
        <f>IF(AND(ISNUMBER(E63),ISNUMBER(F63)),E63*F63,"")</f>
        <v/>
      </c>
      <c r="I63" s="42" t="str">
        <f>IF(ISNUMBER(H63),ROUND(H63*IF(G63="挂单",'参数'!$C$11,'参数'!$C$12),4),"")</f>
        <v/>
      </c>
      <c r="J63" s="47" t="n"/>
      <c r="K63" s="47" t="n"/>
      <c r="L63" s="20" t="str">
        <f>IF(ISNUMBER(K63),K63+N(J63),IF(ISNUMBER(H63),I63+N(J63),""))</f>
        <v/>
      </c>
      <c r="M63" s="40" t="str">
        <f>IF(A63="","",IFERROR(T(INDEX('交易记录'!$C$5:$C$304,MATCH(A63,'交易记录'!$A$5:$A$304,0))),"编号没找到"))</f>
        <v/>
      </c>
      <c r="N63" s="30" t="n"/>
    </row>
    <row r="64">
      <c r="A64" s="24" t="n"/>
      <c r="B64" s="29" t="n"/>
      <c r="C64" s="27" t="n"/>
      <c r="D64" s="31" t="n"/>
      <c r="E64" s="32" t="n"/>
      <c r="F64" s="35" t="n"/>
      <c r="G64" s="31" t="n"/>
      <c r="H64" s="20" t="str">
        <f>IF(AND(ISNUMBER(E64),ISNUMBER(F64)),E64*F64,"")</f>
        <v/>
      </c>
      <c r="I64" s="42" t="str">
        <f>IF(ISNUMBER(H64),ROUND(H64*IF(G64="挂单",'参数'!$C$11,'参数'!$C$12),4),"")</f>
        <v/>
      </c>
      <c r="J64" s="47" t="n"/>
      <c r="K64" s="47" t="n"/>
      <c r="L64" s="20" t="str">
        <f>IF(ISNUMBER(K64),K64+N(J64),IF(ISNUMBER(H64),I64+N(J64),""))</f>
        <v/>
      </c>
      <c r="M64" s="40" t="str">
        <f>IF(A64="","",IFERROR(T(INDEX('交易记录'!$C$5:$C$304,MATCH(A64,'交易记录'!$A$5:$A$304,0))),"编号没找到"))</f>
        <v/>
      </c>
      <c r="N64" s="30" t="n"/>
    </row>
    <row r="65">
      <c r="A65" s="24" t="n"/>
      <c r="B65" s="29" t="n"/>
      <c r="C65" s="27" t="n"/>
      <c r="D65" s="31" t="n"/>
      <c r="E65" s="32" t="n"/>
      <c r="F65" s="35" t="n"/>
      <c r="G65" s="31" t="n"/>
      <c r="H65" s="20" t="str">
        <f>IF(AND(ISNUMBER(E65),ISNUMBER(F65)),E65*F65,"")</f>
        <v/>
      </c>
      <c r="I65" s="42" t="str">
        <f>IF(ISNUMBER(H65),ROUND(H65*IF(G65="挂单",'参数'!$C$11,'参数'!$C$12),4),"")</f>
        <v/>
      </c>
      <c r="J65" s="47" t="n"/>
      <c r="K65" s="47" t="n"/>
      <c r="L65" s="20" t="str">
        <f>IF(ISNUMBER(K65),K65+N(J65),IF(ISNUMBER(H65),I65+N(J65),""))</f>
        <v/>
      </c>
      <c r="M65" s="40" t="str">
        <f>IF(A65="","",IFERROR(T(INDEX('交易记录'!$C$5:$C$304,MATCH(A65,'交易记录'!$A$5:$A$304,0))),"编号没找到"))</f>
        <v/>
      </c>
      <c r="N65" s="30" t="n"/>
    </row>
    <row r="66">
      <c r="A66" s="24" t="n"/>
      <c r="B66" s="29" t="n"/>
      <c r="C66" s="27" t="n"/>
      <c r="D66" s="31" t="n"/>
      <c r="E66" s="32" t="n"/>
      <c r="F66" s="35" t="n"/>
      <c r="G66" s="31" t="n"/>
      <c r="H66" s="20" t="str">
        <f>IF(AND(ISNUMBER(E66),ISNUMBER(F66)),E66*F66,"")</f>
        <v/>
      </c>
      <c r="I66" s="42" t="str">
        <f>IF(ISNUMBER(H66),ROUND(H66*IF(G66="挂单",'参数'!$C$11,'参数'!$C$12),4),"")</f>
        <v/>
      </c>
      <c r="J66" s="47" t="n"/>
      <c r="K66" s="47" t="n"/>
      <c r="L66" s="20" t="str">
        <f>IF(ISNUMBER(K66),K66+N(J66),IF(ISNUMBER(H66),I66+N(J66),""))</f>
        <v/>
      </c>
      <c r="M66" s="40" t="str">
        <f>IF(A66="","",IFERROR(T(INDEX('交易记录'!$C$5:$C$304,MATCH(A66,'交易记录'!$A$5:$A$304,0))),"编号没找到"))</f>
        <v/>
      </c>
      <c r="N66" s="30" t="n"/>
    </row>
    <row r="67">
      <c r="A67" s="24" t="n"/>
      <c r="B67" s="29" t="n"/>
      <c r="C67" s="27" t="n"/>
      <c r="D67" s="31" t="n"/>
      <c r="E67" s="32" t="n"/>
      <c r="F67" s="35" t="n"/>
      <c r="G67" s="31" t="n"/>
      <c r="H67" s="20" t="str">
        <f>IF(AND(ISNUMBER(E67),ISNUMBER(F67)),E67*F67,"")</f>
        <v/>
      </c>
      <c r="I67" s="42" t="str">
        <f>IF(ISNUMBER(H67),ROUND(H67*IF(G67="挂单",'参数'!$C$11,'参数'!$C$12),4),"")</f>
        <v/>
      </c>
      <c r="J67" s="47" t="n"/>
      <c r="K67" s="47" t="n"/>
      <c r="L67" s="20" t="str">
        <f>IF(ISNUMBER(K67),K67+N(J67),IF(ISNUMBER(H67),I67+N(J67),""))</f>
        <v/>
      </c>
      <c r="M67" s="40" t="str">
        <f>IF(A67="","",IFERROR(T(INDEX('交易记录'!$C$5:$C$304,MATCH(A67,'交易记录'!$A$5:$A$304,0))),"编号没找到"))</f>
        <v/>
      </c>
      <c r="N67" s="30" t="n"/>
    </row>
    <row r="68">
      <c r="A68" s="24" t="n"/>
      <c r="B68" s="29" t="n"/>
      <c r="C68" s="27" t="n"/>
      <c r="D68" s="31" t="n"/>
      <c r="E68" s="32" t="n"/>
      <c r="F68" s="35" t="n"/>
      <c r="G68" s="31" t="n"/>
      <c r="H68" s="20" t="str">
        <f>IF(AND(ISNUMBER(E68),ISNUMBER(F68)),E68*F68,"")</f>
        <v/>
      </c>
      <c r="I68" s="42" t="str">
        <f>IF(ISNUMBER(H68),ROUND(H68*IF(G68="挂单",'参数'!$C$11,'参数'!$C$12),4),"")</f>
        <v/>
      </c>
      <c r="J68" s="47" t="n"/>
      <c r="K68" s="47" t="n"/>
      <c r="L68" s="20" t="str">
        <f>IF(ISNUMBER(K68),K68+N(J68),IF(ISNUMBER(H68),I68+N(J68),""))</f>
        <v/>
      </c>
      <c r="M68" s="40" t="str">
        <f>IF(A68="","",IFERROR(T(INDEX('交易记录'!$C$5:$C$304,MATCH(A68,'交易记录'!$A$5:$A$304,0))),"编号没找到"))</f>
        <v/>
      </c>
      <c r="N68" s="30" t="n"/>
    </row>
    <row r="69">
      <c r="A69" s="24" t="n"/>
      <c r="B69" s="29" t="n"/>
      <c r="C69" s="27" t="n"/>
      <c r="D69" s="31" t="n"/>
      <c r="E69" s="32" t="n"/>
      <c r="F69" s="35" t="n"/>
      <c r="G69" s="31" t="n"/>
      <c r="H69" s="20" t="str">
        <f>IF(AND(ISNUMBER(E69),ISNUMBER(F69)),E69*F69,"")</f>
        <v/>
      </c>
      <c r="I69" s="42" t="str">
        <f>IF(ISNUMBER(H69),ROUND(H69*IF(G69="挂单",'参数'!$C$11,'参数'!$C$12),4),"")</f>
        <v/>
      </c>
      <c r="J69" s="47" t="n"/>
      <c r="K69" s="47" t="n"/>
      <c r="L69" s="20" t="str">
        <f>IF(ISNUMBER(K69),K69+N(J69),IF(ISNUMBER(H69),I69+N(J69),""))</f>
        <v/>
      </c>
      <c r="M69" s="40" t="str">
        <f>IF(A69="","",IFERROR(T(INDEX('交易记录'!$C$5:$C$304,MATCH(A69,'交易记录'!$A$5:$A$304,0))),"编号没找到"))</f>
        <v/>
      </c>
      <c r="N69" s="30" t="n"/>
    </row>
    <row r="70">
      <c r="A70" s="24" t="n"/>
      <c r="B70" s="29" t="n"/>
      <c r="C70" s="27" t="n"/>
      <c r="D70" s="31" t="n"/>
      <c r="E70" s="32" t="n"/>
      <c r="F70" s="35" t="n"/>
      <c r="G70" s="31" t="n"/>
      <c r="H70" s="20" t="str">
        <f>IF(AND(ISNUMBER(E70),ISNUMBER(F70)),E70*F70,"")</f>
        <v/>
      </c>
      <c r="I70" s="42" t="str">
        <f>IF(ISNUMBER(H70),ROUND(H70*IF(G70="挂单",'参数'!$C$11,'参数'!$C$12),4),"")</f>
        <v/>
      </c>
      <c r="J70" s="47" t="n"/>
      <c r="K70" s="47" t="n"/>
      <c r="L70" s="20" t="str">
        <f>IF(ISNUMBER(K70),K70+N(J70),IF(ISNUMBER(H70),I70+N(J70),""))</f>
        <v/>
      </c>
      <c r="M70" s="40" t="str">
        <f>IF(A70="","",IFERROR(T(INDEX('交易记录'!$C$5:$C$304,MATCH(A70,'交易记录'!$A$5:$A$304,0))),"编号没找到"))</f>
        <v/>
      </c>
      <c r="N70" s="30" t="n"/>
    </row>
    <row r="71">
      <c r="A71" s="24" t="n"/>
      <c r="B71" s="29" t="n"/>
      <c r="C71" s="27" t="n"/>
      <c r="D71" s="31" t="n"/>
      <c r="E71" s="32" t="n"/>
      <c r="F71" s="35" t="n"/>
      <c r="G71" s="31" t="n"/>
      <c r="H71" s="20" t="str">
        <f>IF(AND(ISNUMBER(E71),ISNUMBER(F71)),E71*F71,"")</f>
        <v/>
      </c>
      <c r="I71" s="42" t="str">
        <f>IF(ISNUMBER(H71),ROUND(H71*IF(G71="挂单",'参数'!$C$11,'参数'!$C$12),4),"")</f>
        <v/>
      </c>
      <c r="J71" s="47" t="n"/>
      <c r="K71" s="47" t="n"/>
      <c r="L71" s="20" t="str">
        <f>IF(ISNUMBER(K71),K71+N(J71),IF(ISNUMBER(H71),I71+N(J71),""))</f>
        <v/>
      </c>
      <c r="M71" s="40" t="str">
        <f>IF(A71="","",IFERROR(T(INDEX('交易记录'!$C$5:$C$304,MATCH(A71,'交易记录'!$A$5:$A$304,0))),"编号没找到"))</f>
        <v/>
      </c>
      <c r="N71" s="30" t="n"/>
    </row>
    <row r="72">
      <c r="A72" s="24" t="n"/>
      <c r="B72" s="29" t="n"/>
      <c r="C72" s="27" t="n"/>
      <c r="D72" s="31" t="n"/>
      <c r="E72" s="32" t="n"/>
      <c r="F72" s="35" t="n"/>
      <c r="G72" s="31" t="n"/>
      <c r="H72" s="20" t="str">
        <f>IF(AND(ISNUMBER(E72),ISNUMBER(F72)),E72*F72,"")</f>
        <v/>
      </c>
      <c r="I72" s="42" t="str">
        <f>IF(ISNUMBER(H72),ROUND(H72*IF(G72="挂单",'参数'!$C$11,'参数'!$C$12),4),"")</f>
        <v/>
      </c>
      <c r="J72" s="47" t="n"/>
      <c r="K72" s="47" t="n"/>
      <c r="L72" s="20" t="str">
        <f>IF(ISNUMBER(K72),K72+N(J72),IF(ISNUMBER(H72),I72+N(J72),""))</f>
        <v/>
      </c>
      <c r="M72" s="40" t="str">
        <f>IF(A72="","",IFERROR(T(INDEX('交易记录'!$C$5:$C$304,MATCH(A72,'交易记录'!$A$5:$A$304,0))),"编号没找到"))</f>
        <v/>
      </c>
      <c r="N72" s="30" t="n"/>
    </row>
    <row r="73">
      <c r="A73" s="24" t="n"/>
      <c r="B73" s="29" t="n"/>
      <c r="C73" s="27" t="n"/>
      <c r="D73" s="31" t="n"/>
      <c r="E73" s="32" t="n"/>
      <c r="F73" s="35" t="n"/>
      <c r="G73" s="31" t="n"/>
      <c r="H73" s="20" t="str">
        <f>IF(AND(ISNUMBER(E73),ISNUMBER(F73)),E73*F73,"")</f>
        <v/>
      </c>
      <c r="I73" s="42" t="str">
        <f>IF(ISNUMBER(H73),ROUND(H73*IF(G73="挂单",'参数'!$C$11,'参数'!$C$12),4),"")</f>
        <v/>
      </c>
      <c r="J73" s="47" t="n"/>
      <c r="K73" s="47" t="n"/>
      <c r="L73" s="20" t="str">
        <f>IF(ISNUMBER(K73),K73+N(J73),IF(ISNUMBER(H73),I73+N(J73),""))</f>
        <v/>
      </c>
      <c r="M73" s="40" t="str">
        <f>IF(A73="","",IFERROR(T(INDEX('交易记录'!$C$5:$C$304,MATCH(A73,'交易记录'!$A$5:$A$304,0))),"编号没找到"))</f>
        <v/>
      </c>
      <c r="N73" s="30" t="n"/>
    </row>
    <row r="74">
      <c r="A74" s="24" t="n"/>
      <c r="B74" s="29" t="n"/>
      <c r="C74" s="27" t="n"/>
      <c r="D74" s="31" t="n"/>
      <c r="E74" s="32" t="n"/>
      <c r="F74" s="35" t="n"/>
      <c r="G74" s="31" t="n"/>
      <c r="H74" s="20" t="str">
        <f>IF(AND(ISNUMBER(E74),ISNUMBER(F74)),E74*F74,"")</f>
        <v/>
      </c>
      <c r="I74" s="42" t="str">
        <f>IF(ISNUMBER(H74),ROUND(H74*IF(G74="挂单",'参数'!$C$11,'参数'!$C$12),4),"")</f>
        <v/>
      </c>
      <c r="J74" s="47" t="n"/>
      <c r="K74" s="47" t="n"/>
      <c r="L74" s="20" t="str">
        <f>IF(ISNUMBER(K74),K74+N(J74),IF(ISNUMBER(H74),I74+N(J74),""))</f>
        <v/>
      </c>
      <c r="M74" s="40" t="str">
        <f>IF(A74="","",IFERROR(T(INDEX('交易记录'!$C$5:$C$304,MATCH(A74,'交易记录'!$A$5:$A$304,0))),"编号没找到"))</f>
        <v/>
      </c>
      <c r="N74" s="30" t="n"/>
    </row>
    <row r="75">
      <c r="A75" s="24" t="n"/>
      <c r="B75" s="29" t="n"/>
      <c r="C75" s="27" t="n"/>
      <c r="D75" s="31" t="n"/>
      <c r="E75" s="32" t="n"/>
      <c r="F75" s="35" t="n"/>
      <c r="G75" s="31" t="n"/>
      <c r="H75" s="20" t="str">
        <f>IF(AND(ISNUMBER(E75),ISNUMBER(F75)),E75*F75,"")</f>
        <v/>
      </c>
      <c r="I75" s="42" t="str">
        <f>IF(ISNUMBER(H75),ROUND(H75*IF(G75="挂单",'参数'!$C$11,'参数'!$C$12),4),"")</f>
        <v/>
      </c>
      <c r="J75" s="47" t="n"/>
      <c r="K75" s="47" t="n"/>
      <c r="L75" s="20" t="str">
        <f>IF(ISNUMBER(K75),K75+N(J75),IF(ISNUMBER(H75),I75+N(J75),""))</f>
        <v/>
      </c>
      <c r="M75" s="40" t="str">
        <f>IF(A75="","",IFERROR(T(INDEX('交易记录'!$C$5:$C$304,MATCH(A75,'交易记录'!$A$5:$A$304,0))),"编号没找到"))</f>
        <v/>
      </c>
      <c r="N75" s="30" t="n"/>
    </row>
    <row r="76">
      <c r="A76" s="24" t="n"/>
      <c r="B76" s="29" t="n"/>
      <c r="C76" s="27" t="n"/>
      <c r="D76" s="31" t="n"/>
      <c r="E76" s="32" t="n"/>
      <c r="F76" s="35" t="n"/>
      <c r="G76" s="31" t="n"/>
      <c r="H76" s="20" t="str">
        <f>IF(AND(ISNUMBER(E76),ISNUMBER(F76)),E76*F76,"")</f>
        <v/>
      </c>
      <c r="I76" s="42" t="str">
        <f>IF(ISNUMBER(H76),ROUND(H76*IF(G76="挂单",'参数'!$C$11,'参数'!$C$12),4),"")</f>
        <v/>
      </c>
      <c r="J76" s="47" t="n"/>
      <c r="K76" s="47" t="n"/>
      <c r="L76" s="20" t="str">
        <f>IF(ISNUMBER(K76),K76+N(J76),IF(ISNUMBER(H76),I76+N(J76),""))</f>
        <v/>
      </c>
      <c r="M76" s="40" t="str">
        <f>IF(A76="","",IFERROR(T(INDEX('交易记录'!$C$5:$C$304,MATCH(A76,'交易记录'!$A$5:$A$304,0))),"编号没找到"))</f>
        <v/>
      </c>
      <c r="N76" s="30" t="n"/>
    </row>
    <row r="77">
      <c r="A77" s="24" t="n"/>
      <c r="B77" s="29" t="n"/>
      <c r="C77" s="27" t="n"/>
      <c r="D77" s="31" t="n"/>
      <c r="E77" s="32" t="n"/>
      <c r="F77" s="35" t="n"/>
      <c r="G77" s="31" t="n"/>
      <c r="H77" s="20" t="str">
        <f>IF(AND(ISNUMBER(E77),ISNUMBER(F77)),E77*F77,"")</f>
        <v/>
      </c>
      <c r="I77" s="42" t="str">
        <f>IF(ISNUMBER(H77),ROUND(H77*IF(G77="挂单",'参数'!$C$11,'参数'!$C$12),4),"")</f>
        <v/>
      </c>
      <c r="J77" s="47" t="n"/>
      <c r="K77" s="47" t="n"/>
      <c r="L77" s="20" t="str">
        <f>IF(ISNUMBER(K77),K77+N(J77),IF(ISNUMBER(H77),I77+N(J77),""))</f>
        <v/>
      </c>
      <c r="M77" s="40" t="str">
        <f>IF(A77="","",IFERROR(T(INDEX('交易记录'!$C$5:$C$304,MATCH(A77,'交易记录'!$A$5:$A$304,0))),"编号没找到"))</f>
        <v/>
      </c>
      <c r="N77" s="30" t="n"/>
    </row>
    <row r="78">
      <c r="A78" s="24" t="n"/>
      <c r="B78" s="29" t="n"/>
      <c r="C78" s="27" t="n"/>
      <c r="D78" s="31" t="n"/>
      <c r="E78" s="32" t="n"/>
      <c r="F78" s="35" t="n"/>
      <c r="G78" s="31" t="n"/>
      <c r="H78" s="20" t="str">
        <f>IF(AND(ISNUMBER(E78),ISNUMBER(F78)),E78*F78,"")</f>
        <v/>
      </c>
      <c r="I78" s="42" t="str">
        <f>IF(ISNUMBER(H78),ROUND(H78*IF(G78="挂单",'参数'!$C$11,'参数'!$C$12),4),"")</f>
        <v/>
      </c>
      <c r="J78" s="47" t="n"/>
      <c r="K78" s="47" t="n"/>
      <c r="L78" s="20" t="str">
        <f>IF(ISNUMBER(K78),K78+N(J78),IF(ISNUMBER(H78),I78+N(J78),""))</f>
        <v/>
      </c>
      <c r="M78" s="40" t="str">
        <f>IF(A78="","",IFERROR(T(INDEX('交易记录'!$C$5:$C$304,MATCH(A78,'交易记录'!$A$5:$A$304,0))),"编号没找到"))</f>
        <v/>
      </c>
      <c r="N78" s="30" t="n"/>
    </row>
    <row r="79">
      <c r="A79" s="24" t="n"/>
      <c r="B79" s="29" t="n"/>
      <c r="C79" s="27" t="n"/>
      <c r="D79" s="31" t="n"/>
      <c r="E79" s="32" t="n"/>
      <c r="F79" s="35" t="n"/>
      <c r="G79" s="31" t="n"/>
      <c r="H79" s="20" t="str">
        <f>IF(AND(ISNUMBER(E79),ISNUMBER(F79)),E79*F79,"")</f>
        <v/>
      </c>
      <c r="I79" s="42" t="str">
        <f>IF(ISNUMBER(H79),ROUND(H79*IF(G79="挂单",'参数'!$C$11,'参数'!$C$12),4),"")</f>
        <v/>
      </c>
      <c r="J79" s="47" t="n"/>
      <c r="K79" s="47" t="n"/>
      <c r="L79" s="20" t="str">
        <f>IF(ISNUMBER(K79),K79+N(J79),IF(ISNUMBER(H79),I79+N(J79),""))</f>
        <v/>
      </c>
      <c r="M79" s="40" t="str">
        <f>IF(A79="","",IFERROR(T(INDEX('交易记录'!$C$5:$C$304,MATCH(A79,'交易记录'!$A$5:$A$304,0))),"编号没找到"))</f>
        <v/>
      </c>
      <c r="N79" s="30" t="n"/>
    </row>
    <row r="80">
      <c r="A80" s="24" t="n"/>
      <c r="B80" s="29" t="n"/>
      <c r="C80" s="27" t="n"/>
      <c r="D80" s="31" t="n"/>
      <c r="E80" s="32" t="n"/>
      <c r="F80" s="35" t="n"/>
      <c r="G80" s="31" t="n"/>
      <c r="H80" s="20" t="str">
        <f>IF(AND(ISNUMBER(E80),ISNUMBER(F80)),E80*F80,"")</f>
        <v/>
      </c>
      <c r="I80" s="42" t="str">
        <f>IF(ISNUMBER(H80),ROUND(H80*IF(G80="挂单",'参数'!$C$11,'参数'!$C$12),4),"")</f>
        <v/>
      </c>
      <c r="J80" s="47" t="n"/>
      <c r="K80" s="47" t="n"/>
      <c r="L80" s="20" t="str">
        <f>IF(ISNUMBER(K80),K80+N(J80),IF(ISNUMBER(H80),I80+N(J80),""))</f>
        <v/>
      </c>
      <c r="M80" s="40" t="str">
        <f>IF(A80="","",IFERROR(T(INDEX('交易记录'!$C$5:$C$304,MATCH(A80,'交易记录'!$A$5:$A$304,0))),"编号没找到"))</f>
        <v/>
      </c>
      <c r="N80" s="30" t="n"/>
    </row>
    <row r="81">
      <c r="A81" s="24" t="n"/>
      <c r="B81" s="29" t="n"/>
      <c r="C81" s="27" t="n"/>
      <c r="D81" s="31" t="n"/>
      <c r="E81" s="32" t="n"/>
      <c r="F81" s="35" t="n"/>
      <c r="G81" s="31" t="n"/>
      <c r="H81" s="20" t="str">
        <f>IF(AND(ISNUMBER(E81),ISNUMBER(F81)),E81*F81,"")</f>
        <v/>
      </c>
      <c r="I81" s="42" t="str">
        <f>IF(ISNUMBER(H81),ROUND(H81*IF(G81="挂单",'参数'!$C$11,'参数'!$C$12),4),"")</f>
        <v/>
      </c>
      <c r="J81" s="47" t="n"/>
      <c r="K81" s="47" t="n"/>
      <c r="L81" s="20" t="str">
        <f>IF(ISNUMBER(K81),K81+N(J81),IF(ISNUMBER(H81),I81+N(J81),""))</f>
        <v/>
      </c>
      <c r="M81" s="40" t="str">
        <f>IF(A81="","",IFERROR(T(INDEX('交易记录'!$C$5:$C$304,MATCH(A81,'交易记录'!$A$5:$A$304,0))),"编号没找到"))</f>
        <v/>
      </c>
      <c r="N81" s="30" t="n"/>
    </row>
    <row r="82">
      <c r="A82" s="24" t="n"/>
      <c r="B82" s="29" t="n"/>
      <c r="C82" s="27" t="n"/>
      <c r="D82" s="31" t="n"/>
      <c r="E82" s="32" t="n"/>
      <c r="F82" s="35" t="n"/>
      <c r="G82" s="31" t="n"/>
      <c r="H82" s="20" t="str">
        <f>IF(AND(ISNUMBER(E82),ISNUMBER(F82)),E82*F82,"")</f>
        <v/>
      </c>
      <c r="I82" s="42" t="str">
        <f>IF(ISNUMBER(H82),ROUND(H82*IF(G82="挂单",'参数'!$C$11,'参数'!$C$12),4),"")</f>
        <v/>
      </c>
      <c r="J82" s="47" t="n"/>
      <c r="K82" s="47" t="n"/>
      <c r="L82" s="20" t="str">
        <f>IF(ISNUMBER(K82),K82+N(J82),IF(ISNUMBER(H82),I82+N(J82),""))</f>
        <v/>
      </c>
      <c r="M82" s="40" t="str">
        <f>IF(A82="","",IFERROR(T(INDEX('交易记录'!$C$5:$C$304,MATCH(A82,'交易记录'!$A$5:$A$304,0))),"编号没找到"))</f>
        <v/>
      </c>
      <c r="N82" s="30" t="n"/>
    </row>
    <row r="83">
      <c r="A83" s="24" t="n"/>
      <c r="B83" s="29" t="n"/>
      <c r="C83" s="27" t="n"/>
      <c r="D83" s="31" t="n"/>
      <c r="E83" s="32" t="n"/>
      <c r="F83" s="35" t="n"/>
      <c r="G83" s="31" t="n"/>
      <c r="H83" s="20" t="str">
        <f>IF(AND(ISNUMBER(E83),ISNUMBER(F83)),E83*F83,"")</f>
        <v/>
      </c>
      <c r="I83" s="42" t="str">
        <f>IF(ISNUMBER(H83),ROUND(H83*IF(G83="挂单",'参数'!$C$11,'参数'!$C$12),4),"")</f>
        <v/>
      </c>
      <c r="J83" s="47" t="n"/>
      <c r="K83" s="47" t="n"/>
      <c r="L83" s="20" t="str">
        <f>IF(ISNUMBER(K83),K83+N(J83),IF(ISNUMBER(H83),I83+N(J83),""))</f>
        <v/>
      </c>
      <c r="M83" s="40" t="str">
        <f>IF(A83="","",IFERROR(T(INDEX('交易记录'!$C$5:$C$304,MATCH(A83,'交易记录'!$A$5:$A$304,0))),"编号没找到"))</f>
        <v/>
      </c>
      <c r="N83" s="30" t="n"/>
    </row>
    <row r="84">
      <c r="A84" s="24" t="n"/>
      <c r="B84" s="29" t="n"/>
      <c r="C84" s="27" t="n"/>
      <c r="D84" s="31" t="n"/>
      <c r="E84" s="32" t="n"/>
      <c r="F84" s="35" t="n"/>
      <c r="G84" s="31" t="n"/>
      <c r="H84" s="20" t="str">
        <f>IF(AND(ISNUMBER(E84),ISNUMBER(F84)),E84*F84,"")</f>
        <v/>
      </c>
      <c r="I84" s="42" t="str">
        <f>IF(ISNUMBER(H84),ROUND(H84*IF(G84="挂单",'参数'!$C$11,'参数'!$C$12),4),"")</f>
        <v/>
      </c>
      <c r="J84" s="47" t="n"/>
      <c r="K84" s="47" t="n"/>
      <c r="L84" s="20" t="str">
        <f>IF(ISNUMBER(K84),K84+N(J84),IF(ISNUMBER(H84),I84+N(J84),""))</f>
        <v/>
      </c>
      <c r="M84" s="40" t="str">
        <f>IF(A84="","",IFERROR(T(INDEX('交易记录'!$C$5:$C$304,MATCH(A84,'交易记录'!$A$5:$A$304,0))),"编号没找到"))</f>
        <v/>
      </c>
      <c r="N84" s="30" t="n"/>
    </row>
    <row r="85">
      <c r="A85" s="24" t="n"/>
      <c r="B85" s="29" t="n"/>
      <c r="C85" s="27" t="n"/>
      <c r="D85" s="31" t="n"/>
      <c r="E85" s="32" t="n"/>
      <c r="F85" s="35" t="n"/>
      <c r="G85" s="31" t="n"/>
      <c r="H85" s="20" t="str">
        <f>IF(AND(ISNUMBER(E85),ISNUMBER(F85)),E85*F85,"")</f>
        <v/>
      </c>
      <c r="I85" s="42" t="str">
        <f>IF(ISNUMBER(H85),ROUND(H85*IF(G85="挂单",'参数'!$C$11,'参数'!$C$12),4),"")</f>
        <v/>
      </c>
      <c r="J85" s="47" t="n"/>
      <c r="K85" s="47" t="n"/>
      <c r="L85" s="20" t="str">
        <f>IF(ISNUMBER(K85),K85+N(J85),IF(ISNUMBER(H85),I85+N(J85),""))</f>
        <v/>
      </c>
      <c r="M85" s="40" t="str">
        <f>IF(A85="","",IFERROR(T(INDEX('交易记录'!$C$5:$C$304,MATCH(A85,'交易记录'!$A$5:$A$304,0))),"编号没找到"))</f>
        <v/>
      </c>
      <c r="N85" s="30" t="n"/>
    </row>
    <row r="86">
      <c r="A86" s="24" t="n"/>
      <c r="B86" s="29" t="n"/>
      <c r="C86" s="27" t="n"/>
      <c r="D86" s="31" t="n"/>
      <c r="E86" s="32" t="n"/>
      <c r="F86" s="35" t="n"/>
      <c r="G86" s="31" t="n"/>
      <c r="H86" s="20" t="str">
        <f>IF(AND(ISNUMBER(E86),ISNUMBER(F86)),E86*F86,"")</f>
        <v/>
      </c>
      <c r="I86" s="42" t="str">
        <f>IF(ISNUMBER(H86),ROUND(H86*IF(G86="挂单",'参数'!$C$11,'参数'!$C$12),4),"")</f>
        <v/>
      </c>
      <c r="J86" s="47" t="n"/>
      <c r="K86" s="47" t="n"/>
      <c r="L86" s="20" t="str">
        <f>IF(ISNUMBER(K86),K86+N(J86),IF(ISNUMBER(H86),I86+N(J86),""))</f>
        <v/>
      </c>
      <c r="M86" s="40" t="str">
        <f>IF(A86="","",IFERROR(T(INDEX('交易记录'!$C$5:$C$304,MATCH(A86,'交易记录'!$A$5:$A$304,0))),"编号没找到"))</f>
        <v/>
      </c>
      <c r="N86" s="30" t="n"/>
    </row>
    <row r="87">
      <c r="A87" s="24" t="n"/>
      <c r="B87" s="29" t="n"/>
      <c r="C87" s="27" t="n"/>
      <c r="D87" s="31" t="n"/>
      <c r="E87" s="32" t="n"/>
      <c r="F87" s="35" t="n"/>
      <c r="G87" s="31" t="n"/>
      <c r="H87" s="20" t="str">
        <f>IF(AND(ISNUMBER(E87),ISNUMBER(F87)),E87*F87,"")</f>
        <v/>
      </c>
      <c r="I87" s="42" t="str">
        <f>IF(ISNUMBER(H87),ROUND(H87*IF(G87="挂单",'参数'!$C$11,'参数'!$C$12),4),"")</f>
        <v/>
      </c>
      <c r="J87" s="47" t="n"/>
      <c r="K87" s="47" t="n"/>
      <c r="L87" s="20" t="str">
        <f>IF(ISNUMBER(K87),K87+N(J87),IF(ISNUMBER(H87),I87+N(J87),""))</f>
        <v/>
      </c>
      <c r="M87" s="40" t="str">
        <f>IF(A87="","",IFERROR(T(INDEX('交易记录'!$C$5:$C$304,MATCH(A87,'交易记录'!$A$5:$A$304,0))),"编号没找到"))</f>
        <v/>
      </c>
      <c r="N87" s="30" t="n"/>
    </row>
    <row r="88">
      <c r="A88" s="24" t="n"/>
      <c r="B88" s="29" t="n"/>
      <c r="C88" s="27" t="n"/>
      <c r="D88" s="31" t="n"/>
      <c r="E88" s="32" t="n"/>
      <c r="F88" s="35" t="n"/>
      <c r="G88" s="31" t="n"/>
      <c r="H88" s="20" t="str">
        <f>IF(AND(ISNUMBER(E88),ISNUMBER(F88)),E88*F88,"")</f>
        <v/>
      </c>
      <c r="I88" s="42" t="str">
        <f>IF(ISNUMBER(H88),ROUND(H88*IF(G88="挂单",'参数'!$C$11,'参数'!$C$12),4),"")</f>
        <v/>
      </c>
      <c r="J88" s="47" t="n"/>
      <c r="K88" s="47" t="n"/>
      <c r="L88" s="20" t="str">
        <f>IF(ISNUMBER(K88),K88+N(J88),IF(ISNUMBER(H88),I88+N(J88),""))</f>
        <v/>
      </c>
      <c r="M88" s="40" t="str">
        <f>IF(A88="","",IFERROR(T(INDEX('交易记录'!$C$5:$C$304,MATCH(A88,'交易记录'!$A$5:$A$304,0))),"编号没找到"))</f>
        <v/>
      </c>
      <c r="N88" s="30" t="n"/>
    </row>
    <row r="89">
      <c r="A89" s="24" t="n"/>
      <c r="B89" s="29" t="n"/>
      <c r="C89" s="27" t="n"/>
      <c r="D89" s="31" t="n"/>
      <c r="E89" s="32" t="n"/>
      <c r="F89" s="35" t="n"/>
      <c r="G89" s="31" t="n"/>
      <c r="H89" s="20" t="str">
        <f>IF(AND(ISNUMBER(E89),ISNUMBER(F89)),E89*F89,"")</f>
        <v/>
      </c>
      <c r="I89" s="42" t="str">
        <f>IF(ISNUMBER(H89),ROUND(H89*IF(G89="挂单",'参数'!$C$11,'参数'!$C$12),4),"")</f>
        <v/>
      </c>
      <c r="J89" s="47" t="n"/>
      <c r="K89" s="47" t="n"/>
      <c r="L89" s="20" t="str">
        <f>IF(ISNUMBER(K89),K89+N(J89),IF(ISNUMBER(H89),I89+N(J89),""))</f>
        <v/>
      </c>
      <c r="M89" s="40" t="str">
        <f>IF(A89="","",IFERROR(T(INDEX('交易记录'!$C$5:$C$304,MATCH(A89,'交易记录'!$A$5:$A$304,0))),"编号没找到"))</f>
        <v/>
      </c>
      <c r="N89" s="30" t="n"/>
    </row>
    <row r="90">
      <c r="A90" s="24" t="n"/>
      <c r="B90" s="29" t="n"/>
      <c r="C90" s="27" t="n"/>
      <c r="D90" s="31" t="n"/>
      <c r="E90" s="32" t="n"/>
      <c r="F90" s="35" t="n"/>
      <c r="G90" s="31" t="n"/>
      <c r="H90" s="20" t="str">
        <f>IF(AND(ISNUMBER(E90),ISNUMBER(F90)),E90*F90,"")</f>
        <v/>
      </c>
      <c r="I90" s="42" t="str">
        <f>IF(ISNUMBER(H90),ROUND(H90*IF(G90="挂单",'参数'!$C$11,'参数'!$C$12),4),"")</f>
        <v/>
      </c>
      <c r="J90" s="47" t="n"/>
      <c r="K90" s="47" t="n"/>
      <c r="L90" s="20" t="str">
        <f>IF(ISNUMBER(K90),K90+N(J90),IF(ISNUMBER(H90),I90+N(J90),""))</f>
        <v/>
      </c>
      <c r="M90" s="40" t="str">
        <f>IF(A90="","",IFERROR(T(INDEX('交易记录'!$C$5:$C$304,MATCH(A90,'交易记录'!$A$5:$A$304,0))),"编号没找到"))</f>
        <v/>
      </c>
      <c r="N90" s="30" t="n"/>
    </row>
    <row r="91">
      <c r="A91" s="24" t="n"/>
      <c r="B91" s="29" t="n"/>
      <c r="C91" s="27" t="n"/>
      <c r="D91" s="31" t="n"/>
      <c r="E91" s="32" t="n"/>
      <c r="F91" s="35" t="n"/>
      <c r="G91" s="31" t="n"/>
      <c r="H91" s="20" t="str">
        <f>IF(AND(ISNUMBER(E91),ISNUMBER(F91)),E91*F91,"")</f>
        <v/>
      </c>
      <c r="I91" s="42" t="str">
        <f>IF(ISNUMBER(H91),ROUND(H91*IF(G91="挂单",'参数'!$C$11,'参数'!$C$12),4),"")</f>
        <v/>
      </c>
      <c r="J91" s="47" t="n"/>
      <c r="K91" s="47" t="n"/>
      <c r="L91" s="20" t="str">
        <f>IF(ISNUMBER(K91),K91+N(J91),IF(ISNUMBER(H91),I91+N(J91),""))</f>
        <v/>
      </c>
      <c r="M91" s="40" t="str">
        <f>IF(A91="","",IFERROR(T(INDEX('交易记录'!$C$5:$C$304,MATCH(A91,'交易记录'!$A$5:$A$304,0))),"编号没找到"))</f>
        <v/>
      </c>
      <c r="N91" s="30" t="n"/>
    </row>
    <row r="92">
      <c r="A92" s="24" t="n"/>
      <c r="B92" s="29" t="n"/>
      <c r="C92" s="27" t="n"/>
      <c r="D92" s="31" t="n"/>
      <c r="E92" s="32" t="n"/>
      <c r="F92" s="35" t="n"/>
      <c r="G92" s="31" t="n"/>
      <c r="H92" s="20" t="str">
        <f>IF(AND(ISNUMBER(E92),ISNUMBER(F92)),E92*F92,"")</f>
        <v/>
      </c>
      <c r="I92" s="42" t="str">
        <f>IF(ISNUMBER(H92),ROUND(H92*IF(G92="挂单",'参数'!$C$11,'参数'!$C$12),4),"")</f>
        <v/>
      </c>
      <c r="J92" s="47" t="n"/>
      <c r="K92" s="47" t="n"/>
      <c r="L92" s="20" t="str">
        <f>IF(ISNUMBER(K92),K92+N(J92),IF(ISNUMBER(H92),I92+N(J92),""))</f>
        <v/>
      </c>
      <c r="M92" s="40" t="str">
        <f>IF(A92="","",IFERROR(T(INDEX('交易记录'!$C$5:$C$304,MATCH(A92,'交易记录'!$A$5:$A$304,0))),"编号没找到"))</f>
        <v/>
      </c>
      <c r="N92" s="30" t="n"/>
    </row>
    <row r="93">
      <c r="A93" s="24" t="n"/>
      <c r="B93" s="29" t="n"/>
      <c r="C93" s="27" t="n"/>
      <c r="D93" s="31" t="n"/>
      <c r="E93" s="32" t="n"/>
      <c r="F93" s="35" t="n"/>
      <c r="G93" s="31" t="n"/>
      <c r="H93" s="20" t="str">
        <f>IF(AND(ISNUMBER(E93),ISNUMBER(F93)),E93*F93,"")</f>
        <v/>
      </c>
      <c r="I93" s="42" t="str">
        <f>IF(ISNUMBER(H93),ROUND(H93*IF(G93="挂单",'参数'!$C$11,'参数'!$C$12),4),"")</f>
        <v/>
      </c>
      <c r="J93" s="47" t="n"/>
      <c r="K93" s="47" t="n"/>
      <c r="L93" s="20" t="str">
        <f>IF(ISNUMBER(K93),K93+N(J93),IF(ISNUMBER(H93),I93+N(J93),""))</f>
        <v/>
      </c>
      <c r="M93" s="40" t="str">
        <f>IF(A93="","",IFERROR(T(INDEX('交易记录'!$C$5:$C$304,MATCH(A93,'交易记录'!$A$5:$A$304,0))),"编号没找到"))</f>
        <v/>
      </c>
      <c r="N93" s="30" t="n"/>
    </row>
    <row r="94">
      <c r="A94" s="24" t="n"/>
      <c r="B94" s="29" t="n"/>
      <c r="C94" s="27" t="n"/>
      <c r="D94" s="31" t="n"/>
      <c r="E94" s="32" t="n"/>
      <c r="F94" s="35" t="n"/>
      <c r="G94" s="31" t="n"/>
      <c r="H94" s="20" t="str">
        <f>IF(AND(ISNUMBER(E94),ISNUMBER(F94)),E94*F94,"")</f>
        <v/>
      </c>
      <c r="I94" s="42" t="str">
        <f>IF(ISNUMBER(H94),ROUND(H94*IF(G94="挂单",'参数'!$C$11,'参数'!$C$12),4),"")</f>
        <v/>
      </c>
      <c r="J94" s="47" t="n"/>
      <c r="K94" s="47" t="n"/>
      <c r="L94" s="20" t="str">
        <f>IF(ISNUMBER(K94),K94+N(J94),IF(ISNUMBER(H94),I94+N(J94),""))</f>
        <v/>
      </c>
      <c r="M94" s="40" t="str">
        <f>IF(A94="","",IFERROR(T(INDEX('交易记录'!$C$5:$C$304,MATCH(A94,'交易记录'!$A$5:$A$304,0))),"编号没找到"))</f>
        <v/>
      </c>
      <c r="N94" s="30" t="n"/>
    </row>
    <row r="95">
      <c r="A95" s="24" t="n"/>
      <c r="B95" s="29" t="n"/>
      <c r="C95" s="27" t="n"/>
      <c r="D95" s="31" t="n"/>
      <c r="E95" s="32" t="n"/>
      <c r="F95" s="35" t="n"/>
      <c r="G95" s="31" t="n"/>
      <c r="H95" s="20" t="str">
        <f>IF(AND(ISNUMBER(E95),ISNUMBER(F95)),E95*F95,"")</f>
        <v/>
      </c>
      <c r="I95" s="42" t="str">
        <f>IF(ISNUMBER(H95),ROUND(H95*IF(G95="挂单",'参数'!$C$11,'参数'!$C$12),4),"")</f>
        <v/>
      </c>
      <c r="J95" s="47" t="n"/>
      <c r="K95" s="47" t="n"/>
      <c r="L95" s="20" t="str">
        <f>IF(ISNUMBER(K95),K95+N(J95),IF(ISNUMBER(H95),I95+N(J95),""))</f>
        <v/>
      </c>
      <c r="M95" s="40" t="str">
        <f>IF(A95="","",IFERROR(T(INDEX('交易记录'!$C$5:$C$304,MATCH(A95,'交易记录'!$A$5:$A$304,0))),"编号没找到"))</f>
        <v/>
      </c>
      <c r="N95" s="30" t="n"/>
    </row>
    <row r="96">
      <c r="A96" s="24" t="n"/>
      <c r="B96" s="29" t="n"/>
      <c r="C96" s="27" t="n"/>
      <c r="D96" s="31" t="n"/>
      <c r="E96" s="32" t="n"/>
      <c r="F96" s="35" t="n"/>
      <c r="G96" s="31" t="n"/>
      <c r="H96" s="20" t="str">
        <f>IF(AND(ISNUMBER(E96),ISNUMBER(F96)),E96*F96,"")</f>
        <v/>
      </c>
      <c r="I96" s="42" t="str">
        <f>IF(ISNUMBER(H96),ROUND(H96*IF(G96="挂单",'参数'!$C$11,'参数'!$C$12),4),"")</f>
        <v/>
      </c>
      <c r="J96" s="47" t="n"/>
      <c r="K96" s="47" t="n"/>
      <c r="L96" s="20" t="str">
        <f>IF(ISNUMBER(K96),K96+N(J96),IF(ISNUMBER(H96),I96+N(J96),""))</f>
        <v/>
      </c>
      <c r="M96" s="40" t="str">
        <f>IF(A96="","",IFERROR(T(INDEX('交易记录'!$C$5:$C$304,MATCH(A96,'交易记录'!$A$5:$A$304,0))),"编号没找到"))</f>
        <v/>
      </c>
      <c r="N96" s="30" t="n"/>
    </row>
    <row r="97">
      <c r="A97" s="24" t="n"/>
      <c r="B97" s="29" t="n"/>
      <c r="C97" s="27" t="n"/>
      <c r="D97" s="31" t="n"/>
      <c r="E97" s="32" t="n"/>
      <c r="F97" s="35" t="n"/>
      <c r="G97" s="31" t="n"/>
      <c r="H97" s="20" t="str">
        <f>IF(AND(ISNUMBER(E97),ISNUMBER(F97)),E97*F97,"")</f>
        <v/>
      </c>
      <c r="I97" s="42" t="str">
        <f>IF(ISNUMBER(H97),ROUND(H97*IF(G97="挂单",'参数'!$C$11,'参数'!$C$12),4),"")</f>
        <v/>
      </c>
      <c r="J97" s="47" t="n"/>
      <c r="K97" s="47" t="n"/>
      <c r="L97" s="20" t="str">
        <f>IF(ISNUMBER(K97),K97+N(J97),IF(ISNUMBER(H97),I97+N(J97),""))</f>
        <v/>
      </c>
      <c r="M97" s="40" t="str">
        <f>IF(A97="","",IFERROR(T(INDEX('交易记录'!$C$5:$C$304,MATCH(A97,'交易记录'!$A$5:$A$304,0))),"编号没找到"))</f>
        <v/>
      </c>
      <c r="N97" s="30" t="n"/>
    </row>
    <row r="98">
      <c r="A98" s="24" t="n"/>
      <c r="B98" s="29" t="n"/>
      <c r="C98" s="27" t="n"/>
      <c r="D98" s="31" t="n"/>
      <c r="E98" s="32" t="n"/>
      <c r="F98" s="35" t="n"/>
      <c r="G98" s="31" t="n"/>
      <c r="H98" s="20" t="str">
        <f>IF(AND(ISNUMBER(E98),ISNUMBER(F98)),E98*F98,"")</f>
        <v/>
      </c>
      <c r="I98" s="42" t="str">
        <f>IF(ISNUMBER(H98),ROUND(H98*IF(G98="挂单",'参数'!$C$11,'参数'!$C$12),4),"")</f>
        <v/>
      </c>
      <c r="J98" s="47" t="n"/>
      <c r="K98" s="47" t="n"/>
      <c r="L98" s="20" t="str">
        <f>IF(ISNUMBER(K98),K98+N(J98),IF(ISNUMBER(H98),I98+N(J98),""))</f>
        <v/>
      </c>
      <c r="M98" s="40" t="str">
        <f>IF(A98="","",IFERROR(T(INDEX('交易记录'!$C$5:$C$304,MATCH(A98,'交易记录'!$A$5:$A$304,0))),"编号没找到"))</f>
        <v/>
      </c>
      <c r="N98" s="30" t="n"/>
    </row>
    <row r="99">
      <c r="A99" s="24" t="n"/>
      <c r="B99" s="29" t="n"/>
      <c r="C99" s="27" t="n"/>
      <c r="D99" s="31" t="n"/>
      <c r="E99" s="32" t="n"/>
      <c r="F99" s="35" t="n"/>
      <c r="G99" s="31" t="n"/>
      <c r="H99" s="20" t="str">
        <f>IF(AND(ISNUMBER(E99),ISNUMBER(F99)),E99*F99,"")</f>
        <v/>
      </c>
      <c r="I99" s="42" t="str">
        <f>IF(ISNUMBER(H99),ROUND(H99*IF(G99="挂单",'参数'!$C$11,'参数'!$C$12),4),"")</f>
        <v/>
      </c>
      <c r="J99" s="47" t="n"/>
      <c r="K99" s="47" t="n"/>
      <c r="L99" s="20" t="str">
        <f>IF(ISNUMBER(K99),K99+N(J99),IF(ISNUMBER(H99),I99+N(J99),""))</f>
        <v/>
      </c>
      <c r="M99" s="40" t="str">
        <f>IF(A99="","",IFERROR(T(INDEX('交易记录'!$C$5:$C$304,MATCH(A99,'交易记录'!$A$5:$A$304,0))),"编号没找到"))</f>
        <v/>
      </c>
      <c r="N99" s="30" t="n"/>
    </row>
    <row r="100">
      <c r="A100" s="24" t="n"/>
      <c r="B100" s="29" t="n"/>
      <c r="C100" s="27" t="n"/>
      <c r="D100" s="31" t="n"/>
      <c r="E100" s="32" t="n"/>
      <c r="F100" s="35" t="n"/>
      <c r="G100" s="31" t="n"/>
      <c r="H100" s="20" t="str">
        <f>IF(AND(ISNUMBER(E100),ISNUMBER(F100)),E100*F100,"")</f>
        <v/>
      </c>
      <c r="I100" s="42" t="str">
        <f>IF(ISNUMBER(H100),ROUND(H100*IF(G100="挂单",'参数'!$C$11,'参数'!$C$12),4),"")</f>
        <v/>
      </c>
      <c r="J100" s="47" t="n"/>
      <c r="K100" s="47" t="n"/>
      <c r="L100" s="20" t="str">
        <f>IF(ISNUMBER(K100),K100+N(J100),IF(ISNUMBER(H100),I100+N(J100),""))</f>
        <v/>
      </c>
      <c r="M100" s="40" t="str">
        <f>IF(A100="","",IFERROR(T(INDEX('交易记录'!$C$5:$C$304,MATCH(A100,'交易记录'!$A$5:$A$304,0))),"编号没找到"))</f>
        <v/>
      </c>
      <c r="N100" s="30" t="n"/>
    </row>
    <row r="101">
      <c r="A101" s="24" t="n"/>
      <c r="B101" s="29" t="n"/>
      <c r="C101" s="27" t="n"/>
      <c r="D101" s="31" t="n"/>
      <c r="E101" s="32" t="n"/>
      <c r="F101" s="35" t="n"/>
      <c r="G101" s="31" t="n"/>
      <c r="H101" s="20" t="str">
        <f>IF(AND(ISNUMBER(E101),ISNUMBER(F101)),E101*F101,"")</f>
        <v/>
      </c>
      <c r="I101" s="42" t="str">
        <f>IF(ISNUMBER(H101),ROUND(H101*IF(G101="挂单",'参数'!$C$11,'参数'!$C$12),4),"")</f>
        <v/>
      </c>
      <c r="J101" s="47" t="n"/>
      <c r="K101" s="47" t="n"/>
      <c r="L101" s="20" t="str">
        <f>IF(ISNUMBER(K101),K101+N(J101),IF(ISNUMBER(H101),I101+N(J101),""))</f>
        <v/>
      </c>
      <c r="M101" s="40" t="str">
        <f>IF(A101="","",IFERROR(T(INDEX('交易记录'!$C$5:$C$304,MATCH(A101,'交易记录'!$A$5:$A$304,0))),"编号没找到"))</f>
        <v/>
      </c>
      <c r="N101" s="30" t="n"/>
    </row>
    <row r="102">
      <c r="A102" s="24" t="n"/>
      <c r="B102" s="29" t="n"/>
      <c r="C102" s="27" t="n"/>
      <c r="D102" s="31" t="n"/>
      <c r="E102" s="32" t="n"/>
      <c r="F102" s="35" t="n"/>
      <c r="G102" s="31" t="n"/>
      <c r="H102" s="20" t="str">
        <f>IF(AND(ISNUMBER(E102),ISNUMBER(F102)),E102*F102,"")</f>
        <v/>
      </c>
      <c r="I102" s="42" t="str">
        <f>IF(ISNUMBER(H102),ROUND(H102*IF(G102="挂单",'参数'!$C$11,'参数'!$C$12),4),"")</f>
        <v/>
      </c>
      <c r="J102" s="47" t="n"/>
      <c r="K102" s="47" t="n"/>
      <c r="L102" s="20" t="str">
        <f>IF(ISNUMBER(K102),K102+N(J102),IF(ISNUMBER(H102),I102+N(J102),""))</f>
        <v/>
      </c>
      <c r="M102" s="40" t="str">
        <f>IF(A102="","",IFERROR(T(INDEX('交易记录'!$C$5:$C$304,MATCH(A102,'交易记录'!$A$5:$A$304,0))),"编号没找到"))</f>
        <v/>
      </c>
      <c r="N102" s="30" t="n"/>
    </row>
    <row r="103">
      <c r="A103" s="24" t="n"/>
      <c r="B103" s="29" t="n"/>
      <c r="C103" s="27" t="n"/>
      <c r="D103" s="31" t="n"/>
      <c r="E103" s="32" t="n"/>
      <c r="F103" s="35" t="n"/>
      <c r="G103" s="31" t="n"/>
      <c r="H103" s="20" t="str">
        <f>IF(AND(ISNUMBER(E103),ISNUMBER(F103)),E103*F103,"")</f>
        <v/>
      </c>
      <c r="I103" s="42" t="str">
        <f>IF(ISNUMBER(H103),ROUND(H103*IF(G103="挂单",'参数'!$C$11,'参数'!$C$12),4),"")</f>
        <v/>
      </c>
      <c r="J103" s="47" t="n"/>
      <c r="K103" s="47" t="n"/>
      <c r="L103" s="20" t="str">
        <f>IF(ISNUMBER(K103),K103+N(J103),IF(ISNUMBER(H103),I103+N(J103),""))</f>
        <v/>
      </c>
      <c r="M103" s="40" t="str">
        <f>IF(A103="","",IFERROR(T(INDEX('交易记录'!$C$5:$C$304,MATCH(A103,'交易记录'!$A$5:$A$304,0))),"编号没找到"))</f>
        <v/>
      </c>
      <c r="N103" s="30" t="n"/>
    </row>
    <row r="104">
      <c r="A104" s="24" t="n"/>
      <c r="B104" s="29" t="n"/>
      <c r="C104" s="27" t="n"/>
      <c r="D104" s="31" t="n"/>
      <c r="E104" s="32" t="n"/>
      <c r="F104" s="35" t="n"/>
      <c r="G104" s="31" t="n"/>
      <c r="H104" s="20" t="str">
        <f>IF(AND(ISNUMBER(E104),ISNUMBER(F104)),E104*F104,"")</f>
        <v/>
      </c>
      <c r="I104" s="42" t="str">
        <f>IF(ISNUMBER(H104),ROUND(H104*IF(G104="挂单",'参数'!$C$11,'参数'!$C$12),4),"")</f>
        <v/>
      </c>
      <c r="J104" s="47" t="n"/>
      <c r="K104" s="47" t="n"/>
      <c r="L104" s="20" t="str">
        <f>IF(ISNUMBER(K104),K104+N(J104),IF(ISNUMBER(H104),I104+N(J104),""))</f>
        <v/>
      </c>
      <c r="M104" s="40" t="str">
        <f>IF(A104="","",IFERROR(T(INDEX('交易记录'!$C$5:$C$304,MATCH(A104,'交易记录'!$A$5:$A$304,0))),"编号没找到"))</f>
        <v/>
      </c>
      <c r="N104" s="30" t="n"/>
    </row>
    <row r="105">
      <c r="A105" s="24" t="n"/>
      <c r="B105" s="29" t="n"/>
      <c r="C105" s="27" t="n"/>
      <c r="D105" s="31" t="n"/>
      <c r="E105" s="32" t="n"/>
      <c r="F105" s="35" t="n"/>
      <c r="G105" s="31" t="n"/>
      <c r="H105" s="20" t="str">
        <f>IF(AND(ISNUMBER(E105),ISNUMBER(F105)),E105*F105,"")</f>
        <v/>
      </c>
      <c r="I105" s="42" t="str">
        <f>IF(ISNUMBER(H105),ROUND(H105*IF(G105="挂单",'参数'!$C$11,'参数'!$C$12),4),"")</f>
        <v/>
      </c>
      <c r="J105" s="47" t="n"/>
      <c r="K105" s="47" t="n"/>
      <c r="L105" s="20" t="str">
        <f>IF(ISNUMBER(K105),K105+N(J105),IF(ISNUMBER(H105),I105+N(J105),""))</f>
        <v/>
      </c>
      <c r="M105" s="40" t="str">
        <f>IF(A105="","",IFERROR(T(INDEX('交易记录'!$C$5:$C$304,MATCH(A105,'交易记录'!$A$5:$A$304,0))),"编号没找到"))</f>
        <v/>
      </c>
      <c r="N105" s="30" t="n"/>
    </row>
    <row r="106">
      <c r="A106" s="24" t="n"/>
      <c r="B106" s="29" t="n"/>
      <c r="C106" s="27" t="n"/>
      <c r="D106" s="31" t="n"/>
      <c r="E106" s="32" t="n"/>
      <c r="F106" s="35" t="n"/>
      <c r="G106" s="31" t="n"/>
      <c r="H106" s="20" t="str">
        <f>IF(AND(ISNUMBER(E106),ISNUMBER(F106)),E106*F106,"")</f>
        <v/>
      </c>
      <c r="I106" s="42" t="str">
        <f>IF(ISNUMBER(H106),ROUND(H106*IF(G106="挂单",'参数'!$C$11,'参数'!$C$12),4),"")</f>
        <v/>
      </c>
      <c r="J106" s="47" t="n"/>
      <c r="K106" s="47" t="n"/>
      <c r="L106" s="20" t="str">
        <f>IF(ISNUMBER(K106),K106+N(J106),IF(ISNUMBER(H106),I106+N(J106),""))</f>
        <v/>
      </c>
      <c r="M106" s="40" t="str">
        <f>IF(A106="","",IFERROR(T(INDEX('交易记录'!$C$5:$C$304,MATCH(A106,'交易记录'!$A$5:$A$304,0))),"编号没找到"))</f>
        <v/>
      </c>
      <c r="N106" s="30" t="n"/>
    </row>
    <row r="107">
      <c r="A107" s="24" t="n"/>
      <c r="B107" s="29" t="n"/>
      <c r="C107" s="27" t="n"/>
      <c r="D107" s="31" t="n"/>
      <c r="E107" s="32" t="n"/>
      <c r="F107" s="35" t="n"/>
      <c r="G107" s="31" t="n"/>
      <c r="H107" s="20" t="str">
        <f>IF(AND(ISNUMBER(E107),ISNUMBER(F107)),E107*F107,"")</f>
        <v/>
      </c>
      <c r="I107" s="42" t="str">
        <f>IF(ISNUMBER(H107),ROUND(H107*IF(G107="挂单",'参数'!$C$11,'参数'!$C$12),4),"")</f>
        <v/>
      </c>
      <c r="J107" s="47" t="n"/>
      <c r="K107" s="47" t="n"/>
      <c r="L107" s="20" t="str">
        <f>IF(ISNUMBER(K107),K107+N(J107),IF(ISNUMBER(H107),I107+N(J107),""))</f>
        <v/>
      </c>
      <c r="M107" s="40" t="str">
        <f>IF(A107="","",IFERROR(T(INDEX('交易记录'!$C$5:$C$304,MATCH(A107,'交易记录'!$A$5:$A$304,0))),"编号没找到"))</f>
        <v/>
      </c>
      <c r="N107" s="30" t="n"/>
    </row>
    <row r="108">
      <c r="A108" s="24" t="n"/>
      <c r="B108" s="29" t="n"/>
      <c r="C108" s="27" t="n"/>
      <c r="D108" s="31" t="n"/>
      <c r="E108" s="32" t="n"/>
      <c r="F108" s="35" t="n"/>
      <c r="G108" s="31" t="n"/>
      <c r="H108" s="20" t="str">
        <f>IF(AND(ISNUMBER(E108),ISNUMBER(F108)),E108*F108,"")</f>
        <v/>
      </c>
      <c r="I108" s="42" t="str">
        <f>IF(ISNUMBER(H108),ROUND(H108*IF(G108="挂单",'参数'!$C$11,'参数'!$C$12),4),"")</f>
        <v/>
      </c>
      <c r="J108" s="47" t="n"/>
      <c r="K108" s="47" t="n"/>
      <c r="L108" s="20" t="str">
        <f>IF(ISNUMBER(K108),K108+N(J108),IF(ISNUMBER(H108),I108+N(J108),""))</f>
        <v/>
      </c>
      <c r="M108" s="40" t="str">
        <f>IF(A108="","",IFERROR(T(INDEX('交易记录'!$C$5:$C$304,MATCH(A108,'交易记录'!$A$5:$A$304,0))),"编号没找到"))</f>
        <v/>
      </c>
      <c r="N108" s="30" t="n"/>
    </row>
    <row r="109">
      <c r="A109" s="24" t="n"/>
      <c r="B109" s="29" t="n"/>
      <c r="C109" s="27" t="n"/>
      <c r="D109" s="31" t="n"/>
      <c r="E109" s="32" t="n"/>
      <c r="F109" s="35" t="n"/>
      <c r="G109" s="31" t="n"/>
      <c r="H109" s="20" t="str">
        <f>IF(AND(ISNUMBER(E109),ISNUMBER(F109)),E109*F109,"")</f>
        <v/>
      </c>
      <c r="I109" s="42" t="str">
        <f>IF(ISNUMBER(H109),ROUND(H109*IF(G109="挂单",'参数'!$C$11,'参数'!$C$12),4),"")</f>
        <v/>
      </c>
      <c r="J109" s="47" t="n"/>
      <c r="K109" s="47" t="n"/>
      <c r="L109" s="20" t="str">
        <f>IF(ISNUMBER(K109),K109+N(J109),IF(ISNUMBER(H109),I109+N(J109),""))</f>
        <v/>
      </c>
      <c r="M109" s="40" t="str">
        <f>IF(A109="","",IFERROR(T(INDEX('交易记录'!$C$5:$C$304,MATCH(A109,'交易记录'!$A$5:$A$304,0))),"编号没找到"))</f>
        <v/>
      </c>
      <c r="N109" s="30" t="n"/>
    </row>
    <row r="110">
      <c r="A110" s="24" t="n"/>
      <c r="B110" s="29" t="n"/>
      <c r="C110" s="27" t="n"/>
      <c r="D110" s="31" t="n"/>
      <c r="E110" s="32" t="n"/>
      <c r="F110" s="35" t="n"/>
      <c r="G110" s="31" t="n"/>
      <c r="H110" s="20" t="str">
        <f>IF(AND(ISNUMBER(E110),ISNUMBER(F110)),E110*F110,"")</f>
        <v/>
      </c>
      <c r="I110" s="42" t="str">
        <f>IF(ISNUMBER(H110),ROUND(H110*IF(G110="挂单",'参数'!$C$11,'参数'!$C$12),4),"")</f>
        <v/>
      </c>
      <c r="J110" s="47" t="n"/>
      <c r="K110" s="47" t="n"/>
      <c r="L110" s="20" t="str">
        <f>IF(ISNUMBER(K110),K110+N(J110),IF(ISNUMBER(H110),I110+N(J110),""))</f>
        <v/>
      </c>
      <c r="M110" s="40" t="str">
        <f>IF(A110="","",IFERROR(T(INDEX('交易记录'!$C$5:$C$304,MATCH(A110,'交易记录'!$A$5:$A$304,0))),"编号没找到"))</f>
        <v/>
      </c>
      <c r="N110" s="30" t="n"/>
    </row>
    <row r="111">
      <c r="A111" s="24" t="n"/>
      <c r="B111" s="29" t="n"/>
      <c r="C111" s="27" t="n"/>
      <c r="D111" s="31" t="n"/>
      <c r="E111" s="32" t="n"/>
      <c r="F111" s="35" t="n"/>
      <c r="G111" s="31" t="n"/>
      <c r="H111" s="20" t="str">
        <f>IF(AND(ISNUMBER(E111),ISNUMBER(F111)),E111*F111,"")</f>
        <v/>
      </c>
      <c r="I111" s="42" t="str">
        <f>IF(ISNUMBER(H111),ROUND(H111*IF(G111="挂单",'参数'!$C$11,'参数'!$C$12),4),"")</f>
        <v/>
      </c>
      <c r="J111" s="47" t="n"/>
      <c r="K111" s="47" t="n"/>
      <c r="L111" s="20" t="str">
        <f>IF(ISNUMBER(K111),K111+N(J111),IF(ISNUMBER(H111),I111+N(J111),""))</f>
        <v/>
      </c>
      <c r="M111" s="40" t="str">
        <f>IF(A111="","",IFERROR(T(INDEX('交易记录'!$C$5:$C$304,MATCH(A111,'交易记录'!$A$5:$A$304,0))),"编号没找到"))</f>
        <v/>
      </c>
      <c r="N111" s="30" t="n"/>
    </row>
    <row r="112">
      <c r="A112" s="24" t="n"/>
      <c r="B112" s="29" t="n"/>
      <c r="C112" s="27" t="n"/>
      <c r="D112" s="31" t="n"/>
      <c r="E112" s="32" t="n"/>
      <c r="F112" s="35" t="n"/>
      <c r="G112" s="31" t="n"/>
      <c r="H112" s="20" t="str">
        <f>IF(AND(ISNUMBER(E112),ISNUMBER(F112)),E112*F112,"")</f>
        <v/>
      </c>
      <c r="I112" s="42" t="str">
        <f>IF(ISNUMBER(H112),ROUND(H112*IF(G112="挂单",'参数'!$C$11,'参数'!$C$12),4),"")</f>
        <v/>
      </c>
      <c r="J112" s="47" t="n"/>
      <c r="K112" s="47" t="n"/>
      <c r="L112" s="20" t="str">
        <f>IF(ISNUMBER(K112),K112+N(J112),IF(ISNUMBER(H112),I112+N(J112),""))</f>
        <v/>
      </c>
      <c r="M112" s="40" t="str">
        <f>IF(A112="","",IFERROR(T(INDEX('交易记录'!$C$5:$C$304,MATCH(A112,'交易记录'!$A$5:$A$304,0))),"编号没找到"))</f>
        <v/>
      </c>
      <c r="N112" s="30" t="n"/>
    </row>
    <row r="113">
      <c r="A113" s="24" t="n"/>
      <c r="B113" s="29" t="n"/>
      <c r="C113" s="27" t="n"/>
      <c r="D113" s="31" t="n"/>
      <c r="E113" s="32" t="n"/>
      <c r="F113" s="35" t="n"/>
      <c r="G113" s="31" t="n"/>
      <c r="H113" s="20" t="str">
        <f>IF(AND(ISNUMBER(E113),ISNUMBER(F113)),E113*F113,"")</f>
        <v/>
      </c>
      <c r="I113" s="42" t="str">
        <f>IF(ISNUMBER(H113),ROUND(H113*IF(G113="挂单",'参数'!$C$11,'参数'!$C$12),4),"")</f>
        <v/>
      </c>
      <c r="J113" s="47" t="n"/>
      <c r="K113" s="47" t="n"/>
      <c r="L113" s="20" t="str">
        <f>IF(ISNUMBER(K113),K113+N(J113),IF(ISNUMBER(H113),I113+N(J113),""))</f>
        <v/>
      </c>
      <c r="M113" s="40" t="str">
        <f>IF(A113="","",IFERROR(T(INDEX('交易记录'!$C$5:$C$304,MATCH(A113,'交易记录'!$A$5:$A$304,0))),"编号没找到"))</f>
        <v/>
      </c>
      <c r="N113" s="30" t="n"/>
    </row>
    <row r="114">
      <c r="A114" s="24" t="n"/>
      <c r="B114" s="29" t="n"/>
      <c r="C114" s="27" t="n"/>
      <c r="D114" s="31" t="n"/>
      <c r="E114" s="32" t="n"/>
      <c r="F114" s="35" t="n"/>
      <c r="G114" s="31" t="n"/>
      <c r="H114" s="20" t="str">
        <f>IF(AND(ISNUMBER(E114),ISNUMBER(F114)),E114*F114,"")</f>
        <v/>
      </c>
      <c r="I114" s="42" t="str">
        <f>IF(ISNUMBER(H114),ROUND(H114*IF(G114="挂单",'参数'!$C$11,'参数'!$C$12),4),"")</f>
        <v/>
      </c>
      <c r="J114" s="47" t="n"/>
      <c r="K114" s="47" t="n"/>
      <c r="L114" s="20" t="str">
        <f>IF(ISNUMBER(K114),K114+N(J114),IF(ISNUMBER(H114),I114+N(J114),""))</f>
        <v/>
      </c>
      <c r="M114" s="40" t="str">
        <f>IF(A114="","",IFERROR(T(INDEX('交易记录'!$C$5:$C$304,MATCH(A114,'交易记录'!$A$5:$A$304,0))),"编号没找到"))</f>
        <v/>
      </c>
      <c r="N114" s="30" t="n"/>
    </row>
    <row r="115">
      <c r="A115" s="24" t="n"/>
      <c r="B115" s="29" t="n"/>
      <c r="C115" s="27" t="n"/>
      <c r="D115" s="31" t="n"/>
      <c r="E115" s="32" t="n"/>
      <c r="F115" s="35" t="n"/>
      <c r="G115" s="31" t="n"/>
      <c r="H115" s="20" t="str">
        <f>IF(AND(ISNUMBER(E115),ISNUMBER(F115)),E115*F115,"")</f>
        <v/>
      </c>
      <c r="I115" s="42" t="str">
        <f>IF(ISNUMBER(H115),ROUND(H115*IF(G115="挂单",'参数'!$C$11,'参数'!$C$12),4),"")</f>
        <v/>
      </c>
      <c r="J115" s="47" t="n"/>
      <c r="K115" s="47" t="n"/>
      <c r="L115" s="20" t="str">
        <f>IF(ISNUMBER(K115),K115+N(J115),IF(ISNUMBER(H115),I115+N(J115),""))</f>
        <v/>
      </c>
      <c r="M115" s="40" t="str">
        <f>IF(A115="","",IFERROR(T(INDEX('交易记录'!$C$5:$C$304,MATCH(A115,'交易记录'!$A$5:$A$304,0))),"编号没找到"))</f>
        <v/>
      </c>
      <c r="N115" s="30" t="n"/>
    </row>
    <row r="116">
      <c r="A116" s="24" t="n"/>
      <c r="B116" s="29" t="n"/>
      <c r="C116" s="27" t="n"/>
      <c r="D116" s="31" t="n"/>
      <c r="E116" s="32" t="n"/>
      <c r="F116" s="35" t="n"/>
      <c r="G116" s="31" t="n"/>
      <c r="H116" s="20" t="str">
        <f>IF(AND(ISNUMBER(E116),ISNUMBER(F116)),E116*F116,"")</f>
        <v/>
      </c>
      <c r="I116" s="42" t="str">
        <f>IF(ISNUMBER(H116),ROUND(H116*IF(G116="挂单",'参数'!$C$11,'参数'!$C$12),4),"")</f>
        <v/>
      </c>
      <c r="J116" s="47" t="n"/>
      <c r="K116" s="47" t="n"/>
      <c r="L116" s="20" t="str">
        <f>IF(ISNUMBER(K116),K116+N(J116),IF(ISNUMBER(H116),I116+N(J116),""))</f>
        <v/>
      </c>
      <c r="M116" s="40" t="str">
        <f>IF(A116="","",IFERROR(T(INDEX('交易记录'!$C$5:$C$304,MATCH(A116,'交易记录'!$A$5:$A$304,0))),"编号没找到"))</f>
        <v/>
      </c>
      <c r="N116" s="30" t="n"/>
    </row>
    <row r="117">
      <c r="A117" s="24" t="n"/>
      <c r="B117" s="29" t="n"/>
      <c r="C117" s="27" t="n"/>
      <c r="D117" s="31" t="n"/>
      <c r="E117" s="32" t="n"/>
      <c r="F117" s="35" t="n"/>
      <c r="G117" s="31" t="n"/>
      <c r="H117" s="20" t="str">
        <f>IF(AND(ISNUMBER(E117),ISNUMBER(F117)),E117*F117,"")</f>
        <v/>
      </c>
      <c r="I117" s="42" t="str">
        <f>IF(ISNUMBER(H117),ROUND(H117*IF(G117="挂单",'参数'!$C$11,'参数'!$C$12),4),"")</f>
        <v/>
      </c>
      <c r="J117" s="47" t="n"/>
      <c r="K117" s="47" t="n"/>
      <c r="L117" s="20" t="str">
        <f>IF(ISNUMBER(K117),K117+N(J117),IF(ISNUMBER(H117),I117+N(J117),""))</f>
        <v/>
      </c>
      <c r="M117" s="40" t="str">
        <f>IF(A117="","",IFERROR(T(INDEX('交易记录'!$C$5:$C$304,MATCH(A117,'交易记录'!$A$5:$A$304,0))),"编号没找到"))</f>
        <v/>
      </c>
      <c r="N117" s="30" t="n"/>
    </row>
    <row r="118">
      <c r="A118" s="24" t="n"/>
      <c r="B118" s="29" t="n"/>
      <c r="C118" s="27" t="n"/>
      <c r="D118" s="31" t="n"/>
      <c r="E118" s="32" t="n"/>
      <c r="F118" s="35" t="n"/>
      <c r="G118" s="31" t="n"/>
      <c r="H118" s="20" t="str">
        <f>IF(AND(ISNUMBER(E118),ISNUMBER(F118)),E118*F118,"")</f>
        <v/>
      </c>
      <c r="I118" s="42" t="str">
        <f>IF(ISNUMBER(H118),ROUND(H118*IF(G118="挂单",'参数'!$C$11,'参数'!$C$12),4),"")</f>
        <v/>
      </c>
      <c r="J118" s="47" t="n"/>
      <c r="K118" s="47" t="n"/>
      <c r="L118" s="20" t="str">
        <f>IF(ISNUMBER(K118),K118+N(J118),IF(ISNUMBER(H118),I118+N(J118),""))</f>
        <v/>
      </c>
      <c r="M118" s="40" t="str">
        <f>IF(A118="","",IFERROR(T(INDEX('交易记录'!$C$5:$C$304,MATCH(A118,'交易记录'!$A$5:$A$304,0))),"编号没找到"))</f>
        <v/>
      </c>
      <c r="N118" s="30" t="n"/>
    </row>
    <row r="119">
      <c r="A119" s="24" t="n"/>
      <c r="B119" s="29" t="n"/>
      <c r="C119" s="27" t="n"/>
      <c r="D119" s="31" t="n"/>
      <c r="E119" s="32" t="n"/>
      <c r="F119" s="35" t="n"/>
      <c r="G119" s="31" t="n"/>
      <c r="H119" s="20" t="str">
        <f>IF(AND(ISNUMBER(E119),ISNUMBER(F119)),E119*F119,"")</f>
        <v/>
      </c>
      <c r="I119" s="42" t="str">
        <f>IF(ISNUMBER(H119),ROUND(H119*IF(G119="挂单",'参数'!$C$11,'参数'!$C$12),4),"")</f>
        <v/>
      </c>
      <c r="J119" s="47" t="n"/>
      <c r="K119" s="47" t="n"/>
      <c r="L119" s="20" t="str">
        <f>IF(ISNUMBER(K119),K119+N(J119),IF(ISNUMBER(H119),I119+N(J119),""))</f>
        <v/>
      </c>
      <c r="M119" s="40" t="str">
        <f>IF(A119="","",IFERROR(T(INDEX('交易记录'!$C$5:$C$304,MATCH(A119,'交易记录'!$A$5:$A$304,0))),"编号没找到"))</f>
        <v/>
      </c>
      <c r="N119" s="30" t="n"/>
    </row>
    <row r="120">
      <c r="A120" s="24" t="n"/>
      <c r="B120" s="29" t="n"/>
      <c r="C120" s="27" t="n"/>
      <c r="D120" s="31" t="n"/>
      <c r="E120" s="32" t="n"/>
      <c r="F120" s="35" t="n"/>
      <c r="G120" s="31" t="n"/>
      <c r="H120" s="20" t="str">
        <f>IF(AND(ISNUMBER(E120),ISNUMBER(F120)),E120*F120,"")</f>
        <v/>
      </c>
      <c r="I120" s="42" t="str">
        <f>IF(ISNUMBER(H120),ROUND(H120*IF(G120="挂单",'参数'!$C$11,'参数'!$C$12),4),"")</f>
        <v/>
      </c>
      <c r="J120" s="47" t="n"/>
      <c r="K120" s="47" t="n"/>
      <c r="L120" s="20" t="str">
        <f>IF(ISNUMBER(K120),K120+N(J120),IF(ISNUMBER(H120),I120+N(J120),""))</f>
        <v/>
      </c>
      <c r="M120" s="40" t="str">
        <f>IF(A120="","",IFERROR(T(INDEX('交易记录'!$C$5:$C$304,MATCH(A120,'交易记录'!$A$5:$A$304,0))),"编号没找到"))</f>
        <v/>
      </c>
      <c r="N120" s="30" t="n"/>
    </row>
    <row r="121">
      <c r="A121" s="24" t="n"/>
      <c r="B121" s="29" t="n"/>
      <c r="C121" s="27" t="n"/>
      <c r="D121" s="31" t="n"/>
      <c r="E121" s="32" t="n"/>
      <c r="F121" s="35" t="n"/>
      <c r="G121" s="31" t="n"/>
      <c r="H121" s="20" t="str">
        <f>IF(AND(ISNUMBER(E121),ISNUMBER(F121)),E121*F121,"")</f>
        <v/>
      </c>
      <c r="I121" s="42" t="str">
        <f>IF(ISNUMBER(H121),ROUND(H121*IF(G121="挂单",'参数'!$C$11,'参数'!$C$12),4),"")</f>
        <v/>
      </c>
      <c r="J121" s="47" t="n"/>
      <c r="K121" s="47" t="n"/>
      <c r="L121" s="20" t="str">
        <f>IF(ISNUMBER(K121),K121+N(J121),IF(ISNUMBER(H121),I121+N(J121),""))</f>
        <v/>
      </c>
      <c r="M121" s="40" t="str">
        <f>IF(A121="","",IFERROR(T(INDEX('交易记录'!$C$5:$C$304,MATCH(A121,'交易记录'!$A$5:$A$304,0))),"编号没找到"))</f>
        <v/>
      </c>
      <c r="N121" s="30" t="n"/>
    </row>
    <row r="122">
      <c r="A122" s="24" t="n"/>
      <c r="B122" s="29" t="n"/>
      <c r="C122" s="27" t="n"/>
      <c r="D122" s="31" t="n"/>
      <c r="E122" s="32" t="n"/>
      <c r="F122" s="35" t="n"/>
      <c r="G122" s="31" t="n"/>
      <c r="H122" s="20" t="str">
        <f>IF(AND(ISNUMBER(E122),ISNUMBER(F122)),E122*F122,"")</f>
        <v/>
      </c>
      <c r="I122" s="42" t="str">
        <f>IF(ISNUMBER(H122),ROUND(H122*IF(G122="挂单",'参数'!$C$11,'参数'!$C$12),4),"")</f>
        <v/>
      </c>
      <c r="J122" s="47" t="n"/>
      <c r="K122" s="47" t="n"/>
      <c r="L122" s="20" t="str">
        <f>IF(ISNUMBER(K122),K122+N(J122),IF(ISNUMBER(H122),I122+N(J122),""))</f>
        <v/>
      </c>
      <c r="M122" s="40" t="str">
        <f>IF(A122="","",IFERROR(T(INDEX('交易记录'!$C$5:$C$304,MATCH(A122,'交易记录'!$A$5:$A$304,0))),"编号没找到"))</f>
        <v/>
      </c>
      <c r="N122" s="30" t="n"/>
    </row>
    <row r="123">
      <c r="A123" s="24" t="n"/>
      <c r="B123" s="29" t="n"/>
      <c r="C123" s="27" t="n"/>
      <c r="D123" s="31" t="n"/>
      <c r="E123" s="32" t="n"/>
      <c r="F123" s="35" t="n"/>
      <c r="G123" s="31" t="n"/>
      <c r="H123" s="20" t="str">
        <f>IF(AND(ISNUMBER(E123),ISNUMBER(F123)),E123*F123,"")</f>
        <v/>
      </c>
      <c r="I123" s="42" t="str">
        <f>IF(ISNUMBER(H123),ROUND(H123*IF(G123="挂单",'参数'!$C$11,'参数'!$C$12),4),"")</f>
        <v/>
      </c>
      <c r="J123" s="47" t="n"/>
      <c r="K123" s="47" t="n"/>
      <c r="L123" s="20" t="str">
        <f>IF(ISNUMBER(K123),K123+N(J123),IF(ISNUMBER(H123),I123+N(J123),""))</f>
        <v/>
      </c>
      <c r="M123" s="40" t="str">
        <f>IF(A123="","",IFERROR(T(INDEX('交易记录'!$C$5:$C$304,MATCH(A123,'交易记录'!$A$5:$A$304,0))),"编号没找到"))</f>
        <v/>
      </c>
      <c r="N123" s="30" t="n"/>
    </row>
    <row r="124">
      <c r="A124" s="24" t="n"/>
      <c r="B124" s="29" t="n"/>
      <c r="C124" s="27" t="n"/>
      <c r="D124" s="31" t="n"/>
      <c r="E124" s="32" t="n"/>
      <c r="F124" s="35" t="n"/>
      <c r="G124" s="31" t="n"/>
      <c r="H124" s="20" t="str">
        <f>IF(AND(ISNUMBER(E124),ISNUMBER(F124)),E124*F124,"")</f>
        <v/>
      </c>
      <c r="I124" s="42" t="str">
        <f>IF(ISNUMBER(H124),ROUND(H124*IF(G124="挂单",'参数'!$C$11,'参数'!$C$12),4),"")</f>
        <v/>
      </c>
      <c r="J124" s="47" t="n"/>
      <c r="K124" s="47" t="n"/>
      <c r="L124" s="20" t="str">
        <f>IF(ISNUMBER(K124),K124+N(J124),IF(ISNUMBER(H124),I124+N(J124),""))</f>
        <v/>
      </c>
      <c r="M124" s="40" t="str">
        <f>IF(A124="","",IFERROR(T(INDEX('交易记录'!$C$5:$C$304,MATCH(A124,'交易记录'!$A$5:$A$304,0))),"编号没找到"))</f>
        <v/>
      </c>
      <c r="N124" s="30" t="n"/>
    </row>
    <row r="125">
      <c r="A125" s="24" t="n"/>
      <c r="B125" s="29" t="n"/>
      <c r="C125" s="27" t="n"/>
      <c r="D125" s="31" t="n"/>
      <c r="E125" s="32" t="n"/>
      <c r="F125" s="35" t="n"/>
      <c r="G125" s="31" t="n"/>
      <c r="H125" s="20" t="str">
        <f>IF(AND(ISNUMBER(E125),ISNUMBER(F125)),E125*F125,"")</f>
        <v/>
      </c>
      <c r="I125" s="42" t="str">
        <f>IF(ISNUMBER(H125),ROUND(H125*IF(G125="挂单",'参数'!$C$11,'参数'!$C$12),4),"")</f>
        <v/>
      </c>
      <c r="J125" s="47" t="n"/>
      <c r="K125" s="47" t="n"/>
      <c r="L125" s="20" t="str">
        <f>IF(ISNUMBER(K125),K125+N(J125),IF(ISNUMBER(H125),I125+N(J125),""))</f>
        <v/>
      </c>
      <c r="M125" s="40" t="str">
        <f>IF(A125="","",IFERROR(T(INDEX('交易记录'!$C$5:$C$304,MATCH(A125,'交易记录'!$A$5:$A$304,0))),"编号没找到"))</f>
        <v/>
      </c>
      <c r="N125" s="30" t="n"/>
    </row>
    <row r="126">
      <c r="A126" s="24" t="n"/>
      <c r="B126" s="29" t="n"/>
      <c r="C126" s="27" t="n"/>
      <c r="D126" s="31" t="n"/>
      <c r="E126" s="32" t="n"/>
      <c r="F126" s="35" t="n"/>
      <c r="G126" s="31" t="n"/>
      <c r="H126" s="20" t="str">
        <f>IF(AND(ISNUMBER(E126),ISNUMBER(F126)),E126*F126,"")</f>
        <v/>
      </c>
      <c r="I126" s="42" t="str">
        <f>IF(ISNUMBER(H126),ROUND(H126*IF(G126="挂单",'参数'!$C$11,'参数'!$C$12),4),"")</f>
        <v/>
      </c>
      <c r="J126" s="47" t="n"/>
      <c r="K126" s="47" t="n"/>
      <c r="L126" s="20" t="str">
        <f>IF(ISNUMBER(K126),K126+N(J126),IF(ISNUMBER(H126),I126+N(J126),""))</f>
        <v/>
      </c>
      <c r="M126" s="40" t="str">
        <f>IF(A126="","",IFERROR(T(INDEX('交易记录'!$C$5:$C$304,MATCH(A126,'交易记录'!$A$5:$A$304,0))),"编号没找到"))</f>
        <v/>
      </c>
      <c r="N126" s="30" t="n"/>
    </row>
    <row r="127">
      <c r="A127" s="24" t="n"/>
      <c r="B127" s="29" t="n"/>
      <c r="C127" s="27" t="n"/>
      <c r="D127" s="31" t="n"/>
      <c r="E127" s="32" t="n"/>
      <c r="F127" s="35" t="n"/>
      <c r="G127" s="31" t="n"/>
      <c r="H127" s="20" t="str">
        <f>IF(AND(ISNUMBER(E127),ISNUMBER(F127)),E127*F127,"")</f>
        <v/>
      </c>
      <c r="I127" s="42" t="str">
        <f>IF(ISNUMBER(H127),ROUND(H127*IF(G127="挂单",'参数'!$C$11,'参数'!$C$12),4),"")</f>
        <v/>
      </c>
      <c r="J127" s="47" t="n"/>
      <c r="K127" s="47" t="n"/>
      <c r="L127" s="20" t="str">
        <f>IF(ISNUMBER(K127),K127+N(J127),IF(ISNUMBER(H127),I127+N(J127),""))</f>
        <v/>
      </c>
      <c r="M127" s="40" t="str">
        <f>IF(A127="","",IFERROR(T(INDEX('交易记录'!$C$5:$C$304,MATCH(A127,'交易记录'!$A$5:$A$304,0))),"编号没找到"))</f>
        <v/>
      </c>
      <c r="N127" s="30" t="n"/>
    </row>
    <row r="128">
      <c r="A128" s="24" t="n"/>
      <c r="B128" s="29" t="n"/>
      <c r="C128" s="27" t="n"/>
      <c r="D128" s="31" t="n"/>
      <c r="E128" s="32" t="n"/>
      <c r="F128" s="35" t="n"/>
      <c r="G128" s="31" t="n"/>
      <c r="H128" s="20" t="str">
        <f>IF(AND(ISNUMBER(E128),ISNUMBER(F128)),E128*F128,"")</f>
        <v/>
      </c>
      <c r="I128" s="42" t="str">
        <f>IF(ISNUMBER(H128),ROUND(H128*IF(G128="挂单",'参数'!$C$11,'参数'!$C$12),4),"")</f>
        <v/>
      </c>
      <c r="J128" s="47" t="n"/>
      <c r="K128" s="47" t="n"/>
      <c r="L128" s="20" t="str">
        <f>IF(ISNUMBER(K128),K128+N(J128),IF(ISNUMBER(H128),I128+N(J128),""))</f>
        <v/>
      </c>
      <c r="M128" s="40" t="str">
        <f>IF(A128="","",IFERROR(T(INDEX('交易记录'!$C$5:$C$304,MATCH(A128,'交易记录'!$A$5:$A$304,0))),"编号没找到"))</f>
        <v/>
      </c>
      <c r="N128" s="30" t="n"/>
    </row>
    <row r="129">
      <c r="A129" s="24" t="n"/>
      <c r="B129" s="29" t="n"/>
      <c r="C129" s="27" t="n"/>
      <c r="D129" s="31" t="n"/>
      <c r="E129" s="32" t="n"/>
      <c r="F129" s="35" t="n"/>
      <c r="G129" s="31" t="n"/>
      <c r="H129" s="20" t="str">
        <f>IF(AND(ISNUMBER(E129),ISNUMBER(F129)),E129*F129,"")</f>
        <v/>
      </c>
      <c r="I129" s="42" t="str">
        <f>IF(ISNUMBER(H129),ROUND(H129*IF(G129="挂单",'参数'!$C$11,'参数'!$C$12),4),"")</f>
        <v/>
      </c>
      <c r="J129" s="47" t="n"/>
      <c r="K129" s="47" t="n"/>
      <c r="L129" s="20" t="str">
        <f>IF(ISNUMBER(K129),K129+N(J129),IF(ISNUMBER(H129),I129+N(J129),""))</f>
        <v/>
      </c>
      <c r="M129" s="40" t="str">
        <f>IF(A129="","",IFERROR(T(INDEX('交易记录'!$C$5:$C$304,MATCH(A129,'交易记录'!$A$5:$A$304,0))),"编号没找到"))</f>
        <v/>
      </c>
      <c r="N129" s="30" t="n"/>
    </row>
    <row r="130">
      <c r="A130" s="24" t="n"/>
      <c r="B130" s="29" t="n"/>
      <c r="C130" s="27" t="n"/>
      <c r="D130" s="31" t="n"/>
      <c r="E130" s="32" t="n"/>
      <c r="F130" s="35" t="n"/>
      <c r="G130" s="31" t="n"/>
      <c r="H130" s="20" t="str">
        <f>IF(AND(ISNUMBER(E130),ISNUMBER(F130)),E130*F130,"")</f>
        <v/>
      </c>
      <c r="I130" s="42" t="str">
        <f>IF(ISNUMBER(H130),ROUND(H130*IF(G130="挂单",'参数'!$C$11,'参数'!$C$12),4),"")</f>
        <v/>
      </c>
      <c r="J130" s="47" t="n"/>
      <c r="K130" s="47" t="n"/>
      <c r="L130" s="20" t="str">
        <f>IF(ISNUMBER(K130),K130+N(J130),IF(ISNUMBER(H130),I130+N(J130),""))</f>
        <v/>
      </c>
      <c r="M130" s="40" t="str">
        <f>IF(A130="","",IFERROR(T(INDEX('交易记录'!$C$5:$C$304,MATCH(A130,'交易记录'!$A$5:$A$304,0))),"编号没找到"))</f>
        <v/>
      </c>
      <c r="N130" s="30" t="n"/>
    </row>
    <row r="131">
      <c r="A131" s="24" t="n"/>
      <c r="B131" s="29" t="n"/>
      <c r="C131" s="27" t="n"/>
      <c r="D131" s="31" t="n"/>
      <c r="E131" s="32" t="n"/>
      <c r="F131" s="35" t="n"/>
      <c r="G131" s="31" t="n"/>
      <c r="H131" s="20" t="str">
        <f>IF(AND(ISNUMBER(E131),ISNUMBER(F131)),E131*F131,"")</f>
        <v/>
      </c>
      <c r="I131" s="42" t="str">
        <f>IF(ISNUMBER(H131),ROUND(H131*IF(G131="挂单",'参数'!$C$11,'参数'!$C$12),4),"")</f>
        <v/>
      </c>
      <c r="J131" s="47" t="n"/>
      <c r="K131" s="47" t="n"/>
      <c r="L131" s="20" t="str">
        <f>IF(ISNUMBER(K131),K131+N(J131),IF(ISNUMBER(H131),I131+N(J131),""))</f>
        <v/>
      </c>
      <c r="M131" s="40" t="str">
        <f>IF(A131="","",IFERROR(T(INDEX('交易记录'!$C$5:$C$304,MATCH(A131,'交易记录'!$A$5:$A$304,0))),"编号没找到"))</f>
        <v/>
      </c>
      <c r="N131" s="30" t="n"/>
    </row>
    <row r="132">
      <c r="A132" s="24" t="n"/>
      <c r="B132" s="29" t="n"/>
      <c r="C132" s="27" t="n"/>
      <c r="D132" s="31" t="n"/>
      <c r="E132" s="32" t="n"/>
      <c r="F132" s="35" t="n"/>
      <c r="G132" s="31" t="n"/>
      <c r="H132" s="20" t="str">
        <f>IF(AND(ISNUMBER(E132),ISNUMBER(F132)),E132*F132,"")</f>
        <v/>
      </c>
      <c r="I132" s="42" t="str">
        <f>IF(ISNUMBER(H132),ROUND(H132*IF(G132="挂单",'参数'!$C$11,'参数'!$C$12),4),"")</f>
        <v/>
      </c>
      <c r="J132" s="47" t="n"/>
      <c r="K132" s="47" t="n"/>
      <c r="L132" s="20" t="str">
        <f>IF(ISNUMBER(K132),K132+N(J132),IF(ISNUMBER(H132),I132+N(J132),""))</f>
        <v/>
      </c>
      <c r="M132" s="40" t="str">
        <f>IF(A132="","",IFERROR(T(INDEX('交易记录'!$C$5:$C$304,MATCH(A132,'交易记录'!$A$5:$A$304,0))),"编号没找到"))</f>
        <v/>
      </c>
      <c r="N132" s="30" t="n"/>
    </row>
    <row r="133">
      <c r="A133" s="24" t="n"/>
      <c r="B133" s="29" t="n"/>
      <c r="C133" s="27" t="n"/>
      <c r="D133" s="31" t="n"/>
      <c r="E133" s="32" t="n"/>
      <c r="F133" s="35" t="n"/>
      <c r="G133" s="31" t="n"/>
      <c r="H133" s="20" t="str">
        <f>IF(AND(ISNUMBER(E133),ISNUMBER(F133)),E133*F133,"")</f>
        <v/>
      </c>
      <c r="I133" s="42" t="str">
        <f>IF(ISNUMBER(H133),ROUND(H133*IF(G133="挂单",'参数'!$C$11,'参数'!$C$12),4),"")</f>
        <v/>
      </c>
      <c r="J133" s="47" t="n"/>
      <c r="K133" s="47" t="n"/>
      <c r="L133" s="20" t="str">
        <f>IF(ISNUMBER(K133),K133+N(J133),IF(ISNUMBER(H133),I133+N(J133),""))</f>
        <v/>
      </c>
      <c r="M133" s="40" t="str">
        <f>IF(A133="","",IFERROR(T(INDEX('交易记录'!$C$5:$C$304,MATCH(A133,'交易记录'!$A$5:$A$304,0))),"编号没找到"))</f>
        <v/>
      </c>
      <c r="N133" s="30" t="n"/>
    </row>
    <row r="134">
      <c r="A134" s="24" t="n"/>
      <c r="B134" s="29" t="n"/>
      <c r="C134" s="27" t="n"/>
      <c r="D134" s="31" t="n"/>
      <c r="E134" s="32" t="n"/>
      <c r="F134" s="35" t="n"/>
      <c r="G134" s="31" t="n"/>
      <c r="H134" s="20" t="str">
        <f>IF(AND(ISNUMBER(E134),ISNUMBER(F134)),E134*F134,"")</f>
        <v/>
      </c>
      <c r="I134" s="42" t="str">
        <f>IF(ISNUMBER(H134),ROUND(H134*IF(G134="挂单",'参数'!$C$11,'参数'!$C$12),4),"")</f>
        <v/>
      </c>
      <c r="J134" s="47" t="n"/>
      <c r="K134" s="47" t="n"/>
      <c r="L134" s="20" t="str">
        <f>IF(ISNUMBER(K134),K134+N(J134),IF(ISNUMBER(H134),I134+N(J134),""))</f>
        <v/>
      </c>
      <c r="M134" s="40" t="str">
        <f>IF(A134="","",IFERROR(T(INDEX('交易记录'!$C$5:$C$304,MATCH(A134,'交易记录'!$A$5:$A$304,0))),"编号没找到"))</f>
        <v/>
      </c>
      <c r="N134" s="30" t="n"/>
    </row>
    <row r="135">
      <c r="A135" s="24" t="n"/>
      <c r="B135" s="29" t="n"/>
      <c r="C135" s="27" t="n"/>
      <c r="D135" s="31" t="n"/>
      <c r="E135" s="32" t="n"/>
      <c r="F135" s="35" t="n"/>
      <c r="G135" s="31" t="n"/>
      <c r="H135" s="20" t="str">
        <f>IF(AND(ISNUMBER(E135),ISNUMBER(F135)),E135*F135,"")</f>
        <v/>
      </c>
      <c r="I135" s="42" t="str">
        <f>IF(ISNUMBER(H135),ROUND(H135*IF(G135="挂单",'参数'!$C$11,'参数'!$C$12),4),"")</f>
        <v/>
      </c>
      <c r="J135" s="47" t="n"/>
      <c r="K135" s="47" t="n"/>
      <c r="L135" s="20" t="str">
        <f>IF(ISNUMBER(K135),K135+N(J135),IF(ISNUMBER(H135),I135+N(J135),""))</f>
        <v/>
      </c>
      <c r="M135" s="40" t="str">
        <f>IF(A135="","",IFERROR(T(INDEX('交易记录'!$C$5:$C$304,MATCH(A135,'交易记录'!$A$5:$A$304,0))),"编号没找到"))</f>
        <v/>
      </c>
      <c r="N135" s="30" t="n"/>
    </row>
    <row r="136">
      <c r="A136" s="24" t="n"/>
      <c r="B136" s="29" t="n"/>
      <c r="C136" s="27" t="n"/>
      <c r="D136" s="31" t="n"/>
      <c r="E136" s="32" t="n"/>
      <c r="F136" s="35" t="n"/>
      <c r="G136" s="31" t="n"/>
      <c r="H136" s="20" t="str">
        <f>IF(AND(ISNUMBER(E136),ISNUMBER(F136)),E136*F136,"")</f>
        <v/>
      </c>
      <c r="I136" s="42" t="str">
        <f>IF(ISNUMBER(H136),ROUND(H136*IF(G136="挂单",'参数'!$C$11,'参数'!$C$12),4),"")</f>
        <v/>
      </c>
      <c r="J136" s="47" t="n"/>
      <c r="K136" s="47" t="n"/>
      <c r="L136" s="20" t="str">
        <f>IF(ISNUMBER(K136),K136+N(J136),IF(ISNUMBER(H136),I136+N(J136),""))</f>
        <v/>
      </c>
      <c r="M136" s="40" t="str">
        <f>IF(A136="","",IFERROR(T(INDEX('交易记录'!$C$5:$C$304,MATCH(A136,'交易记录'!$A$5:$A$304,0))),"编号没找到"))</f>
        <v/>
      </c>
      <c r="N136" s="30" t="n"/>
    </row>
    <row r="137">
      <c r="A137" s="24" t="n"/>
      <c r="B137" s="29" t="n"/>
      <c r="C137" s="27" t="n"/>
      <c r="D137" s="31" t="n"/>
      <c r="E137" s="32" t="n"/>
      <c r="F137" s="35" t="n"/>
      <c r="G137" s="31" t="n"/>
      <c r="H137" s="20" t="str">
        <f>IF(AND(ISNUMBER(E137),ISNUMBER(F137)),E137*F137,"")</f>
        <v/>
      </c>
      <c r="I137" s="42" t="str">
        <f>IF(ISNUMBER(H137),ROUND(H137*IF(G137="挂单",'参数'!$C$11,'参数'!$C$12),4),"")</f>
        <v/>
      </c>
      <c r="J137" s="47" t="n"/>
      <c r="K137" s="47" t="n"/>
      <c r="L137" s="20" t="str">
        <f>IF(ISNUMBER(K137),K137+N(J137),IF(ISNUMBER(H137),I137+N(J137),""))</f>
        <v/>
      </c>
      <c r="M137" s="40" t="str">
        <f>IF(A137="","",IFERROR(T(INDEX('交易记录'!$C$5:$C$304,MATCH(A137,'交易记录'!$A$5:$A$304,0))),"编号没找到"))</f>
        <v/>
      </c>
      <c r="N137" s="30" t="n"/>
    </row>
    <row r="138">
      <c r="A138" s="24" t="n"/>
      <c r="B138" s="29" t="n"/>
      <c r="C138" s="27" t="n"/>
      <c r="D138" s="31" t="n"/>
      <c r="E138" s="32" t="n"/>
      <c r="F138" s="35" t="n"/>
      <c r="G138" s="31" t="n"/>
      <c r="H138" s="20" t="str">
        <f>IF(AND(ISNUMBER(E138),ISNUMBER(F138)),E138*F138,"")</f>
        <v/>
      </c>
      <c r="I138" s="42" t="str">
        <f>IF(ISNUMBER(H138),ROUND(H138*IF(G138="挂单",'参数'!$C$11,'参数'!$C$12),4),"")</f>
        <v/>
      </c>
      <c r="J138" s="47" t="n"/>
      <c r="K138" s="47" t="n"/>
      <c r="L138" s="20" t="str">
        <f>IF(ISNUMBER(K138),K138+N(J138),IF(ISNUMBER(H138),I138+N(J138),""))</f>
        <v/>
      </c>
      <c r="M138" s="40" t="str">
        <f>IF(A138="","",IFERROR(T(INDEX('交易记录'!$C$5:$C$304,MATCH(A138,'交易记录'!$A$5:$A$304,0))),"编号没找到"))</f>
        <v/>
      </c>
      <c r="N138" s="30" t="n"/>
    </row>
    <row r="139">
      <c r="A139" s="24" t="n"/>
      <c r="B139" s="29" t="n"/>
      <c r="C139" s="27" t="n"/>
      <c r="D139" s="31" t="n"/>
      <c r="E139" s="32" t="n"/>
      <c r="F139" s="35" t="n"/>
      <c r="G139" s="31" t="n"/>
      <c r="H139" s="20" t="str">
        <f>IF(AND(ISNUMBER(E139),ISNUMBER(F139)),E139*F139,"")</f>
        <v/>
      </c>
      <c r="I139" s="42" t="str">
        <f>IF(ISNUMBER(H139),ROUND(H139*IF(G139="挂单",'参数'!$C$11,'参数'!$C$12),4),"")</f>
        <v/>
      </c>
      <c r="J139" s="47" t="n"/>
      <c r="K139" s="47" t="n"/>
      <c r="L139" s="20" t="str">
        <f>IF(ISNUMBER(K139),K139+N(J139),IF(ISNUMBER(H139),I139+N(J139),""))</f>
        <v/>
      </c>
      <c r="M139" s="40" t="str">
        <f>IF(A139="","",IFERROR(T(INDEX('交易记录'!$C$5:$C$304,MATCH(A139,'交易记录'!$A$5:$A$304,0))),"编号没找到"))</f>
        <v/>
      </c>
      <c r="N139" s="30" t="n"/>
    </row>
    <row r="140">
      <c r="A140" s="24" t="n"/>
      <c r="B140" s="29" t="n"/>
      <c r="C140" s="27" t="n"/>
      <c r="D140" s="31" t="n"/>
      <c r="E140" s="32" t="n"/>
      <c r="F140" s="35" t="n"/>
      <c r="G140" s="31" t="n"/>
      <c r="H140" s="20" t="str">
        <f>IF(AND(ISNUMBER(E140),ISNUMBER(F140)),E140*F140,"")</f>
        <v/>
      </c>
      <c r="I140" s="42" t="str">
        <f>IF(ISNUMBER(H140),ROUND(H140*IF(G140="挂单",'参数'!$C$11,'参数'!$C$12),4),"")</f>
        <v/>
      </c>
      <c r="J140" s="47" t="n"/>
      <c r="K140" s="47" t="n"/>
      <c r="L140" s="20" t="str">
        <f>IF(ISNUMBER(K140),K140+N(J140),IF(ISNUMBER(H140),I140+N(J140),""))</f>
        <v/>
      </c>
      <c r="M140" s="40" t="str">
        <f>IF(A140="","",IFERROR(T(INDEX('交易记录'!$C$5:$C$304,MATCH(A140,'交易记录'!$A$5:$A$304,0))),"编号没找到"))</f>
        <v/>
      </c>
      <c r="N140" s="30" t="n"/>
    </row>
    <row r="141">
      <c r="A141" s="24" t="n"/>
      <c r="B141" s="29" t="n"/>
      <c r="C141" s="27" t="n"/>
      <c r="D141" s="31" t="n"/>
      <c r="E141" s="32" t="n"/>
      <c r="F141" s="35" t="n"/>
      <c r="G141" s="31" t="n"/>
      <c r="H141" s="20" t="str">
        <f>IF(AND(ISNUMBER(E141),ISNUMBER(F141)),E141*F141,"")</f>
        <v/>
      </c>
      <c r="I141" s="42" t="str">
        <f>IF(ISNUMBER(H141),ROUND(H141*IF(G141="挂单",'参数'!$C$11,'参数'!$C$12),4),"")</f>
        <v/>
      </c>
      <c r="J141" s="47" t="n"/>
      <c r="K141" s="47" t="n"/>
      <c r="L141" s="20" t="str">
        <f>IF(ISNUMBER(K141),K141+N(J141),IF(ISNUMBER(H141),I141+N(J141),""))</f>
        <v/>
      </c>
      <c r="M141" s="40" t="str">
        <f>IF(A141="","",IFERROR(T(INDEX('交易记录'!$C$5:$C$304,MATCH(A141,'交易记录'!$A$5:$A$304,0))),"编号没找到"))</f>
        <v/>
      </c>
      <c r="N141" s="30" t="n"/>
    </row>
    <row r="142">
      <c r="A142" s="24" t="n"/>
      <c r="B142" s="29" t="n"/>
      <c r="C142" s="27" t="n"/>
      <c r="D142" s="31" t="n"/>
      <c r="E142" s="32" t="n"/>
      <c r="F142" s="35" t="n"/>
      <c r="G142" s="31" t="n"/>
      <c r="H142" s="20" t="str">
        <f>IF(AND(ISNUMBER(E142),ISNUMBER(F142)),E142*F142,"")</f>
        <v/>
      </c>
      <c r="I142" s="42" t="str">
        <f>IF(ISNUMBER(H142),ROUND(H142*IF(G142="挂单",'参数'!$C$11,'参数'!$C$12),4),"")</f>
        <v/>
      </c>
      <c r="J142" s="47" t="n"/>
      <c r="K142" s="47" t="n"/>
      <c r="L142" s="20" t="str">
        <f>IF(ISNUMBER(K142),K142+N(J142),IF(ISNUMBER(H142),I142+N(J142),""))</f>
        <v/>
      </c>
      <c r="M142" s="40" t="str">
        <f>IF(A142="","",IFERROR(T(INDEX('交易记录'!$C$5:$C$304,MATCH(A142,'交易记录'!$A$5:$A$304,0))),"编号没找到"))</f>
        <v/>
      </c>
      <c r="N142" s="30" t="n"/>
    </row>
    <row r="143">
      <c r="A143" s="24" t="n"/>
      <c r="B143" s="29" t="n"/>
      <c r="C143" s="27" t="n"/>
      <c r="D143" s="31" t="n"/>
      <c r="E143" s="32" t="n"/>
      <c r="F143" s="35" t="n"/>
      <c r="G143" s="31" t="n"/>
      <c r="H143" s="20" t="str">
        <f>IF(AND(ISNUMBER(E143),ISNUMBER(F143)),E143*F143,"")</f>
        <v/>
      </c>
      <c r="I143" s="42" t="str">
        <f>IF(ISNUMBER(H143),ROUND(H143*IF(G143="挂单",'参数'!$C$11,'参数'!$C$12),4),"")</f>
        <v/>
      </c>
      <c r="J143" s="47" t="n"/>
      <c r="K143" s="47" t="n"/>
      <c r="L143" s="20" t="str">
        <f>IF(ISNUMBER(K143),K143+N(J143),IF(ISNUMBER(H143),I143+N(J143),""))</f>
        <v/>
      </c>
      <c r="M143" s="40" t="str">
        <f>IF(A143="","",IFERROR(T(INDEX('交易记录'!$C$5:$C$304,MATCH(A143,'交易记录'!$A$5:$A$304,0))),"编号没找到"))</f>
        <v/>
      </c>
      <c r="N143" s="30" t="n"/>
    </row>
    <row r="144">
      <c r="A144" s="24" t="n"/>
      <c r="B144" s="29" t="n"/>
      <c r="C144" s="27" t="n"/>
      <c r="D144" s="31" t="n"/>
      <c r="E144" s="32" t="n"/>
      <c r="F144" s="35" t="n"/>
      <c r="G144" s="31" t="n"/>
      <c r="H144" s="20" t="str">
        <f>IF(AND(ISNUMBER(E144),ISNUMBER(F144)),E144*F144,"")</f>
        <v/>
      </c>
      <c r="I144" s="42" t="str">
        <f>IF(ISNUMBER(H144),ROUND(H144*IF(G144="挂单",'参数'!$C$11,'参数'!$C$12),4),"")</f>
        <v/>
      </c>
      <c r="J144" s="47" t="n"/>
      <c r="K144" s="47" t="n"/>
      <c r="L144" s="20" t="str">
        <f>IF(ISNUMBER(K144),K144+N(J144),IF(ISNUMBER(H144),I144+N(J144),""))</f>
        <v/>
      </c>
      <c r="M144" s="40" t="str">
        <f>IF(A144="","",IFERROR(T(INDEX('交易记录'!$C$5:$C$304,MATCH(A144,'交易记录'!$A$5:$A$304,0))),"编号没找到"))</f>
        <v/>
      </c>
      <c r="N144" s="30" t="n"/>
    </row>
    <row r="145">
      <c r="A145" s="24" t="n"/>
      <c r="B145" s="29" t="n"/>
      <c r="C145" s="27" t="n"/>
      <c r="D145" s="31" t="n"/>
      <c r="E145" s="32" t="n"/>
      <c r="F145" s="35" t="n"/>
      <c r="G145" s="31" t="n"/>
      <c r="H145" s="20" t="str">
        <f>IF(AND(ISNUMBER(E145),ISNUMBER(F145)),E145*F145,"")</f>
        <v/>
      </c>
      <c r="I145" s="42" t="str">
        <f>IF(ISNUMBER(H145),ROUND(H145*IF(G145="挂单",'参数'!$C$11,'参数'!$C$12),4),"")</f>
        <v/>
      </c>
      <c r="J145" s="47" t="n"/>
      <c r="K145" s="47" t="n"/>
      <c r="L145" s="20" t="str">
        <f>IF(ISNUMBER(K145),K145+N(J145),IF(ISNUMBER(H145),I145+N(J145),""))</f>
        <v/>
      </c>
      <c r="M145" s="40" t="str">
        <f>IF(A145="","",IFERROR(T(INDEX('交易记录'!$C$5:$C$304,MATCH(A145,'交易记录'!$A$5:$A$304,0))),"编号没找到"))</f>
        <v/>
      </c>
      <c r="N145" s="30" t="n"/>
    </row>
    <row r="146">
      <c r="A146" s="24" t="n"/>
      <c r="B146" s="29" t="n"/>
      <c r="C146" s="27" t="n"/>
      <c r="D146" s="31" t="n"/>
      <c r="E146" s="32" t="n"/>
      <c r="F146" s="35" t="n"/>
      <c r="G146" s="31" t="n"/>
      <c r="H146" s="20" t="str">
        <f>IF(AND(ISNUMBER(E146),ISNUMBER(F146)),E146*F146,"")</f>
        <v/>
      </c>
      <c r="I146" s="42" t="str">
        <f>IF(ISNUMBER(H146),ROUND(H146*IF(G146="挂单",'参数'!$C$11,'参数'!$C$12),4),"")</f>
        <v/>
      </c>
      <c r="J146" s="47" t="n"/>
      <c r="K146" s="47" t="n"/>
      <c r="L146" s="20" t="str">
        <f>IF(ISNUMBER(K146),K146+N(J146),IF(ISNUMBER(H146),I146+N(J146),""))</f>
        <v/>
      </c>
      <c r="M146" s="40" t="str">
        <f>IF(A146="","",IFERROR(T(INDEX('交易记录'!$C$5:$C$304,MATCH(A146,'交易记录'!$A$5:$A$304,0))),"编号没找到"))</f>
        <v/>
      </c>
      <c r="N146" s="30" t="n"/>
    </row>
    <row r="147">
      <c r="A147" s="24" t="n"/>
      <c r="B147" s="29" t="n"/>
      <c r="C147" s="27" t="n"/>
      <c r="D147" s="31" t="n"/>
      <c r="E147" s="32" t="n"/>
      <c r="F147" s="35" t="n"/>
      <c r="G147" s="31" t="n"/>
      <c r="H147" s="20" t="str">
        <f>IF(AND(ISNUMBER(E147),ISNUMBER(F147)),E147*F147,"")</f>
        <v/>
      </c>
      <c r="I147" s="42" t="str">
        <f>IF(ISNUMBER(H147),ROUND(H147*IF(G147="挂单",'参数'!$C$11,'参数'!$C$12),4),"")</f>
        <v/>
      </c>
      <c r="J147" s="47" t="n"/>
      <c r="K147" s="47" t="n"/>
      <c r="L147" s="20" t="str">
        <f>IF(ISNUMBER(K147),K147+N(J147),IF(ISNUMBER(H147),I147+N(J147),""))</f>
        <v/>
      </c>
      <c r="M147" s="40" t="str">
        <f>IF(A147="","",IFERROR(T(INDEX('交易记录'!$C$5:$C$304,MATCH(A147,'交易记录'!$A$5:$A$304,0))),"编号没找到"))</f>
        <v/>
      </c>
      <c r="N147" s="30" t="n"/>
    </row>
    <row r="148">
      <c r="A148" s="24" t="n"/>
      <c r="B148" s="29" t="n"/>
      <c r="C148" s="27" t="n"/>
      <c r="D148" s="31" t="n"/>
      <c r="E148" s="32" t="n"/>
      <c r="F148" s="35" t="n"/>
      <c r="G148" s="31" t="n"/>
      <c r="H148" s="20" t="str">
        <f>IF(AND(ISNUMBER(E148),ISNUMBER(F148)),E148*F148,"")</f>
        <v/>
      </c>
      <c r="I148" s="42" t="str">
        <f>IF(ISNUMBER(H148),ROUND(H148*IF(G148="挂单",'参数'!$C$11,'参数'!$C$12),4),"")</f>
        <v/>
      </c>
      <c r="J148" s="47" t="n"/>
      <c r="K148" s="47" t="n"/>
      <c r="L148" s="20" t="str">
        <f>IF(ISNUMBER(K148),K148+N(J148),IF(ISNUMBER(H148),I148+N(J148),""))</f>
        <v/>
      </c>
      <c r="M148" s="40" t="str">
        <f>IF(A148="","",IFERROR(T(INDEX('交易记录'!$C$5:$C$304,MATCH(A148,'交易记录'!$A$5:$A$304,0))),"编号没找到"))</f>
        <v/>
      </c>
      <c r="N148" s="30" t="n"/>
    </row>
    <row r="149">
      <c r="A149" s="24" t="n"/>
      <c r="B149" s="29" t="n"/>
      <c r="C149" s="27" t="n"/>
      <c r="D149" s="31" t="n"/>
      <c r="E149" s="32" t="n"/>
      <c r="F149" s="35" t="n"/>
      <c r="G149" s="31" t="n"/>
      <c r="H149" s="20" t="str">
        <f>IF(AND(ISNUMBER(E149),ISNUMBER(F149)),E149*F149,"")</f>
        <v/>
      </c>
      <c r="I149" s="42" t="str">
        <f>IF(ISNUMBER(H149),ROUND(H149*IF(G149="挂单",'参数'!$C$11,'参数'!$C$12),4),"")</f>
        <v/>
      </c>
      <c r="J149" s="47" t="n"/>
      <c r="K149" s="47" t="n"/>
      <c r="L149" s="20" t="str">
        <f>IF(ISNUMBER(K149),K149+N(J149),IF(ISNUMBER(H149),I149+N(J149),""))</f>
        <v/>
      </c>
      <c r="M149" s="40" t="str">
        <f>IF(A149="","",IFERROR(T(INDEX('交易记录'!$C$5:$C$304,MATCH(A149,'交易记录'!$A$5:$A$304,0))),"编号没找到"))</f>
        <v/>
      </c>
      <c r="N149" s="30" t="n"/>
    </row>
    <row r="150">
      <c r="A150" s="24" t="n"/>
      <c r="B150" s="29" t="n"/>
      <c r="C150" s="27" t="n"/>
      <c r="D150" s="31" t="n"/>
      <c r="E150" s="32" t="n"/>
      <c r="F150" s="35" t="n"/>
      <c r="G150" s="31" t="n"/>
      <c r="H150" s="20" t="str">
        <f>IF(AND(ISNUMBER(E150),ISNUMBER(F150)),E150*F150,"")</f>
        <v/>
      </c>
      <c r="I150" s="42" t="str">
        <f>IF(ISNUMBER(H150),ROUND(H150*IF(G150="挂单",'参数'!$C$11,'参数'!$C$12),4),"")</f>
        <v/>
      </c>
      <c r="J150" s="47" t="n"/>
      <c r="K150" s="47" t="n"/>
      <c r="L150" s="20" t="str">
        <f>IF(ISNUMBER(K150),K150+N(J150),IF(ISNUMBER(H150),I150+N(J150),""))</f>
        <v/>
      </c>
      <c r="M150" s="40" t="str">
        <f>IF(A150="","",IFERROR(T(INDEX('交易记录'!$C$5:$C$304,MATCH(A150,'交易记录'!$A$5:$A$304,0))),"编号没找到"))</f>
        <v/>
      </c>
      <c r="N150" s="30" t="n"/>
    </row>
    <row r="151">
      <c r="A151" s="24" t="n"/>
      <c r="B151" s="29" t="n"/>
      <c r="C151" s="27" t="n"/>
      <c r="D151" s="31" t="n"/>
      <c r="E151" s="32" t="n"/>
      <c r="F151" s="35" t="n"/>
      <c r="G151" s="31" t="n"/>
      <c r="H151" s="20" t="str">
        <f>IF(AND(ISNUMBER(E151),ISNUMBER(F151)),E151*F151,"")</f>
        <v/>
      </c>
      <c r="I151" s="42" t="str">
        <f>IF(ISNUMBER(H151),ROUND(H151*IF(G151="挂单",'参数'!$C$11,'参数'!$C$12),4),"")</f>
        <v/>
      </c>
      <c r="J151" s="47" t="n"/>
      <c r="K151" s="47" t="n"/>
      <c r="L151" s="20" t="str">
        <f>IF(ISNUMBER(K151),K151+N(J151),IF(ISNUMBER(H151),I151+N(J151),""))</f>
        <v/>
      </c>
      <c r="M151" s="40" t="str">
        <f>IF(A151="","",IFERROR(T(INDEX('交易记录'!$C$5:$C$304,MATCH(A151,'交易记录'!$A$5:$A$304,0))),"编号没找到"))</f>
        <v/>
      </c>
      <c r="N151" s="30" t="n"/>
    </row>
    <row r="152">
      <c r="A152" s="24" t="n"/>
      <c r="B152" s="29" t="n"/>
      <c r="C152" s="27" t="n"/>
      <c r="D152" s="31" t="n"/>
      <c r="E152" s="32" t="n"/>
      <c r="F152" s="35" t="n"/>
      <c r="G152" s="31" t="n"/>
      <c r="H152" s="20" t="str">
        <f>IF(AND(ISNUMBER(E152),ISNUMBER(F152)),E152*F152,"")</f>
        <v/>
      </c>
      <c r="I152" s="42" t="str">
        <f>IF(ISNUMBER(H152),ROUND(H152*IF(G152="挂单",'参数'!$C$11,'参数'!$C$12),4),"")</f>
        <v/>
      </c>
      <c r="J152" s="47" t="n"/>
      <c r="K152" s="47" t="n"/>
      <c r="L152" s="20" t="str">
        <f>IF(ISNUMBER(K152),K152+N(J152),IF(ISNUMBER(H152),I152+N(J152),""))</f>
        <v/>
      </c>
      <c r="M152" s="40" t="str">
        <f>IF(A152="","",IFERROR(T(INDEX('交易记录'!$C$5:$C$304,MATCH(A152,'交易记录'!$A$5:$A$304,0))),"编号没找到"))</f>
        <v/>
      </c>
      <c r="N152" s="30" t="n"/>
    </row>
    <row r="153">
      <c r="A153" s="24" t="n"/>
      <c r="B153" s="29" t="n"/>
      <c r="C153" s="27" t="n"/>
      <c r="D153" s="31" t="n"/>
      <c r="E153" s="32" t="n"/>
      <c r="F153" s="35" t="n"/>
      <c r="G153" s="31" t="n"/>
      <c r="H153" s="20" t="str">
        <f>IF(AND(ISNUMBER(E153),ISNUMBER(F153)),E153*F153,"")</f>
        <v/>
      </c>
      <c r="I153" s="42" t="str">
        <f>IF(ISNUMBER(H153),ROUND(H153*IF(G153="挂单",'参数'!$C$11,'参数'!$C$12),4),"")</f>
        <v/>
      </c>
      <c r="J153" s="47" t="n"/>
      <c r="K153" s="47" t="n"/>
      <c r="L153" s="20" t="str">
        <f>IF(ISNUMBER(K153),K153+N(J153),IF(ISNUMBER(H153),I153+N(J153),""))</f>
        <v/>
      </c>
      <c r="M153" s="40" t="str">
        <f>IF(A153="","",IFERROR(T(INDEX('交易记录'!$C$5:$C$304,MATCH(A153,'交易记录'!$A$5:$A$304,0))),"编号没找到"))</f>
        <v/>
      </c>
      <c r="N153" s="30" t="n"/>
    </row>
    <row r="154">
      <c r="A154" s="24" t="n"/>
      <c r="B154" s="29" t="n"/>
      <c r="C154" s="27" t="n"/>
      <c r="D154" s="31" t="n"/>
      <c r="E154" s="32" t="n"/>
      <c r="F154" s="35" t="n"/>
      <c r="G154" s="31" t="n"/>
      <c r="H154" s="20" t="str">
        <f>IF(AND(ISNUMBER(E154),ISNUMBER(F154)),E154*F154,"")</f>
        <v/>
      </c>
      <c r="I154" s="42" t="str">
        <f>IF(ISNUMBER(H154),ROUND(H154*IF(G154="挂单",'参数'!$C$11,'参数'!$C$12),4),"")</f>
        <v/>
      </c>
      <c r="J154" s="47" t="n"/>
      <c r="K154" s="47" t="n"/>
      <c r="L154" s="20" t="str">
        <f>IF(ISNUMBER(K154),K154+N(J154),IF(ISNUMBER(H154),I154+N(J154),""))</f>
        <v/>
      </c>
      <c r="M154" s="40" t="str">
        <f>IF(A154="","",IFERROR(T(INDEX('交易记录'!$C$5:$C$304,MATCH(A154,'交易记录'!$A$5:$A$304,0))),"编号没找到"))</f>
        <v/>
      </c>
      <c r="N154" s="30" t="n"/>
    </row>
    <row r="155">
      <c r="A155" s="24" t="n"/>
      <c r="B155" s="29" t="n"/>
      <c r="C155" s="27" t="n"/>
      <c r="D155" s="31" t="n"/>
      <c r="E155" s="32" t="n"/>
      <c r="F155" s="35" t="n"/>
      <c r="G155" s="31" t="n"/>
      <c r="H155" s="20" t="str">
        <f>IF(AND(ISNUMBER(E155),ISNUMBER(F155)),E155*F155,"")</f>
        <v/>
      </c>
      <c r="I155" s="42" t="str">
        <f>IF(ISNUMBER(H155),ROUND(H155*IF(G155="挂单",'参数'!$C$11,'参数'!$C$12),4),"")</f>
        <v/>
      </c>
      <c r="J155" s="47" t="n"/>
      <c r="K155" s="47" t="n"/>
      <c r="L155" s="20" t="str">
        <f>IF(ISNUMBER(K155),K155+N(J155),IF(ISNUMBER(H155),I155+N(J155),""))</f>
        <v/>
      </c>
      <c r="M155" s="40" t="str">
        <f>IF(A155="","",IFERROR(T(INDEX('交易记录'!$C$5:$C$304,MATCH(A155,'交易记录'!$A$5:$A$304,0))),"编号没找到"))</f>
        <v/>
      </c>
      <c r="N155" s="30" t="n"/>
    </row>
    <row r="156">
      <c r="A156" s="24" t="n"/>
      <c r="B156" s="29" t="n"/>
      <c r="C156" s="27" t="n"/>
      <c r="D156" s="31" t="n"/>
      <c r="E156" s="32" t="n"/>
      <c r="F156" s="35" t="n"/>
      <c r="G156" s="31" t="n"/>
      <c r="H156" s="20" t="str">
        <f>IF(AND(ISNUMBER(E156),ISNUMBER(F156)),E156*F156,"")</f>
        <v/>
      </c>
      <c r="I156" s="42" t="str">
        <f>IF(ISNUMBER(H156),ROUND(H156*IF(G156="挂单",'参数'!$C$11,'参数'!$C$12),4),"")</f>
        <v/>
      </c>
      <c r="J156" s="47" t="n"/>
      <c r="K156" s="47" t="n"/>
      <c r="L156" s="20" t="str">
        <f>IF(ISNUMBER(K156),K156+N(J156),IF(ISNUMBER(H156),I156+N(J156),""))</f>
        <v/>
      </c>
      <c r="M156" s="40" t="str">
        <f>IF(A156="","",IFERROR(T(INDEX('交易记录'!$C$5:$C$304,MATCH(A156,'交易记录'!$A$5:$A$304,0))),"编号没找到"))</f>
        <v/>
      </c>
      <c r="N156" s="30" t="n"/>
    </row>
    <row r="157">
      <c r="A157" s="24" t="n"/>
      <c r="B157" s="29" t="n"/>
      <c r="C157" s="27" t="n"/>
      <c r="D157" s="31" t="n"/>
      <c r="E157" s="32" t="n"/>
      <c r="F157" s="35" t="n"/>
      <c r="G157" s="31" t="n"/>
      <c r="H157" s="20" t="str">
        <f>IF(AND(ISNUMBER(E157),ISNUMBER(F157)),E157*F157,"")</f>
        <v/>
      </c>
      <c r="I157" s="42" t="str">
        <f>IF(ISNUMBER(H157),ROUND(H157*IF(G157="挂单",'参数'!$C$11,'参数'!$C$12),4),"")</f>
        <v/>
      </c>
      <c r="J157" s="47" t="n"/>
      <c r="K157" s="47" t="n"/>
      <c r="L157" s="20" t="str">
        <f>IF(ISNUMBER(K157),K157+N(J157),IF(ISNUMBER(H157),I157+N(J157),""))</f>
        <v/>
      </c>
      <c r="M157" s="40" t="str">
        <f>IF(A157="","",IFERROR(T(INDEX('交易记录'!$C$5:$C$304,MATCH(A157,'交易记录'!$A$5:$A$304,0))),"编号没找到"))</f>
        <v/>
      </c>
      <c r="N157" s="30" t="n"/>
    </row>
    <row r="158">
      <c r="A158" s="24" t="n"/>
      <c r="B158" s="29" t="n"/>
      <c r="C158" s="27" t="n"/>
      <c r="D158" s="31" t="n"/>
      <c r="E158" s="32" t="n"/>
      <c r="F158" s="35" t="n"/>
      <c r="G158" s="31" t="n"/>
      <c r="H158" s="20" t="str">
        <f>IF(AND(ISNUMBER(E158),ISNUMBER(F158)),E158*F158,"")</f>
        <v/>
      </c>
      <c r="I158" s="42" t="str">
        <f>IF(ISNUMBER(H158),ROUND(H158*IF(G158="挂单",'参数'!$C$11,'参数'!$C$12),4),"")</f>
        <v/>
      </c>
      <c r="J158" s="47" t="n"/>
      <c r="K158" s="47" t="n"/>
      <c r="L158" s="20" t="str">
        <f>IF(ISNUMBER(K158),K158+N(J158),IF(ISNUMBER(H158),I158+N(J158),""))</f>
        <v/>
      </c>
      <c r="M158" s="40" t="str">
        <f>IF(A158="","",IFERROR(T(INDEX('交易记录'!$C$5:$C$304,MATCH(A158,'交易记录'!$A$5:$A$304,0))),"编号没找到"))</f>
        <v/>
      </c>
      <c r="N158" s="30" t="n"/>
    </row>
    <row r="159">
      <c r="A159" s="24" t="n"/>
      <c r="B159" s="29" t="n"/>
      <c r="C159" s="27" t="n"/>
      <c r="D159" s="31" t="n"/>
      <c r="E159" s="32" t="n"/>
      <c r="F159" s="35" t="n"/>
      <c r="G159" s="31" t="n"/>
      <c r="H159" s="20" t="str">
        <f>IF(AND(ISNUMBER(E159),ISNUMBER(F159)),E159*F159,"")</f>
        <v/>
      </c>
      <c r="I159" s="42" t="str">
        <f>IF(ISNUMBER(H159),ROUND(H159*IF(G159="挂单",'参数'!$C$11,'参数'!$C$12),4),"")</f>
        <v/>
      </c>
      <c r="J159" s="47" t="n"/>
      <c r="K159" s="47" t="n"/>
      <c r="L159" s="20" t="str">
        <f>IF(ISNUMBER(K159),K159+N(J159),IF(ISNUMBER(H159),I159+N(J159),""))</f>
        <v/>
      </c>
      <c r="M159" s="40" t="str">
        <f>IF(A159="","",IFERROR(T(INDEX('交易记录'!$C$5:$C$304,MATCH(A159,'交易记录'!$A$5:$A$304,0))),"编号没找到"))</f>
        <v/>
      </c>
      <c r="N159" s="30" t="n"/>
    </row>
    <row r="160">
      <c r="A160" s="24" t="n"/>
      <c r="B160" s="29" t="n"/>
      <c r="C160" s="27" t="n"/>
      <c r="D160" s="31" t="n"/>
      <c r="E160" s="32" t="n"/>
      <c r="F160" s="35" t="n"/>
      <c r="G160" s="31" t="n"/>
      <c r="H160" s="20" t="str">
        <f>IF(AND(ISNUMBER(E160),ISNUMBER(F160)),E160*F160,"")</f>
        <v/>
      </c>
      <c r="I160" s="42" t="str">
        <f>IF(ISNUMBER(H160),ROUND(H160*IF(G160="挂单",'参数'!$C$11,'参数'!$C$12),4),"")</f>
        <v/>
      </c>
      <c r="J160" s="47" t="n"/>
      <c r="K160" s="47" t="n"/>
      <c r="L160" s="20" t="str">
        <f>IF(ISNUMBER(K160),K160+N(J160),IF(ISNUMBER(H160),I160+N(J160),""))</f>
        <v/>
      </c>
      <c r="M160" s="40" t="str">
        <f>IF(A160="","",IFERROR(T(INDEX('交易记录'!$C$5:$C$304,MATCH(A160,'交易记录'!$A$5:$A$304,0))),"编号没找到"))</f>
        <v/>
      </c>
      <c r="N160" s="30" t="n"/>
    </row>
    <row r="161">
      <c r="A161" s="24" t="n"/>
      <c r="B161" s="29" t="n"/>
      <c r="C161" s="27" t="n"/>
      <c r="D161" s="31" t="n"/>
      <c r="E161" s="32" t="n"/>
      <c r="F161" s="35" t="n"/>
      <c r="G161" s="31" t="n"/>
      <c r="H161" s="20" t="str">
        <f>IF(AND(ISNUMBER(E161),ISNUMBER(F161)),E161*F161,"")</f>
        <v/>
      </c>
      <c r="I161" s="42" t="str">
        <f>IF(ISNUMBER(H161),ROUND(H161*IF(G161="挂单",'参数'!$C$11,'参数'!$C$12),4),"")</f>
        <v/>
      </c>
      <c r="J161" s="47" t="n"/>
      <c r="K161" s="47" t="n"/>
      <c r="L161" s="20" t="str">
        <f>IF(ISNUMBER(K161),K161+N(J161),IF(ISNUMBER(H161),I161+N(J161),""))</f>
        <v/>
      </c>
      <c r="M161" s="40" t="str">
        <f>IF(A161="","",IFERROR(T(INDEX('交易记录'!$C$5:$C$304,MATCH(A161,'交易记录'!$A$5:$A$304,0))),"编号没找到"))</f>
        <v/>
      </c>
      <c r="N161" s="30" t="n"/>
    </row>
    <row r="162">
      <c r="A162" s="24" t="n"/>
      <c r="B162" s="29" t="n"/>
      <c r="C162" s="27" t="n"/>
      <c r="D162" s="31" t="n"/>
      <c r="E162" s="32" t="n"/>
      <c r="F162" s="35" t="n"/>
      <c r="G162" s="31" t="n"/>
      <c r="H162" s="20" t="str">
        <f>IF(AND(ISNUMBER(E162),ISNUMBER(F162)),E162*F162,"")</f>
        <v/>
      </c>
      <c r="I162" s="42" t="str">
        <f>IF(ISNUMBER(H162),ROUND(H162*IF(G162="挂单",'参数'!$C$11,'参数'!$C$12),4),"")</f>
        <v/>
      </c>
      <c r="J162" s="47" t="n"/>
      <c r="K162" s="47" t="n"/>
      <c r="L162" s="20" t="str">
        <f>IF(ISNUMBER(K162),K162+N(J162),IF(ISNUMBER(H162),I162+N(J162),""))</f>
        <v/>
      </c>
      <c r="M162" s="40" t="str">
        <f>IF(A162="","",IFERROR(T(INDEX('交易记录'!$C$5:$C$304,MATCH(A162,'交易记录'!$A$5:$A$304,0))),"编号没找到"))</f>
        <v/>
      </c>
      <c r="N162" s="30" t="n"/>
    </row>
    <row r="163">
      <c r="A163" s="24" t="n"/>
      <c r="B163" s="29" t="n"/>
      <c r="C163" s="27" t="n"/>
      <c r="D163" s="31" t="n"/>
      <c r="E163" s="32" t="n"/>
      <c r="F163" s="35" t="n"/>
      <c r="G163" s="31" t="n"/>
      <c r="H163" s="20" t="str">
        <f>IF(AND(ISNUMBER(E163),ISNUMBER(F163)),E163*F163,"")</f>
        <v/>
      </c>
      <c r="I163" s="42" t="str">
        <f>IF(ISNUMBER(H163),ROUND(H163*IF(G163="挂单",'参数'!$C$11,'参数'!$C$12),4),"")</f>
        <v/>
      </c>
      <c r="J163" s="47" t="n"/>
      <c r="K163" s="47" t="n"/>
      <c r="L163" s="20" t="str">
        <f>IF(ISNUMBER(K163),K163+N(J163),IF(ISNUMBER(H163),I163+N(J163),""))</f>
        <v/>
      </c>
      <c r="M163" s="40" t="str">
        <f>IF(A163="","",IFERROR(T(INDEX('交易记录'!$C$5:$C$304,MATCH(A163,'交易记录'!$A$5:$A$304,0))),"编号没找到"))</f>
        <v/>
      </c>
      <c r="N163" s="30" t="n"/>
    </row>
    <row r="164">
      <c r="A164" s="24" t="n"/>
      <c r="B164" s="29" t="n"/>
      <c r="C164" s="27" t="n"/>
      <c r="D164" s="31" t="n"/>
      <c r="E164" s="32" t="n"/>
      <c r="F164" s="35" t="n"/>
      <c r="G164" s="31" t="n"/>
      <c r="H164" s="20" t="str">
        <f>IF(AND(ISNUMBER(E164),ISNUMBER(F164)),E164*F164,"")</f>
        <v/>
      </c>
      <c r="I164" s="42" t="str">
        <f>IF(ISNUMBER(H164),ROUND(H164*IF(G164="挂单",'参数'!$C$11,'参数'!$C$12),4),"")</f>
        <v/>
      </c>
      <c r="J164" s="47" t="n"/>
      <c r="K164" s="47" t="n"/>
      <c r="L164" s="20" t="str">
        <f>IF(ISNUMBER(K164),K164+N(J164),IF(ISNUMBER(H164),I164+N(J164),""))</f>
        <v/>
      </c>
      <c r="M164" s="40" t="str">
        <f>IF(A164="","",IFERROR(T(INDEX('交易记录'!$C$5:$C$304,MATCH(A164,'交易记录'!$A$5:$A$304,0))),"编号没找到"))</f>
        <v/>
      </c>
      <c r="N164" s="30" t="n"/>
    </row>
    <row r="165">
      <c r="A165" s="24" t="n"/>
      <c r="B165" s="29" t="n"/>
      <c r="C165" s="27" t="n"/>
      <c r="D165" s="31" t="n"/>
      <c r="E165" s="32" t="n"/>
      <c r="F165" s="35" t="n"/>
      <c r="G165" s="31" t="n"/>
      <c r="H165" s="20" t="str">
        <f>IF(AND(ISNUMBER(E165),ISNUMBER(F165)),E165*F165,"")</f>
        <v/>
      </c>
      <c r="I165" s="42" t="str">
        <f>IF(ISNUMBER(H165),ROUND(H165*IF(G165="挂单",'参数'!$C$11,'参数'!$C$12),4),"")</f>
        <v/>
      </c>
      <c r="J165" s="47" t="n"/>
      <c r="K165" s="47" t="n"/>
      <c r="L165" s="20" t="str">
        <f>IF(ISNUMBER(K165),K165+N(J165),IF(ISNUMBER(H165),I165+N(J165),""))</f>
        <v/>
      </c>
      <c r="M165" s="40" t="str">
        <f>IF(A165="","",IFERROR(T(INDEX('交易记录'!$C$5:$C$304,MATCH(A165,'交易记录'!$A$5:$A$304,0))),"编号没找到"))</f>
        <v/>
      </c>
      <c r="N165" s="30" t="n"/>
    </row>
    <row r="166">
      <c r="A166" s="24" t="n"/>
      <c r="B166" s="29" t="n"/>
      <c r="C166" s="27" t="n"/>
      <c r="D166" s="31" t="n"/>
      <c r="E166" s="32" t="n"/>
      <c r="F166" s="35" t="n"/>
      <c r="G166" s="31" t="n"/>
      <c r="H166" s="20" t="str">
        <f>IF(AND(ISNUMBER(E166),ISNUMBER(F166)),E166*F166,"")</f>
        <v/>
      </c>
      <c r="I166" s="42" t="str">
        <f>IF(ISNUMBER(H166),ROUND(H166*IF(G166="挂单",'参数'!$C$11,'参数'!$C$12),4),"")</f>
        <v/>
      </c>
      <c r="J166" s="47" t="n"/>
      <c r="K166" s="47" t="n"/>
      <c r="L166" s="20" t="str">
        <f>IF(ISNUMBER(K166),K166+N(J166),IF(ISNUMBER(H166),I166+N(J166),""))</f>
        <v/>
      </c>
      <c r="M166" s="40" t="str">
        <f>IF(A166="","",IFERROR(T(INDEX('交易记录'!$C$5:$C$304,MATCH(A166,'交易记录'!$A$5:$A$304,0))),"编号没找到"))</f>
        <v/>
      </c>
      <c r="N166" s="30" t="n"/>
    </row>
    <row r="167">
      <c r="A167" s="24" t="n"/>
      <c r="B167" s="29" t="n"/>
      <c r="C167" s="27" t="n"/>
      <c r="D167" s="31" t="n"/>
      <c r="E167" s="32" t="n"/>
      <c r="F167" s="35" t="n"/>
      <c r="G167" s="31" t="n"/>
      <c r="H167" s="20" t="str">
        <f>IF(AND(ISNUMBER(E167),ISNUMBER(F167)),E167*F167,"")</f>
        <v/>
      </c>
      <c r="I167" s="42" t="str">
        <f>IF(ISNUMBER(H167),ROUND(H167*IF(G167="挂单",'参数'!$C$11,'参数'!$C$12),4),"")</f>
        <v/>
      </c>
      <c r="J167" s="47" t="n"/>
      <c r="K167" s="47" t="n"/>
      <c r="L167" s="20" t="str">
        <f>IF(ISNUMBER(K167),K167+N(J167),IF(ISNUMBER(H167),I167+N(J167),""))</f>
        <v/>
      </c>
      <c r="M167" s="40" t="str">
        <f>IF(A167="","",IFERROR(T(INDEX('交易记录'!$C$5:$C$304,MATCH(A167,'交易记录'!$A$5:$A$304,0))),"编号没找到"))</f>
        <v/>
      </c>
      <c r="N167" s="30" t="n"/>
    </row>
    <row r="168">
      <c r="A168" s="24" t="n"/>
      <c r="B168" s="29" t="n"/>
      <c r="C168" s="27" t="n"/>
      <c r="D168" s="31" t="n"/>
      <c r="E168" s="32" t="n"/>
      <c r="F168" s="35" t="n"/>
      <c r="G168" s="31" t="n"/>
      <c r="H168" s="20" t="str">
        <f>IF(AND(ISNUMBER(E168),ISNUMBER(F168)),E168*F168,"")</f>
        <v/>
      </c>
      <c r="I168" s="42" t="str">
        <f>IF(ISNUMBER(H168),ROUND(H168*IF(G168="挂单",'参数'!$C$11,'参数'!$C$12),4),"")</f>
        <v/>
      </c>
      <c r="J168" s="47" t="n"/>
      <c r="K168" s="47" t="n"/>
      <c r="L168" s="20" t="str">
        <f>IF(ISNUMBER(K168),K168+N(J168),IF(ISNUMBER(H168),I168+N(J168),""))</f>
        <v/>
      </c>
      <c r="M168" s="40" t="str">
        <f>IF(A168="","",IFERROR(T(INDEX('交易记录'!$C$5:$C$304,MATCH(A168,'交易记录'!$A$5:$A$304,0))),"编号没找到"))</f>
        <v/>
      </c>
      <c r="N168" s="30" t="n"/>
    </row>
    <row r="169">
      <c r="A169" s="24" t="n"/>
      <c r="B169" s="29" t="n"/>
      <c r="C169" s="27" t="n"/>
      <c r="D169" s="31" t="n"/>
      <c r="E169" s="32" t="n"/>
      <c r="F169" s="35" t="n"/>
      <c r="G169" s="31" t="n"/>
      <c r="H169" s="20" t="str">
        <f>IF(AND(ISNUMBER(E169),ISNUMBER(F169)),E169*F169,"")</f>
        <v/>
      </c>
      <c r="I169" s="42" t="str">
        <f>IF(ISNUMBER(H169),ROUND(H169*IF(G169="挂单",'参数'!$C$11,'参数'!$C$12),4),"")</f>
        <v/>
      </c>
      <c r="J169" s="47" t="n"/>
      <c r="K169" s="47" t="n"/>
      <c r="L169" s="20" t="str">
        <f>IF(ISNUMBER(K169),K169+N(J169),IF(ISNUMBER(H169),I169+N(J169),""))</f>
        <v/>
      </c>
      <c r="M169" s="40" t="str">
        <f>IF(A169="","",IFERROR(T(INDEX('交易记录'!$C$5:$C$304,MATCH(A169,'交易记录'!$A$5:$A$304,0))),"编号没找到"))</f>
        <v/>
      </c>
      <c r="N169" s="30" t="n"/>
    </row>
    <row r="170">
      <c r="A170" s="24" t="n"/>
      <c r="B170" s="29" t="n"/>
      <c r="C170" s="27" t="n"/>
      <c r="D170" s="31" t="n"/>
      <c r="E170" s="32" t="n"/>
      <c r="F170" s="35" t="n"/>
      <c r="G170" s="31" t="n"/>
      <c r="H170" s="20" t="str">
        <f>IF(AND(ISNUMBER(E170),ISNUMBER(F170)),E170*F170,"")</f>
        <v/>
      </c>
      <c r="I170" s="42" t="str">
        <f>IF(ISNUMBER(H170),ROUND(H170*IF(G170="挂单",'参数'!$C$11,'参数'!$C$12),4),"")</f>
        <v/>
      </c>
      <c r="J170" s="47" t="n"/>
      <c r="K170" s="47" t="n"/>
      <c r="L170" s="20" t="str">
        <f>IF(ISNUMBER(K170),K170+N(J170),IF(ISNUMBER(H170),I170+N(J170),""))</f>
        <v/>
      </c>
      <c r="M170" s="40" t="str">
        <f>IF(A170="","",IFERROR(T(INDEX('交易记录'!$C$5:$C$304,MATCH(A170,'交易记录'!$A$5:$A$304,0))),"编号没找到"))</f>
        <v/>
      </c>
      <c r="N170" s="30" t="n"/>
    </row>
    <row r="171">
      <c r="A171" s="24" t="n"/>
      <c r="B171" s="29" t="n"/>
      <c r="C171" s="27" t="n"/>
      <c r="D171" s="31" t="n"/>
      <c r="E171" s="32" t="n"/>
      <c r="F171" s="35" t="n"/>
      <c r="G171" s="31" t="n"/>
      <c r="H171" s="20" t="str">
        <f>IF(AND(ISNUMBER(E171),ISNUMBER(F171)),E171*F171,"")</f>
        <v/>
      </c>
      <c r="I171" s="42" t="str">
        <f>IF(ISNUMBER(H171),ROUND(H171*IF(G171="挂单",'参数'!$C$11,'参数'!$C$12),4),"")</f>
        <v/>
      </c>
      <c r="J171" s="47" t="n"/>
      <c r="K171" s="47" t="n"/>
      <c r="L171" s="20" t="str">
        <f>IF(ISNUMBER(K171),K171+N(J171),IF(ISNUMBER(H171),I171+N(J171),""))</f>
        <v/>
      </c>
      <c r="M171" s="40" t="str">
        <f>IF(A171="","",IFERROR(T(INDEX('交易记录'!$C$5:$C$304,MATCH(A171,'交易记录'!$A$5:$A$304,0))),"编号没找到"))</f>
        <v/>
      </c>
      <c r="N171" s="30" t="n"/>
    </row>
    <row r="172">
      <c r="A172" s="24" t="n"/>
      <c r="B172" s="29" t="n"/>
      <c r="C172" s="27" t="n"/>
      <c r="D172" s="31" t="n"/>
      <c r="E172" s="32" t="n"/>
      <c r="F172" s="35" t="n"/>
      <c r="G172" s="31" t="n"/>
      <c r="H172" s="20" t="str">
        <f>IF(AND(ISNUMBER(E172),ISNUMBER(F172)),E172*F172,"")</f>
        <v/>
      </c>
      <c r="I172" s="42" t="str">
        <f>IF(ISNUMBER(H172),ROUND(H172*IF(G172="挂单",'参数'!$C$11,'参数'!$C$12),4),"")</f>
        <v/>
      </c>
      <c r="J172" s="47" t="n"/>
      <c r="K172" s="47" t="n"/>
      <c r="L172" s="20" t="str">
        <f>IF(ISNUMBER(K172),K172+N(J172),IF(ISNUMBER(H172),I172+N(J172),""))</f>
        <v/>
      </c>
      <c r="M172" s="40" t="str">
        <f>IF(A172="","",IFERROR(T(INDEX('交易记录'!$C$5:$C$304,MATCH(A172,'交易记录'!$A$5:$A$304,0))),"编号没找到"))</f>
        <v/>
      </c>
      <c r="N172" s="30" t="n"/>
    </row>
    <row r="173">
      <c r="A173" s="24" t="n"/>
      <c r="B173" s="29" t="n"/>
      <c r="C173" s="27" t="n"/>
      <c r="D173" s="31" t="n"/>
      <c r="E173" s="32" t="n"/>
      <c r="F173" s="35" t="n"/>
      <c r="G173" s="31" t="n"/>
      <c r="H173" s="20" t="str">
        <f>IF(AND(ISNUMBER(E173),ISNUMBER(F173)),E173*F173,"")</f>
        <v/>
      </c>
      <c r="I173" s="42" t="str">
        <f>IF(ISNUMBER(H173),ROUND(H173*IF(G173="挂单",'参数'!$C$11,'参数'!$C$12),4),"")</f>
        <v/>
      </c>
      <c r="J173" s="47" t="n"/>
      <c r="K173" s="47" t="n"/>
      <c r="L173" s="20" t="str">
        <f>IF(ISNUMBER(K173),K173+N(J173),IF(ISNUMBER(H173),I173+N(J173),""))</f>
        <v/>
      </c>
      <c r="M173" s="40" t="str">
        <f>IF(A173="","",IFERROR(T(INDEX('交易记录'!$C$5:$C$304,MATCH(A173,'交易记录'!$A$5:$A$304,0))),"编号没找到"))</f>
        <v/>
      </c>
      <c r="N173" s="30" t="n"/>
    </row>
    <row r="174">
      <c r="A174" s="24" t="n"/>
      <c r="B174" s="29" t="n"/>
      <c r="C174" s="27" t="n"/>
      <c r="D174" s="31" t="n"/>
      <c r="E174" s="32" t="n"/>
      <c r="F174" s="35" t="n"/>
      <c r="G174" s="31" t="n"/>
      <c r="H174" s="20" t="str">
        <f>IF(AND(ISNUMBER(E174),ISNUMBER(F174)),E174*F174,"")</f>
        <v/>
      </c>
      <c r="I174" s="42" t="str">
        <f>IF(ISNUMBER(H174),ROUND(H174*IF(G174="挂单",'参数'!$C$11,'参数'!$C$12),4),"")</f>
        <v/>
      </c>
      <c r="J174" s="47" t="n"/>
      <c r="K174" s="47" t="n"/>
      <c r="L174" s="20" t="str">
        <f>IF(ISNUMBER(K174),K174+N(J174),IF(ISNUMBER(H174),I174+N(J174),""))</f>
        <v/>
      </c>
      <c r="M174" s="40" t="str">
        <f>IF(A174="","",IFERROR(T(INDEX('交易记录'!$C$5:$C$304,MATCH(A174,'交易记录'!$A$5:$A$304,0))),"编号没找到"))</f>
        <v/>
      </c>
      <c r="N174" s="30" t="n"/>
    </row>
    <row r="175">
      <c r="A175" s="24" t="n"/>
      <c r="B175" s="29" t="n"/>
      <c r="C175" s="27" t="n"/>
      <c r="D175" s="31" t="n"/>
      <c r="E175" s="32" t="n"/>
      <c r="F175" s="35" t="n"/>
      <c r="G175" s="31" t="n"/>
      <c r="H175" s="20" t="str">
        <f>IF(AND(ISNUMBER(E175),ISNUMBER(F175)),E175*F175,"")</f>
        <v/>
      </c>
      <c r="I175" s="42" t="str">
        <f>IF(ISNUMBER(H175),ROUND(H175*IF(G175="挂单",'参数'!$C$11,'参数'!$C$12),4),"")</f>
        <v/>
      </c>
      <c r="J175" s="47" t="n"/>
      <c r="K175" s="47" t="n"/>
      <c r="L175" s="20" t="str">
        <f>IF(ISNUMBER(K175),K175+N(J175),IF(ISNUMBER(H175),I175+N(J175),""))</f>
        <v/>
      </c>
      <c r="M175" s="40" t="str">
        <f>IF(A175="","",IFERROR(T(INDEX('交易记录'!$C$5:$C$304,MATCH(A175,'交易记录'!$A$5:$A$304,0))),"编号没找到"))</f>
        <v/>
      </c>
      <c r="N175" s="30" t="n"/>
    </row>
    <row r="176">
      <c r="A176" s="24" t="n"/>
      <c r="B176" s="29" t="n"/>
      <c r="C176" s="27" t="n"/>
      <c r="D176" s="31" t="n"/>
      <c r="E176" s="32" t="n"/>
      <c r="F176" s="35" t="n"/>
      <c r="G176" s="31" t="n"/>
      <c r="H176" s="20" t="str">
        <f>IF(AND(ISNUMBER(E176),ISNUMBER(F176)),E176*F176,"")</f>
        <v/>
      </c>
      <c r="I176" s="42" t="str">
        <f>IF(ISNUMBER(H176),ROUND(H176*IF(G176="挂单",'参数'!$C$11,'参数'!$C$12),4),"")</f>
        <v/>
      </c>
      <c r="J176" s="47" t="n"/>
      <c r="K176" s="47" t="n"/>
      <c r="L176" s="20" t="str">
        <f>IF(ISNUMBER(K176),K176+N(J176),IF(ISNUMBER(H176),I176+N(J176),""))</f>
        <v/>
      </c>
      <c r="M176" s="40" t="str">
        <f>IF(A176="","",IFERROR(T(INDEX('交易记录'!$C$5:$C$304,MATCH(A176,'交易记录'!$A$5:$A$304,0))),"编号没找到"))</f>
        <v/>
      </c>
      <c r="N176" s="30" t="n"/>
    </row>
    <row r="177">
      <c r="A177" s="24" t="n"/>
      <c r="B177" s="29" t="n"/>
      <c r="C177" s="27" t="n"/>
      <c r="D177" s="31" t="n"/>
      <c r="E177" s="32" t="n"/>
      <c r="F177" s="35" t="n"/>
      <c r="G177" s="31" t="n"/>
      <c r="H177" s="20" t="str">
        <f>IF(AND(ISNUMBER(E177),ISNUMBER(F177)),E177*F177,"")</f>
        <v/>
      </c>
      <c r="I177" s="42" t="str">
        <f>IF(ISNUMBER(H177),ROUND(H177*IF(G177="挂单",'参数'!$C$11,'参数'!$C$12),4),"")</f>
        <v/>
      </c>
      <c r="J177" s="47" t="n"/>
      <c r="K177" s="47" t="n"/>
      <c r="L177" s="20" t="str">
        <f>IF(ISNUMBER(K177),K177+N(J177),IF(ISNUMBER(H177),I177+N(J177),""))</f>
        <v/>
      </c>
      <c r="M177" s="40" t="str">
        <f>IF(A177="","",IFERROR(T(INDEX('交易记录'!$C$5:$C$304,MATCH(A177,'交易记录'!$A$5:$A$304,0))),"编号没找到"))</f>
        <v/>
      </c>
      <c r="N177" s="30" t="n"/>
    </row>
    <row r="178">
      <c r="A178" s="24" t="n"/>
      <c r="B178" s="29" t="n"/>
      <c r="C178" s="27" t="n"/>
      <c r="D178" s="31" t="n"/>
      <c r="E178" s="32" t="n"/>
      <c r="F178" s="35" t="n"/>
      <c r="G178" s="31" t="n"/>
      <c r="H178" s="20" t="str">
        <f>IF(AND(ISNUMBER(E178),ISNUMBER(F178)),E178*F178,"")</f>
        <v/>
      </c>
      <c r="I178" s="42" t="str">
        <f>IF(ISNUMBER(H178),ROUND(H178*IF(G178="挂单",'参数'!$C$11,'参数'!$C$12),4),"")</f>
        <v/>
      </c>
      <c r="J178" s="47" t="n"/>
      <c r="K178" s="47" t="n"/>
      <c r="L178" s="20" t="str">
        <f>IF(ISNUMBER(K178),K178+N(J178),IF(ISNUMBER(H178),I178+N(J178),""))</f>
        <v/>
      </c>
      <c r="M178" s="40" t="str">
        <f>IF(A178="","",IFERROR(T(INDEX('交易记录'!$C$5:$C$304,MATCH(A178,'交易记录'!$A$5:$A$304,0))),"编号没找到"))</f>
        <v/>
      </c>
      <c r="N178" s="30" t="n"/>
    </row>
    <row r="179">
      <c r="A179" s="24" t="n"/>
      <c r="B179" s="29" t="n"/>
      <c r="C179" s="27" t="n"/>
      <c r="D179" s="31" t="n"/>
      <c r="E179" s="32" t="n"/>
      <c r="F179" s="35" t="n"/>
      <c r="G179" s="31" t="n"/>
      <c r="H179" s="20" t="str">
        <f>IF(AND(ISNUMBER(E179),ISNUMBER(F179)),E179*F179,"")</f>
        <v/>
      </c>
      <c r="I179" s="42" t="str">
        <f>IF(ISNUMBER(H179),ROUND(H179*IF(G179="挂单",'参数'!$C$11,'参数'!$C$12),4),"")</f>
        <v/>
      </c>
      <c r="J179" s="47" t="n"/>
      <c r="K179" s="47" t="n"/>
      <c r="L179" s="20" t="str">
        <f>IF(ISNUMBER(K179),K179+N(J179),IF(ISNUMBER(H179),I179+N(J179),""))</f>
        <v/>
      </c>
      <c r="M179" s="40" t="str">
        <f>IF(A179="","",IFERROR(T(INDEX('交易记录'!$C$5:$C$304,MATCH(A179,'交易记录'!$A$5:$A$304,0))),"编号没找到"))</f>
        <v/>
      </c>
      <c r="N179" s="30" t="n"/>
    </row>
    <row r="180">
      <c r="A180" s="24" t="n"/>
      <c r="B180" s="29" t="n"/>
      <c r="C180" s="27" t="n"/>
      <c r="D180" s="31" t="n"/>
      <c r="E180" s="32" t="n"/>
      <c r="F180" s="35" t="n"/>
      <c r="G180" s="31" t="n"/>
      <c r="H180" s="20" t="str">
        <f>IF(AND(ISNUMBER(E180),ISNUMBER(F180)),E180*F180,"")</f>
        <v/>
      </c>
      <c r="I180" s="42" t="str">
        <f>IF(ISNUMBER(H180),ROUND(H180*IF(G180="挂单",'参数'!$C$11,'参数'!$C$12),4),"")</f>
        <v/>
      </c>
      <c r="J180" s="47" t="n"/>
      <c r="K180" s="47" t="n"/>
      <c r="L180" s="20" t="str">
        <f>IF(ISNUMBER(K180),K180+N(J180),IF(ISNUMBER(H180),I180+N(J180),""))</f>
        <v/>
      </c>
      <c r="M180" s="40" t="str">
        <f>IF(A180="","",IFERROR(T(INDEX('交易记录'!$C$5:$C$304,MATCH(A180,'交易记录'!$A$5:$A$304,0))),"编号没找到"))</f>
        <v/>
      </c>
      <c r="N180" s="30" t="n"/>
    </row>
    <row r="181">
      <c r="A181" s="24" t="n"/>
      <c r="B181" s="29" t="n"/>
      <c r="C181" s="27" t="n"/>
      <c r="D181" s="31" t="n"/>
      <c r="E181" s="32" t="n"/>
      <c r="F181" s="35" t="n"/>
      <c r="G181" s="31" t="n"/>
      <c r="H181" s="20" t="str">
        <f>IF(AND(ISNUMBER(E181),ISNUMBER(F181)),E181*F181,"")</f>
        <v/>
      </c>
      <c r="I181" s="42" t="str">
        <f>IF(ISNUMBER(H181),ROUND(H181*IF(G181="挂单",'参数'!$C$11,'参数'!$C$12),4),"")</f>
        <v/>
      </c>
      <c r="J181" s="47" t="n"/>
      <c r="K181" s="47" t="n"/>
      <c r="L181" s="20" t="str">
        <f>IF(ISNUMBER(K181),K181+N(J181),IF(ISNUMBER(H181),I181+N(J181),""))</f>
        <v/>
      </c>
      <c r="M181" s="40" t="str">
        <f>IF(A181="","",IFERROR(T(INDEX('交易记录'!$C$5:$C$304,MATCH(A181,'交易记录'!$A$5:$A$304,0))),"编号没找到"))</f>
        <v/>
      </c>
      <c r="N181" s="30" t="n"/>
    </row>
    <row r="182">
      <c r="A182" s="24" t="n"/>
      <c r="B182" s="29" t="n"/>
      <c r="C182" s="27" t="n"/>
      <c r="D182" s="31" t="n"/>
      <c r="E182" s="32" t="n"/>
      <c r="F182" s="35" t="n"/>
      <c r="G182" s="31" t="n"/>
      <c r="H182" s="20" t="str">
        <f>IF(AND(ISNUMBER(E182),ISNUMBER(F182)),E182*F182,"")</f>
        <v/>
      </c>
      <c r="I182" s="42" t="str">
        <f>IF(ISNUMBER(H182),ROUND(H182*IF(G182="挂单",'参数'!$C$11,'参数'!$C$12),4),"")</f>
        <v/>
      </c>
      <c r="J182" s="47" t="n"/>
      <c r="K182" s="47" t="n"/>
      <c r="L182" s="20" t="str">
        <f>IF(ISNUMBER(K182),K182+N(J182),IF(ISNUMBER(H182),I182+N(J182),""))</f>
        <v/>
      </c>
      <c r="M182" s="40" t="str">
        <f>IF(A182="","",IFERROR(T(INDEX('交易记录'!$C$5:$C$304,MATCH(A182,'交易记录'!$A$5:$A$304,0))),"编号没找到"))</f>
        <v/>
      </c>
      <c r="N182" s="30" t="n"/>
    </row>
    <row r="183">
      <c r="A183" s="24" t="n"/>
      <c r="B183" s="29" t="n"/>
      <c r="C183" s="27" t="n"/>
      <c r="D183" s="31" t="n"/>
      <c r="E183" s="32" t="n"/>
      <c r="F183" s="35" t="n"/>
      <c r="G183" s="31" t="n"/>
      <c r="H183" s="20" t="str">
        <f>IF(AND(ISNUMBER(E183),ISNUMBER(F183)),E183*F183,"")</f>
        <v/>
      </c>
      <c r="I183" s="42" t="str">
        <f>IF(ISNUMBER(H183),ROUND(H183*IF(G183="挂单",'参数'!$C$11,'参数'!$C$12),4),"")</f>
        <v/>
      </c>
      <c r="J183" s="47" t="n"/>
      <c r="K183" s="47" t="n"/>
      <c r="L183" s="20" t="str">
        <f>IF(ISNUMBER(K183),K183+N(J183),IF(ISNUMBER(H183),I183+N(J183),""))</f>
        <v/>
      </c>
      <c r="M183" s="40" t="str">
        <f>IF(A183="","",IFERROR(T(INDEX('交易记录'!$C$5:$C$304,MATCH(A183,'交易记录'!$A$5:$A$304,0))),"编号没找到"))</f>
        <v/>
      </c>
      <c r="N183" s="30" t="n"/>
    </row>
    <row r="184">
      <c r="A184" s="24" t="n"/>
      <c r="B184" s="29" t="n"/>
      <c r="C184" s="27" t="n"/>
      <c r="D184" s="31" t="n"/>
      <c r="E184" s="32" t="n"/>
      <c r="F184" s="35" t="n"/>
      <c r="G184" s="31" t="n"/>
      <c r="H184" s="20" t="str">
        <f>IF(AND(ISNUMBER(E184),ISNUMBER(F184)),E184*F184,"")</f>
        <v/>
      </c>
      <c r="I184" s="42" t="str">
        <f>IF(ISNUMBER(H184),ROUND(H184*IF(G184="挂单",'参数'!$C$11,'参数'!$C$12),4),"")</f>
        <v/>
      </c>
      <c r="J184" s="47" t="n"/>
      <c r="K184" s="47" t="n"/>
      <c r="L184" s="20" t="str">
        <f>IF(ISNUMBER(K184),K184+N(J184),IF(ISNUMBER(H184),I184+N(J184),""))</f>
        <v/>
      </c>
      <c r="M184" s="40" t="str">
        <f>IF(A184="","",IFERROR(T(INDEX('交易记录'!$C$5:$C$304,MATCH(A184,'交易记录'!$A$5:$A$304,0))),"编号没找到"))</f>
        <v/>
      </c>
      <c r="N184" s="30" t="n"/>
    </row>
    <row r="185">
      <c r="A185" s="24" t="n"/>
      <c r="B185" s="29" t="n"/>
      <c r="C185" s="27" t="n"/>
      <c r="D185" s="31" t="n"/>
      <c r="E185" s="32" t="n"/>
      <c r="F185" s="35" t="n"/>
      <c r="G185" s="31" t="n"/>
      <c r="H185" s="20" t="str">
        <f>IF(AND(ISNUMBER(E185),ISNUMBER(F185)),E185*F185,"")</f>
        <v/>
      </c>
      <c r="I185" s="42" t="str">
        <f>IF(ISNUMBER(H185),ROUND(H185*IF(G185="挂单",'参数'!$C$11,'参数'!$C$12),4),"")</f>
        <v/>
      </c>
      <c r="J185" s="47" t="n"/>
      <c r="K185" s="47" t="n"/>
      <c r="L185" s="20" t="str">
        <f>IF(ISNUMBER(K185),K185+N(J185),IF(ISNUMBER(H185),I185+N(J185),""))</f>
        <v/>
      </c>
      <c r="M185" s="40" t="str">
        <f>IF(A185="","",IFERROR(T(INDEX('交易记录'!$C$5:$C$304,MATCH(A185,'交易记录'!$A$5:$A$304,0))),"编号没找到"))</f>
        <v/>
      </c>
      <c r="N185" s="30" t="n"/>
    </row>
    <row r="186">
      <c r="A186" s="24" t="n"/>
      <c r="B186" s="29" t="n"/>
      <c r="C186" s="27" t="n"/>
      <c r="D186" s="31" t="n"/>
      <c r="E186" s="32" t="n"/>
      <c r="F186" s="35" t="n"/>
      <c r="G186" s="31" t="n"/>
      <c r="H186" s="20" t="str">
        <f>IF(AND(ISNUMBER(E186),ISNUMBER(F186)),E186*F186,"")</f>
        <v/>
      </c>
      <c r="I186" s="42" t="str">
        <f>IF(ISNUMBER(H186),ROUND(H186*IF(G186="挂单",'参数'!$C$11,'参数'!$C$12),4),"")</f>
        <v/>
      </c>
      <c r="J186" s="47" t="n"/>
      <c r="K186" s="47" t="n"/>
      <c r="L186" s="20" t="str">
        <f>IF(ISNUMBER(K186),K186+N(J186),IF(ISNUMBER(H186),I186+N(J186),""))</f>
        <v/>
      </c>
      <c r="M186" s="40" t="str">
        <f>IF(A186="","",IFERROR(T(INDEX('交易记录'!$C$5:$C$304,MATCH(A186,'交易记录'!$A$5:$A$304,0))),"编号没找到"))</f>
        <v/>
      </c>
      <c r="N186" s="30" t="n"/>
    </row>
    <row r="187">
      <c r="A187" s="24" t="n"/>
      <c r="B187" s="29" t="n"/>
      <c r="C187" s="27" t="n"/>
      <c r="D187" s="31" t="n"/>
      <c r="E187" s="32" t="n"/>
      <c r="F187" s="35" t="n"/>
      <c r="G187" s="31" t="n"/>
      <c r="H187" s="20" t="str">
        <f>IF(AND(ISNUMBER(E187),ISNUMBER(F187)),E187*F187,"")</f>
        <v/>
      </c>
      <c r="I187" s="42" t="str">
        <f>IF(ISNUMBER(H187),ROUND(H187*IF(G187="挂单",'参数'!$C$11,'参数'!$C$12),4),"")</f>
        <v/>
      </c>
      <c r="J187" s="47" t="n"/>
      <c r="K187" s="47" t="n"/>
      <c r="L187" s="20" t="str">
        <f>IF(ISNUMBER(K187),K187+N(J187),IF(ISNUMBER(H187),I187+N(J187),""))</f>
        <v/>
      </c>
      <c r="M187" s="40" t="str">
        <f>IF(A187="","",IFERROR(T(INDEX('交易记录'!$C$5:$C$304,MATCH(A187,'交易记录'!$A$5:$A$304,0))),"编号没找到"))</f>
        <v/>
      </c>
      <c r="N187" s="30" t="n"/>
    </row>
    <row r="188">
      <c r="A188" s="24" t="n"/>
      <c r="B188" s="29" t="n"/>
      <c r="C188" s="27" t="n"/>
      <c r="D188" s="31" t="n"/>
      <c r="E188" s="32" t="n"/>
      <c r="F188" s="35" t="n"/>
      <c r="G188" s="31" t="n"/>
      <c r="H188" s="20" t="str">
        <f>IF(AND(ISNUMBER(E188),ISNUMBER(F188)),E188*F188,"")</f>
        <v/>
      </c>
      <c r="I188" s="42" t="str">
        <f>IF(ISNUMBER(H188),ROUND(H188*IF(G188="挂单",'参数'!$C$11,'参数'!$C$12),4),"")</f>
        <v/>
      </c>
      <c r="J188" s="47" t="n"/>
      <c r="K188" s="47" t="n"/>
      <c r="L188" s="20" t="str">
        <f>IF(ISNUMBER(K188),K188+N(J188),IF(ISNUMBER(H188),I188+N(J188),""))</f>
        <v/>
      </c>
      <c r="M188" s="40" t="str">
        <f>IF(A188="","",IFERROR(T(INDEX('交易记录'!$C$5:$C$304,MATCH(A188,'交易记录'!$A$5:$A$304,0))),"编号没找到"))</f>
        <v/>
      </c>
      <c r="N188" s="30" t="n"/>
    </row>
    <row r="189">
      <c r="A189" s="24" t="n"/>
      <c r="B189" s="29" t="n"/>
      <c r="C189" s="27" t="n"/>
      <c r="D189" s="31" t="n"/>
      <c r="E189" s="32" t="n"/>
      <c r="F189" s="35" t="n"/>
      <c r="G189" s="31" t="n"/>
      <c r="H189" s="20" t="str">
        <f>IF(AND(ISNUMBER(E189),ISNUMBER(F189)),E189*F189,"")</f>
        <v/>
      </c>
      <c r="I189" s="42" t="str">
        <f>IF(ISNUMBER(H189),ROUND(H189*IF(G189="挂单",'参数'!$C$11,'参数'!$C$12),4),"")</f>
        <v/>
      </c>
      <c r="J189" s="47" t="n"/>
      <c r="K189" s="47" t="n"/>
      <c r="L189" s="20" t="str">
        <f>IF(ISNUMBER(K189),K189+N(J189),IF(ISNUMBER(H189),I189+N(J189),""))</f>
        <v/>
      </c>
      <c r="M189" s="40" t="str">
        <f>IF(A189="","",IFERROR(T(INDEX('交易记录'!$C$5:$C$304,MATCH(A189,'交易记录'!$A$5:$A$304,0))),"编号没找到"))</f>
        <v/>
      </c>
      <c r="N189" s="30" t="n"/>
    </row>
    <row r="190">
      <c r="A190" s="24" t="n"/>
      <c r="B190" s="29" t="n"/>
      <c r="C190" s="27" t="n"/>
      <c r="D190" s="31" t="n"/>
      <c r="E190" s="32" t="n"/>
      <c r="F190" s="35" t="n"/>
      <c r="G190" s="31" t="n"/>
      <c r="H190" s="20" t="str">
        <f>IF(AND(ISNUMBER(E190),ISNUMBER(F190)),E190*F190,"")</f>
        <v/>
      </c>
      <c r="I190" s="42" t="str">
        <f>IF(ISNUMBER(H190),ROUND(H190*IF(G190="挂单",'参数'!$C$11,'参数'!$C$12),4),"")</f>
        <v/>
      </c>
      <c r="J190" s="47" t="n"/>
      <c r="K190" s="47" t="n"/>
      <c r="L190" s="20" t="str">
        <f>IF(ISNUMBER(K190),K190+N(J190),IF(ISNUMBER(H190),I190+N(J190),""))</f>
        <v/>
      </c>
      <c r="M190" s="40" t="str">
        <f>IF(A190="","",IFERROR(T(INDEX('交易记录'!$C$5:$C$304,MATCH(A190,'交易记录'!$A$5:$A$304,0))),"编号没找到"))</f>
        <v/>
      </c>
      <c r="N190" s="30" t="n"/>
    </row>
    <row r="191">
      <c r="A191" s="24" t="n"/>
      <c r="B191" s="29" t="n"/>
      <c r="C191" s="27" t="n"/>
      <c r="D191" s="31" t="n"/>
      <c r="E191" s="32" t="n"/>
      <c r="F191" s="35" t="n"/>
      <c r="G191" s="31" t="n"/>
      <c r="H191" s="20" t="str">
        <f>IF(AND(ISNUMBER(E191),ISNUMBER(F191)),E191*F191,"")</f>
        <v/>
      </c>
      <c r="I191" s="42" t="str">
        <f>IF(ISNUMBER(H191),ROUND(H191*IF(G191="挂单",'参数'!$C$11,'参数'!$C$12),4),"")</f>
        <v/>
      </c>
      <c r="J191" s="47" t="n"/>
      <c r="K191" s="47" t="n"/>
      <c r="L191" s="20" t="str">
        <f>IF(ISNUMBER(K191),K191+N(J191),IF(ISNUMBER(H191),I191+N(J191),""))</f>
        <v/>
      </c>
      <c r="M191" s="40" t="str">
        <f>IF(A191="","",IFERROR(T(INDEX('交易记录'!$C$5:$C$304,MATCH(A191,'交易记录'!$A$5:$A$304,0))),"编号没找到"))</f>
        <v/>
      </c>
      <c r="N191" s="30" t="n"/>
    </row>
    <row r="192">
      <c r="A192" s="24" t="n"/>
      <c r="B192" s="29" t="n"/>
      <c r="C192" s="27" t="n"/>
      <c r="D192" s="31" t="n"/>
      <c r="E192" s="32" t="n"/>
      <c r="F192" s="35" t="n"/>
      <c r="G192" s="31" t="n"/>
      <c r="H192" s="20" t="str">
        <f>IF(AND(ISNUMBER(E192),ISNUMBER(F192)),E192*F192,"")</f>
        <v/>
      </c>
      <c r="I192" s="42" t="str">
        <f>IF(ISNUMBER(H192),ROUND(H192*IF(G192="挂单",'参数'!$C$11,'参数'!$C$12),4),"")</f>
        <v/>
      </c>
      <c r="J192" s="47" t="n"/>
      <c r="K192" s="47" t="n"/>
      <c r="L192" s="20" t="str">
        <f>IF(ISNUMBER(K192),K192+N(J192),IF(ISNUMBER(H192),I192+N(J192),""))</f>
        <v/>
      </c>
      <c r="M192" s="40" t="str">
        <f>IF(A192="","",IFERROR(T(INDEX('交易记录'!$C$5:$C$304,MATCH(A192,'交易记录'!$A$5:$A$304,0))),"编号没找到"))</f>
        <v/>
      </c>
      <c r="N192" s="30" t="n"/>
    </row>
    <row r="193">
      <c r="A193" s="24" t="n"/>
      <c r="B193" s="29" t="n"/>
      <c r="C193" s="27" t="n"/>
      <c r="D193" s="31" t="n"/>
      <c r="E193" s="32" t="n"/>
      <c r="F193" s="35" t="n"/>
      <c r="G193" s="31" t="n"/>
      <c r="H193" s="20" t="str">
        <f>IF(AND(ISNUMBER(E193),ISNUMBER(F193)),E193*F193,"")</f>
        <v/>
      </c>
      <c r="I193" s="42" t="str">
        <f>IF(ISNUMBER(H193),ROUND(H193*IF(G193="挂单",'参数'!$C$11,'参数'!$C$12),4),"")</f>
        <v/>
      </c>
      <c r="J193" s="47" t="n"/>
      <c r="K193" s="47" t="n"/>
      <c r="L193" s="20" t="str">
        <f>IF(ISNUMBER(K193),K193+N(J193),IF(ISNUMBER(H193),I193+N(J193),""))</f>
        <v/>
      </c>
      <c r="M193" s="40" t="str">
        <f>IF(A193="","",IFERROR(T(INDEX('交易记录'!$C$5:$C$304,MATCH(A193,'交易记录'!$A$5:$A$304,0))),"编号没找到"))</f>
        <v/>
      </c>
      <c r="N193" s="30" t="n"/>
    </row>
    <row r="194">
      <c r="A194" s="24" t="n"/>
      <c r="B194" s="29" t="n"/>
      <c r="C194" s="27" t="n"/>
      <c r="D194" s="31" t="n"/>
      <c r="E194" s="32" t="n"/>
      <c r="F194" s="35" t="n"/>
      <c r="G194" s="31" t="n"/>
      <c r="H194" s="20" t="str">
        <f>IF(AND(ISNUMBER(E194),ISNUMBER(F194)),E194*F194,"")</f>
        <v/>
      </c>
      <c r="I194" s="42" t="str">
        <f>IF(ISNUMBER(H194),ROUND(H194*IF(G194="挂单",'参数'!$C$11,'参数'!$C$12),4),"")</f>
        <v/>
      </c>
      <c r="J194" s="47" t="n"/>
      <c r="K194" s="47" t="n"/>
      <c r="L194" s="20" t="str">
        <f>IF(ISNUMBER(K194),K194+N(J194),IF(ISNUMBER(H194),I194+N(J194),""))</f>
        <v/>
      </c>
      <c r="M194" s="40" t="str">
        <f>IF(A194="","",IFERROR(T(INDEX('交易记录'!$C$5:$C$304,MATCH(A194,'交易记录'!$A$5:$A$304,0))),"编号没找到"))</f>
        <v/>
      </c>
      <c r="N194" s="30" t="n"/>
    </row>
    <row r="195">
      <c r="A195" s="24" t="n"/>
      <c r="B195" s="29" t="n"/>
      <c r="C195" s="27" t="n"/>
      <c r="D195" s="31" t="n"/>
      <c r="E195" s="32" t="n"/>
      <c r="F195" s="35" t="n"/>
      <c r="G195" s="31" t="n"/>
      <c r="H195" s="20" t="str">
        <f>IF(AND(ISNUMBER(E195),ISNUMBER(F195)),E195*F195,"")</f>
        <v/>
      </c>
      <c r="I195" s="42" t="str">
        <f>IF(ISNUMBER(H195),ROUND(H195*IF(G195="挂单",'参数'!$C$11,'参数'!$C$12),4),"")</f>
        <v/>
      </c>
      <c r="J195" s="47" t="n"/>
      <c r="K195" s="47" t="n"/>
      <c r="L195" s="20" t="str">
        <f>IF(ISNUMBER(K195),K195+N(J195),IF(ISNUMBER(H195),I195+N(J195),""))</f>
        <v/>
      </c>
      <c r="M195" s="40" t="str">
        <f>IF(A195="","",IFERROR(T(INDEX('交易记录'!$C$5:$C$304,MATCH(A195,'交易记录'!$A$5:$A$304,0))),"编号没找到"))</f>
        <v/>
      </c>
      <c r="N195" s="30" t="n"/>
    </row>
    <row r="196">
      <c r="A196" s="24" t="n"/>
      <c r="B196" s="29" t="n"/>
      <c r="C196" s="27" t="n"/>
      <c r="D196" s="31" t="n"/>
      <c r="E196" s="32" t="n"/>
      <c r="F196" s="35" t="n"/>
      <c r="G196" s="31" t="n"/>
      <c r="H196" s="20" t="str">
        <f>IF(AND(ISNUMBER(E196),ISNUMBER(F196)),E196*F196,"")</f>
        <v/>
      </c>
      <c r="I196" s="42" t="str">
        <f>IF(ISNUMBER(H196),ROUND(H196*IF(G196="挂单",'参数'!$C$11,'参数'!$C$12),4),"")</f>
        <v/>
      </c>
      <c r="J196" s="47" t="n"/>
      <c r="K196" s="47" t="n"/>
      <c r="L196" s="20" t="str">
        <f>IF(ISNUMBER(K196),K196+N(J196),IF(ISNUMBER(H196),I196+N(J196),""))</f>
        <v/>
      </c>
      <c r="M196" s="40" t="str">
        <f>IF(A196="","",IFERROR(T(INDEX('交易记录'!$C$5:$C$304,MATCH(A196,'交易记录'!$A$5:$A$304,0))),"编号没找到"))</f>
        <v/>
      </c>
      <c r="N196" s="30" t="n"/>
    </row>
    <row r="197">
      <c r="A197" s="24" t="n"/>
      <c r="B197" s="29" t="n"/>
      <c r="C197" s="27" t="n"/>
      <c r="D197" s="31" t="n"/>
      <c r="E197" s="32" t="n"/>
      <c r="F197" s="35" t="n"/>
      <c r="G197" s="31" t="n"/>
      <c r="H197" s="20" t="str">
        <f>IF(AND(ISNUMBER(E197),ISNUMBER(F197)),E197*F197,"")</f>
        <v/>
      </c>
      <c r="I197" s="42" t="str">
        <f>IF(ISNUMBER(H197),ROUND(H197*IF(G197="挂单",'参数'!$C$11,'参数'!$C$12),4),"")</f>
        <v/>
      </c>
      <c r="J197" s="47" t="n"/>
      <c r="K197" s="47" t="n"/>
      <c r="L197" s="20" t="str">
        <f>IF(ISNUMBER(K197),K197+N(J197),IF(ISNUMBER(H197),I197+N(J197),""))</f>
        <v/>
      </c>
      <c r="M197" s="40" t="str">
        <f>IF(A197="","",IFERROR(T(INDEX('交易记录'!$C$5:$C$304,MATCH(A197,'交易记录'!$A$5:$A$304,0))),"编号没找到"))</f>
        <v/>
      </c>
      <c r="N197" s="30" t="n"/>
    </row>
    <row r="198">
      <c r="A198" s="24" t="n"/>
      <c r="B198" s="29" t="n"/>
      <c r="C198" s="27" t="n"/>
      <c r="D198" s="31" t="n"/>
      <c r="E198" s="32" t="n"/>
      <c r="F198" s="35" t="n"/>
      <c r="G198" s="31" t="n"/>
      <c r="H198" s="20" t="str">
        <f>IF(AND(ISNUMBER(E198),ISNUMBER(F198)),E198*F198,"")</f>
        <v/>
      </c>
      <c r="I198" s="42" t="str">
        <f>IF(ISNUMBER(H198),ROUND(H198*IF(G198="挂单",'参数'!$C$11,'参数'!$C$12),4),"")</f>
        <v/>
      </c>
      <c r="J198" s="47" t="n"/>
      <c r="K198" s="47" t="n"/>
      <c r="L198" s="20" t="str">
        <f>IF(ISNUMBER(K198),K198+N(J198),IF(ISNUMBER(H198),I198+N(J198),""))</f>
        <v/>
      </c>
      <c r="M198" s="40" t="str">
        <f>IF(A198="","",IFERROR(T(INDEX('交易记录'!$C$5:$C$304,MATCH(A198,'交易记录'!$A$5:$A$304,0))),"编号没找到"))</f>
        <v/>
      </c>
      <c r="N198" s="30" t="n"/>
    </row>
    <row r="199">
      <c r="A199" s="24" t="n"/>
      <c r="B199" s="29" t="n"/>
      <c r="C199" s="27" t="n"/>
      <c r="D199" s="31" t="n"/>
      <c r="E199" s="32" t="n"/>
      <c r="F199" s="35" t="n"/>
      <c r="G199" s="31" t="n"/>
      <c r="H199" s="20" t="str">
        <f>IF(AND(ISNUMBER(E199),ISNUMBER(F199)),E199*F199,"")</f>
        <v/>
      </c>
      <c r="I199" s="42" t="str">
        <f>IF(ISNUMBER(H199),ROUND(H199*IF(G199="挂单",'参数'!$C$11,'参数'!$C$12),4),"")</f>
        <v/>
      </c>
      <c r="J199" s="47" t="n"/>
      <c r="K199" s="47" t="n"/>
      <c r="L199" s="20" t="str">
        <f>IF(ISNUMBER(K199),K199+N(J199),IF(ISNUMBER(H199),I199+N(J199),""))</f>
        <v/>
      </c>
      <c r="M199" s="40" t="str">
        <f>IF(A199="","",IFERROR(T(INDEX('交易记录'!$C$5:$C$304,MATCH(A199,'交易记录'!$A$5:$A$304,0))),"编号没找到"))</f>
        <v/>
      </c>
      <c r="N199" s="30" t="n"/>
    </row>
    <row r="200">
      <c r="A200" s="24" t="n"/>
      <c r="B200" s="29" t="n"/>
      <c r="C200" s="27" t="n"/>
      <c r="D200" s="31" t="n"/>
      <c r="E200" s="32" t="n"/>
      <c r="F200" s="35" t="n"/>
      <c r="G200" s="31" t="n"/>
      <c r="H200" s="20" t="str">
        <f>IF(AND(ISNUMBER(E200),ISNUMBER(F200)),E200*F200,"")</f>
        <v/>
      </c>
      <c r="I200" s="42" t="str">
        <f>IF(ISNUMBER(H200),ROUND(H200*IF(G200="挂单",'参数'!$C$11,'参数'!$C$12),4),"")</f>
        <v/>
      </c>
      <c r="J200" s="47" t="n"/>
      <c r="K200" s="47" t="n"/>
      <c r="L200" s="20" t="str">
        <f>IF(ISNUMBER(K200),K200+N(J200),IF(ISNUMBER(H200),I200+N(J200),""))</f>
        <v/>
      </c>
      <c r="M200" s="40" t="str">
        <f>IF(A200="","",IFERROR(T(INDEX('交易记录'!$C$5:$C$304,MATCH(A200,'交易记录'!$A$5:$A$304,0))),"编号没找到"))</f>
        <v/>
      </c>
      <c r="N200" s="30" t="n"/>
    </row>
    <row r="201">
      <c r="A201" s="24" t="n"/>
      <c r="B201" s="29" t="n"/>
      <c r="C201" s="27" t="n"/>
      <c r="D201" s="31" t="n"/>
      <c r="E201" s="32" t="n"/>
      <c r="F201" s="35" t="n"/>
      <c r="G201" s="31" t="n"/>
      <c r="H201" s="20" t="str">
        <f>IF(AND(ISNUMBER(E201),ISNUMBER(F201)),E201*F201,"")</f>
        <v/>
      </c>
      <c r="I201" s="42" t="str">
        <f>IF(ISNUMBER(H201),ROUND(H201*IF(G201="挂单",'参数'!$C$11,'参数'!$C$12),4),"")</f>
        <v/>
      </c>
      <c r="J201" s="47" t="n"/>
      <c r="K201" s="47" t="n"/>
      <c r="L201" s="20" t="str">
        <f>IF(ISNUMBER(K201),K201+N(J201),IF(ISNUMBER(H201),I201+N(J201),""))</f>
        <v/>
      </c>
      <c r="M201" s="40" t="str">
        <f>IF(A201="","",IFERROR(T(INDEX('交易记录'!$C$5:$C$304,MATCH(A201,'交易记录'!$A$5:$A$304,0))),"编号没找到"))</f>
        <v/>
      </c>
      <c r="N201" s="30" t="n"/>
    </row>
    <row r="202">
      <c r="A202" s="24" t="n"/>
      <c r="B202" s="29" t="n"/>
      <c r="C202" s="27" t="n"/>
      <c r="D202" s="31" t="n"/>
      <c r="E202" s="32" t="n"/>
      <c r="F202" s="35" t="n"/>
      <c r="G202" s="31" t="n"/>
      <c r="H202" s="20" t="str">
        <f>IF(AND(ISNUMBER(E202),ISNUMBER(F202)),E202*F202,"")</f>
        <v/>
      </c>
      <c r="I202" s="42" t="str">
        <f>IF(ISNUMBER(H202),ROUND(H202*IF(G202="挂单",'参数'!$C$11,'参数'!$C$12),4),"")</f>
        <v/>
      </c>
      <c r="J202" s="47" t="n"/>
      <c r="K202" s="47" t="n"/>
      <c r="L202" s="20" t="str">
        <f>IF(ISNUMBER(K202),K202+N(J202),IF(ISNUMBER(H202),I202+N(J202),""))</f>
        <v/>
      </c>
      <c r="M202" s="40" t="str">
        <f>IF(A202="","",IFERROR(T(INDEX('交易记录'!$C$5:$C$304,MATCH(A202,'交易记录'!$A$5:$A$304,0))),"编号没找到"))</f>
        <v/>
      </c>
      <c r="N202" s="30" t="n"/>
    </row>
    <row r="203">
      <c r="A203" s="24" t="n"/>
      <c r="B203" s="29" t="n"/>
      <c r="C203" s="27" t="n"/>
      <c r="D203" s="31" t="n"/>
      <c r="E203" s="32" t="n"/>
      <c r="F203" s="35" t="n"/>
      <c r="G203" s="31" t="n"/>
      <c r="H203" s="20" t="str">
        <f>IF(AND(ISNUMBER(E203),ISNUMBER(F203)),E203*F203,"")</f>
        <v/>
      </c>
      <c r="I203" s="42" t="str">
        <f>IF(ISNUMBER(H203),ROUND(H203*IF(G203="挂单",'参数'!$C$11,'参数'!$C$12),4),"")</f>
        <v/>
      </c>
      <c r="J203" s="47" t="n"/>
      <c r="K203" s="47" t="n"/>
      <c r="L203" s="20" t="str">
        <f>IF(ISNUMBER(K203),K203+N(J203),IF(ISNUMBER(H203),I203+N(J203),""))</f>
        <v/>
      </c>
      <c r="M203" s="40" t="str">
        <f>IF(A203="","",IFERROR(T(INDEX('交易记录'!$C$5:$C$304,MATCH(A203,'交易记录'!$A$5:$A$304,0))),"编号没找到"))</f>
        <v/>
      </c>
      <c r="N203" s="30" t="n"/>
    </row>
    <row r="204">
      <c r="A204" s="24" t="n"/>
      <c r="B204" s="29" t="n"/>
      <c r="C204" s="27" t="n"/>
      <c r="D204" s="31" t="n"/>
      <c r="E204" s="32" t="n"/>
      <c r="F204" s="35" t="n"/>
      <c r="G204" s="31" t="n"/>
      <c r="H204" s="20" t="str">
        <f>IF(AND(ISNUMBER(E204),ISNUMBER(F204)),E204*F204,"")</f>
        <v/>
      </c>
      <c r="I204" s="42" t="str">
        <f>IF(ISNUMBER(H204),ROUND(H204*IF(G204="挂单",'参数'!$C$11,'参数'!$C$12),4),"")</f>
        <v/>
      </c>
      <c r="J204" s="47" t="n"/>
      <c r="K204" s="47" t="n"/>
      <c r="L204" s="20" t="str">
        <f>IF(ISNUMBER(K204),K204+N(J204),IF(ISNUMBER(H204),I204+N(J204),""))</f>
        <v/>
      </c>
      <c r="M204" s="40" t="str">
        <f>IF(A204="","",IFERROR(T(INDEX('交易记录'!$C$5:$C$304,MATCH(A204,'交易记录'!$A$5:$A$304,0))),"编号没找到"))</f>
        <v/>
      </c>
      <c r="N204" s="30" t="n"/>
    </row>
    <row r="205">
      <c r="A205" s="24" t="n"/>
      <c r="B205" s="29" t="n"/>
      <c r="C205" s="27" t="n"/>
      <c r="D205" s="31" t="n"/>
      <c r="E205" s="32" t="n"/>
      <c r="F205" s="35" t="n"/>
      <c r="G205" s="31" t="n"/>
      <c r="H205" s="20" t="str">
        <f>IF(AND(ISNUMBER(E205),ISNUMBER(F205)),E205*F205,"")</f>
        <v/>
      </c>
      <c r="I205" s="42" t="str">
        <f>IF(ISNUMBER(H205),ROUND(H205*IF(G205="挂单",'参数'!$C$11,'参数'!$C$12),4),"")</f>
        <v/>
      </c>
      <c r="J205" s="47" t="n"/>
      <c r="K205" s="47" t="n"/>
      <c r="L205" s="20" t="str">
        <f>IF(ISNUMBER(K205),K205+N(J205),IF(ISNUMBER(H205),I205+N(J205),""))</f>
        <v/>
      </c>
      <c r="M205" s="40" t="str">
        <f>IF(A205="","",IFERROR(T(INDEX('交易记录'!$C$5:$C$304,MATCH(A205,'交易记录'!$A$5:$A$304,0))),"编号没找到"))</f>
        <v/>
      </c>
      <c r="N205" s="30" t="n"/>
    </row>
    <row r="206">
      <c r="A206" s="24" t="n"/>
      <c r="B206" s="29" t="n"/>
      <c r="C206" s="27" t="n"/>
      <c r="D206" s="31" t="n"/>
      <c r="E206" s="32" t="n"/>
      <c r="F206" s="35" t="n"/>
      <c r="G206" s="31" t="n"/>
      <c r="H206" s="20" t="str">
        <f>IF(AND(ISNUMBER(E206),ISNUMBER(F206)),E206*F206,"")</f>
        <v/>
      </c>
      <c r="I206" s="42" t="str">
        <f>IF(ISNUMBER(H206),ROUND(H206*IF(G206="挂单",'参数'!$C$11,'参数'!$C$12),4),"")</f>
        <v/>
      </c>
      <c r="J206" s="47" t="n"/>
      <c r="K206" s="47" t="n"/>
      <c r="L206" s="20" t="str">
        <f>IF(ISNUMBER(K206),K206+N(J206),IF(ISNUMBER(H206),I206+N(J206),""))</f>
        <v/>
      </c>
      <c r="M206" s="40" t="str">
        <f>IF(A206="","",IFERROR(T(INDEX('交易记录'!$C$5:$C$304,MATCH(A206,'交易记录'!$A$5:$A$304,0))),"编号没找到"))</f>
        <v/>
      </c>
      <c r="N206" s="30" t="n"/>
    </row>
    <row r="207">
      <c r="A207" s="24" t="n"/>
      <c r="B207" s="29" t="n"/>
      <c r="C207" s="27" t="n"/>
      <c r="D207" s="31" t="n"/>
      <c r="E207" s="32" t="n"/>
      <c r="F207" s="35" t="n"/>
      <c r="G207" s="31" t="n"/>
      <c r="H207" s="20" t="str">
        <f>IF(AND(ISNUMBER(E207),ISNUMBER(F207)),E207*F207,"")</f>
        <v/>
      </c>
      <c r="I207" s="42" t="str">
        <f>IF(ISNUMBER(H207),ROUND(H207*IF(G207="挂单",'参数'!$C$11,'参数'!$C$12),4),"")</f>
        <v/>
      </c>
      <c r="J207" s="47" t="n"/>
      <c r="K207" s="47" t="n"/>
      <c r="L207" s="20" t="str">
        <f>IF(ISNUMBER(K207),K207+N(J207),IF(ISNUMBER(H207),I207+N(J207),""))</f>
        <v/>
      </c>
      <c r="M207" s="40" t="str">
        <f>IF(A207="","",IFERROR(T(INDEX('交易记录'!$C$5:$C$304,MATCH(A207,'交易记录'!$A$5:$A$304,0))),"编号没找到"))</f>
        <v/>
      </c>
      <c r="N207" s="30" t="n"/>
    </row>
    <row r="208">
      <c r="A208" s="24" t="n"/>
      <c r="B208" s="29" t="n"/>
      <c r="C208" s="27" t="n"/>
      <c r="D208" s="31" t="n"/>
      <c r="E208" s="32" t="n"/>
      <c r="F208" s="35" t="n"/>
      <c r="G208" s="31" t="n"/>
      <c r="H208" s="20" t="str">
        <f>IF(AND(ISNUMBER(E208),ISNUMBER(F208)),E208*F208,"")</f>
        <v/>
      </c>
      <c r="I208" s="42" t="str">
        <f>IF(ISNUMBER(H208),ROUND(H208*IF(G208="挂单",'参数'!$C$11,'参数'!$C$12),4),"")</f>
        <v/>
      </c>
      <c r="J208" s="47" t="n"/>
      <c r="K208" s="47" t="n"/>
      <c r="L208" s="20" t="str">
        <f>IF(ISNUMBER(K208),K208+N(J208),IF(ISNUMBER(H208),I208+N(J208),""))</f>
        <v/>
      </c>
      <c r="M208" s="40" t="str">
        <f>IF(A208="","",IFERROR(T(INDEX('交易记录'!$C$5:$C$304,MATCH(A208,'交易记录'!$A$5:$A$304,0))),"编号没找到"))</f>
        <v/>
      </c>
      <c r="N208" s="30" t="n"/>
    </row>
    <row r="209">
      <c r="A209" s="24" t="n"/>
      <c r="B209" s="29" t="n"/>
      <c r="C209" s="27" t="n"/>
      <c r="D209" s="31" t="n"/>
      <c r="E209" s="32" t="n"/>
      <c r="F209" s="35" t="n"/>
      <c r="G209" s="31" t="n"/>
      <c r="H209" s="20" t="str">
        <f>IF(AND(ISNUMBER(E209),ISNUMBER(F209)),E209*F209,"")</f>
        <v/>
      </c>
      <c r="I209" s="42" t="str">
        <f>IF(ISNUMBER(H209),ROUND(H209*IF(G209="挂单",'参数'!$C$11,'参数'!$C$12),4),"")</f>
        <v/>
      </c>
      <c r="J209" s="47" t="n"/>
      <c r="K209" s="47" t="n"/>
      <c r="L209" s="20" t="str">
        <f>IF(ISNUMBER(K209),K209+N(J209),IF(ISNUMBER(H209),I209+N(J209),""))</f>
        <v/>
      </c>
      <c r="M209" s="40" t="str">
        <f>IF(A209="","",IFERROR(T(INDEX('交易记录'!$C$5:$C$304,MATCH(A209,'交易记录'!$A$5:$A$304,0))),"编号没找到"))</f>
        <v/>
      </c>
      <c r="N209" s="30" t="n"/>
    </row>
    <row r="210">
      <c r="A210" s="24" t="n"/>
      <c r="B210" s="29" t="n"/>
      <c r="C210" s="27" t="n"/>
      <c r="D210" s="31" t="n"/>
      <c r="E210" s="32" t="n"/>
      <c r="F210" s="35" t="n"/>
      <c r="G210" s="31" t="n"/>
      <c r="H210" s="20" t="str">
        <f>IF(AND(ISNUMBER(E210),ISNUMBER(F210)),E210*F210,"")</f>
        <v/>
      </c>
      <c r="I210" s="42" t="str">
        <f>IF(ISNUMBER(H210),ROUND(H210*IF(G210="挂单",'参数'!$C$11,'参数'!$C$12),4),"")</f>
        <v/>
      </c>
      <c r="J210" s="47" t="n"/>
      <c r="K210" s="47" t="n"/>
      <c r="L210" s="20" t="str">
        <f>IF(ISNUMBER(K210),K210+N(J210),IF(ISNUMBER(H210),I210+N(J210),""))</f>
        <v/>
      </c>
      <c r="M210" s="40" t="str">
        <f>IF(A210="","",IFERROR(T(INDEX('交易记录'!$C$5:$C$304,MATCH(A210,'交易记录'!$A$5:$A$304,0))),"编号没找到"))</f>
        <v/>
      </c>
      <c r="N210" s="30" t="n"/>
    </row>
    <row r="211">
      <c r="A211" s="24" t="n"/>
      <c r="B211" s="29" t="n"/>
      <c r="C211" s="27" t="n"/>
      <c r="D211" s="31" t="n"/>
      <c r="E211" s="32" t="n"/>
      <c r="F211" s="35" t="n"/>
      <c r="G211" s="31" t="n"/>
      <c r="H211" s="20" t="str">
        <f>IF(AND(ISNUMBER(E211),ISNUMBER(F211)),E211*F211,"")</f>
        <v/>
      </c>
      <c r="I211" s="42" t="str">
        <f>IF(ISNUMBER(H211),ROUND(H211*IF(G211="挂单",'参数'!$C$11,'参数'!$C$12),4),"")</f>
        <v/>
      </c>
      <c r="J211" s="47" t="n"/>
      <c r="K211" s="47" t="n"/>
      <c r="L211" s="20" t="str">
        <f>IF(ISNUMBER(K211),K211+N(J211),IF(ISNUMBER(H211),I211+N(J211),""))</f>
        <v/>
      </c>
      <c r="M211" s="40" t="str">
        <f>IF(A211="","",IFERROR(T(INDEX('交易记录'!$C$5:$C$304,MATCH(A211,'交易记录'!$A$5:$A$304,0))),"编号没找到"))</f>
        <v/>
      </c>
      <c r="N211" s="30" t="n"/>
    </row>
    <row r="212">
      <c r="A212" s="24" t="n"/>
      <c r="B212" s="29" t="n"/>
      <c r="C212" s="27" t="n"/>
      <c r="D212" s="31" t="n"/>
      <c r="E212" s="32" t="n"/>
      <c r="F212" s="35" t="n"/>
      <c r="G212" s="31" t="n"/>
      <c r="H212" s="20" t="str">
        <f>IF(AND(ISNUMBER(E212),ISNUMBER(F212)),E212*F212,"")</f>
        <v/>
      </c>
      <c r="I212" s="42" t="str">
        <f>IF(ISNUMBER(H212),ROUND(H212*IF(G212="挂单",'参数'!$C$11,'参数'!$C$12),4),"")</f>
        <v/>
      </c>
      <c r="J212" s="47" t="n"/>
      <c r="K212" s="47" t="n"/>
      <c r="L212" s="20" t="str">
        <f>IF(ISNUMBER(K212),K212+N(J212),IF(ISNUMBER(H212),I212+N(J212),""))</f>
        <v/>
      </c>
      <c r="M212" s="40" t="str">
        <f>IF(A212="","",IFERROR(T(INDEX('交易记录'!$C$5:$C$304,MATCH(A212,'交易记录'!$A$5:$A$304,0))),"编号没找到"))</f>
        <v/>
      </c>
      <c r="N212" s="30" t="n"/>
    </row>
    <row r="213">
      <c r="A213" s="24" t="n"/>
      <c r="B213" s="29" t="n"/>
      <c r="C213" s="27" t="n"/>
      <c r="D213" s="31" t="n"/>
      <c r="E213" s="32" t="n"/>
      <c r="F213" s="35" t="n"/>
      <c r="G213" s="31" t="n"/>
      <c r="H213" s="20" t="str">
        <f>IF(AND(ISNUMBER(E213),ISNUMBER(F213)),E213*F213,"")</f>
        <v/>
      </c>
      <c r="I213" s="42" t="str">
        <f>IF(ISNUMBER(H213),ROUND(H213*IF(G213="挂单",'参数'!$C$11,'参数'!$C$12),4),"")</f>
        <v/>
      </c>
      <c r="J213" s="47" t="n"/>
      <c r="K213" s="47" t="n"/>
      <c r="L213" s="20" t="str">
        <f>IF(ISNUMBER(K213),K213+N(J213),IF(ISNUMBER(H213),I213+N(J213),""))</f>
        <v/>
      </c>
      <c r="M213" s="40" t="str">
        <f>IF(A213="","",IFERROR(T(INDEX('交易记录'!$C$5:$C$304,MATCH(A213,'交易记录'!$A$5:$A$304,0))),"编号没找到"))</f>
        <v/>
      </c>
      <c r="N213" s="30" t="n"/>
    </row>
    <row r="214">
      <c r="A214" s="24" t="n"/>
      <c r="B214" s="29" t="n"/>
      <c r="C214" s="27" t="n"/>
      <c r="D214" s="31" t="n"/>
      <c r="E214" s="32" t="n"/>
      <c r="F214" s="35" t="n"/>
      <c r="G214" s="31" t="n"/>
      <c r="H214" s="20" t="str">
        <f>IF(AND(ISNUMBER(E214),ISNUMBER(F214)),E214*F214,"")</f>
        <v/>
      </c>
      <c r="I214" s="42" t="str">
        <f>IF(ISNUMBER(H214),ROUND(H214*IF(G214="挂单",'参数'!$C$11,'参数'!$C$12),4),"")</f>
        <v/>
      </c>
      <c r="J214" s="47" t="n"/>
      <c r="K214" s="47" t="n"/>
      <c r="L214" s="20" t="str">
        <f>IF(ISNUMBER(K214),K214+N(J214),IF(ISNUMBER(H214),I214+N(J214),""))</f>
        <v/>
      </c>
      <c r="M214" s="40" t="str">
        <f>IF(A214="","",IFERROR(T(INDEX('交易记录'!$C$5:$C$304,MATCH(A214,'交易记录'!$A$5:$A$304,0))),"编号没找到"))</f>
        <v/>
      </c>
      <c r="N214" s="30" t="n"/>
    </row>
    <row r="215">
      <c r="A215" s="24" t="n"/>
      <c r="B215" s="29" t="n"/>
      <c r="C215" s="27" t="n"/>
      <c r="D215" s="31" t="n"/>
      <c r="E215" s="32" t="n"/>
      <c r="F215" s="35" t="n"/>
      <c r="G215" s="31" t="n"/>
      <c r="H215" s="20" t="str">
        <f>IF(AND(ISNUMBER(E215),ISNUMBER(F215)),E215*F215,"")</f>
        <v/>
      </c>
      <c r="I215" s="42" t="str">
        <f>IF(ISNUMBER(H215),ROUND(H215*IF(G215="挂单",'参数'!$C$11,'参数'!$C$12),4),"")</f>
        <v/>
      </c>
      <c r="J215" s="47" t="n"/>
      <c r="K215" s="47" t="n"/>
      <c r="L215" s="20" t="str">
        <f>IF(ISNUMBER(K215),K215+N(J215),IF(ISNUMBER(H215),I215+N(J215),""))</f>
        <v/>
      </c>
      <c r="M215" s="40" t="str">
        <f>IF(A215="","",IFERROR(T(INDEX('交易记录'!$C$5:$C$304,MATCH(A215,'交易记录'!$A$5:$A$304,0))),"编号没找到"))</f>
        <v/>
      </c>
      <c r="N215" s="30" t="n"/>
    </row>
    <row r="216">
      <c r="A216" s="24" t="n"/>
      <c r="B216" s="29" t="n"/>
      <c r="C216" s="27" t="n"/>
      <c r="D216" s="31" t="n"/>
      <c r="E216" s="32" t="n"/>
      <c r="F216" s="35" t="n"/>
      <c r="G216" s="31" t="n"/>
      <c r="H216" s="20" t="str">
        <f>IF(AND(ISNUMBER(E216),ISNUMBER(F216)),E216*F216,"")</f>
        <v/>
      </c>
      <c r="I216" s="42" t="str">
        <f>IF(ISNUMBER(H216),ROUND(H216*IF(G216="挂单",'参数'!$C$11,'参数'!$C$12),4),"")</f>
        <v/>
      </c>
      <c r="J216" s="47" t="n"/>
      <c r="K216" s="47" t="n"/>
      <c r="L216" s="20" t="str">
        <f>IF(ISNUMBER(K216),K216+N(J216),IF(ISNUMBER(H216),I216+N(J216),""))</f>
        <v/>
      </c>
      <c r="M216" s="40" t="str">
        <f>IF(A216="","",IFERROR(T(INDEX('交易记录'!$C$5:$C$304,MATCH(A216,'交易记录'!$A$5:$A$304,0))),"编号没找到"))</f>
        <v/>
      </c>
      <c r="N216" s="30" t="n"/>
    </row>
    <row r="217">
      <c r="A217" s="24" t="n"/>
      <c r="B217" s="29" t="n"/>
      <c r="C217" s="27" t="n"/>
      <c r="D217" s="31" t="n"/>
      <c r="E217" s="32" t="n"/>
      <c r="F217" s="35" t="n"/>
      <c r="G217" s="31" t="n"/>
      <c r="H217" s="20" t="str">
        <f>IF(AND(ISNUMBER(E217),ISNUMBER(F217)),E217*F217,"")</f>
        <v/>
      </c>
      <c r="I217" s="42" t="str">
        <f>IF(ISNUMBER(H217),ROUND(H217*IF(G217="挂单",'参数'!$C$11,'参数'!$C$12),4),"")</f>
        <v/>
      </c>
      <c r="J217" s="47" t="n"/>
      <c r="K217" s="47" t="n"/>
      <c r="L217" s="20" t="str">
        <f>IF(ISNUMBER(K217),K217+N(J217),IF(ISNUMBER(H217),I217+N(J217),""))</f>
        <v/>
      </c>
      <c r="M217" s="40" t="str">
        <f>IF(A217="","",IFERROR(T(INDEX('交易记录'!$C$5:$C$304,MATCH(A217,'交易记录'!$A$5:$A$304,0))),"编号没找到"))</f>
        <v/>
      </c>
      <c r="N217" s="30" t="n"/>
    </row>
    <row r="218">
      <c r="A218" s="24" t="n"/>
      <c r="B218" s="29" t="n"/>
      <c r="C218" s="27" t="n"/>
      <c r="D218" s="31" t="n"/>
      <c r="E218" s="32" t="n"/>
      <c r="F218" s="35" t="n"/>
      <c r="G218" s="31" t="n"/>
      <c r="H218" s="20" t="str">
        <f>IF(AND(ISNUMBER(E218),ISNUMBER(F218)),E218*F218,"")</f>
        <v/>
      </c>
      <c r="I218" s="42" t="str">
        <f>IF(ISNUMBER(H218),ROUND(H218*IF(G218="挂单",'参数'!$C$11,'参数'!$C$12),4),"")</f>
        <v/>
      </c>
      <c r="J218" s="47" t="n"/>
      <c r="K218" s="47" t="n"/>
      <c r="L218" s="20" t="str">
        <f>IF(ISNUMBER(K218),K218+N(J218),IF(ISNUMBER(H218),I218+N(J218),""))</f>
        <v/>
      </c>
      <c r="M218" s="40" t="str">
        <f>IF(A218="","",IFERROR(T(INDEX('交易记录'!$C$5:$C$304,MATCH(A218,'交易记录'!$A$5:$A$304,0))),"编号没找到"))</f>
        <v/>
      </c>
      <c r="N218" s="30" t="n"/>
    </row>
    <row r="219">
      <c r="A219" s="24" t="n"/>
      <c r="B219" s="29" t="n"/>
      <c r="C219" s="27" t="n"/>
      <c r="D219" s="31" t="n"/>
      <c r="E219" s="32" t="n"/>
      <c r="F219" s="35" t="n"/>
      <c r="G219" s="31" t="n"/>
      <c r="H219" s="20" t="str">
        <f>IF(AND(ISNUMBER(E219),ISNUMBER(F219)),E219*F219,"")</f>
        <v/>
      </c>
      <c r="I219" s="42" t="str">
        <f>IF(ISNUMBER(H219),ROUND(H219*IF(G219="挂单",'参数'!$C$11,'参数'!$C$12),4),"")</f>
        <v/>
      </c>
      <c r="J219" s="47" t="n"/>
      <c r="K219" s="47" t="n"/>
      <c r="L219" s="20" t="str">
        <f>IF(ISNUMBER(K219),K219+N(J219),IF(ISNUMBER(H219),I219+N(J219),""))</f>
        <v/>
      </c>
      <c r="M219" s="40" t="str">
        <f>IF(A219="","",IFERROR(T(INDEX('交易记录'!$C$5:$C$304,MATCH(A219,'交易记录'!$A$5:$A$304,0))),"编号没找到"))</f>
        <v/>
      </c>
      <c r="N219" s="30" t="n"/>
    </row>
    <row r="220">
      <c r="A220" s="24" t="n"/>
      <c r="B220" s="29" t="n"/>
      <c r="C220" s="27" t="n"/>
      <c r="D220" s="31" t="n"/>
      <c r="E220" s="32" t="n"/>
      <c r="F220" s="35" t="n"/>
      <c r="G220" s="31" t="n"/>
      <c r="H220" s="20" t="str">
        <f>IF(AND(ISNUMBER(E220),ISNUMBER(F220)),E220*F220,"")</f>
        <v/>
      </c>
      <c r="I220" s="42" t="str">
        <f>IF(ISNUMBER(H220),ROUND(H220*IF(G220="挂单",'参数'!$C$11,'参数'!$C$12),4),"")</f>
        <v/>
      </c>
      <c r="J220" s="47" t="n"/>
      <c r="K220" s="47" t="n"/>
      <c r="L220" s="20" t="str">
        <f>IF(ISNUMBER(K220),K220+N(J220),IF(ISNUMBER(H220),I220+N(J220),""))</f>
        <v/>
      </c>
      <c r="M220" s="40" t="str">
        <f>IF(A220="","",IFERROR(T(INDEX('交易记录'!$C$5:$C$304,MATCH(A220,'交易记录'!$A$5:$A$304,0))),"编号没找到"))</f>
        <v/>
      </c>
      <c r="N220" s="30" t="n"/>
    </row>
    <row r="221">
      <c r="A221" s="24" t="n"/>
      <c r="B221" s="29" t="n"/>
      <c r="C221" s="27" t="n"/>
      <c r="D221" s="31" t="n"/>
      <c r="E221" s="32" t="n"/>
      <c r="F221" s="35" t="n"/>
      <c r="G221" s="31" t="n"/>
      <c r="H221" s="20" t="str">
        <f>IF(AND(ISNUMBER(E221),ISNUMBER(F221)),E221*F221,"")</f>
        <v/>
      </c>
      <c r="I221" s="42" t="str">
        <f>IF(ISNUMBER(H221),ROUND(H221*IF(G221="挂单",'参数'!$C$11,'参数'!$C$12),4),"")</f>
        <v/>
      </c>
      <c r="J221" s="47" t="n"/>
      <c r="K221" s="47" t="n"/>
      <c r="L221" s="20" t="str">
        <f>IF(ISNUMBER(K221),K221+N(J221),IF(ISNUMBER(H221),I221+N(J221),""))</f>
        <v/>
      </c>
      <c r="M221" s="40" t="str">
        <f>IF(A221="","",IFERROR(T(INDEX('交易记录'!$C$5:$C$304,MATCH(A221,'交易记录'!$A$5:$A$304,0))),"编号没找到"))</f>
        <v/>
      </c>
      <c r="N221" s="30" t="n"/>
    </row>
    <row r="222">
      <c r="A222" s="24" t="n"/>
      <c r="B222" s="29" t="n"/>
      <c r="C222" s="27" t="n"/>
      <c r="D222" s="31" t="n"/>
      <c r="E222" s="32" t="n"/>
      <c r="F222" s="35" t="n"/>
      <c r="G222" s="31" t="n"/>
      <c r="H222" s="20" t="str">
        <f>IF(AND(ISNUMBER(E222),ISNUMBER(F222)),E222*F222,"")</f>
        <v/>
      </c>
      <c r="I222" s="42" t="str">
        <f>IF(ISNUMBER(H222),ROUND(H222*IF(G222="挂单",'参数'!$C$11,'参数'!$C$12),4),"")</f>
        <v/>
      </c>
      <c r="J222" s="47" t="n"/>
      <c r="K222" s="47" t="n"/>
      <c r="L222" s="20" t="str">
        <f>IF(ISNUMBER(K222),K222+N(J222),IF(ISNUMBER(H222),I222+N(J222),""))</f>
        <v/>
      </c>
      <c r="M222" s="40" t="str">
        <f>IF(A222="","",IFERROR(T(INDEX('交易记录'!$C$5:$C$304,MATCH(A222,'交易记录'!$A$5:$A$304,0))),"编号没找到"))</f>
        <v/>
      </c>
      <c r="N222" s="30" t="n"/>
    </row>
    <row r="223">
      <c r="A223" s="24" t="n"/>
      <c r="B223" s="29" t="n"/>
      <c r="C223" s="27" t="n"/>
      <c r="D223" s="31" t="n"/>
      <c r="E223" s="32" t="n"/>
      <c r="F223" s="35" t="n"/>
      <c r="G223" s="31" t="n"/>
      <c r="H223" s="20" t="str">
        <f>IF(AND(ISNUMBER(E223),ISNUMBER(F223)),E223*F223,"")</f>
        <v/>
      </c>
      <c r="I223" s="42" t="str">
        <f>IF(ISNUMBER(H223),ROUND(H223*IF(G223="挂单",'参数'!$C$11,'参数'!$C$12),4),"")</f>
        <v/>
      </c>
      <c r="J223" s="47" t="n"/>
      <c r="K223" s="47" t="n"/>
      <c r="L223" s="20" t="str">
        <f>IF(ISNUMBER(K223),K223+N(J223),IF(ISNUMBER(H223),I223+N(J223),""))</f>
        <v/>
      </c>
      <c r="M223" s="40" t="str">
        <f>IF(A223="","",IFERROR(T(INDEX('交易记录'!$C$5:$C$304,MATCH(A223,'交易记录'!$A$5:$A$304,0))),"编号没找到"))</f>
        <v/>
      </c>
      <c r="N223" s="30" t="n"/>
    </row>
    <row r="224">
      <c r="A224" s="24" t="n"/>
      <c r="B224" s="29" t="n"/>
      <c r="C224" s="27" t="n"/>
      <c r="D224" s="31" t="n"/>
      <c r="E224" s="32" t="n"/>
      <c r="F224" s="35" t="n"/>
      <c r="G224" s="31" t="n"/>
      <c r="H224" s="20" t="str">
        <f>IF(AND(ISNUMBER(E224),ISNUMBER(F224)),E224*F224,"")</f>
        <v/>
      </c>
      <c r="I224" s="42" t="str">
        <f>IF(ISNUMBER(H224),ROUND(H224*IF(G224="挂单",'参数'!$C$11,'参数'!$C$12),4),"")</f>
        <v/>
      </c>
      <c r="J224" s="47" t="n"/>
      <c r="K224" s="47" t="n"/>
      <c r="L224" s="20" t="str">
        <f>IF(ISNUMBER(K224),K224+N(J224),IF(ISNUMBER(H224),I224+N(J224),""))</f>
        <v/>
      </c>
      <c r="M224" s="40" t="str">
        <f>IF(A224="","",IFERROR(T(INDEX('交易记录'!$C$5:$C$304,MATCH(A224,'交易记录'!$A$5:$A$304,0))),"编号没找到"))</f>
        <v/>
      </c>
      <c r="N224" s="30" t="n"/>
    </row>
    <row r="225">
      <c r="A225" s="24" t="n"/>
      <c r="B225" s="29" t="n"/>
      <c r="C225" s="27" t="n"/>
      <c r="D225" s="31" t="n"/>
      <c r="E225" s="32" t="n"/>
      <c r="F225" s="35" t="n"/>
      <c r="G225" s="31" t="n"/>
      <c r="H225" s="20" t="str">
        <f>IF(AND(ISNUMBER(E225),ISNUMBER(F225)),E225*F225,"")</f>
        <v/>
      </c>
      <c r="I225" s="42" t="str">
        <f>IF(ISNUMBER(H225),ROUND(H225*IF(G225="挂单",'参数'!$C$11,'参数'!$C$12),4),"")</f>
        <v/>
      </c>
      <c r="J225" s="47" t="n"/>
      <c r="K225" s="47" t="n"/>
      <c r="L225" s="20" t="str">
        <f>IF(ISNUMBER(K225),K225+N(J225),IF(ISNUMBER(H225),I225+N(J225),""))</f>
        <v/>
      </c>
      <c r="M225" s="40" t="str">
        <f>IF(A225="","",IFERROR(T(INDEX('交易记录'!$C$5:$C$304,MATCH(A225,'交易记录'!$A$5:$A$304,0))),"编号没找到"))</f>
        <v/>
      </c>
      <c r="N225" s="30" t="n"/>
    </row>
    <row r="226">
      <c r="A226" s="24" t="n"/>
      <c r="B226" s="29" t="n"/>
      <c r="C226" s="27" t="n"/>
      <c r="D226" s="31" t="n"/>
      <c r="E226" s="32" t="n"/>
      <c r="F226" s="35" t="n"/>
      <c r="G226" s="31" t="n"/>
      <c r="H226" s="20" t="str">
        <f>IF(AND(ISNUMBER(E226),ISNUMBER(F226)),E226*F226,"")</f>
        <v/>
      </c>
      <c r="I226" s="42" t="str">
        <f>IF(ISNUMBER(H226),ROUND(H226*IF(G226="挂单",'参数'!$C$11,'参数'!$C$12),4),"")</f>
        <v/>
      </c>
      <c r="J226" s="47" t="n"/>
      <c r="K226" s="47" t="n"/>
      <c r="L226" s="20" t="str">
        <f>IF(ISNUMBER(K226),K226+N(J226),IF(ISNUMBER(H226),I226+N(J226),""))</f>
        <v/>
      </c>
      <c r="M226" s="40" t="str">
        <f>IF(A226="","",IFERROR(T(INDEX('交易记录'!$C$5:$C$304,MATCH(A226,'交易记录'!$A$5:$A$304,0))),"编号没找到"))</f>
        <v/>
      </c>
      <c r="N226" s="30" t="n"/>
    </row>
    <row r="227">
      <c r="A227" s="24" t="n"/>
      <c r="B227" s="29" t="n"/>
      <c r="C227" s="27" t="n"/>
      <c r="D227" s="31" t="n"/>
      <c r="E227" s="32" t="n"/>
      <c r="F227" s="35" t="n"/>
      <c r="G227" s="31" t="n"/>
      <c r="H227" s="20" t="str">
        <f>IF(AND(ISNUMBER(E227),ISNUMBER(F227)),E227*F227,"")</f>
        <v/>
      </c>
      <c r="I227" s="42" t="str">
        <f>IF(ISNUMBER(H227),ROUND(H227*IF(G227="挂单",'参数'!$C$11,'参数'!$C$12),4),"")</f>
        <v/>
      </c>
      <c r="J227" s="47" t="n"/>
      <c r="K227" s="47" t="n"/>
      <c r="L227" s="20" t="str">
        <f>IF(ISNUMBER(K227),K227+N(J227),IF(ISNUMBER(H227),I227+N(J227),""))</f>
        <v/>
      </c>
      <c r="M227" s="40" t="str">
        <f>IF(A227="","",IFERROR(T(INDEX('交易记录'!$C$5:$C$304,MATCH(A227,'交易记录'!$A$5:$A$304,0))),"编号没找到"))</f>
        <v/>
      </c>
      <c r="N227" s="30" t="n"/>
    </row>
    <row r="228">
      <c r="A228" s="24" t="n"/>
      <c r="B228" s="29" t="n"/>
      <c r="C228" s="27" t="n"/>
      <c r="D228" s="31" t="n"/>
      <c r="E228" s="32" t="n"/>
      <c r="F228" s="35" t="n"/>
      <c r="G228" s="31" t="n"/>
      <c r="H228" s="20" t="str">
        <f>IF(AND(ISNUMBER(E228),ISNUMBER(F228)),E228*F228,"")</f>
        <v/>
      </c>
      <c r="I228" s="42" t="str">
        <f>IF(ISNUMBER(H228),ROUND(H228*IF(G228="挂单",'参数'!$C$11,'参数'!$C$12),4),"")</f>
        <v/>
      </c>
      <c r="J228" s="47" t="n"/>
      <c r="K228" s="47" t="n"/>
      <c r="L228" s="20" t="str">
        <f>IF(ISNUMBER(K228),K228+N(J228),IF(ISNUMBER(H228),I228+N(J228),""))</f>
        <v/>
      </c>
      <c r="M228" s="40" t="str">
        <f>IF(A228="","",IFERROR(T(INDEX('交易记录'!$C$5:$C$304,MATCH(A228,'交易记录'!$A$5:$A$304,0))),"编号没找到"))</f>
        <v/>
      </c>
      <c r="N228" s="30" t="n"/>
    </row>
    <row r="229">
      <c r="A229" s="24" t="n"/>
      <c r="B229" s="29" t="n"/>
      <c r="C229" s="27" t="n"/>
      <c r="D229" s="31" t="n"/>
      <c r="E229" s="32" t="n"/>
      <c r="F229" s="35" t="n"/>
      <c r="G229" s="31" t="n"/>
      <c r="H229" s="20" t="str">
        <f>IF(AND(ISNUMBER(E229),ISNUMBER(F229)),E229*F229,"")</f>
        <v/>
      </c>
      <c r="I229" s="42" t="str">
        <f>IF(ISNUMBER(H229),ROUND(H229*IF(G229="挂单",'参数'!$C$11,'参数'!$C$12),4),"")</f>
        <v/>
      </c>
      <c r="J229" s="47" t="n"/>
      <c r="K229" s="47" t="n"/>
      <c r="L229" s="20" t="str">
        <f>IF(ISNUMBER(K229),K229+N(J229),IF(ISNUMBER(H229),I229+N(J229),""))</f>
        <v/>
      </c>
      <c r="M229" s="40" t="str">
        <f>IF(A229="","",IFERROR(T(INDEX('交易记录'!$C$5:$C$304,MATCH(A229,'交易记录'!$A$5:$A$304,0))),"编号没找到"))</f>
        <v/>
      </c>
      <c r="N229" s="30" t="n"/>
    </row>
    <row r="230">
      <c r="A230" s="24" t="n"/>
      <c r="B230" s="29" t="n"/>
      <c r="C230" s="27" t="n"/>
      <c r="D230" s="31" t="n"/>
      <c r="E230" s="32" t="n"/>
      <c r="F230" s="35" t="n"/>
      <c r="G230" s="31" t="n"/>
      <c r="H230" s="20" t="str">
        <f>IF(AND(ISNUMBER(E230),ISNUMBER(F230)),E230*F230,"")</f>
        <v/>
      </c>
      <c r="I230" s="42" t="str">
        <f>IF(ISNUMBER(H230),ROUND(H230*IF(G230="挂单",'参数'!$C$11,'参数'!$C$12),4),"")</f>
        <v/>
      </c>
      <c r="J230" s="47" t="n"/>
      <c r="K230" s="47" t="n"/>
      <c r="L230" s="20" t="str">
        <f>IF(ISNUMBER(K230),K230+N(J230),IF(ISNUMBER(H230),I230+N(J230),""))</f>
        <v/>
      </c>
      <c r="M230" s="40" t="str">
        <f>IF(A230="","",IFERROR(T(INDEX('交易记录'!$C$5:$C$304,MATCH(A230,'交易记录'!$A$5:$A$304,0))),"编号没找到"))</f>
        <v/>
      </c>
      <c r="N230" s="30" t="n"/>
    </row>
    <row r="231">
      <c r="A231" s="24" t="n"/>
      <c r="B231" s="29" t="n"/>
      <c r="C231" s="27" t="n"/>
      <c r="D231" s="31" t="n"/>
      <c r="E231" s="32" t="n"/>
      <c r="F231" s="35" t="n"/>
      <c r="G231" s="31" t="n"/>
      <c r="H231" s="20" t="str">
        <f>IF(AND(ISNUMBER(E231),ISNUMBER(F231)),E231*F231,"")</f>
        <v/>
      </c>
      <c r="I231" s="42" t="str">
        <f>IF(ISNUMBER(H231),ROUND(H231*IF(G231="挂单",'参数'!$C$11,'参数'!$C$12),4),"")</f>
        <v/>
      </c>
      <c r="J231" s="47" t="n"/>
      <c r="K231" s="47" t="n"/>
      <c r="L231" s="20" t="str">
        <f>IF(ISNUMBER(K231),K231+N(J231),IF(ISNUMBER(H231),I231+N(J231),""))</f>
        <v/>
      </c>
      <c r="M231" s="40" t="str">
        <f>IF(A231="","",IFERROR(T(INDEX('交易记录'!$C$5:$C$304,MATCH(A231,'交易记录'!$A$5:$A$304,0))),"编号没找到"))</f>
        <v/>
      </c>
      <c r="N231" s="30" t="n"/>
    </row>
    <row r="232">
      <c r="A232" s="24" t="n"/>
      <c r="B232" s="29" t="n"/>
      <c r="C232" s="27" t="n"/>
      <c r="D232" s="31" t="n"/>
      <c r="E232" s="32" t="n"/>
      <c r="F232" s="35" t="n"/>
      <c r="G232" s="31" t="n"/>
      <c r="H232" s="20" t="str">
        <f>IF(AND(ISNUMBER(E232),ISNUMBER(F232)),E232*F232,"")</f>
        <v/>
      </c>
      <c r="I232" s="42" t="str">
        <f>IF(ISNUMBER(H232),ROUND(H232*IF(G232="挂单",'参数'!$C$11,'参数'!$C$12),4),"")</f>
        <v/>
      </c>
      <c r="J232" s="47" t="n"/>
      <c r="K232" s="47" t="n"/>
      <c r="L232" s="20" t="str">
        <f>IF(ISNUMBER(K232),K232+N(J232),IF(ISNUMBER(H232),I232+N(J232),""))</f>
        <v/>
      </c>
      <c r="M232" s="40" t="str">
        <f>IF(A232="","",IFERROR(T(INDEX('交易记录'!$C$5:$C$304,MATCH(A232,'交易记录'!$A$5:$A$304,0))),"编号没找到"))</f>
        <v/>
      </c>
      <c r="N232" s="30" t="n"/>
    </row>
    <row r="233">
      <c r="A233" s="24" t="n"/>
      <c r="B233" s="29" t="n"/>
      <c r="C233" s="27" t="n"/>
      <c r="D233" s="31" t="n"/>
      <c r="E233" s="32" t="n"/>
      <c r="F233" s="35" t="n"/>
      <c r="G233" s="31" t="n"/>
      <c r="H233" s="20" t="str">
        <f>IF(AND(ISNUMBER(E233),ISNUMBER(F233)),E233*F233,"")</f>
        <v/>
      </c>
      <c r="I233" s="42" t="str">
        <f>IF(ISNUMBER(H233),ROUND(H233*IF(G233="挂单",'参数'!$C$11,'参数'!$C$12),4),"")</f>
        <v/>
      </c>
      <c r="J233" s="47" t="n"/>
      <c r="K233" s="47" t="n"/>
      <c r="L233" s="20" t="str">
        <f>IF(ISNUMBER(K233),K233+N(J233),IF(ISNUMBER(H233),I233+N(J233),""))</f>
        <v/>
      </c>
      <c r="M233" s="40" t="str">
        <f>IF(A233="","",IFERROR(T(INDEX('交易记录'!$C$5:$C$304,MATCH(A233,'交易记录'!$A$5:$A$304,0))),"编号没找到"))</f>
        <v/>
      </c>
      <c r="N233" s="30" t="n"/>
    </row>
    <row r="234">
      <c r="A234" s="24" t="n"/>
      <c r="B234" s="29" t="n"/>
      <c r="C234" s="27" t="n"/>
      <c r="D234" s="31" t="n"/>
      <c r="E234" s="32" t="n"/>
      <c r="F234" s="35" t="n"/>
      <c r="G234" s="31" t="n"/>
      <c r="H234" s="20" t="str">
        <f>IF(AND(ISNUMBER(E234),ISNUMBER(F234)),E234*F234,"")</f>
        <v/>
      </c>
      <c r="I234" s="42" t="str">
        <f>IF(ISNUMBER(H234),ROUND(H234*IF(G234="挂单",'参数'!$C$11,'参数'!$C$12),4),"")</f>
        <v/>
      </c>
      <c r="J234" s="47" t="n"/>
      <c r="K234" s="47" t="n"/>
      <c r="L234" s="20" t="str">
        <f>IF(ISNUMBER(K234),K234+N(J234),IF(ISNUMBER(H234),I234+N(J234),""))</f>
        <v/>
      </c>
      <c r="M234" s="40" t="str">
        <f>IF(A234="","",IFERROR(T(INDEX('交易记录'!$C$5:$C$304,MATCH(A234,'交易记录'!$A$5:$A$304,0))),"编号没找到"))</f>
        <v/>
      </c>
      <c r="N234" s="30" t="n"/>
    </row>
    <row r="235">
      <c r="A235" s="24" t="n"/>
      <c r="B235" s="29" t="n"/>
      <c r="C235" s="27" t="n"/>
      <c r="D235" s="31" t="n"/>
      <c r="E235" s="32" t="n"/>
      <c r="F235" s="35" t="n"/>
      <c r="G235" s="31" t="n"/>
      <c r="H235" s="20" t="str">
        <f>IF(AND(ISNUMBER(E235),ISNUMBER(F235)),E235*F235,"")</f>
        <v/>
      </c>
      <c r="I235" s="42" t="str">
        <f>IF(ISNUMBER(H235),ROUND(H235*IF(G235="挂单",'参数'!$C$11,'参数'!$C$12),4),"")</f>
        <v/>
      </c>
      <c r="J235" s="47" t="n"/>
      <c r="K235" s="47" t="n"/>
      <c r="L235" s="20" t="str">
        <f>IF(ISNUMBER(K235),K235+N(J235),IF(ISNUMBER(H235),I235+N(J235),""))</f>
        <v/>
      </c>
      <c r="M235" s="40" t="str">
        <f>IF(A235="","",IFERROR(T(INDEX('交易记录'!$C$5:$C$304,MATCH(A235,'交易记录'!$A$5:$A$304,0))),"编号没找到"))</f>
        <v/>
      </c>
      <c r="N235" s="30" t="n"/>
    </row>
    <row r="236">
      <c r="A236" s="24" t="n"/>
      <c r="B236" s="29" t="n"/>
      <c r="C236" s="27" t="n"/>
      <c r="D236" s="31" t="n"/>
      <c r="E236" s="32" t="n"/>
      <c r="F236" s="35" t="n"/>
      <c r="G236" s="31" t="n"/>
      <c r="H236" s="20" t="str">
        <f>IF(AND(ISNUMBER(E236),ISNUMBER(F236)),E236*F236,"")</f>
        <v/>
      </c>
      <c r="I236" s="42" t="str">
        <f>IF(ISNUMBER(H236),ROUND(H236*IF(G236="挂单",'参数'!$C$11,'参数'!$C$12),4),"")</f>
        <v/>
      </c>
      <c r="J236" s="47" t="n"/>
      <c r="K236" s="47" t="n"/>
      <c r="L236" s="20" t="str">
        <f>IF(ISNUMBER(K236),K236+N(J236),IF(ISNUMBER(H236),I236+N(J236),""))</f>
        <v/>
      </c>
      <c r="M236" s="40" t="str">
        <f>IF(A236="","",IFERROR(T(INDEX('交易记录'!$C$5:$C$304,MATCH(A236,'交易记录'!$A$5:$A$304,0))),"编号没找到"))</f>
        <v/>
      </c>
      <c r="N236" s="30" t="n"/>
    </row>
    <row r="237">
      <c r="A237" s="24" t="n"/>
      <c r="B237" s="29" t="n"/>
      <c r="C237" s="27" t="n"/>
      <c r="D237" s="31" t="n"/>
      <c r="E237" s="32" t="n"/>
      <c r="F237" s="35" t="n"/>
      <c r="G237" s="31" t="n"/>
      <c r="H237" s="20" t="str">
        <f>IF(AND(ISNUMBER(E237),ISNUMBER(F237)),E237*F237,"")</f>
        <v/>
      </c>
      <c r="I237" s="42" t="str">
        <f>IF(ISNUMBER(H237),ROUND(H237*IF(G237="挂单",'参数'!$C$11,'参数'!$C$12),4),"")</f>
        <v/>
      </c>
      <c r="J237" s="47" t="n"/>
      <c r="K237" s="47" t="n"/>
      <c r="L237" s="20" t="str">
        <f>IF(ISNUMBER(K237),K237+N(J237),IF(ISNUMBER(H237),I237+N(J237),""))</f>
        <v/>
      </c>
      <c r="M237" s="40" t="str">
        <f>IF(A237="","",IFERROR(T(INDEX('交易记录'!$C$5:$C$304,MATCH(A237,'交易记录'!$A$5:$A$304,0))),"编号没找到"))</f>
        <v/>
      </c>
      <c r="N237" s="30" t="n"/>
    </row>
    <row r="238">
      <c r="A238" s="24" t="n"/>
      <c r="B238" s="29" t="n"/>
      <c r="C238" s="27" t="n"/>
      <c r="D238" s="31" t="n"/>
      <c r="E238" s="32" t="n"/>
      <c r="F238" s="35" t="n"/>
      <c r="G238" s="31" t="n"/>
      <c r="H238" s="20" t="str">
        <f>IF(AND(ISNUMBER(E238),ISNUMBER(F238)),E238*F238,"")</f>
        <v/>
      </c>
      <c r="I238" s="42" t="str">
        <f>IF(ISNUMBER(H238),ROUND(H238*IF(G238="挂单",'参数'!$C$11,'参数'!$C$12),4),"")</f>
        <v/>
      </c>
      <c r="J238" s="47" t="n"/>
      <c r="K238" s="47" t="n"/>
      <c r="L238" s="20" t="str">
        <f>IF(ISNUMBER(K238),K238+N(J238),IF(ISNUMBER(H238),I238+N(J238),""))</f>
        <v/>
      </c>
      <c r="M238" s="40" t="str">
        <f>IF(A238="","",IFERROR(T(INDEX('交易记录'!$C$5:$C$304,MATCH(A238,'交易记录'!$A$5:$A$304,0))),"编号没找到"))</f>
        <v/>
      </c>
      <c r="N238" s="30" t="n"/>
    </row>
    <row r="239">
      <c r="A239" s="24" t="n"/>
      <c r="B239" s="29" t="n"/>
      <c r="C239" s="27" t="n"/>
      <c r="D239" s="31" t="n"/>
      <c r="E239" s="32" t="n"/>
      <c r="F239" s="35" t="n"/>
      <c r="G239" s="31" t="n"/>
      <c r="H239" s="20" t="str">
        <f>IF(AND(ISNUMBER(E239),ISNUMBER(F239)),E239*F239,"")</f>
        <v/>
      </c>
      <c r="I239" s="42" t="str">
        <f>IF(ISNUMBER(H239),ROUND(H239*IF(G239="挂单",'参数'!$C$11,'参数'!$C$12),4),"")</f>
        <v/>
      </c>
      <c r="J239" s="47" t="n"/>
      <c r="K239" s="47" t="n"/>
      <c r="L239" s="20" t="str">
        <f>IF(ISNUMBER(K239),K239+N(J239),IF(ISNUMBER(H239),I239+N(J239),""))</f>
        <v/>
      </c>
      <c r="M239" s="40" t="str">
        <f>IF(A239="","",IFERROR(T(INDEX('交易记录'!$C$5:$C$304,MATCH(A239,'交易记录'!$A$5:$A$304,0))),"编号没找到"))</f>
        <v/>
      </c>
      <c r="N239" s="30" t="n"/>
    </row>
    <row r="240">
      <c r="A240" s="24" t="n"/>
      <c r="B240" s="29" t="n"/>
      <c r="C240" s="27" t="n"/>
      <c r="D240" s="31" t="n"/>
      <c r="E240" s="32" t="n"/>
      <c r="F240" s="35" t="n"/>
      <c r="G240" s="31" t="n"/>
      <c r="H240" s="20" t="str">
        <f>IF(AND(ISNUMBER(E240),ISNUMBER(F240)),E240*F240,"")</f>
        <v/>
      </c>
      <c r="I240" s="42" t="str">
        <f>IF(ISNUMBER(H240),ROUND(H240*IF(G240="挂单",'参数'!$C$11,'参数'!$C$12),4),"")</f>
        <v/>
      </c>
      <c r="J240" s="47" t="n"/>
      <c r="K240" s="47" t="n"/>
      <c r="L240" s="20" t="str">
        <f>IF(ISNUMBER(K240),K240+N(J240),IF(ISNUMBER(H240),I240+N(J240),""))</f>
        <v/>
      </c>
      <c r="M240" s="40" t="str">
        <f>IF(A240="","",IFERROR(T(INDEX('交易记录'!$C$5:$C$304,MATCH(A240,'交易记录'!$A$5:$A$304,0))),"编号没找到"))</f>
        <v/>
      </c>
      <c r="N240" s="30" t="n"/>
    </row>
    <row r="241">
      <c r="A241" s="24" t="n"/>
      <c r="B241" s="29" t="n"/>
      <c r="C241" s="27" t="n"/>
      <c r="D241" s="31" t="n"/>
      <c r="E241" s="32" t="n"/>
      <c r="F241" s="35" t="n"/>
      <c r="G241" s="31" t="n"/>
      <c r="H241" s="20" t="str">
        <f>IF(AND(ISNUMBER(E241),ISNUMBER(F241)),E241*F241,"")</f>
        <v/>
      </c>
      <c r="I241" s="42" t="str">
        <f>IF(ISNUMBER(H241),ROUND(H241*IF(G241="挂单",'参数'!$C$11,'参数'!$C$12),4),"")</f>
        <v/>
      </c>
      <c r="J241" s="47" t="n"/>
      <c r="K241" s="47" t="n"/>
      <c r="L241" s="20" t="str">
        <f>IF(ISNUMBER(K241),K241+N(J241),IF(ISNUMBER(H241),I241+N(J241),""))</f>
        <v/>
      </c>
      <c r="M241" s="40" t="str">
        <f>IF(A241="","",IFERROR(T(INDEX('交易记录'!$C$5:$C$304,MATCH(A241,'交易记录'!$A$5:$A$304,0))),"编号没找到"))</f>
        <v/>
      </c>
      <c r="N241" s="30" t="n"/>
    </row>
    <row r="242">
      <c r="A242" s="24" t="n"/>
      <c r="B242" s="29" t="n"/>
      <c r="C242" s="27" t="n"/>
      <c r="D242" s="31" t="n"/>
      <c r="E242" s="32" t="n"/>
      <c r="F242" s="35" t="n"/>
      <c r="G242" s="31" t="n"/>
      <c r="H242" s="20" t="str">
        <f>IF(AND(ISNUMBER(E242),ISNUMBER(F242)),E242*F242,"")</f>
        <v/>
      </c>
      <c r="I242" s="42" t="str">
        <f>IF(ISNUMBER(H242),ROUND(H242*IF(G242="挂单",'参数'!$C$11,'参数'!$C$12),4),"")</f>
        <v/>
      </c>
      <c r="J242" s="47" t="n"/>
      <c r="K242" s="47" t="n"/>
      <c r="L242" s="20" t="str">
        <f>IF(ISNUMBER(K242),K242+N(J242),IF(ISNUMBER(H242),I242+N(J242),""))</f>
        <v/>
      </c>
      <c r="M242" s="40" t="str">
        <f>IF(A242="","",IFERROR(T(INDEX('交易记录'!$C$5:$C$304,MATCH(A242,'交易记录'!$A$5:$A$304,0))),"编号没找到"))</f>
        <v/>
      </c>
      <c r="N242" s="30" t="n"/>
    </row>
    <row r="243">
      <c r="A243" s="24" t="n"/>
      <c r="B243" s="29" t="n"/>
      <c r="C243" s="27" t="n"/>
      <c r="D243" s="31" t="n"/>
      <c r="E243" s="32" t="n"/>
      <c r="F243" s="35" t="n"/>
      <c r="G243" s="31" t="n"/>
      <c r="H243" s="20" t="str">
        <f>IF(AND(ISNUMBER(E243),ISNUMBER(F243)),E243*F243,"")</f>
        <v/>
      </c>
      <c r="I243" s="42" t="str">
        <f>IF(ISNUMBER(H243),ROUND(H243*IF(G243="挂单",'参数'!$C$11,'参数'!$C$12),4),"")</f>
        <v/>
      </c>
      <c r="J243" s="47" t="n"/>
      <c r="K243" s="47" t="n"/>
      <c r="L243" s="20" t="str">
        <f>IF(ISNUMBER(K243),K243+N(J243),IF(ISNUMBER(H243),I243+N(J243),""))</f>
        <v/>
      </c>
      <c r="M243" s="40" t="str">
        <f>IF(A243="","",IFERROR(T(INDEX('交易记录'!$C$5:$C$304,MATCH(A243,'交易记录'!$A$5:$A$304,0))),"编号没找到"))</f>
        <v/>
      </c>
      <c r="N243" s="30" t="n"/>
    </row>
    <row r="244">
      <c r="A244" s="24" t="n"/>
      <c r="B244" s="29" t="n"/>
      <c r="C244" s="27" t="n"/>
      <c r="D244" s="31" t="n"/>
      <c r="E244" s="32" t="n"/>
      <c r="F244" s="35" t="n"/>
      <c r="G244" s="31" t="n"/>
      <c r="H244" s="20" t="str">
        <f>IF(AND(ISNUMBER(E244),ISNUMBER(F244)),E244*F244,"")</f>
        <v/>
      </c>
      <c r="I244" s="42" t="str">
        <f>IF(ISNUMBER(H244),ROUND(H244*IF(G244="挂单",'参数'!$C$11,'参数'!$C$12),4),"")</f>
        <v/>
      </c>
      <c r="J244" s="47" t="n"/>
      <c r="K244" s="47" t="n"/>
      <c r="L244" s="20" t="str">
        <f>IF(ISNUMBER(K244),K244+N(J244),IF(ISNUMBER(H244),I244+N(J244),""))</f>
        <v/>
      </c>
      <c r="M244" s="40" t="str">
        <f>IF(A244="","",IFERROR(T(INDEX('交易记录'!$C$5:$C$304,MATCH(A244,'交易记录'!$A$5:$A$304,0))),"编号没找到"))</f>
        <v/>
      </c>
      <c r="N244" s="30" t="n"/>
    </row>
    <row r="245">
      <c r="A245" s="24" t="n"/>
      <c r="B245" s="29" t="n"/>
      <c r="C245" s="27" t="n"/>
      <c r="D245" s="31" t="n"/>
      <c r="E245" s="32" t="n"/>
      <c r="F245" s="35" t="n"/>
      <c r="G245" s="31" t="n"/>
      <c r="H245" s="20" t="str">
        <f>IF(AND(ISNUMBER(E245),ISNUMBER(F245)),E245*F245,"")</f>
        <v/>
      </c>
      <c r="I245" s="42" t="str">
        <f>IF(ISNUMBER(H245),ROUND(H245*IF(G245="挂单",'参数'!$C$11,'参数'!$C$12),4),"")</f>
        <v/>
      </c>
      <c r="J245" s="47" t="n"/>
      <c r="K245" s="47" t="n"/>
      <c r="L245" s="20" t="str">
        <f>IF(ISNUMBER(K245),K245+N(J245),IF(ISNUMBER(H245),I245+N(J245),""))</f>
        <v/>
      </c>
      <c r="M245" s="40" t="str">
        <f>IF(A245="","",IFERROR(T(INDEX('交易记录'!$C$5:$C$304,MATCH(A245,'交易记录'!$A$5:$A$304,0))),"编号没找到"))</f>
        <v/>
      </c>
      <c r="N245" s="30" t="n"/>
    </row>
    <row r="246">
      <c r="A246" s="24" t="n"/>
      <c r="B246" s="29" t="n"/>
      <c r="C246" s="27" t="n"/>
      <c r="D246" s="31" t="n"/>
      <c r="E246" s="32" t="n"/>
      <c r="F246" s="35" t="n"/>
      <c r="G246" s="31" t="n"/>
      <c r="H246" s="20" t="str">
        <f>IF(AND(ISNUMBER(E246),ISNUMBER(F246)),E246*F246,"")</f>
        <v/>
      </c>
      <c r="I246" s="42" t="str">
        <f>IF(ISNUMBER(H246),ROUND(H246*IF(G246="挂单",'参数'!$C$11,'参数'!$C$12),4),"")</f>
        <v/>
      </c>
      <c r="J246" s="47" t="n"/>
      <c r="K246" s="47" t="n"/>
      <c r="L246" s="20" t="str">
        <f>IF(ISNUMBER(K246),K246+N(J246),IF(ISNUMBER(H246),I246+N(J246),""))</f>
        <v/>
      </c>
      <c r="M246" s="40" t="str">
        <f>IF(A246="","",IFERROR(T(INDEX('交易记录'!$C$5:$C$304,MATCH(A246,'交易记录'!$A$5:$A$304,0))),"编号没找到"))</f>
        <v/>
      </c>
      <c r="N246" s="30" t="n"/>
    </row>
    <row r="247">
      <c r="A247" s="24" t="n"/>
      <c r="B247" s="29" t="n"/>
      <c r="C247" s="27" t="n"/>
      <c r="D247" s="31" t="n"/>
      <c r="E247" s="32" t="n"/>
      <c r="F247" s="35" t="n"/>
      <c r="G247" s="31" t="n"/>
      <c r="H247" s="20" t="str">
        <f>IF(AND(ISNUMBER(E247),ISNUMBER(F247)),E247*F247,"")</f>
        <v/>
      </c>
      <c r="I247" s="42" t="str">
        <f>IF(ISNUMBER(H247),ROUND(H247*IF(G247="挂单",'参数'!$C$11,'参数'!$C$12),4),"")</f>
        <v/>
      </c>
      <c r="J247" s="47" t="n"/>
      <c r="K247" s="47" t="n"/>
      <c r="L247" s="20" t="str">
        <f>IF(ISNUMBER(K247),K247+N(J247),IF(ISNUMBER(H247),I247+N(J247),""))</f>
        <v/>
      </c>
      <c r="M247" s="40" t="str">
        <f>IF(A247="","",IFERROR(T(INDEX('交易记录'!$C$5:$C$304,MATCH(A247,'交易记录'!$A$5:$A$304,0))),"编号没找到"))</f>
        <v/>
      </c>
      <c r="N247" s="30" t="n"/>
    </row>
    <row r="248">
      <c r="A248" s="24" t="n"/>
      <c r="B248" s="29" t="n"/>
      <c r="C248" s="27" t="n"/>
      <c r="D248" s="31" t="n"/>
      <c r="E248" s="32" t="n"/>
      <c r="F248" s="35" t="n"/>
      <c r="G248" s="31" t="n"/>
      <c r="H248" s="20" t="str">
        <f>IF(AND(ISNUMBER(E248),ISNUMBER(F248)),E248*F248,"")</f>
        <v/>
      </c>
      <c r="I248" s="42" t="str">
        <f>IF(ISNUMBER(H248),ROUND(H248*IF(G248="挂单",'参数'!$C$11,'参数'!$C$12),4),"")</f>
        <v/>
      </c>
      <c r="J248" s="47" t="n"/>
      <c r="K248" s="47" t="n"/>
      <c r="L248" s="20" t="str">
        <f>IF(ISNUMBER(K248),K248+N(J248),IF(ISNUMBER(H248),I248+N(J248),""))</f>
        <v/>
      </c>
      <c r="M248" s="40" t="str">
        <f>IF(A248="","",IFERROR(T(INDEX('交易记录'!$C$5:$C$304,MATCH(A248,'交易记录'!$A$5:$A$304,0))),"编号没找到"))</f>
        <v/>
      </c>
      <c r="N248" s="30" t="n"/>
    </row>
    <row r="249">
      <c r="A249" s="24" t="n"/>
      <c r="B249" s="29" t="n"/>
      <c r="C249" s="27" t="n"/>
      <c r="D249" s="31" t="n"/>
      <c r="E249" s="32" t="n"/>
      <c r="F249" s="35" t="n"/>
      <c r="G249" s="31" t="n"/>
      <c r="H249" s="20" t="str">
        <f>IF(AND(ISNUMBER(E249),ISNUMBER(F249)),E249*F249,"")</f>
        <v/>
      </c>
      <c r="I249" s="42" t="str">
        <f>IF(ISNUMBER(H249),ROUND(H249*IF(G249="挂单",'参数'!$C$11,'参数'!$C$12),4),"")</f>
        <v/>
      </c>
      <c r="J249" s="47" t="n"/>
      <c r="K249" s="47" t="n"/>
      <c r="L249" s="20" t="str">
        <f>IF(ISNUMBER(K249),K249+N(J249),IF(ISNUMBER(H249),I249+N(J249),""))</f>
        <v/>
      </c>
      <c r="M249" s="40" t="str">
        <f>IF(A249="","",IFERROR(T(INDEX('交易记录'!$C$5:$C$304,MATCH(A249,'交易记录'!$A$5:$A$304,0))),"编号没找到"))</f>
        <v/>
      </c>
      <c r="N249" s="30" t="n"/>
    </row>
    <row r="250">
      <c r="A250" s="24" t="n"/>
      <c r="B250" s="29" t="n"/>
      <c r="C250" s="27" t="n"/>
      <c r="D250" s="31" t="n"/>
      <c r="E250" s="32" t="n"/>
      <c r="F250" s="35" t="n"/>
      <c r="G250" s="31" t="n"/>
      <c r="H250" s="20" t="str">
        <f>IF(AND(ISNUMBER(E250),ISNUMBER(F250)),E250*F250,"")</f>
        <v/>
      </c>
      <c r="I250" s="42" t="str">
        <f>IF(ISNUMBER(H250),ROUND(H250*IF(G250="挂单",'参数'!$C$11,'参数'!$C$12),4),"")</f>
        <v/>
      </c>
      <c r="J250" s="47" t="n"/>
      <c r="K250" s="47" t="n"/>
      <c r="L250" s="20" t="str">
        <f>IF(ISNUMBER(K250),K250+N(J250),IF(ISNUMBER(H250),I250+N(J250),""))</f>
        <v/>
      </c>
      <c r="M250" s="40" t="str">
        <f>IF(A250="","",IFERROR(T(INDEX('交易记录'!$C$5:$C$304,MATCH(A250,'交易记录'!$A$5:$A$304,0))),"编号没找到"))</f>
        <v/>
      </c>
      <c r="N250" s="30" t="n"/>
    </row>
    <row r="251">
      <c r="A251" s="24" t="n"/>
      <c r="B251" s="29" t="n"/>
      <c r="C251" s="27" t="n"/>
      <c r="D251" s="31" t="n"/>
      <c r="E251" s="32" t="n"/>
      <c r="F251" s="35" t="n"/>
      <c r="G251" s="31" t="n"/>
      <c r="H251" s="20" t="str">
        <f>IF(AND(ISNUMBER(E251),ISNUMBER(F251)),E251*F251,"")</f>
        <v/>
      </c>
      <c r="I251" s="42" t="str">
        <f>IF(ISNUMBER(H251),ROUND(H251*IF(G251="挂单",'参数'!$C$11,'参数'!$C$12),4),"")</f>
        <v/>
      </c>
      <c r="J251" s="47" t="n"/>
      <c r="K251" s="47" t="n"/>
      <c r="L251" s="20" t="str">
        <f>IF(ISNUMBER(K251),K251+N(J251),IF(ISNUMBER(H251),I251+N(J251),""))</f>
        <v/>
      </c>
      <c r="M251" s="40" t="str">
        <f>IF(A251="","",IFERROR(T(INDEX('交易记录'!$C$5:$C$304,MATCH(A251,'交易记录'!$A$5:$A$304,0))),"编号没找到"))</f>
        <v/>
      </c>
      <c r="N251" s="30" t="n"/>
    </row>
    <row r="252">
      <c r="A252" s="24" t="n"/>
      <c r="B252" s="29" t="n"/>
      <c r="C252" s="27" t="n"/>
      <c r="D252" s="31" t="n"/>
      <c r="E252" s="32" t="n"/>
      <c r="F252" s="35" t="n"/>
      <c r="G252" s="31" t="n"/>
      <c r="H252" s="20" t="str">
        <f>IF(AND(ISNUMBER(E252),ISNUMBER(F252)),E252*F252,"")</f>
        <v/>
      </c>
      <c r="I252" s="42" t="str">
        <f>IF(ISNUMBER(H252),ROUND(H252*IF(G252="挂单",'参数'!$C$11,'参数'!$C$12),4),"")</f>
        <v/>
      </c>
      <c r="J252" s="47" t="n"/>
      <c r="K252" s="47" t="n"/>
      <c r="L252" s="20" t="str">
        <f>IF(ISNUMBER(K252),K252+N(J252),IF(ISNUMBER(H252),I252+N(J252),""))</f>
        <v/>
      </c>
      <c r="M252" s="40" t="str">
        <f>IF(A252="","",IFERROR(T(INDEX('交易记录'!$C$5:$C$304,MATCH(A252,'交易记录'!$A$5:$A$304,0))),"编号没找到"))</f>
        <v/>
      </c>
      <c r="N252" s="30" t="n"/>
    </row>
    <row r="253">
      <c r="A253" s="24" t="n"/>
      <c r="B253" s="29" t="n"/>
      <c r="C253" s="27" t="n"/>
      <c r="D253" s="31" t="n"/>
      <c r="E253" s="32" t="n"/>
      <c r="F253" s="35" t="n"/>
      <c r="G253" s="31" t="n"/>
      <c r="H253" s="20" t="str">
        <f>IF(AND(ISNUMBER(E253),ISNUMBER(F253)),E253*F253,"")</f>
        <v/>
      </c>
      <c r="I253" s="42" t="str">
        <f>IF(ISNUMBER(H253),ROUND(H253*IF(G253="挂单",'参数'!$C$11,'参数'!$C$12),4),"")</f>
        <v/>
      </c>
      <c r="J253" s="47" t="n"/>
      <c r="K253" s="47" t="n"/>
      <c r="L253" s="20" t="str">
        <f>IF(ISNUMBER(K253),K253+N(J253),IF(ISNUMBER(H253),I253+N(J253),""))</f>
        <v/>
      </c>
      <c r="M253" s="40" t="str">
        <f>IF(A253="","",IFERROR(T(INDEX('交易记录'!$C$5:$C$304,MATCH(A253,'交易记录'!$A$5:$A$304,0))),"编号没找到"))</f>
        <v/>
      </c>
      <c r="N253" s="30" t="n"/>
    </row>
    <row r="254">
      <c r="A254" s="24" t="n"/>
      <c r="B254" s="29" t="n"/>
      <c r="C254" s="27" t="n"/>
      <c r="D254" s="31" t="n"/>
      <c r="E254" s="32" t="n"/>
      <c r="F254" s="35" t="n"/>
      <c r="G254" s="31" t="n"/>
      <c r="H254" s="20" t="str">
        <f>IF(AND(ISNUMBER(E254),ISNUMBER(F254)),E254*F254,"")</f>
        <v/>
      </c>
      <c r="I254" s="42" t="str">
        <f>IF(ISNUMBER(H254),ROUND(H254*IF(G254="挂单",'参数'!$C$11,'参数'!$C$12),4),"")</f>
        <v/>
      </c>
      <c r="J254" s="47" t="n"/>
      <c r="K254" s="47" t="n"/>
      <c r="L254" s="20" t="str">
        <f>IF(ISNUMBER(K254),K254+N(J254),IF(ISNUMBER(H254),I254+N(J254),""))</f>
        <v/>
      </c>
      <c r="M254" s="40" t="str">
        <f>IF(A254="","",IFERROR(T(INDEX('交易记录'!$C$5:$C$304,MATCH(A254,'交易记录'!$A$5:$A$304,0))),"编号没找到"))</f>
        <v/>
      </c>
      <c r="N254" s="30" t="n"/>
    </row>
    <row r="255">
      <c r="A255" s="24" t="n"/>
      <c r="B255" s="29" t="n"/>
      <c r="C255" s="27" t="n"/>
      <c r="D255" s="31" t="n"/>
      <c r="E255" s="32" t="n"/>
      <c r="F255" s="35" t="n"/>
      <c r="G255" s="31" t="n"/>
      <c r="H255" s="20" t="str">
        <f>IF(AND(ISNUMBER(E255),ISNUMBER(F255)),E255*F255,"")</f>
        <v/>
      </c>
      <c r="I255" s="42" t="str">
        <f>IF(ISNUMBER(H255),ROUND(H255*IF(G255="挂单",'参数'!$C$11,'参数'!$C$12),4),"")</f>
        <v/>
      </c>
      <c r="J255" s="47" t="n"/>
      <c r="K255" s="47" t="n"/>
      <c r="L255" s="20" t="str">
        <f>IF(ISNUMBER(K255),K255+N(J255),IF(ISNUMBER(H255),I255+N(J255),""))</f>
        <v/>
      </c>
      <c r="M255" s="40" t="str">
        <f>IF(A255="","",IFERROR(T(INDEX('交易记录'!$C$5:$C$304,MATCH(A255,'交易记录'!$A$5:$A$304,0))),"编号没找到"))</f>
        <v/>
      </c>
      <c r="N255" s="30" t="n"/>
    </row>
    <row r="256">
      <c r="A256" s="24" t="n"/>
      <c r="B256" s="29" t="n"/>
      <c r="C256" s="27" t="n"/>
      <c r="D256" s="31" t="n"/>
      <c r="E256" s="32" t="n"/>
      <c r="F256" s="35" t="n"/>
      <c r="G256" s="31" t="n"/>
      <c r="H256" s="20" t="str">
        <f>IF(AND(ISNUMBER(E256),ISNUMBER(F256)),E256*F256,"")</f>
        <v/>
      </c>
      <c r="I256" s="42" t="str">
        <f>IF(ISNUMBER(H256),ROUND(H256*IF(G256="挂单",'参数'!$C$11,'参数'!$C$12),4),"")</f>
        <v/>
      </c>
      <c r="J256" s="47" t="n"/>
      <c r="K256" s="47" t="n"/>
      <c r="L256" s="20" t="str">
        <f>IF(ISNUMBER(K256),K256+N(J256),IF(ISNUMBER(H256),I256+N(J256),""))</f>
        <v/>
      </c>
      <c r="M256" s="40" t="str">
        <f>IF(A256="","",IFERROR(T(INDEX('交易记录'!$C$5:$C$304,MATCH(A256,'交易记录'!$A$5:$A$304,0))),"编号没找到"))</f>
        <v/>
      </c>
      <c r="N256" s="30" t="n"/>
    </row>
    <row r="257">
      <c r="A257" s="24" t="n"/>
      <c r="B257" s="29" t="n"/>
      <c r="C257" s="27" t="n"/>
      <c r="D257" s="31" t="n"/>
      <c r="E257" s="32" t="n"/>
      <c r="F257" s="35" t="n"/>
      <c r="G257" s="31" t="n"/>
      <c r="H257" s="20" t="str">
        <f>IF(AND(ISNUMBER(E257),ISNUMBER(F257)),E257*F257,"")</f>
        <v/>
      </c>
      <c r="I257" s="42" t="str">
        <f>IF(ISNUMBER(H257),ROUND(H257*IF(G257="挂单",'参数'!$C$11,'参数'!$C$12),4),"")</f>
        <v/>
      </c>
      <c r="J257" s="47" t="n"/>
      <c r="K257" s="47" t="n"/>
      <c r="L257" s="20" t="str">
        <f>IF(ISNUMBER(K257),K257+N(J257),IF(ISNUMBER(H257),I257+N(J257),""))</f>
        <v/>
      </c>
      <c r="M257" s="40" t="str">
        <f>IF(A257="","",IFERROR(T(INDEX('交易记录'!$C$5:$C$304,MATCH(A257,'交易记录'!$A$5:$A$304,0))),"编号没找到"))</f>
        <v/>
      </c>
      <c r="N257" s="30" t="n"/>
    </row>
    <row r="258">
      <c r="A258" s="24" t="n"/>
      <c r="B258" s="29" t="n"/>
      <c r="C258" s="27" t="n"/>
      <c r="D258" s="31" t="n"/>
      <c r="E258" s="32" t="n"/>
      <c r="F258" s="35" t="n"/>
      <c r="G258" s="31" t="n"/>
      <c r="H258" s="20" t="str">
        <f>IF(AND(ISNUMBER(E258),ISNUMBER(F258)),E258*F258,"")</f>
        <v/>
      </c>
      <c r="I258" s="42" t="str">
        <f>IF(ISNUMBER(H258),ROUND(H258*IF(G258="挂单",'参数'!$C$11,'参数'!$C$12),4),"")</f>
        <v/>
      </c>
      <c r="J258" s="47" t="n"/>
      <c r="K258" s="47" t="n"/>
      <c r="L258" s="20" t="str">
        <f>IF(ISNUMBER(K258),K258+N(J258),IF(ISNUMBER(H258),I258+N(J258),""))</f>
        <v/>
      </c>
      <c r="M258" s="40" t="str">
        <f>IF(A258="","",IFERROR(T(INDEX('交易记录'!$C$5:$C$304,MATCH(A258,'交易记录'!$A$5:$A$304,0))),"编号没找到"))</f>
        <v/>
      </c>
      <c r="N258" s="30" t="n"/>
    </row>
    <row r="259">
      <c r="A259" s="24" t="n"/>
      <c r="B259" s="29" t="n"/>
      <c r="C259" s="27" t="n"/>
      <c r="D259" s="31" t="n"/>
      <c r="E259" s="32" t="n"/>
      <c r="F259" s="35" t="n"/>
      <c r="G259" s="31" t="n"/>
      <c r="H259" s="20" t="str">
        <f>IF(AND(ISNUMBER(E259),ISNUMBER(F259)),E259*F259,"")</f>
        <v/>
      </c>
      <c r="I259" s="42" t="str">
        <f>IF(ISNUMBER(H259),ROUND(H259*IF(G259="挂单",'参数'!$C$11,'参数'!$C$12),4),"")</f>
        <v/>
      </c>
      <c r="J259" s="47" t="n"/>
      <c r="K259" s="47" t="n"/>
      <c r="L259" s="20" t="str">
        <f>IF(ISNUMBER(K259),K259+N(J259),IF(ISNUMBER(H259),I259+N(J259),""))</f>
        <v/>
      </c>
      <c r="M259" s="40" t="str">
        <f>IF(A259="","",IFERROR(T(INDEX('交易记录'!$C$5:$C$304,MATCH(A259,'交易记录'!$A$5:$A$304,0))),"编号没找到"))</f>
        <v/>
      </c>
      <c r="N259" s="30" t="n"/>
    </row>
    <row r="260">
      <c r="A260" s="24" t="n"/>
      <c r="B260" s="29" t="n"/>
      <c r="C260" s="27" t="n"/>
      <c r="D260" s="31" t="n"/>
      <c r="E260" s="32" t="n"/>
      <c r="F260" s="35" t="n"/>
      <c r="G260" s="31" t="n"/>
      <c r="H260" s="20" t="str">
        <f>IF(AND(ISNUMBER(E260),ISNUMBER(F260)),E260*F260,"")</f>
        <v/>
      </c>
      <c r="I260" s="42" t="str">
        <f>IF(ISNUMBER(H260),ROUND(H260*IF(G260="挂单",'参数'!$C$11,'参数'!$C$12),4),"")</f>
        <v/>
      </c>
      <c r="J260" s="47" t="n"/>
      <c r="K260" s="47" t="n"/>
      <c r="L260" s="20" t="str">
        <f>IF(ISNUMBER(K260),K260+N(J260),IF(ISNUMBER(H260),I260+N(J260),""))</f>
        <v/>
      </c>
      <c r="M260" s="40" t="str">
        <f>IF(A260="","",IFERROR(T(INDEX('交易记录'!$C$5:$C$304,MATCH(A260,'交易记录'!$A$5:$A$304,0))),"编号没找到"))</f>
        <v/>
      </c>
      <c r="N260" s="30" t="n"/>
    </row>
    <row r="261">
      <c r="A261" s="24" t="n"/>
      <c r="B261" s="29" t="n"/>
      <c r="C261" s="27" t="n"/>
      <c r="D261" s="31" t="n"/>
      <c r="E261" s="32" t="n"/>
      <c r="F261" s="35" t="n"/>
      <c r="G261" s="31" t="n"/>
      <c r="H261" s="20" t="str">
        <f>IF(AND(ISNUMBER(E261),ISNUMBER(F261)),E261*F261,"")</f>
        <v/>
      </c>
      <c r="I261" s="42" t="str">
        <f>IF(ISNUMBER(H261),ROUND(H261*IF(G261="挂单",'参数'!$C$11,'参数'!$C$12),4),"")</f>
        <v/>
      </c>
      <c r="J261" s="47" t="n"/>
      <c r="K261" s="47" t="n"/>
      <c r="L261" s="20" t="str">
        <f>IF(ISNUMBER(K261),K261+N(J261),IF(ISNUMBER(H261),I261+N(J261),""))</f>
        <v/>
      </c>
      <c r="M261" s="40" t="str">
        <f>IF(A261="","",IFERROR(T(INDEX('交易记录'!$C$5:$C$304,MATCH(A261,'交易记录'!$A$5:$A$304,0))),"编号没找到"))</f>
        <v/>
      </c>
      <c r="N261" s="30" t="n"/>
    </row>
    <row r="262">
      <c r="A262" s="24" t="n"/>
      <c r="B262" s="29" t="n"/>
      <c r="C262" s="27" t="n"/>
      <c r="D262" s="31" t="n"/>
      <c r="E262" s="32" t="n"/>
      <c r="F262" s="35" t="n"/>
      <c r="G262" s="31" t="n"/>
      <c r="H262" s="20" t="str">
        <f>IF(AND(ISNUMBER(E262),ISNUMBER(F262)),E262*F262,"")</f>
        <v/>
      </c>
      <c r="I262" s="42" t="str">
        <f>IF(ISNUMBER(H262),ROUND(H262*IF(G262="挂单",'参数'!$C$11,'参数'!$C$12),4),"")</f>
        <v/>
      </c>
      <c r="J262" s="47" t="n"/>
      <c r="K262" s="47" t="n"/>
      <c r="L262" s="20" t="str">
        <f>IF(ISNUMBER(K262),K262+N(J262),IF(ISNUMBER(H262),I262+N(J262),""))</f>
        <v/>
      </c>
      <c r="M262" s="40" t="str">
        <f>IF(A262="","",IFERROR(T(INDEX('交易记录'!$C$5:$C$304,MATCH(A262,'交易记录'!$A$5:$A$304,0))),"编号没找到"))</f>
        <v/>
      </c>
      <c r="N262" s="30" t="n"/>
    </row>
    <row r="263">
      <c r="A263" s="24" t="n"/>
      <c r="B263" s="29" t="n"/>
      <c r="C263" s="27" t="n"/>
      <c r="D263" s="31" t="n"/>
      <c r="E263" s="32" t="n"/>
      <c r="F263" s="35" t="n"/>
      <c r="G263" s="31" t="n"/>
      <c r="H263" s="20" t="str">
        <f>IF(AND(ISNUMBER(E263),ISNUMBER(F263)),E263*F263,"")</f>
        <v/>
      </c>
      <c r="I263" s="42" t="str">
        <f>IF(ISNUMBER(H263),ROUND(H263*IF(G263="挂单",'参数'!$C$11,'参数'!$C$12),4),"")</f>
        <v/>
      </c>
      <c r="J263" s="47" t="n"/>
      <c r="K263" s="47" t="n"/>
      <c r="L263" s="20" t="str">
        <f>IF(ISNUMBER(K263),K263+N(J263),IF(ISNUMBER(H263),I263+N(J263),""))</f>
        <v/>
      </c>
      <c r="M263" s="40" t="str">
        <f>IF(A263="","",IFERROR(T(INDEX('交易记录'!$C$5:$C$304,MATCH(A263,'交易记录'!$A$5:$A$304,0))),"编号没找到"))</f>
        <v/>
      </c>
      <c r="N263" s="30" t="n"/>
    </row>
    <row r="264">
      <c r="A264" s="24" t="n"/>
      <c r="B264" s="29" t="n"/>
      <c r="C264" s="27" t="n"/>
      <c r="D264" s="31" t="n"/>
      <c r="E264" s="32" t="n"/>
      <c r="F264" s="35" t="n"/>
      <c r="G264" s="31" t="n"/>
      <c r="H264" s="20" t="str">
        <f>IF(AND(ISNUMBER(E264),ISNUMBER(F264)),E264*F264,"")</f>
        <v/>
      </c>
      <c r="I264" s="42" t="str">
        <f>IF(ISNUMBER(H264),ROUND(H264*IF(G264="挂单",'参数'!$C$11,'参数'!$C$12),4),"")</f>
        <v/>
      </c>
      <c r="J264" s="47" t="n"/>
      <c r="K264" s="47" t="n"/>
      <c r="L264" s="20" t="str">
        <f>IF(ISNUMBER(K264),K264+N(J264),IF(ISNUMBER(H264),I264+N(J264),""))</f>
        <v/>
      </c>
      <c r="M264" s="40" t="str">
        <f>IF(A264="","",IFERROR(T(INDEX('交易记录'!$C$5:$C$304,MATCH(A264,'交易记录'!$A$5:$A$304,0))),"编号没找到"))</f>
        <v/>
      </c>
      <c r="N264" s="30" t="n"/>
    </row>
    <row r="265">
      <c r="A265" s="24" t="n"/>
      <c r="B265" s="29" t="n"/>
      <c r="C265" s="27" t="n"/>
      <c r="D265" s="31" t="n"/>
      <c r="E265" s="32" t="n"/>
      <c r="F265" s="35" t="n"/>
      <c r="G265" s="31" t="n"/>
      <c r="H265" s="20" t="str">
        <f>IF(AND(ISNUMBER(E265),ISNUMBER(F265)),E265*F265,"")</f>
        <v/>
      </c>
      <c r="I265" s="42" t="str">
        <f>IF(ISNUMBER(H265),ROUND(H265*IF(G265="挂单",'参数'!$C$11,'参数'!$C$12),4),"")</f>
        <v/>
      </c>
      <c r="J265" s="47" t="n"/>
      <c r="K265" s="47" t="n"/>
      <c r="L265" s="20" t="str">
        <f>IF(ISNUMBER(K265),K265+N(J265),IF(ISNUMBER(H265),I265+N(J265),""))</f>
        <v/>
      </c>
      <c r="M265" s="40" t="str">
        <f>IF(A265="","",IFERROR(T(INDEX('交易记录'!$C$5:$C$304,MATCH(A265,'交易记录'!$A$5:$A$304,0))),"编号没找到"))</f>
        <v/>
      </c>
      <c r="N265" s="30" t="n"/>
    </row>
    <row r="266">
      <c r="A266" s="24" t="n"/>
      <c r="B266" s="29" t="n"/>
      <c r="C266" s="27" t="n"/>
      <c r="D266" s="31" t="n"/>
      <c r="E266" s="32" t="n"/>
      <c r="F266" s="35" t="n"/>
      <c r="G266" s="31" t="n"/>
      <c r="H266" s="20" t="str">
        <f>IF(AND(ISNUMBER(E266),ISNUMBER(F266)),E266*F266,"")</f>
        <v/>
      </c>
      <c r="I266" s="42" t="str">
        <f>IF(ISNUMBER(H266),ROUND(H266*IF(G266="挂单",'参数'!$C$11,'参数'!$C$12),4),"")</f>
        <v/>
      </c>
      <c r="J266" s="47" t="n"/>
      <c r="K266" s="47" t="n"/>
      <c r="L266" s="20" t="str">
        <f>IF(ISNUMBER(K266),K266+N(J266),IF(ISNUMBER(H266),I266+N(J266),""))</f>
        <v/>
      </c>
      <c r="M266" s="40" t="str">
        <f>IF(A266="","",IFERROR(T(INDEX('交易记录'!$C$5:$C$304,MATCH(A266,'交易记录'!$A$5:$A$304,0))),"编号没找到"))</f>
        <v/>
      </c>
      <c r="N266" s="30" t="n"/>
    </row>
    <row r="267">
      <c r="A267" s="24" t="n"/>
      <c r="B267" s="29" t="n"/>
      <c r="C267" s="27" t="n"/>
      <c r="D267" s="31" t="n"/>
      <c r="E267" s="32" t="n"/>
      <c r="F267" s="35" t="n"/>
      <c r="G267" s="31" t="n"/>
      <c r="H267" s="20" t="str">
        <f>IF(AND(ISNUMBER(E267),ISNUMBER(F267)),E267*F267,"")</f>
        <v/>
      </c>
      <c r="I267" s="42" t="str">
        <f>IF(ISNUMBER(H267),ROUND(H267*IF(G267="挂单",'参数'!$C$11,'参数'!$C$12),4),"")</f>
        <v/>
      </c>
      <c r="J267" s="47" t="n"/>
      <c r="K267" s="47" t="n"/>
      <c r="L267" s="20" t="str">
        <f>IF(ISNUMBER(K267),K267+N(J267),IF(ISNUMBER(H267),I267+N(J267),""))</f>
        <v/>
      </c>
      <c r="M267" s="40" t="str">
        <f>IF(A267="","",IFERROR(T(INDEX('交易记录'!$C$5:$C$304,MATCH(A267,'交易记录'!$A$5:$A$304,0))),"编号没找到"))</f>
        <v/>
      </c>
      <c r="N267" s="30" t="n"/>
    </row>
    <row r="268">
      <c r="A268" s="24" t="n"/>
      <c r="B268" s="29" t="n"/>
      <c r="C268" s="27" t="n"/>
      <c r="D268" s="31" t="n"/>
      <c r="E268" s="32" t="n"/>
      <c r="F268" s="35" t="n"/>
      <c r="G268" s="31" t="n"/>
      <c r="H268" s="20" t="str">
        <f>IF(AND(ISNUMBER(E268),ISNUMBER(F268)),E268*F268,"")</f>
        <v/>
      </c>
      <c r="I268" s="42" t="str">
        <f>IF(ISNUMBER(H268),ROUND(H268*IF(G268="挂单",'参数'!$C$11,'参数'!$C$12),4),"")</f>
        <v/>
      </c>
      <c r="J268" s="47" t="n"/>
      <c r="K268" s="47" t="n"/>
      <c r="L268" s="20" t="str">
        <f>IF(ISNUMBER(K268),K268+N(J268),IF(ISNUMBER(H268),I268+N(J268),""))</f>
        <v/>
      </c>
      <c r="M268" s="40" t="str">
        <f>IF(A268="","",IFERROR(T(INDEX('交易记录'!$C$5:$C$304,MATCH(A268,'交易记录'!$A$5:$A$304,0))),"编号没找到"))</f>
        <v/>
      </c>
      <c r="N268" s="30" t="n"/>
    </row>
    <row r="269">
      <c r="A269" s="24" t="n"/>
      <c r="B269" s="29" t="n"/>
      <c r="C269" s="27" t="n"/>
      <c r="D269" s="31" t="n"/>
      <c r="E269" s="32" t="n"/>
      <c r="F269" s="35" t="n"/>
      <c r="G269" s="31" t="n"/>
      <c r="H269" s="20" t="str">
        <f>IF(AND(ISNUMBER(E269),ISNUMBER(F269)),E269*F269,"")</f>
        <v/>
      </c>
      <c r="I269" s="42" t="str">
        <f>IF(ISNUMBER(H269),ROUND(H269*IF(G269="挂单",'参数'!$C$11,'参数'!$C$12),4),"")</f>
        <v/>
      </c>
      <c r="J269" s="47" t="n"/>
      <c r="K269" s="47" t="n"/>
      <c r="L269" s="20" t="str">
        <f>IF(ISNUMBER(K269),K269+N(J269),IF(ISNUMBER(H269),I269+N(J269),""))</f>
        <v/>
      </c>
      <c r="M269" s="40" t="str">
        <f>IF(A269="","",IFERROR(T(INDEX('交易记录'!$C$5:$C$304,MATCH(A269,'交易记录'!$A$5:$A$304,0))),"编号没找到"))</f>
        <v/>
      </c>
      <c r="N269" s="30" t="n"/>
    </row>
    <row r="270">
      <c r="A270" s="24" t="n"/>
      <c r="B270" s="29" t="n"/>
      <c r="C270" s="27" t="n"/>
      <c r="D270" s="31" t="n"/>
      <c r="E270" s="32" t="n"/>
      <c r="F270" s="35" t="n"/>
      <c r="G270" s="31" t="n"/>
      <c r="H270" s="20" t="str">
        <f>IF(AND(ISNUMBER(E270),ISNUMBER(F270)),E270*F270,"")</f>
        <v/>
      </c>
      <c r="I270" s="42" t="str">
        <f>IF(ISNUMBER(H270),ROUND(H270*IF(G270="挂单",'参数'!$C$11,'参数'!$C$12),4),"")</f>
        <v/>
      </c>
      <c r="J270" s="47" t="n"/>
      <c r="K270" s="47" t="n"/>
      <c r="L270" s="20" t="str">
        <f>IF(ISNUMBER(K270),K270+N(J270),IF(ISNUMBER(H270),I270+N(J270),""))</f>
        <v/>
      </c>
      <c r="M270" s="40" t="str">
        <f>IF(A270="","",IFERROR(T(INDEX('交易记录'!$C$5:$C$304,MATCH(A270,'交易记录'!$A$5:$A$304,0))),"编号没找到"))</f>
        <v/>
      </c>
      <c r="N270" s="30" t="n"/>
    </row>
    <row r="271">
      <c r="A271" s="24" t="n"/>
      <c r="B271" s="29" t="n"/>
      <c r="C271" s="27" t="n"/>
      <c r="D271" s="31" t="n"/>
      <c r="E271" s="32" t="n"/>
      <c r="F271" s="35" t="n"/>
      <c r="G271" s="31" t="n"/>
      <c r="H271" s="20" t="str">
        <f>IF(AND(ISNUMBER(E271),ISNUMBER(F271)),E271*F271,"")</f>
        <v/>
      </c>
      <c r="I271" s="42" t="str">
        <f>IF(ISNUMBER(H271),ROUND(H271*IF(G271="挂单",'参数'!$C$11,'参数'!$C$12),4),"")</f>
        <v/>
      </c>
      <c r="J271" s="47" t="n"/>
      <c r="K271" s="47" t="n"/>
      <c r="L271" s="20" t="str">
        <f>IF(ISNUMBER(K271),K271+N(J271),IF(ISNUMBER(H271),I271+N(J271),""))</f>
        <v/>
      </c>
      <c r="M271" s="40" t="str">
        <f>IF(A271="","",IFERROR(T(INDEX('交易记录'!$C$5:$C$304,MATCH(A271,'交易记录'!$A$5:$A$304,0))),"编号没找到"))</f>
        <v/>
      </c>
      <c r="N271" s="30" t="n"/>
    </row>
    <row r="272">
      <c r="A272" s="24" t="n"/>
      <c r="B272" s="29" t="n"/>
      <c r="C272" s="27" t="n"/>
      <c r="D272" s="31" t="n"/>
      <c r="E272" s="32" t="n"/>
      <c r="F272" s="35" t="n"/>
      <c r="G272" s="31" t="n"/>
      <c r="H272" s="20" t="str">
        <f>IF(AND(ISNUMBER(E272),ISNUMBER(F272)),E272*F272,"")</f>
        <v/>
      </c>
      <c r="I272" s="42" t="str">
        <f>IF(ISNUMBER(H272),ROUND(H272*IF(G272="挂单",'参数'!$C$11,'参数'!$C$12),4),"")</f>
        <v/>
      </c>
      <c r="J272" s="47" t="n"/>
      <c r="K272" s="47" t="n"/>
      <c r="L272" s="20" t="str">
        <f>IF(ISNUMBER(K272),K272+N(J272),IF(ISNUMBER(H272),I272+N(J272),""))</f>
        <v/>
      </c>
      <c r="M272" s="40" t="str">
        <f>IF(A272="","",IFERROR(T(INDEX('交易记录'!$C$5:$C$304,MATCH(A272,'交易记录'!$A$5:$A$304,0))),"编号没找到"))</f>
        <v/>
      </c>
      <c r="N272" s="30" t="n"/>
    </row>
    <row r="273">
      <c r="A273" s="24" t="n"/>
      <c r="B273" s="29" t="n"/>
      <c r="C273" s="27" t="n"/>
      <c r="D273" s="31" t="n"/>
      <c r="E273" s="32" t="n"/>
      <c r="F273" s="35" t="n"/>
      <c r="G273" s="31" t="n"/>
      <c r="H273" s="20" t="str">
        <f>IF(AND(ISNUMBER(E273),ISNUMBER(F273)),E273*F273,"")</f>
        <v/>
      </c>
      <c r="I273" s="42" t="str">
        <f>IF(ISNUMBER(H273),ROUND(H273*IF(G273="挂单",'参数'!$C$11,'参数'!$C$12),4),"")</f>
        <v/>
      </c>
      <c r="J273" s="47" t="n"/>
      <c r="K273" s="47" t="n"/>
      <c r="L273" s="20" t="str">
        <f>IF(ISNUMBER(K273),K273+N(J273),IF(ISNUMBER(H273),I273+N(J273),""))</f>
        <v/>
      </c>
      <c r="M273" s="40" t="str">
        <f>IF(A273="","",IFERROR(T(INDEX('交易记录'!$C$5:$C$304,MATCH(A273,'交易记录'!$A$5:$A$304,0))),"编号没找到"))</f>
        <v/>
      </c>
      <c r="N273" s="30" t="n"/>
    </row>
    <row r="274">
      <c r="A274" s="24" t="n"/>
      <c r="B274" s="29" t="n"/>
      <c r="C274" s="27" t="n"/>
      <c r="D274" s="31" t="n"/>
      <c r="E274" s="32" t="n"/>
      <c r="F274" s="35" t="n"/>
      <c r="G274" s="31" t="n"/>
      <c r="H274" s="20" t="str">
        <f>IF(AND(ISNUMBER(E274),ISNUMBER(F274)),E274*F274,"")</f>
        <v/>
      </c>
      <c r="I274" s="42" t="str">
        <f>IF(ISNUMBER(H274),ROUND(H274*IF(G274="挂单",'参数'!$C$11,'参数'!$C$12),4),"")</f>
        <v/>
      </c>
      <c r="J274" s="47" t="n"/>
      <c r="K274" s="47" t="n"/>
      <c r="L274" s="20" t="str">
        <f>IF(ISNUMBER(K274),K274+N(J274),IF(ISNUMBER(H274),I274+N(J274),""))</f>
        <v/>
      </c>
      <c r="M274" s="40" t="str">
        <f>IF(A274="","",IFERROR(T(INDEX('交易记录'!$C$5:$C$304,MATCH(A274,'交易记录'!$A$5:$A$304,0))),"编号没找到"))</f>
        <v/>
      </c>
      <c r="N274" s="30" t="n"/>
    </row>
    <row r="275">
      <c r="A275" s="24" t="n"/>
      <c r="B275" s="29" t="n"/>
      <c r="C275" s="27" t="n"/>
      <c r="D275" s="31" t="n"/>
      <c r="E275" s="32" t="n"/>
      <c r="F275" s="35" t="n"/>
      <c r="G275" s="31" t="n"/>
      <c r="H275" s="20" t="str">
        <f>IF(AND(ISNUMBER(E275),ISNUMBER(F275)),E275*F275,"")</f>
        <v/>
      </c>
      <c r="I275" s="42" t="str">
        <f>IF(ISNUMBER(H275),ROUND(H275*IF(G275="挂单",'参数'!$C$11,'参数'!$C$12),4),"")</f>
        <v/>
      </c>
      <c r="J275" s="47" t="n"/>
      <c r="K275" s="47" t="n"/>
      <c r="L275" s="20" t="str">
        <f>IF(ISNUMBER(K275),K275+N(J275),IF(ISNUMBER(H275),I275+N(J275),""))</f>
        <v/>
      </c>
      <c r="M275" s="40" t="str">
        <f>IF(A275="","",IFERROR(T(INDEX('交易记录'!$C$5:$C$304,MATCH(A275,'交易记录'!$A$5:$A$304,0))),"编号没找到"))</f>
        <v/>
      </c>
      <c r="N275" s="30" t="n"/>
    </row>
    <row r="276">
      <c r="A276" s="24" t="n"/>
      <c r="B276" s="29" t="n"/>
      <c r="C276" s="27" t="n"/>
      <c r="D276" s="31" t="n"/>
      <c r="E276" s="32" t="n"/>
      <c r="F276" s="35" t="n"/>
      <c r="G276" s="31" t="n"/>
      <c r="H276" s="20" t="str">
        <f>IF(AND(ISNUMBER(E276),ISNUMBER(F276)),E276*F276,"")</f>
        <v/>
      </c>
      <c r="I276" s="42" t="str">
        <f>IF(ISNUMBER(H276),ROUND(H276*IF(G276="挂单",'参数'!$C$11,'参数'!$C$12),4),"")</f>
        <v/>
      </c>
      <c r="J276" s="47" t="n"/>
      <c r="K276" s="47" t="n"/>
      <c r="L276" s="20" t="str">
        <f>IF(ISNUMBER(K276),K276+N(J276),IF(ISNUMBER(H276),I276+N(J276),""))</f>
        <v/>
      </c>
      <c r="M276" s="40" t="str">
        <f>IF(A276="","",IFERROR(T(INDEX('交易记录'!$C$5:$C$304,MATCH(A276,'交易记录'!$A$5:$A$304,0))),"编号没找到"))</f>
        <v/>
      </c>
      <c r="N276" s="30" t="n"/>
    </row>
    <row r="277">
      <c r="A277" s="24" t="n"/>
      <c r="B277" s="29" t="n"/>
      <c r="C277" s="27" t="n"/>
      <c r="D277" s="31" t="n"/>
      <c r="E277" s="32" t="n"/>
      <c r="F277" s="35" t="n"/>
      <c r="G277" s="31" t="n"/>
      <c r="H277" s="20" t="str">
        <f>IF(AND(ISNUMBER(E277),ISNUMBER(F277)),E277*F277,"")</f>
        <v/>
      </c>
      <c r="I277" s="42" t="str">
        <f>IF(ISNUMBER(H277),ROUND(H277*IF(G277="挂单",'参数'!$C$11,'参数'!$C$12),4),"")</f>
        <v/>
      </c>
      <c r="J277" s="47" t="n"/>
      <c r="K277" s="47" t="n"/>
      <c r="L277" s="20" t="str">
        <f>IF(ISNUMBER(K277),K277+N(J277),IF(ISNUMBER(H277),I277+N(J277),""))</f>
        <v/>
      </c>
      <c r="M277" s="40" t="str">
        <f>IF(A277="","",IFERROR(T(INDEX('交易记录'!$C$5:$C$304,MATCH(A277,'交易记录'!$A$5:$A$304,0))),"编号没找到"))</f>
        <v/>
      </c>
      <c r="N277" s="30" t="n"/>
    </row>
    <row r="278">
      <c r="A278" s="24" t="n"/>
      <c r="B278" s="29" t="n"/>
      <c r="C278" s="27" t="n"/>
      <c r="D278" s="31" t="n"/>
      <c r="E278" s="32" t="n"/>
      <c r="F278" s="35" t="n"/>
      <c r="G278" s="31" t="n"/>
      <c r="H278" s="20" t="str">
        <f>IF(AND(ISNUMBER(E278),ISNUMBER(F278)),E278*F278,"")</f>
        <v/>
      </c>
      <c r="I278" s="42" t="str">
        <f>IF(ISNUMBER(H278),ROUND(H278*IF(G278="挂单",'参数'!$C$11,'参数'!$C$12),4),"")</f>
        <v/>
      </c>
      <c r="J278" s="47" t="n"/>
      <c r="K278" s="47" t="n"/>
      <c r="L278" s="20" t="str">
        <f>IF(ISNUMBER(K278),K278+N(J278),IF(ISNUMBER(H278),I278+N(J278),""))</f>
        <v/>
      </c>
      <c r="M278" s="40" t="str">
        <f>IF(A278="","",IFERROR(T(INDEX('交易记录'!$C$5:$C$304,MATCH(A278,'交易记录'!$A$5:$A$304,0))),"编号没找到"))</f>
        <v/>
      </c>
      <c r="N278" s="30" t="n"/>
    </row>
    <row r="279">
      <c r="A279" s="24" t="n"/>
      <c r="B279" s="29" t="n"/>
      <c r="C279" s="27" t="n"/>
      <c r="D279" s="31" t="n"/>
      <c r="E279" s="32" t="n"/>
      <c r="F279" s="35" t="n"/>
      <c r="G279" s="31" t="n"/>
      <c r="H279" s="20" t="str">
        <f>IF(AND(ISNUMBER(E279),ISNUMBER(F279)),E279*F279,"")</f>
        <v/>
      </c>
      <c r="I279" s="42" t="str">
        <f>IF(ISNUMBER(H279),ROUND(H279*IF(G279="挂单",'参数'!$C$11,'参数'!$C$12),4),"")</f>
        <v/>
      </c>
      <c r="J279" s="47" t="n"/>
      <c r="K279" s="47" t="n"/>
      <c r="L279" s="20" t="str">
        <f>IF(ISNUMBER(K279),K279+N(J279),IF(ISNUMBER(H279),I279+N(J279),""))</f>
        <v/>
      </c>
      <c r="M279" s="40" t="str">
        <f>IF(A279="","",IFERROR(T(INDEX('交易记录'!$C$5:$C$304,MATCH(A279,'交易记录'!$A$5:$A$304,0))),"编号没找到"))</f>
        <v/>
      </c>
      <c r="N279" s="30" t="n"/>
    </row>
    <row r="280">
      <c r="A280" s="24" t="n"/>
      <c r="B280" s="29" t="n"/>
      <c r="C280" s="27" t="n"/>
      <c r="D280" s="31" t="n"/>
      <c r="E280" s="32" t="n"/>
      <c r="F280" s="35" t="n"/>
      <c r="G280" s="31" t="n"/>
      <c r="H280" s="20" t="str">
        <f>IF(AND(ISNUMBER(E280),ISNUMBER(F280)),E280*F280,"")</f>
        <v/>
      </c>
      <c r="I280" s="42" t="str">
        <f>IF(ISNUMBER(H280),ROUND(H280*IF(G280="挂单",'参数'!$C$11,'参数'!$C$12),4),"")</f>
        <v/>
      </c>
      <c r="J280" s="47" t="n"/>
      <c r="K280" s="47" t="n"/>
      <c r="L280" s="20" t="str">
        <f>IF(ISNUMBER(K280),K280+N(J280),IF(ISNUMBER(H280),I280+N(J280),""))</f>
        <v/>
      </c>
      <c r="M280" s="40" t="str">
        <f>IF(A280="","",IFERROR(T(INDEX('交易记录'!$C$5:$C$304,MATCH(A280,'交易记录'!$A$5:$A$304,0))),"编号没找到"))</f>
        <v/>
      </c>
      <c r="N280" s="30" t="n"/>
    </row>
    <row r="281">
      <c r="A281" s="24" t="n"/>
      <c r="B281" s="29" t="n"/>
      <c r="C281" s="27" t="n"/>
      <c r="D281" s="31" t="n"/>
      <c r="E281" s="32" t="n"/>
      <c r="F281" s="35" t="n"/>
      <c r="G281" s="31" t="n"/>
      <c r="H281" s="20" t="str">
        <f>IF(AND(ISNUMBER(E281),ISNUMBER(F281)),E281*F281,"")</f>
        <v/>
      </c>
      <c r="I281" s="42" t="str">
        <f>IF(ISNUMBER(H281),ROUND(H281*IF(G281="挂单",'参数'!$C$11,'参数'!$C$12),4),"")</f>
        <v/>
      </c>
      <c r="J281" s="47" t="n"/>
      <c r="K281" s="47" t="n"/>
      <c r="L281" s="20" t="str">
        <f>IF(ISNUMBER(K281),K281+N(J281),IF(ISNUMBER(H281),I281+N(J281),""))</f>
        <v/>
      </c>
      <c r="M281" s="40" t="str">
        <f>IF(A281="","",IFERROR(T(INDEX('交易记录'!$C$5:$C$304,MATCH(A281,'交易记录'!$A$5:$A$304,0))),"编号没找到"))</f>
        <v/>
      </c>
      <c r="N281" s="30" t="n"/>
    </row>
    <row r="282">
      <c r="A282" s="24" t="n"/>
      <c r="B282" s="29" t="n"/>
      <c r="C282" s="27" t="n"/>
      <c r="D282" s="31" t="n"/>
      <c r="E282" s="32" t="n"/>
      <c r="F282" s="35" t="n"/>
      <c r="G282" s="31" t="n"/>
      <c r="H282" s="20" t="str">
        <f>IF(AND(ISNUMBER(E282),ISNUMBER(F282)),E282*F282,"")</f>
        <v/>
      </c>
      <c r="I282" s="42" t="str">
        <f>IF(ISNUMBER(H282),ROUND(H282*IF(G282="挂单",'参数'!$C$11,'参数'!$C$12),4),"")</f>
        <v/>
      </c>
      <c r="J282" s="47" t="n"/>
      <c r="K282" s="47" t="n"/>
      <c r="L282" s="20" t="str">
        <f>IF(ISNUMBER(K282),K282+N(J282),IF(ISNUMBER(H282),I282+N(J282),""))</f>
        <v/>
      </c>
      <c r="M282" s="40" t="str">
        <f>IF(A282="","",IFERROR(T(INDEX('交易记录'!$C$5:$C$304,MATCH(A282,'交易记录'!$A$5:$A$304,0))),"编号没找到"))</f>
        <v/>
      </c>
      <c r="N282" s="30" t="n"/>
    </row>
    <row r="283">
      <c r="A283" s="24" t="n"/>
      <c r="B283" s="29" t="n"/>
      <c r="C283" s="27" t="n"/>
      <c r="D283" s="31" t="n"/>
      <c r="E283" s="32" t="n"/>
      <c r="F283" s="35" t="n"/>
      <c r="G283" s="31" t="n"/>
      <c r="H283" s="20" t="str">
        <f>IF(AND(ISNUMBER(E283),ISNUMBER(F283)),E283*F283,"")</f>
        <v/>
      </c>
      <c r="I283" s="42" t="str">
        <f>IF(ISNUMBER(H283),ROUND(H283*IF(G283="挂单",'参数'!$C$11,'参数'!$C$12),4),"")</f>
        <v/>
      </c>
      <c r="J283" s="47" t="n"/>
      <c r="K283" s="47" t="n"/>
      <c r="L283" s="20" t="str">
        <f>IF(ISNUMBER(K283),K283+N(J283),IF(ISNUMBER(H283),I283+N(J283),""))</f>
        <v/>
      </c>
      <c r="M283" s="40" t="str">
        <f>IF(A283="","",IFERROR(T(INDEX('交易记录'!$C$5:$C$304,MATCH(A283,'交易记录'!$A$5:$A$304,0))),"编号没找到"))</f>
        <v/>
      </c>
      <c r="N283" s="30" t="n"/>
    </row>
    <row r="284">
      <c r="A284" s="24" t="n"/>
      <c r="B284" s="29" t="n"/>
      <c r="C284" s="27" t="n"/>
      <c r="D284" s="31" t="n"/>
      <c r="E284" s="32" t="n"/>
      <c r="F284" s="35" t="n"/>
      <c r="G284" s="31" t="n"/>
      <c r="H284" s="20" t="str">
        <f>IF(AND(ISNUMBER(E284),ISNUMBER(F284)),E284*F284,"")</f>
        <v/>
      </c>
      <c r="I284" s="42" t="str">
        <f>IF(ISNUMBER(H284),ROUND(H284*IF(G284="挂单",'参数'!$C$11,'参数'!$C$12),4),"")</f>
        <v/>
      </c>
      <c r="J284" s="47" t="n"/>
      <c r="K284" s="47" t="n"/>
      <c r="L284" s="20" t="str">
        <f>IF(ISNUMBER(K284),K284+N(J284),IF(ISNUMBER(H284),I284+N(J284),""))</f>
        <v/>
      </c>
      <c r="M284" s="40" t="str">
        <f>IF(A284="","",IFERROR(T(INDEX('交易记录'!$C$5:$C$304,MATCH(A284,'交易记录'!$A$5:$A$304,0))),"编号没找到"))</f>
        <v/>
      </c>
      <c r="N284" s="30" t="n"/>
    </row>
    <row r="285">
      <c r="A285" s="24" t="n"/>
      <c r="B285" s="29" t="n"/>
      <c r="C285" s="27" t="n"/>
      <c r="D285" s="31" t="n"/>
      <c r="E285" s="32" t="n"/>
      <c r="F285" s="35" t="n"/>
      <c r="G285" s="31" t="n"/>
      <c r="H285" s="20" t="str">
        <f>IF(AND(ISNUMBER(E285),ISNUMBER(F285)),E285*F285,"")</f>
        <v/>
      </c>
      <c r="I285" s="42" t="str">
        <f>IF(ISNUMBER(H285),ROUND(H285*IF(G285="挂单",'参数'!$C$11,'参数'!$C$12),4),"")</f>
        <v/>
      </c>
      <c r="J285" s="47" t="n"/>
      <c r="K285" s="47" t="n"/>
      <c r="L285" s="20" t="str">
        <f>IF(ISNUMBER(K285),K285+N(J285),IF(ISNUMBER(H285),I285+N(J285),""))</f>
        <v/>
      </c>
      <c r="M285" s="40" t="str">
        <f>IF(A285="","",IFERROR(T(INDEX('交易记录'!$C$5:$C$304,MATCH(A285,'交易记录'!$A$5:$A$304,0))),"编号没找到"))</f>
        <v/>
      </c>
      <c r="N285" s="30" t="n"/>
    </row>
    <row r="286">
      <c r="A286" s="24" t="n"/>
      <c r="B286" s="29" t="n"/>
      <c r="C286" s="27" t="n"/>
      <c r="D286" s="31" t="n"/>
      <c r="E286" s="32" t="n"/>
      <c r="F286" s="35" t="n"/>
      <c r="G286" s="31" t="n"/>
      <c r="H286" s="20" t="str">
        <f>IF(AND(ISNUMBER(E286),ISNUMBER(F286)),E286*F286,"")</f>
        <v/>
      </c>
      <c r="I286" s="42" t="str">
        <f>IF(ISNUMBER(H286),ROUND(H286*IF(G286="挂单",'参数'!$C$11,'参数'!$C$12),4),"")</f>
        <v/>
      </c>
      <c r="J286" s="47" t="n"/>
      <c r="K286" s="47" t="n"/>
      <c r="L286" s="20" t="str">
        <f>IF(ISNUMBER(K286),K286+N(J286),IF(ISNUMBER(H286),I286+N(J286),""))</f>
        <v/>
      </c>
      <c r="M286" s="40" t="str">
        <f>IF(A286="","",IFERROR(T(INDEX('交易记录'!$C$5:$C$304,MATCH(A286,'交易记录'!$A$5:$A$304,0))),"编号没找到"))</f>
        <v/>
      </c>
      <c r="N286" s="30" t="n"/>
    </row>
    <row r="287">
      <c r="A287" s="24" t="n"/>
      <c r="B287" s="29" t="n"/>
      <c r="C287" s="27" t="n"/>
      <c r="D287" s="31" t="n"/>
      <c r="E287" s="32" t="n"/>
      <c r="F287" s="35" t="n"/>
      <c r="G287" s="31" t="n"/>
      <c r="H287" s="20" t="str">
        <f>IF(AND(ISNUMBER(E287),ISNUMBER(F287)),E287*F287,"")</f>
        <v/>
      </c>
      <c r="I287" s="42" t="str">
        <f>IF(ISNUMBER(H287),ROUND(H287*IF(G287="挂单",'参数'!$C$11,'参数'!$C$12),4),"")</f>
        <v/>
      </c>
      <c r="J287" s="47" t="n"/>
      <c r="K287" s="47" t="n"/>
      <c r="L287" s="20" t="str">
        <f>IF(ISNUMBER(K287),K287+N(J287),IF(ISNUMBER(H287),I287+N(J287),""))</f>
        <v/>
      </c>
      <c r="M287" s="40" t="str">
        <f>IF(A287="","",IFERROR(T(INDEX('交易记录'!$C$5:$C$304,MATCH(A287,'交易记录'!$A$5:$A$304,0))),"编号没找到"))</f>
        <v/>
      </c>
      <c r="N287" s="30" t="n"/>
    </row>
    <row r="288">
      <c r="A288" s="24" t="n"/>
      <c r="B288" s="29" t="n"/>
      <c r="C288" s="27" t="n"/>
      <c r="D288" s="31" t="n"/>
      <c r="E288" s="32" t="n"/>
      <c r="F288" s="35" t="n"/>
      <c r="G288" s="31" t="n"/>
      <c r="H288" s="20" t="str">
        <f>IF(AND(ISNUMBER(E288),ISNUMBER(F288)),E288*F288,"")</f>
        <v/>
      </c>
      <c r="I288" s="42" t="str">
        <f>IF(ISNUMBER(H288),ROUND(H288*IF(G288="挂单",'参数'!$C$11,'参数'!$C$12),4),"")</f>
        <v/>
      </c>
      <c r="J288" s="47" t="n"/>
      <c r="K288" s="47" t="n"/>
      <c r="L288" s="20" t="str">
        <f>IF(ISNUMBER(K288),K288+N(J288),IF(ISNUMBER(H288),I288+N(J288),""))</f>
        <v/>
      </c>
      <c r="M288" s="40" t="str">
        <f>IF(A288="","",IFERROR(T(INDEX('交易记录'!$C$5:$C$304,MATCH(A288,'交易记录'!$A$5:$A$304,0))),"编号没找到"))</f>
        <v/>
      </c>
      <c r="N288" s="30" t="n"/>
    </row>
    <row r="289">
      <c r="A289" s="24" t="n"/>
      <c r="B289" s="29" t="n"/>
      <c r="C289" s="27" t="n"/>
      <c r="D289" s="31" t="n"/>
      <c r="E289" s="32" t="n"/>
      <c r="F289" s="35" t="n"/>
      <c r="G289" s="31" t="n"/>
      <c r="H289" s="20" t="str">
        <f>IF(AND(ISNUMBER(E289),ISNUMBER(F289)),E289*F289,"")</f>
        <v/>
      </c>
      <c r="I289" s="42" t="str">
        <f>IF(ISNUMBER(H289),ROUND(H289*IF(G289="挂单",'参数'!$C$11,'参数'!$C$12),4),"")</f>
        <v/>
      </c>
      <c r="J289" s="47" t="n"/>
      <c r="K289" s="47" t="n"/>
      <c r="L289" s="20" t="str">
        <f>IF(ISNUMBER(K289),K289+N(J289),IF(ISNUMBER(H289),I289+N(J289),""))</f>
        <v/>
      </c>
      <c r="M289" s="40" t="str">
        <f>IF(A289="","",IFERROR(T(INDEX('交易记录'!$C$5:$C$304,MATCH(A289,'交易记录'!$A$5:$A$304,0))),"编号没找到"))</f>
        <v/>
      </c>
      <c r="N289" s="30" t="n"/>
    </row>
    <row r="290">
      <c r="A290" s="24" t="n"/>
      <c r="B290" s="29" t="n"/>
      <c r="C290" s="27" t="n"/>
      <c r="D290" s="31" t="n"/>
      <c r="E290" s="32" t="n"/>
      <c r="F290" s="35" t="n"/>
      <c r="G290" s="31" t="n"/>
      <c r="H290" s="20" t="str">
        <f>IF(AND(ISNUMBER(E290),ISNUMBER(F290)),E290*F290,"")</f>
        <v/>
      </c>
      <c r="I290" s="42" t="str">
        <f>IF(ISNUMBER(H290),ROUND(H290*IF(G290="挂单",'参数'!$C$11,'参数'!$C$12),4),"")</f>
        <v/>
      </c>
      <c r="J290" s="47" t="n"/>
      <c r="K290" s="47" t="n"/>
      <c r="L290" s="20" t="str">
        <f>IF(ISNUMBER(K290),K290+N(J290),IF(ISNUMBER(H290),I290+N(J290),""))</f>
        <v/>
      </c>
      <c r="M290" s="40" t="str">
        <f>IF(A290="","",IFERROR(T(INDEX('交易记录'!$C$5:$C$304,MATCH(A290,'交易记录'!$A$5:$A$304,0))),"编号没找到"))</f>
        <v/>
      </c>
      <c r="N290" s="30" t="n"/>
    </row>
    <row r="291">
      <c r="A291" s="24" t="n"/>
      <c r="B291" s="29" t="n"/>
      <c r="C291" s="27" t="n"/>
      <c r="D291" s="31" t="n"/>
      <c r="E291" s="32" t="n"/>
      <c r="F291" s="35" t="n"/>
      <c r="G291" s="31" t="n"/>
      <c r="H291" s="20" t="str">
        <f>IF(AND(ISNUMBER(E291),ISNUMBER(F291)),E291*F291,"")</f>
        <v/>
      </c>
      <c r="I291" s="42" t="str">
        <f>IF(ISNUMBER(H291),ROUND(H291*IF(G291="挂单",'参数'!$C$11,'参数'!$C$12),4),"")</f>
        <v/>
      </c>
      <c r="J291" s="47" t="n"/>
      <c r="K291" s="47" t="n"/>
      <c r="L291" s="20" t="str">
        <f>IF(ISNUMBER(K291),K291+N(J291),IF(ISNUMBER(H291),I291+N(J291),""))</f>
        <v/>
      </c>
      <c r="M291" s="40" t="str">
        <f>IF(A291="","",IFERROR(T(INDEX('交易记录'!$C$5:$C$304,MATCH(A291,'交易记录'!$A$5:$A$304,0))),"编号没找到"))</f>
        <v/>
      </c>
      <c r="N291" s="30" t="n"/>
    </row>
    <row r="292">
      <c r="A292" s="24" t="n"/>
      <c r="B292" s="29" t="n"/>
      <c r="C292" s="27" t="n"/>
      <c r="D292" s="31" t="n"/>
      <c r="E292" s="32" t="n"/>
      <c r="F292" s="35" t="n"/>
      <c r="G292" s="31" t="n"/>
      <c r="H292" s="20" t="str">
        <f>IF(AND(ISNUMBER(E292),ISNUMBER(F292)),E292*F292,"")</f>
        <v/>
      </c>
      <c r="I292" s="42" t="str">
        <f>IF(ISNUMBER(H292),ROUND(H292*IF(G292="挂单",'参数'!$C$11,'参数'!$C$12),4),"")</f>
        <v/>
      </c>
      <c r="J292" s="47" t="n"/>
      <c r="K292" s="47" t="n"/>
      <c r="L292" s="20" t="str">
        <f>IF(ISNUMBER(K292),K292+N(J292),IF(ISNUMBER(H292),I292+N(J292),""))</f>
        <v/>
      </c>
      <c r="M292" s="40" t="str">
        <f>IF(A292="","",IFERROR(T(INDEX('交易记录'!$C$5:$C$304,MATCH(A292,'交易记录'!$A$5:$A$304,0))),"编号没找到"))</f>
        <v/>
      </c>
      <c r="N292" s="30" t="n"/>
    </row>
    <row r="293">
      <c r="A293" s="24" t="n"/>
      <c r="B293" s="29" t="n"/>
      <c r="C293" s="27" t="n"/>
      <c r="D293" s="31" t="n"/>
      <c r="E293" s="32" t="n"/>
      <c r="F293" s="35" t="n"/>
      <c r="G293" s="31" t="n"/>
      <c r="H293" s="20" t="str">
        <f>IF(AND(ISNUMBER(E293),ISNUMBER(F293)),E293*F293,"")</f>
        <v/>
      </c>
      <c r="I293" s="42" t="str">
        <f>IF(ISNUMBER(H293),ROUND(H293*IF(G293="挂单",'参数'!$C$11,'参数'!$C$12),4),"")</f>
        <v/>
      </c>
      <c r="J293" s="47" t="n"/>
      <c r="K293" s="47" t="n"/>
      <c r="L293" s="20" t="str">
        <f>IF(ISNUMBER(K293),K293+N(J293),IF(ISNUMBER(H293),I293+N(J293),""))</f>
        <v/>
      </c>
      <c r="M293" s="40" t="str">
        <f>IF(A293="","",IFERROR(T(INDEX('交易记录'!$C$5:$C$304,MATCH(A293,'交易记录'!$A$5:$A$304,0))),"编号没找到"))</f>
        <v/>
      </c>
      <c r="N293" s="30" t="n"/>
    </row>
    <row r="294">
      <c r="A294" s="24" t="n"/>
      <c r="B294" s="29" t="n"/>
      <c r="C294" s="27" t="n"/>
      <c r="D294" s="31" t="n"/>
      <c r="E294" s="32" t="n"/>
      <c r="F294" s="35" t="n"/>
      <c r="G294" s="31" t="n"/>
      <c r="H294" s="20" t="str">
        <f>IF(AND(ISNUMBER(E294),ISNUMBER(F294)),E294*F294,"")</f>
        <v/>
      </c>
      <c r="I294" s="42" t="str">
        <f>IF(ISNUMBER(H294),ROUND(H294*IF(G294="挂单",'参数'!$C$11,'参数'!$C$12),4),"")</f>
        <v/>
      </c>
      <c r="J294" s="47" t="n"/>
      <c r="K294" s="47" t="n"/>
      <c r="L294" s="20" t="str">
        <f>IF(ISNUMBER(K294),K294+N(J294),IF(ISNUMBER(H294),I294+N(J294),""))</f>
        <v/>
      </c>
      <c r="M294" s="40" t="str">
        <f>IF(A294="","",IFERROR(T(INDEX('交易记录'!$C$5:$C$304,MATCH(A294,'交易记录'!$A$5:$A$304,0))),"编号没找到"))</f>
        <v/>
      </c>
      <c r="N294" s="30" t="n"/>
    </row>
    <row r="295">
      <c r="A295" s="24" t="n"/>
      <c r="B295" s="29" t="n"/>
      <c r="C295" s="27" t="n"/>
      <c r="D295" s="31" t="n"/>
      <c r="E295" s="32" t="n"/>
      <c r="F295" s="35" t="n"/>
      <c r="G295" s="31" t="n"/>
      <c r="H295" s="20" t="str">
        <f>IF(AND(ISNUMBER(E295),ISNUMBER(F295)),E295*F295,"")</f>
        <v/>
      </c>
      <c r="I295" s="42" t="str">
        <f>IF(ISNUMBER(H295),ROUND(H295*IF(G295="挂单",'参数'!$C$11,'参数'!$C$12),4),"")</f>
        <v/>
      </c>
      <c r="J295" s="47" t="n"/>
      <c r="K295" s="47" t="n"/>
      <c r="L295" s="20" t="str">
        <f>IF(ISNUMBER(K295),K295+N(J295),IF(ISNUMBER(H295),I295+N(J295),""))</f>
        <v/>
      </c>
      <c r="M295" s="40" t="str">
        <f>IF(A295="","",IFERROR(T(INDEX('交易记录'!$C$5:$C$304,MATCH(A295,'交易记录'!$A$5:$A$304,0))),"编号没找到"))</f>
        <v/>
      </c>
      <c r="N295" s="30" t="n"/>
    </row>
    <row r="296">
      <c r="A296" s="24" t="n"/>
      <c r="B296" s="29" t="n"/>
      <c r="C296" s="27" t="n"/>
      <c r="D296" s="31" t="n"/>
      <c r="E296" s="32" t="n"/>
      <c r="F296" s="35" t="n"/>
      <c r="G296" s="31" t="n"/>
      <c r="H296" s="20" t="str">
        <f>IF(AND(ISNUMBER(E296),ISNUMBER(F296)),E296*F296,"")</f>
        <v/>
      </c>
      <c r="I296" s="42" t="str">
        <f>IF(ISNUMBER(H296),ROUND(H296*IF(G296="挂单",'参数'!$C$11,'参数'!$C$12),4),"")</f>
        <v/>
      </c>
      <c r="J296" s="47" t="n"/>
      <c r="K296" s="47" t="n"/>
      <c r="L296" s="20" t="str">
        <f>IF(ISNUMBER(K296),K296+N(J296),IF(ISNUMBER(H296),I296+N(J296),""))</f>
        <v/>
      </c>
      <c r="M296" s="40" t="str">
        <f>IF(A296="","",IFERROR(T(INDEX('交易记录'!$C$5:$C$304,MATCH(A296,'交易记录'!$A$5:$A$304,0))),"编号没找到"))</f>
        <v/>
      </c>
      <c r="N296" s="30" t="n"/>
    </row>
    <row r="297">
      <c r="A297" s="24" t="n"/>
      <c r="B297" s="29" t="n"/>
      <c r="C297" s="27" t="n"/>
      <c r="D297" s="31" t="n"/>
      <c r="E297" s="32" t="n"/>
      <c r="F297" s="35" t="n"/>
      <c r="G297" s="31" t="n"/>
      <c r="H297" s="20" t="str">
        <f>IF(AND(ISNUMBER(E297),ISNUMBER(F297)),E297*F297,"")</f>
        <v/>
      </c>
      <c r="I297" s="42" t="str">
        <f>IF(ISNUMBER(H297),ROUND(H297*IF(G297="挂单",'参数'!$C$11,'参数'!$C$12),4),"")</f>
        <v/>
      </c>
      <c r="J297" s="47" t="n"/>
      <c r="K297" s="47" t="n"/>
      <c r="L297" s="20" t="str">
        <f>IF(ISNUMBER(K297),K297+N(J297),IF(ISNUMBER(H297),I297+N(J297),""))</f>
        <v/>
      </c>
      <c r="M297" s="40" t="str">
        <f>IF(A297="","",IFERROR(T(INDEX('交易记录'!$C$5:$C$304,MATCH(A297,'交易记录'!$A$5:$A$304,0))),"编号没找到"))</f>
        <v/>
      </c>
      <c r="N297" s="30" t="n"/>
    </row>
    <row r="298">
      <c r="A298" s="24" t="n"/>
      <c r="B298" s="29" t="n"/>
      <c r="C298" s="27" t="n"/>
      <c r="D298" s="31" t="n"/>
      <c r="E298" s="32" t="n"/>
      <c r="F298" s="35" t="n"/>
      <c r="G298" s="31" t="n"/>
      <c r="H298" s="20" t="str">
        <f>IF(AND(ISNUMBER(E298),ISNUMBER(F298)),E298*F298,"")</f>
        <v/>
      </c>
      <c r="I298" s="42" t="str">
        <f>IF(ISNUMBER(H298),ROUND(H298*IF(G298="挂单",'参数'!$C$11,'参数'!$C$12),4),"")</f>
        <v/>
      </c>
      <c r="J298" s="47" t="n"/>
      <c r="K298" s="47" t="n"/>
      <c r="L298" s="20" t="str">
        <f>IF(ISNUMBER(K298),K298+N(J298),IF(ISNUMBER(H298),I298+N(J298),""))</f>
        <v/>
      </c>
      <c r="M298" s="40" t="str">
        <f>IF(A298="","",IFERROR(T(INDEX('交易记录'!$C$5:$C$304,MATCH(A298,'交易记录'!$A$5:$A$304,0))),"编号没找到"))</f>
        <v/>
      </c>
      <c r="N298" s="30" t="n"/>
    </row>
    <row r="299">
      <c r="A299" s="24" t="n"/>
      <c r="B299" s="29" t="n"/>
      <c r="C299" s="27" t="n"/>
      <c r="D299" s="31" t="n"/>
      <c r="E299" s="32" t="n"/>
      <c r="F299" s="35" t="n"/>
      <c r="G299" s="31" t="n"/>
      <c r="H299" s="20" t="str">
        <f>IF(AND(ISNUMBER(E299),ISNUMBER(F299)),E299*F299,"")</f>
        <v/>
      </c>
      <c r="I299" s="42" t="str">
        <f>IF(ISNUMBER(H299),ROUND(H299*IF(G299="挂单",'参数'!$C$11,'参数'!$C$12),4),"")</f>
        <v/>
      </c>
      <c r="J299" s="47" t="n"/>
      <c r="K299" s="47" t="n"/>
      <c r="L299" s="20" t="str">
        <f>IF(ISNUMBER(K299),K299+N(J299),IF(ISNUMBER(H299),I299+N(J299),""))</f>
        <v/>
      </c>
      <c r="M299" s="40" t="str">
        <f>IF(A299="","",IFERROR(T(INDEX('交易记录'!$C$5:$C$304,MATCH(A299,'交易记录'!$A$5:$A$304,0))),"编号没找到"))</f>
        <v/>
      </c>
      <c r="N299" s="30" t="n"/>
    </row>
    <row r="300">
      <c r="A300" s="24" t="n"/>
      <c r="B300" s="29" t="n"/>
      <c r="C300" s="27" t="n"/>
      <c r="D300" s="31" t="n"/>
      <c r="E300" s="32" t="n"/>
      <c r="F300" s="35" t="n"/>
      <c r="G300" s="31" t="n"/>
      <c r="H300" s="20" t="str">
        <f>IF(AND(ISNUMBER(E300),ISNUMBER(F300)),E300*F300,"")</f>
        <v/>
      </c>
      <c r="I300" s="42" t="str">
        <f>IF(ISNUMBER(H300),ROUND(H300*IF(G300="挂单",'参数'!$C$11,'参数'!$C$12),4),"")</f>
        <v/>
      </c>
      <c r="J300" s="47" t="n"/>
      <c r="K300" s="47" t="n"/>
      <c r="L300" s="20" t="str">
        <f>IF(ISNUMBER(K300),K300+N(J300),IF(ISNUMBER(H300),I300+N(J300),""))</f>
        <v/>
      </c>
      <c r="M300" s="40" t="str">
        <f>IF(A300="","",IFERROR(T(INDEX('交易记录'!$C$5:$C$304,MATCH(A300,'交易记录'!$A$5:$A$304,0))),"编号没找到"))</f>
        <v/>
      </c>
      <c r="N300" s="30" t="n"/>
    </row>
    <row r="301">
      <c r="A301" s="24" t="n"/>
      <c r="B301" s="29" t="n"/>
      <c r="C301" s="27" t="n"/>
      <c r="D301" s="31" t="n"/>
      <c r="E301" s="32" t="n"/>
      <c r="F301" s="35" t="n"/>
      <c r="G301" s="31" t="n"/>
      <c r="H301" s="20" t="str">
        <f>IF(AND(ISNUMBER(E301),ISNUMBER(F301)),E301*F301,"")</f>
        <v/>
      </c>
      <c r="I301" s="42" t="str">
        <f>IF(ISNUMBER(H301),ROUND(H301*IF(G301="挂单",'参数'!$C$11,'参数'!$C$12),4),"")</f>
        <v/>
      </c>
      <c r="J301" s="47" t="n"/>
      <c r="K301" s="47" t="n"/>
      <c r="L301" s="20" t="str">
        <f>IF(ISNUMBER(K301),K301+N(J301),IF(ISNUMBER(H301),I301+N(J301),""))</f>
        <v/>
      </c>
      <c r="M301" s="40" t="str">
        <f>IF(A301="","",IFERROR(T(INDEX('交易记录'!$C$5:$C$304,MATCH(A301,'交易记录'!$A$5:$A$304,0))),"编号没找到"))</f>
        <v/>
      </c>
      <c r="N301" s="30" t="n"/>
    </row>
    <row r="302">
      <c r="A302" s="24" t="n"/>
      <c r="B302" s="29" t="n"/>
      <c r="C302" s="27" t="n"/>
      <c r="D302" s="31" t="n"/>
      <c r="E302" s="32" t="n"/>
      <c r="F302" s="35" t="n"/>
      <c r="G302" s="31" t="n"/>
      <c r="H302" s="20" t="str">
        <f>IF(AND(ISNUMBER(E302),ISNUMBER(F302)),E302*F302,"")</f>
        <v/>
      </c>
      <c r="I302" s="42" t="str">
        <f>IF(ISNUMBER(H302),ROUND(H302*IF(G302="挂单",'参数'!$C$11,'参数'!$C$12),4),"")</f>
        <v/>
      </c>
      <c r="J302" s="47" t="n"/>
      <c r="K302" s="47" t="n"/>
      <c r="L302" s="20" t="str">
        <f>IF(ISNUMBER(K302),K302+N(J302),IF(ISNUMBER(H302),I302+N(J302),""))</f>
        <v/>
      </c>
      <c r="M302" s="40" t="str">
        <f>IF(A302="","",IFERROR(T(INDEX('交易记录'!$C$5:$C$304,MATCH(A302,'交易记录'!$A$5:$A$304,0))),"编号没找到"))</f>
        <v/>
      </c>
      <c r="N302" s="30" t="n"/>
    </row>
    <row r="303">
      <c r="A303" s="24" t="n"/>
      <c r="B303" s="29" t="n"/>
      <c r="C303" s="27" t="n"/>
      <c r="D303" s="31" t="n"/>
      <c r="E303" s="32" t="n"/>
      <c r="F303" s="35" t="n"/>
      <c r="G303" s="31" t="n"/>
      <c r="H303" s="20" t="str">
        <f>IF(AND(ISNUMBER(E303),ISNUMBER(F303)),E303*F303,"")</f>
        <v/>
      </c>
      <c r="I303" s="42" t="str">
        <f>IF(ISNUMBER(H303),ROUND(H303*IF(G303="挂单",'参数'!$C$11,'参数'!$C$12),4),"")</f>
        <v/>
      </c>
      <c r="J303" s="47" t="n"/>
      <c r="K303" s="47" t="n"/>
      <c r="L303" s="20" t="str">
        <f>IF(ISNUMBER(K303),K303+N(J303),IF(ISNUMBER(H303),I303+N(J303),""))</f>
        <v/>
      </c>
      <c r="M303" s="40" t="str">
        <f>IF(A303="","",IFERROR(T(INDEX('交易记录'!$C$5:$C$304,MATCH(A303,'交易记录'!$A$5:$A$304,0))),"编号没找到"))</f>
        <v/>
      </c>
      <c r="N303" s="30" t="n"/>
    </row>
    <row r="304">
      <c r="A304" s="24" t="n"/>
      <c r="B304" s="29" t="n"/>
      <c r="C304" s="27" t="n"/>
      <c r="D304" s="31" t="n"/>
      <c r="E304" s="32" t="n"/>
      <c r="F304" s="35" t="n"/>
      <c r="G304" s="31" t="n"/>
      <c r="H304" s="20" t="str">
        <f>IF(AND(ISNUMBER(E304),ISNUMBER(F304)),E304*F304,"")</f>
        <v/>
      </c>
      <c r="I304" s="42" t="str">
        <f>IF(ISNUMBER(H304),ROUND(H304*IF(G304="挂单",'参数'!$C$11,'参数'!$C$12),4),"")</f>
        <v/>
      </c>
      <c r="J304" s="47" t="n"/>
      <c r="K304" s="47" t="n"/>
      <c r="L304" s="20" t="str">
        <f>IF(ISNUMBER(K304),K304+N(J304),IF(ISNUMBER(H304),I304+N(J304),""))</f>
        <v/>
      </c>
      <c r="M304" s="40" t="str">
        <f>IF(A304="","",IFERROR(T(INDEX('交易记录'!$C$5:$C$304,MATCH(A304,'交易记录'!$A$5:$A$304,0))),"编号没找到"))</f>
        <v/>
      </c>
      <c r="N304" s="30" t="n"/>
    </row>
    <row r="305">
      <c r="A305" s="24" t="n"/>
      <c r="B305" s="29" t="n"/>
      <c r="C305" s="27" t="n"/>
      <c r="D305" s="31" t="n"/>
      <c r="E305" s="32" t="n"/>
      <c r="F305" s="35" t="n"/>
      <c r="G305" s="31" t="n"/>
      <c r="H305" s="20" t="str">
        <f>IF(AND(ISNUMBER(E305),ISNUMBER(F305)),E305*F305,"")</f>
        <v/>
      </c>
      <c r="I305" s="42" t="str">
        <f>IF(ISNUMBER(H305),ROUND(H305*IF(G305="挂单",'参数'!$C$11,'参数'!$C$12),4),"")</f>
        <v/>
      </c>
      <c r="J305" s="47" t="n"/>
      <c r="K305" s="47" t="n"/>
      <c r="L305" s="20" t="str">
        <f>IF(ISNUMBER(K305),K305+N(J305),IF(ISNUMBER(H305),I305+N(J305),""))</f>
        <v/>
      </c>
      <c r="M305" s="40" t="str">
        <f>IF(A305="","",IFERROR(T(INDEX('交易记录'!$C$5:$C$304,MATCH(A305,'交易记录'!$A$5:$A$304,0))),"编号没找到"))</f>
        <v/>
      </c>
      <c r="N305" s="30" t="n"/>
    </row>
    <row r="306">
      <c r="A306" s="24" t="n"/>
      <c r="B306" s="29" t="n"/>
      <c r="C306" s="27" t="n"/>
      <c r="D306" s="31" t="n"/>
      <c r="E306" s="32" t="n"/>
      <c r="F306" s="35" t="n"/>
      <c r="G306" s="31" t="n"/>
      <c r="H306" s="20" t="str">
        <f>IF(AND(ISNUMBER(E306),ISNUMBER(F306)),E306*F306,"")</f>
        <v/>
      </c>
      <c r="I306" s="42" t="str">
        <f>IF(ISNUMBER(H306),ROUND(H306*IF(G306="挂单",'参数'!$C$11,'参数'!$C$12),4),"")</f>
        <v/>
      </c>
      <c r="J306" s="47" t="n"/>
      <c r="K306" s="47" t="n"/>
      <c r="L306" s="20" t="str">
        <f>IF(ISNUMBER(K306),K306+N(J306),IF(ISNUMBER(H306),I306+N(J306),""))</f>
        <v/>
      </c>
      <c r="M306" s="40" t="str">
        <f>IF(A306="","",IFERROR(T(INDEX('交易记录'!$C$5:$C$304,MATCH(A306,'交易记录'!$A$5:$A$304,0))),"编号没找到"))</f>
        <v/>
      </c>
      <c r="N306" s="30" t="n"/>
    </row>
    <row r="307">
      <c r="A307" s="24" t="n"/>
      <c r="B307" s="29" t="n"/>
      <c r="C307" s="27" t="n"/>
      <c r="D307" s="31" t="n"/>
      <c r="E307" s="32" t="n"/>
      <c r="F307" s="35" t="n"/>
      <c r="G307" s="31" t="n"/>
      <c r="H307" s="20" t="str">
        <f>IF(AND(ISNUMBER(E307),ISNUMBER(F307)),E307*F307,"")</f>
        <v/>
      </c>
      <c r="I307" s="42" t="str">
        <f>IF(ISNUMBER(H307),ROUND(H307*IF(G307="挂单",'参数'!$C$11,'参数'!$C$12),4),"")</f>
        <v/>
      </c>
      <c r="J307" s="47" t="n"/>
      <c r="K307" s="47" t="n"/>
      <c r="L307" s="20" t="str">
        <f>IF(ISNUMBER(K307),K307+N(J307),IF(ISNUMBER(H307),I307+N(J307),""))</f>
        <v/>
      </c>
      <c r="M307" s="40" t="str">
        <f>IF(A307="","",IFERROR(T(INDEX('交易记录'!$C$5:$C$304,MATCH(A307,'交易记录'!$A$5:$A$304,0))),"编号没找到"))</f>
        <v/>
      </c>
      <c r="N307" s="30" t="n"/>
    </row>
    <row r="308">
      <c r="A308" s="24" t="n"/>
      <c r="B308" s="29" t="n"/>
      <c r="C308" s="27" t="n"/>
      <c r="D308" s="31" t="n"/>
      <c r="E308" s="32" t="n"/>
      <c r="F308" s="35" t="n"/>
      <c r="G308" s="31" t="n"/>
      <c r="H308" s="20" t="str">
        <f>IF(AND(ISNUMBER(E308),ISNUMBER(F308)),E308*F308,"")</f>
        <v/>
      </c>
      <c r="I308" s="42" t="str">
        <f>IF(ISNUMBER(H308),ROUND(H308*IF(G308="挂单",'参数'!$C$11,'参数'!$C$12),4),"")</f>
        <v/>
      </c>
      <c r="J308" s="47" t="n"/>
      <c r="K308" s="47" t="n"/>
      <c r="L308" s="20" t="str">
        <f>IF(ISNUMBER(K308),K308+N(J308),IF(ISNUMBER(H308),I308+N(J308),""))</f>
        <v/>
      </c>
      <c r="M308" s="40" t="str">
        <f>IF(A308="","",IFERROR(T(INDEX('交易记录'!$C$5:$C$304,MATCH(A308,'交易记录'!$A$5:$A$304,0))),"编号没找到"))</f>
        <v/>
      </c>
      <c r="N308" s="30" t="n"/>
    </row>
    <row r="309">
      <c r="A309" s="24" t="n"/>
      <c r="B309" s="29" t="n"/>
      <c r="C309" s="27" t="n"/>
      <c r="D309" s="31" t="n"/>
      <c r="E309" s="32" t="n"/>
      <c r="F309" s="35" t="n"/>
      <c r="G309" s="31" t="n"/>
      <c r="H309" s="20" t="str">
        <f>IF(AND(ISNUMBER(E309),ISNUMBER(F309)),E309*F309,"")</f>
        <v/>
      </c>
      <c r="I309" s="42" t="str">
        <f>IF(ISNUMBER(H309),ROUND(H309*IF(G309="挂单",'参数'!$C$11,'参数'!$C$12),4),"")</f>
        <v/>
      </c>
      <c r="J309" s="47" t="n"/>
      <c r="K309" s="47" t="n"/>
      <c r="L309" s="20" t="str">
        <f>IF(ISNUMBER(K309),K309+N(J309),IF(ISNUMBER(H309),I309+N(J309),""))</f>
        <v/>
      </c>
      <c r="M309" s="40" t="str">
        <f>IF(A309="","",IFERROR(T(INDEX('交易记录'!$C$5:$C$304,MATCH(A309,'交易记录'!$A$5:$A$304,0))),"编号没找到"))</f>
        <v/>
      </c>
      <c r="N309" s="30" t="n"/>
    </row>
    <row r="310">
      <c r="A310" s="24" t="n"/>
      <c r="B310" s="29" t="n"/>
      <c r="C310" s="27" t="n"/>
      <c r="D310" s="31" t="n"/>
      <c r="E310" s="32" t="n"/>
      <c r="F310" s="35" t="n"/>
      <c r="G310" s="31" t="n"/>
      <c r="H310" s="20" t="str">
        <f>IF(AND(ISNUMBER(E310),ISNUMBER(F310)),E310*F310,"")</f>
        <v/>
      </c>
      <c r="I310" s="42" t="str">
        <f>IF(ISNUMBER(H310),ROUND(H310*IF(G310="挂单",'参数'!$C$11,'参数'!$C$12),4),"")</f>
        <v/>
      </c>
      <c r="J310" s="47" t="n"/>
      <c r="K310" s="47" t="n"/>
      <c r="L310" s="20" t="str">
        <f>IF(ISNUMBER(K310),K310+N(J310),IF(ISNUMBER(H310),I310+N(J310),""))</f>
        <v/>
      </c>
      <c r="M310" s="40" t="str">
        <f>IF(A310="","",IFERROR(T(INDEX('交易记录'!$C$5:$C$304,MATCH(A310,'交易记录'!$A$5:$A$304,0))),"编号没找到"))</f>
        <v/>
      </c>
      <c r="N310" s="30" t="n"/>
    </row>
    <row r="311">
      <c r="A311" s="24" t="n"/>
      <c r="B311" s="29" t="n"/>
      <c r="C311" s="27" t="n"/>
      <c r="D311" s="31" t="n"/>
      <c r="E311" s="32" t="n"/>
      <c r="F311" s="35" t="n"/>
      <c r="G311" s="31" t="n"/>
      <c r="H311" s="20" t="str">
        <f>IF(AND(ISNUMBER(E311),ISNUMBER(F311)),E311*F311,"")</f>
        <v/>
      </c>
      <c r="I311" s="42" t="str">
        <f>IF(ISNUMBER(H311),ROUND(H311*IF(G311="挂单",'参数'!$C$11,'参数'!$C$12),4),"")</f>
        <v/>
      </c>
      <c r="J311" s="47" t="n"/>
      <c r="K311" s="47" t="n"/>
      <c r="L311" s="20" t="str">
        <f>IF(ISNUMBER(K311),K311+N(J311),IF(ISNUMBER(H311),I311+N(J311),""))</f>
        <v/>
      </c>
      <c r="M311" s="40" t="str">
        <f>IF(A311="","",IFERROR(T(INDEX('交易记录'!$C$5:$C$304,MATCH(A311,'交易记录'!$A$5:$A$304,0))),"编号没找到"))</f>
        <v/>
      </c>
      <c r="N311" s="30" t="n"/>
    </row>
    <row r="312">
      <c r="A312" s="24" t="n"/>
      <c r="B312" s="29" t="n"/>
      <c r="C312" s="27" t="n"/>
      <c r="D312" s="31" t="n"/>
      <c r="E312" s="32" t="n"/>
      <c r="F312" s="35" t="n"/>
      <c r="G312" s="31" t="n"/>
      <c r="H312" s="20" t="str">
        <f>IF(AND(ISNUMBER(E312),ISNUMBER(F312)),E312*F312,"")</f>
        <v/>
      </c>
      <c r="I312" s="42" t="str">
        <f>IF(ISNUMBER(H312),ROUND(H312*IF(G312="挂单",'参数'!$C$11,'参数'!$C$12),4),"")</f>
        <v/>
      </c>
      <c r="J312" s="47" t="n"/>
      <c r="K312" s="47" t="n"/>
      <c r="L312" s="20" t="str">
        <f>IF(ISNUMBER(K312),K312+N(J312),IF(ISNUMBER(H312),I312+N(J312),""))</f>
        <v/>
      </c>
      <c r="M312" s="40" t="str">
        <f>IF(A312="","",IFERROR(T(INDEX('交易记录'!$C$5:$C$304,MATCH(A312,'交易记录'!$A$5:$A$304,0))),"编号没找到"))</f>
        <v/>
      </c>
      <c r="N312" s="30" t="n"/>
    </row>
    <row r="313">
      <c r="A313" s="24" t="n"/>
      <c r="B313" s="29" t="n"/>
      <c r="C313" s="27" t="n"/>
      <c r="D313" s="31" t="n"/>
      <c r="E313" s="32" t="n"/>
      <c r="F313" s="35" t="n"/>
      <c r="G313" s="31" t="n"/>
      <c r="H313" s="20" t="str">
        <f>IF(AND(ISNUMBER(E313),ISNUMBER(F313)),E313*F313,"")</f>
        <v/>
      </c>
      <c r="I313" s="42" t="str">
        <f>IF(ISNUMBER(H313),ROUND(H313*IF(G313="挂单",'参数'!$C$11,'参数'!$C$12),4),"")</f>
        <v/>
      </c>
      <c r="J313" s="47" t="n"/>
      <c r="K313" s="47" t="n"/>
      <c r="L313" s="20" t="str">
        <f>IF(ISNUMBER(K313),K313+N(J313),IF(ISNUMBER(H313),I313+N(J313),""))</f>
        <v/>
      </c>
      <c r="M313" s="40" t="str">
        <f>IF(A313="","",IFERROR(T(INDEX('交易记录'!$C$5:$C$304,MATCH(A313,'交易记录'!$A$5:$A$304,0))),"编号没找到"))</f>
        <v/>
      </c>
      <c r="N313" s="30" t="n"/>
    </row>
    <row r="314">
      <c r="A314" s="24" t="n"/>
      <c r="B314" s="29" t="n"/>
      <c r="C314" s="27" t="n"/>
      <c r="D314" s="31" t="n"/>
      <c r="E314" s="32" t="n"/>
      <c r="F314" s="35" t="n"/>
      <c r="G314" s="31" t="n"/>
      <c r="H314" s="20" t="str">
        <f>IF(AND(ISNUMBER(E314),ISNUMBER(F314)),E314*F314,"")</f>
        <v/>
      </c>
      <c r="I314" s="42" t="str">
        <f>IF(ISNUMBER(H314),ROUND(H314*IF(G314="挂单",'参数'!$C$11,'参数'!$C$12),4),"")</f>
        <v/>
      </c>
      <c r="J314" s="47" t="n"/>
      <c r="K314" s="47" t="n"/>
      <c r="L314" s="20" t="str">
        <f>IF(ISNUMBER(K314),K314+N(J314),IF(ISNUMBER(H314),I314+N(J314),""))</f>
        <v/>
      </c>
      <c r="M314" s="40" t="str">
        <f>IF(A314="","",IFERROR(T(INDEX('交易记录'!$C$5:$C$304,MATCH(A314,'交易记录'!$A$5:$A$304,0))),"编号没找到"))</f>
        <v/>
      </c>
      <c r="N314" s="30" t="n"/>
    </row>
    <row r="315">
      <c r="A315" s="24" t="n"/>
      <c r="B315" s="29" t="n"/>
      <c r="C315" s="27" t="n"/>
      <c r="D315" s="31" t="n"/>
      <c r="E315" s="32" t="n"/>
      <c r="F315" s="35" t="n"/>
      <c r="G315" s="31" t="n"/>
      <c r="H315" s="20" t="str">
        <f>IF(AND(ISNUMBER(E315),ISNUMBER(F315)),E315*F315,"")</f>
        <v/>
      </c>
      <c r="I315" s="42" t="str">
        <f>IF(ISNUMBER(H315),ROUND(H315*IF(G315="挂单",'参数'!$C$11,'参数'!$C$12),4),"")</f>
        <v/>
      </c>
      <c r="J315" s="47" t="n"/>
      <c r="K315" s="47" t="n"/>
      <c r="L315" s="20" t="str">
        <f>IF(ISNUMBER(K315),K315+N(J315),IF(ISNUMBER(H315),I315+N(J315),""))</f>
        <v/>
      </c>
      <c r="M315" s="40" t="str">
        <f>IF(A315="","",IFERROR(T(INDEX('交易记录'!$C$5:$C$304,MATCH(A315,'交易记录'!$A$5:$A$304,0))),"编号没找到"))</f>
        <v/>
      </c>
      <c r="N315" s="30" t="n"/>
    </row>
    <row r="316">
      <c r="A316" s="24" t="n"/>
      <c r="B316" s="29" t="n"/>
      <c r="C316" s="27" t="n"/>
      <c r="D316" s="31" t="n"/>
      <c r="E316" s="32" t="n"/>
      <c r="F316" s="35" t="n"/>
      <c r="G316" s="31" t="n"/>
      <c r="H316" s="20" t="str">
        <f>IF(AND(ISNUMBER(E316),ISNUMBER(F316)),E316*F316,"")</f>
        <v/>
      </c>
      <c r="I316" s="42" t="str">
        <f>IF(ISNUMBER(H316),ROUND(H316*IF(G316="挂单",'参数'!$C$11,'参数'!$C$12),4),"")</f>
        <v/>
      </c>
      <c r="J316" s="47" t="n"/>
      <c r="K316" s="47" t="n"/>
      <c r="L316" s="20" t="str">
        <f>IF(ISNUMBER(K316),K316+N(J316),IF(ISNUMBER(H316),I316+N(J316),""))</f>
        <v/>
      </c>
      <c r="M316" s="40" t="str">
        <f>IF(A316="","",IFERROR(T(INDEX('交易记录'!$C$5:$C$304,MATCH(A316,'交易记录'!$A$5:$A$304,0))),"编号没找到"))</f>
        <v/>
      </c>
      <c r="N316" s="30" t="n"/>
    </row>
    <row r="317">
      <c r="A317" s="24" t="n"/>
      <c r="B317" s="29" t="n"/>
      <c r="C317" s="27" t="n"/>
      <c r="D317" s="31" t="n"/>
      <c r="E317" s="32" t="n"/>
      <c r="F317" s="35" t="n"/>
      <c r="G317" s="31" t="n"/>
      <c r="H317" s="20" t="str">
        <f>IF(AND(ISNUMBER(E317),ISNUMBER(F317)),E317*F317,"")</f>
        <v/>
      </c>
      <c r="I317" s="42" t="str">
        <f>IF(ISNUMBER(H317),ROUND(H317*IF(G317="挂单",'参数'!$C$11,'参数'!$C$12),4),"")</f>
        <v/>
      </c>
      <c r="J317" s="47" t="n"/>
      <c r="K317" s="47" t="n"/>
      <c r="L317" s="20" t="str">
        <f>IF(ISNUMBER(K317),K317+N(J317),IF(ISNUMBER(H317),I317+N(J317),""))</f>
        <v/>
      </c>
      <c r="M317" s="40" t="str">
        <f>IF(A317="","",IFERROR(T(INDEX('交易记录'!$C$5:$C$304,MATCH(A317,'交易记录'!$A$5:$A$304,0))),"编号没找到"))</f>
        <v/>
      </c>
      <c r="N317" s="30" t="n"/>
    </row>
    <row r="318">
      <c r="A318" s="24" t="n"/>
      <c r="B318" s="29" t="n"/>
      <c r="C318" s="27" t="n"/>
      <c r="D318" s="31" t="n"/>
      <c r="E318" s="32" t="n"/>
      <c r="F318" s="35" t="n"/>
      <c r="G318" s="31" t="n"/>
      <c r="H318" s="20" t="str">
        <f>IF(AND(ISNUMBER(E318),ISNUMBER(F318)),E318*F318,"")</f>
        <v/>
      </c>
      <c r="I318" s="42" t="str">
        <f>IF(ISNUMBER(H318),ROUND(H318*IF(G318="挂单",'参数'!$C$11,'参数'!$C$12),4),"")</f>
        <v/>
      </c>
      <c r="J318" s="47" t="n"/>
      <c r="K318" s="47" t="n"/>
      <c r="L318" s="20" t="str">
        <f>IF(ISNUMBER(K318),K318+N(J318),IF(ISNUMBER(H318),I318+N(J318),""))</f>
        <v/>
      </c>
      <c r="M318" s="40" t="str">
        <f>IF(A318="","",IFERROR(T(INDEX('交易记录'!$C$5:$C$304,MATCH(A318,'交易记录'!$A$5:$A$304,0))),"编号没找到"))</f>
        <v/>
      </c>
      <c r="N318" s="30" t="n"/>
    </row>
    <row r="319">
      <c r="A319" s="24" t="n"/>
      <c r="B319" s="29" t="n"/>
      <c r="C319" s="27" t="n"/>
      <c r="D319" s="31" t="n"/>
      <c r="E319" s="32" t="n"/>
      <c r="F319" s="35" t="n"/>
      <c r="G319" s="31" t="n"/>
      <c r="H319" s="20" t="str">
        <f>IF(AND(ISNUMBER(E319),ISNUMBER(F319)),E319*F319,"")</f>
        <v/>
      </c>
      <c r="I319" s="42" t="str">
        <f>IF(ISNUMBER(H319),ROUND(H319*IF(G319="挂单",'参数'!$C$11,'参数'!$C$12),4),"")</f>
        <v/>
      </c>
      <c r="J319" s="47" t="n"/>
      <c r="K319" s="47" t="n"/>
      <c r="L319" s="20" t="str">
        <f>IF(ISNUMBER(K319),K319+N(J319),IF(ISNUMBER(H319),I319+N(J319),""))</f>
        <v/>
      </c>
      <c r="M319" s="40" t="str">
        <f>IF(A319="","",IFERROR(T(INDEX('交易记录'!$C$5:$C$304,MATCH(A319,'交易记录'!$A$5:$A$304,0))),"编号没找到"))</f>
        <v/>
      </c>
      <c r="N319" s="30" t="n"/>
    </row>
    <row r="320">
      <c r="A320" s="24" t="n"/>
      <c r="B320" s="29" t="n"/>
      <c r="C320" s="27" t="n"/>
      <c r="D320" s="31" t="n"/>
      <c r="E320" s="32" t="n"/>
      <c r="F320" s="35" t="n"/>
      <c r="G320" s="31" t="n"/>
      <c r="H320" s="20" t="str">
        <f>IF(AND(ISNUMBER(E320),ISNUMBER(F320)),E320*F320,"")</f>
        <v/>
      </c>
      <c r="I320" s="42" t="str">
        <f>IF(ISNUMBER(H320),ROUND(H320*IF(G320="挂单",'参数'!$C$11,'参数'!$C$12),4),"")</f>
        <v/>
      </c>
      <c r="J320" s="47" t="n"/>
      <c r="K320" s="47" t="n"/>
      <c r="L320" s="20" t="str">
        <f>IF(ISNUMBER(K320),K320+N(J320),IF(ISNUMBER(H320),I320+N(J320),""))</f>
        <v/>
      </c>
      <c r="M320" s="40" t="str">
        <f>IF(A320="","",IFERROR(T(INDEX('交易记录'!$C$5:$C$304,MATCH(A320,'交易记录'!$A$5:$A$304,0))),"编号没找到"))</f>
        <v/>
      </c>
      <c r="N320" s="30" t="n"/>
    </row>
    <row r="321">
      <c r="A321" s="24" t="n"/>
      <c r="B321" s="29" t="n"/>
      <c r="C321" s="27" t="n"/>
      <c r="D321" s="31" t="n"/>
      <c r="E321" s="32" t="n"/>
      <c r="F321" s="35" t="n"/>
      <c r="G321" s="31" t="n"/>
      <c r="H321" s="20" t="str">
        <f>IF(AND(ISNUMBER(E321),ISNUMBER(F321)),E321*F321,"")</f>
        <v/>
      </c>
      <c r="I321" s="42" t="str">
        <f>IF(ISNUMBER(H321),ROUND(H321*IF(G321="挂单",'参数'!$C$11,'参数'!$C$12),4),"")</f>
        <v/>
      </c>
      <c r="J321" s="47" t="n"/>
      <c r="K321" s="47" t="n"/>
      <c r="L321" s="20" t="str">
        <f>IF(ISNUMBER(K321),K321+N(J321),IF(ISNUMBER(H321),I321+N(J321),""))</f>
        <v/>
      </c>
      <c r="M321" s="40" t="str">
        <f>IF(A321="","",IFERROR(T(INDEX('交易记录'!$C$5:$C$304,MATCH(A321,'交易记录'!$A$5:$A$304,0))),"编号没找到"))</f>
        <v/>
      </c>
      <c r="N321" s="30" t="n"/>
    </row>
    <row r="322">
      <c r="A322" s="24" t="n"/>
      <c r="B322" s="29" t="n"/>
      <c r="C322" s="27" t="n"/>
      <c r="D322" s="31" t="n"/>
      <c r="E322" s="32" t="n"/>
      <c r="F322" s="35" t="n"/>
      <c r="G322" s="31" t="n"/>
      <c r="H322" s="20" t="str">
        <f>IF(AND(ISNUMBER(E322),ISNUMBER(F322)),E322*F322,"")</f>
        <v/>
      </c>
      <c r="I322" s="42" t="str">
        <f>IF(ISNUMBER(H322),ROUND(H322*IF(G322="挂单",'参数'!$C$11,'参数'!$C$12),4),"")</f>
        <v/>
      </c>
      <c r="J322" s="47" t="n"/>
      <c r="K322" s="47" t="n"/>
      <c r="L322" s="20" t="str">
        <f>IF(ISNUMBER(K322),K322+N(J322),IF(ISNUMBER(H322),I322+N(J322),""))</f>
        <v/>
      </c>
      <c r="M322" s="40" t="str">
        <f>IF(A322="","",IFERROR(T(INDEX('交易记录'!$C$5:$C$304,MATCH(A322,'交易记录'!$A$5:$A$304,0))),"编号没找到"))</f>
        <v/>
      </c>
      <c r="N322" s="30" t="n"/>
    </row>
    <row r="323">
      <c r="A323" s="24" t="n"/>
      <c r="B323" s="29" t="n"/>
      <c r="C323" s="27" t="n"/>
      <c r="D323" s="31" t="n"/>
      <c r="E323" s="32" t="n"/>
      <c r="F323" s="35" t="n"/>
      <c r="G323" s="31" t="n"/>
      <c r="H323" s="20" t="str">
        <f>IF(AND(ISNUMBER(E323),ISNUMBER(F323)),E323*F323,"")</f>
        <v/>
      </c>
      <c r="I323" s="42" t="str">
        <f>IF(ISNUMBER(H323),ROUND(H323*IF(G323="挂单",'参数'!$C$11,'参数'!$C$12),4),"")</f>
        <v/>
      </c>
      <c r="J323" s="47" t="n"/>
      <c r="K323" s="47" t="n"/>
      <c r="L323" s="20" t="str">
        <f>IF(ISNUMBER(K323),K323+N(J323),IF(ISNUMBER(H323),I323+N(J323),""))</f>
        <v/>
      </c>
      <c r="M323" s="40" t="str">
        <f>IF(A323="","",IFERROR(T(INDEX('交易记录'!$C$5:$C$304,MATCH(A323,'交易记录'!$A$5:$A$304,0))),"编号没找到"))</f>
        <v/>
      </c>
      <c r="N323" s="30" t="n"/>
    </row>
    <row r="324">
      <c r="A324" s="24" t="n"/>
      <c r="B324" s="29" t="n"/>
      <c r="C324" s="27" t="n"/>
      <c r="D324" s="31" t="n"/>
      <c r="E324" s="32" t="n"/>
      <c r="F324" s="35" t="n"/>
      <c r="G324" s="31" t="n"/>
      <c r="H324" s="20" t="str">
        <f>IF(AND(ISNUMBER(E324),ISNUMBER(F324)),E324*F324,"")</f>
        <v/>
      </c>
      <c r="I324" s="42" t="str">
        <f>IF(ISNUMBER(H324),ROUND(H324*IF(G324="挂单",'参数'!$C$11,'参数'!$C$12),4),"")</f>
        <v/>
      </c>
      <c r="J324" s="47" t="n"/>
      <c r="K324" s="47" t="n"/>
      <c r="L324" s="20" t="str">
        <f>IF(ISNUMBER(K324),K324+N(J324),IF(ISNUMBER(H324),I324+N(J324),""))</f>
        <v/>
      </c>
      <c r="M324" s="40" t="str">
        <f>IF(A324="","",IFERROR(T(INDEX('交易记录'!$C$5:$C$304,MATCH(A324,'交易记录'!$A$5:$A$304,0))),"编号没找到"))</f>
        <v/>
      </c>
      <c r="N324" s="30" t="n"/>
    </row>
    <row r="325">
      <c r="A325" s="24" t="n"/>
      <c r="B325" s="29" t="n"/>
      <c r="C325" s="27" t="n"/>
      <c r="D325" s="31" t="n"/>
      <c r="E325" s="32" t="n"/>
      <c r="F325" s="35" t="n"/>
      <c r="G325" s="31" t="n"/>
      <c r="H325" s="20" t="str">
        <f>IF(AND(ISNUMBER(E325),ISNUMBER(F325)),E325*F325,"")</f>
        <v/>
      </c>
      <c r="I325" s="42" t="str">
        <f>IF(ISNUMBER(H325),ROUND(H325*IF(G325="挂单",'参数'!$C$11,'参数'!$C$12),4),"")</f>
        <v/>
      </c>
      <c r="J325" s="47" t="n"/>
      <c r="K325" s="47" t="n"/>
      <c r="L325" s="20" t="str">
        <f>IF(ISNUMBER(K325),K325+N(J325),IF(ISNUMBER(H325),I325+N(J325),""))</f>
        <v/>
      </c>
      <c r="M325" s="40" t="str">
        <f>IF(A325="","",IFERROR(T(INDEX('交易记录'!$C$5:$C$304,MATCH(A325,'交易记录'!$A$5:$A$304,0))),"编号没找到"))</f>
        <v/>
      </c>
      <c r="N325" s="30" t="n"/>
    </row>
    <row r="326">
      <c r="A326" s="24" t="n"/>
      <c r="B326" s="29" t="n"/>
      <c r="C326" s="27" t="n"/>
      <c r="D326" s="31" t="n"/>
      <c r="E326" s="32" t="n"/>
      <c r="F326" s="35" t="n"/>
      <c r="G326" s="31" t="n"/>
      <c r="H326" s="20" t="str">
        <f>IF(AND(ISNUMBER(E326),ISNUMBER(F326)),E326*F326,"")</f>
        <v/>
      </c>
      <c r="I326" s="42" t="str">
        <f>IF(ISNUMBER(H326),ROUND(H326*IF(G326="挂单",'参数'!$C$11,'参数'!$C$12),4),"")</f>
        <v/>
      </c>
      <c r="J326" s="47" t="n"/>
      <c r="K326" s="47" t="n"/>
      <c r="L326" s="20" t="str">
        <f>IF(ISNUMBER(K326),K326+N(J326),IF(ISNUMBER(H326),I326+N(J326),""))</f>
        <v/>
      </c>
      <c r="M326" s="40" t="str">
        <f>IF(A326="","",IFERROR(T(INDEX('交易记录'!$C$5:$C$304,MATCH(A326,'交易记录'!$A$5:$A$304,0))),"编号没找到"))</f>
        <v/>
      </c>
      <c r="N326" s="30" t="n"/>
    </row>
    <row r="327">
      <c r="A327" s="24" t="n"/>
      <c r="B327" s="29" t="n"/>
      <c r="C327" s="27" t="n"/>
      <c r="D327" s="31" t="n"/>
      <c r="E327" s="32" t="n"/>
      <c r="F327" s="35" t="n"/>
      <c r="G327" s="31" t="n"/>
      <c r="H327" s="20" t="str">
        <f>IF(AND(ISNUMBER(E327),ISNUMBER(F327)),E327*F327,"")</f>
        <v/>
      </c>
      <c r="I327" s="42" t="str">
        <f>IF(ISNUMBER(H327),ROUND(H327*IF(G327="挂单",'参数'!$C$11,'参数'!$C$12),4),"")</f>
        <v/>
      </c>
      <c r="J327" s="47" t="n"/>
      <c r="K327" s="47" t="n"/>
      <c r="L327" s="20" t="str">
        <f>IF(ISNUMBER(K327),K327+N(J327),IF(ISNUMBER(H327),I327+N(J327),""))</f>
        <v/>
      </c>
      <c r="M327" s="40" t="str">
        <f>IF(A327="","",IFERROR(T(INDEX('交易记录'!$C$5:$C$304,MATCH(A327,'交易记录'!$A$5:$A$304,0))),"编号没找到"))</f>
        <v/>
      </c>
      <c r="N327" s="30" t="n"/>
    </row>
    <row r="328">
      <c r="A328" s="24" t="n"/>
      <c r="B328" s="29" t="n"/>
      <c r="C328" s="27" t="n"/>
      <c r="D328" s="31" t="n"/>
      <c r="E328" s="32" t="n"/>
      <c r="F328" s="35" t="n"/>
      <c r="G328" s="31" t="n"/>
      <c r="H328" s="20" t="str">
        <f>IF(AND(ISNUMBER(E328),ISNUMBER(F328)),E328*F328,"")</f>
        <v/>
      </c>
      <c r="I328" s="42" t="str">
        <f>IF(ISNUMBER(H328),ROUND(H328*IF(G328="挂单",'参数'!$C$11,'参数'!$C$12),4),"")</f>
        <v/>
      </c>
      <c r="J328" s="47" t="n"/>
      <c r="K328" s="47" t="n"/>
      <c r="L328" s="20" t="str">
        <f>IF(ISNUMBER(K328),K328+N(J328),IF(ISNUMBER(H328),I328+N(J328),""))</f>
        <v/>
      </c>
      <c r="M328" s="40" t="str">
        <f>IF(A328="","",IFERROR(T(INDEX('交易记录'!$C$5:$C$304,MATCH(A328,'交易记录'!$A$5:$A$304,0))),"编号没找到"))</f>
        <v/>
      </c>
      <c r="N328" s="30" t="n"/>
    </row>
    <row r="329">
      <c r="A329" s="24" t="n"/>
      <c r="B329" s="29" t="n"/>
      <c r="C329" s="27" t="n"/>
      <c r="D329" s="31" t="n"/>
      <c r="E329" s="32" t="n"/>
      <c r="F329" s="35" t="n"/>
      <c r="G329" s="31" t="n"/>
      <c r="H329" s="20" t="str">
        <f>IF(AND(ISNUMBER(E329),ISNUMBER(F329)),E329*F329,"")</f>
        <v/>
      </c>
      <c r="I329" s="42" t="str">
        <f>IF(ISNUMBER(H329),ROUND(H329*IF(G329="挂单",'参数'!$C$11,'参数'!$C$12),4),"")</f>
        <v/>
      </c>
      <c r="J329" s="47" t="n"/>
      <c r="K329" s="47" t="n"/>
      <c r="L329" s="20" t="str">
        <f>IF(ISNUMBER(K329),K329+N(J329),IF(ISNUMBER(H329),I329+N(J329),""))</f>
        <v/>
      </c>
      <c r="M329" s="40" t="str">
        <f>IF(A329="","",IFERROR(T(INDEX('交易记录'!$C$5:$C$304,MATCH(A329,'交易记录'!$A$5:$A$304,0))),"编号没找到"))</f>
        <v/>
      </c>
      <c r="N329" s="30" t="n"/>
    </row>
    <row r="330">
      <c r="A330" s="24" t="n"/>
      <c r="B330" s="29" t="n"/>
      <c r="C330" s="27" t="n"/>
      <c r="D330" s="31" t="n"/>
      <c r="E330" s="32" t="n"/>
      <c r="F330" s="35" t="n"/>
      <c r="G330" s="31" t="n"/>
      <c r="H330" s="20" t="str">
        <f>IF(AND(ISNUMBER(E330),ISNUMBER(F330)),E330*F330,"")</f>
        <v/>
      </c>
      <c r="I330" s="42" t="str">
        <f>IF(ISNUMBER(H330),ROUND(H330*IF(G330="挂单",'参数'!$C$11,'参数'!$C$12),4),"")</f>
        <v/>
      </c>
      <c r="J330" s="47" t="n"/>
      <c r="K330" s="47" t="n"/>
      <c r="L330" s="20" t="str">
        <f>IF(ISNUMBER(K330),K330+N(J330),IF(ISNUMBER(H330),I330+N(J330),""))</f>
        <v/>
      </c>
      <c r="M330" s="40" t="str">
        <f>IF(A330="","",IFERROR(T(INDEX('交易记录'!$C$5:$C$304,MATCH(A330,'交易记录'!$A$5:$A$304,0))),"编号没找到"))</f>
        <v/>
      </c>
      <c r="N330" s="30" t="n"/>
    </row>
    <row r="331">
      <c r="A331" s="24" t="n"/>
      <c r="B331" s="29" t="n"/>
      <c r="C331" s="27" t="n"/>
      <c r="D331" s="31" t="n"/>
      <c r="E331" s="32" t="n"/>
      <c r="F331" s="35" t="n"/>
      <c r="G331" s="31" t="n"/>
      <c r="H331" s="20" t="str">
        <f>IF(AND(ISNUMBER(E331),ISNUMBER(F331)),E331*F331,"")</f>
        <v/>
      </c>
      <c r="I331" s="42" t="str">
        <f>IF(ISNUMBER(H331),ROUND(H331*IF(G331="挂单",'参数'!$C$11,'参数'!$C$12),4),"")</f>
        <v/>
      </c>
      <c r="J331" s="47" t="n"/>
      <c r="K331" s="47" t="n"/>
      <c r="L331" s="20" t="str">
        <f>IF(ISNUMBER(K331),K331+N(J331),IF(ISNUMBER(H331),I331+N(J331),""))</f>
        <v/>
      </c>
      <c r="M331" s="40" t="str">
        <f>IF(A331="","",IFERROR(T(INDEX('交易记录'!$C$5:$C$304,MATCH(A331,'交易记录'!$A$5:$A$304,0))),"编号没找到"))</f>
        <v/>
      </c>
      <c r="N331" s="30" t="n"/>
    </row>
    <row r="332">
      <c r="A332" s="24" t="n"/>
      <c r="B332" s="29" t="n"/>
      <c r="C332" s="27" t="n"/>
      <c r="D332" s="31" t="n"/>
      <c r="E332" s="32" t="n"/>
      <c r="F332" s="35" t="n"/>
      <c r="G332" s="31" t="n"/>
      <c r="H332" s="20" t="str">
        <f>IF(AND(ISNUMBER(E332),ISNUMBER(F332)),E332*F332,"")</f>
        <v/>
      </c>
      <c r="I332" s="42" t="str">
        <f>IF(ISNUMBER(H332),ROUND(H332*IF(G332="挂单",'参数'!$C$11,'参数'!$C$12),4),"")</f>
        <v/>
      </c>
      <c r="J332" s="47" t="n"/>
      <c r="K332" s="47" t="n"/>
      <c r="L332" s="20" t="str">
        <f>IF(ISNUMBER(K332),K332+N(J332),IF(ISNUMBER(H332),I332+N(J332),""))</f>
        <v/>
      </c>
      <c r="M332" s="40" t="str">
        <f>IF(A332="","",IFERROR(T(INDEX('交易记录'!$C$5:$C$304,MATCH(A332,'交易记录'!$A$5:$A$304,0))),"编号没找到"))</f>
        <v/>
      </c>
      <c r="N332" s="30" t="n"/>
    </row>
    <row r="333">
      <c r="A333" s="24" t="n"/>
      <c r="B333" s="29" t="n"/>
      <c r="C333" s="27" t="n"/>
      <c r="D333" s="31" t="n"/>
      <c r="E333" s="32" t="n"/>
      <c r="F333" s="35" t="n"/>
      <c r="G333" s="31" t="n"/>
      <c r="H333" s="20" t="str">
        <f>IF(AND(ISNUMBER(E333),ISNUMBER(F333)),E333*F333,"")</f>
        <v/>
      </c>
      <c r="I333" s="42" t="str">
        <f>IF(ISNUMBER(H333),ROUND(H333*IF(G333="挂单",'参数'!$C$11,'参数'!$C$12),4),"")</f>
        <v/>
      </c>
      <c r="J333" s="47" t="n"/>
      <c r="K333" s="47" t="n"/>
      <c r="L333" s="20" t="str">
        <f>IF(ISNUMBER(K333),K333+N(J333),IF(ISNUMBER(H333),I333+N(J333),""))</f>
        <v/>
      </c>
      <c r="M333" s="40" t="str">
        <f>IF(A333="","",IFERROR(T(INDEX('交易记录'!$C$5:$C$304,MATCH(A333,'交易记录'!$A$5:$A$304,0))),"编号没找到"))</f>
        <v/>
      </c>
      <c r="N333" s="30" t="n"/>
    </row>
    <row r="334">
      <c r="A334" s="24" t="n"/>
      <c r="B334" s="29" t="n"/>
      <c r="C334" s="27" t="n"/>
      <c r="D334" s="31" t="n"/>
      <c r="E334" s="32" t="n"/>
      <c r="F334" s="35" t="n"/>
      <c r="G334" s="31" t="n"/>
      <c r="H334" s="20" t="str">
        <f>IF(AND(ISNUMBER(E334),ISNUMBER(F334)),E334*F334,"")</f>
        <v/>
      </c>
      <c r="I334" s="42" t="str">
        <f>IF(ISNUMBER(H334),ROUND(H334*IF(G334="挂单",'参数'!$C$11,'参数'!$C$12),4),"")</f>
        <v/>
      </c>
      <c r="J334" s="47" t="n"/>
      <c r="K334" s="47" t="n"/>
      <c r="L334" s="20" t="str">
        <f>IF(ISNUMBER(K334),K334+N(J334),IF(ISNUMBER(H334),I334+N(J334),""))</f>
        <v/>
      </c>
      <c r="M334" s="40" t="str">
        <f>IF(A334="","",IFERROR(T(INDEX('交易记录'!$C$5:$C$304,MATCH(A334,'交易记录'!$A$5:$A$304,0))),"编号没找到"))</f>
        <v/>
      </c>
      <c r="N334" s="30" t="n"/>
    </row>
    <row r="335">
      <c r="A335" s="24" t="n"/>
      <c r="B335" s="29" t="n"/>
      <c r="C335" s="27" t="n"/>
      <c r="D335" s="31" t="n"/>
      <c r="E335" s="32" t="n"/>
      <c r="F335" s="35" t="n"/>
      <c r="G335" s="31" t="n"/>
      <c r="H335" s="20" t="str">
        <f>IF(AND(ISNUMBER(E335),ISNUMBER(F335)),E335*F335,"")</f>
        <v/>
      </c>
      <c r="I335" s="42" t="str">
        <f>IF(ISNUMBER(H335),ROUND(H335*IF(G335="挂单",'参数'!$C$11,'参数'!$C$12),4),"")</f>
        <v/>
      </c>
      <c r="J335" s="47" t="n"/>
      <c r="K335" s="47" t="n"/>
      <c r="L335" s="20" t="str">
        <f>IF(ISNUMBER(K335),K335+N(J335),IF(ISNUMBER(H335),I335+N(J335),""))</f>
        <v/>
      </c>
      <c r="M335" s="40" t="str">
        <f>IF(A335="","",IFERROR(T(INDEX('交易记录'!$C$5:$C$304,MATCH(A335,'交易记录'!$A$5:$A$304,0))),"编号没找到"))</f>
        <v/>
      </c>
      <c r="N335" s="30" t="n"/>
    </row>
    <row r="336">
      <c r="A336" s="24" t="n"/>
      <c r="B336" s="29" t="n"/>
      <c r="C336" s="27" t="n"/>
      <c r="D336" s="31" t="n"/>
      <c r="E336" s="32" t="n"/>
      <c r="F336" s="35" t="n"/>
      <c r="G336" s="31" t="n"/>
      <c r="H336" s="20" t="str">
        <f>IF(AND(ISNUMBER(E336),ISNUMBER(F336)),E336*F336,"")</f>
        <v/>
      </c>
      <c r="I336" s="42" t="str">
        <f>IF(ISNUMBER(H336),ROUND(H336*IF(G336="挂单",'参数'!$C$11,'参数'!$C$12),4),"")</f>
        <v/>
      </c>
      <c r="J336" s="47" t="n"/>
      <c r="K336" s="47" t="n"/>
      <c r="L336" s="20" t="str">
        <f>IF(ISNUMBER(K336),K336+N(J336),IF(ISNUMBER(H336),I336+N(J336),""))</f>
        <v/>
      </c>
      <c r="M336" s="40" t="str">
        <f>IF(A336="","",IFERROR(T(INDEX('交易记录'!$C$5:$C$304,MATCH(A336,'交易记录'!$A$5:$A$304,0))),"编号没找到"))</f>
        <v/>
      </c>
      <c r="N336" s="30" t="n"/>
    </row>
    <row r="337">
      <c r="A337" s="24" t="n"/>
      <c r="B337" s="29" t="n"/>
      <c r="C337" s="27" t="n"/>
      <c r="D337" s="31" t="n"/>
      <c r="E337" s="32" t="n"/>
      <c r="F337" s="35" t="n"/>
      <c r="G337" s="31" t="n"/>
      <c r="H337" s="20" t="str">
        <f>IF(AND(ISNUMBER(E337),ISNUMBER(F337)),E337*F337,"")</f>
        <v/>
      </c>
      <c r="I337" s="42" t="str">
        <f>IF(ISNUMBER(H337),ROUND(H337*IF(G337="挂单",'参数'!$C$11,'参数'!$C$12),4),"")</f>
        <v/>
      </c>
      <c r="J337" s="47" t="n"/>
      <c r="K337" s="47" t="n"/>
      <c r="L337" s="20" t="str">
        <f>IF(ISNUMBER(K337),K337+N(J337),IF(ISNUMBER(H337),I337+N(J337),""))</f>
        <v/>
      </c>
      <c r="M337" s="40" t="str">
        <f>IF(A337="","",IFERROR(T(INDEX('交易记录'!$C$5:$C$304,MATCH(A337,'交易记录'!$A$5:$A$304,0))),"编号没找到"))</f>
        <v/>
      </c>
      <c r="N337" s="30" t="n"/>
    </row>
    <row r="338">
      <c r="A338" s="24" t="n"/>
      <c r="B338" s="29" t="n"/>
      <c r="C338" s="27" t="n"/>
      <c r="D338" s="31" t="n"/>
      <c r="E338" s="32" t="n"/>
      <c r="F338" s="35" t="n"/>
      <c r="G338" s="31" t="n"/>
      <c r="H338" s="20" t="str">
        <f>IF(AND(ISNUMBER(E338),ISNUMBER(F338)),E338*F338,"")</f>
        <v/>
      </c>
      <c r="I338" s="42" t="str">
        <f>IF(ISNUMBER(H338),ROUND(H338*IF(G338="挂单",'参数'!$C$11,'参数'!$C$12),4),"")</f>
        <v/>
      </c>
      <c r="J338" s="47" t="n"/>
      <c r="K338" s="47" t="n"/>
      <c r="L338" s="20" t="str">
        <f>IF(ISNUMBER(K338),K338+N(J338),IF(ISNUMBER(H338),I338+N(J338),""))</f>
        <v/>
      </c>
      <c r="M338" s="40" t="str">
        <f>IF(A338="","",IFERROR(T(INDEX('交易记录'!$C$5:$C$304,MATCH(A338,'交易记录'!$A$5:$A$304,0))),"编号没找到"))</f>
        <v/>
      </c>
      <c r="N338" s="30" t="n"/>
    </row>
    <row r="339">
      <c r="A339" s="24" t="n"/>
      <c r="B339" s="29" t="n"/>
      <c r="C339" s="27" t="n"/>
      <c r="D339" s="31" t="n"/>
      <c r="E339" s="32" t="n"/>
      <c r="F339" s="35" t="n"/>
      <c r="G339" s="31" t="n"/>
      <c r="H339" s="20" t="str">
        <f>IF(AND(ISNUMBER(E339),ISNUMBER(F339)),E339*F339,"")</f>
        <v/>
      </c>
      <c r="I339" s="42" t="str">
        <f>IF(ISNUMBER(H339),ROUND(H339*IF(G339="挂单",'参数'!$C$11,'参数'!$C$12),4),"")</f>
        <v/>
      </c>
      <c r="J339" s="47" t="n"/>
      <c r="K339" s="47" t="n"/>
      <c r="L339" s="20" t="str">
        <f>IF(ISNUMBER(K339),K339+N(J339),IF(ISNUMBER(H339),I339+N(J339),""))</f>
        <v/>
      </c>
      <c r="M339" s="40" t="str">
        <f>IF(A339="","",IFERROR(T(INDEX('交易记录'!$C$5:$C$304,MATCH(A339,'交易记录'!$A$5:$A$304,0))),"编号没找到"))</f>
        <v/>
      </c>
      <c r="N339" s="30" t="n"/>
    </row>
    <row r="340">
      <c r="A340" s="24" t="n"/>
      <c r="B340" s="29" t="n"/>
      <c r="C340" s="27" t="n"/>
      <c r="D340" s="31" t="n"/>
      <c r="E340" s="32" t="n"/>
      <c r="F340" s="35" t="n"/>
      <c r="G340" s="31" t="n"/>
      <c r="H340" s="20" t="str">
        <f>IF(AND(ISNUMBER(E340),ISNUMBER(F340)),E340*F340,"")</f>
        <v/>
      </c>
      <c r="I340" s="42" t="str">
        <f>IF(ISNUMBER(H340),ROUND(H340*IF(G340="挂单",'参数'!$C$11,'参数'!$C$12),4),"")</f>
        <v/>
      </c>
      <c r="J340" s="47" t="n"/>
      <c r="K340" s="47" t="n"/>
      <c r="L340" s="20" t="str">
        <f>IF(ISNUMBER(K340),K340+N(J340),IF(ISNUMBER(H340),I340+N(J340),""))</f>
        <v/>
      </c>
      <c r="M340" s="40" t="str">
        <f>IF(A340="","",IFERROR(T(INDEX('交易记录'!$C$5:$C$304,MATCH(A340,'交易记录'!$A$5:$A$304,0))),"编号没找到"))</f>
        <v/>
      </c>
      <c r="N340" s="30" t="n"/>
    </row>
    <row r="341">
      <c r="A341" s="24" t="n"/>
      <c r="B341" s="29" t="n"/>
      <c r="C341" s="27" t="n"/>
      <c r="D341" s="31" t="n"/>
      <c r="E341" s="32" t="n"/>
      <c r="F341" s="35" t="n"/>
      <c r="G341" s="31" t="n"/>
      <c r="H341" s="20" t="str">
        <f>IF(AND(ISNUMBER(E341),ISNUMBER(F341)),E341*F341,"")</f>
        <v/>
      </c>
      <c r="I341" s="42" t="str">
        <f>IF(ISNUMBER(H341),ROUND(H341*IF(G341="挂单",'参数'!$C$11,'参数'!$C$12),4),"")</f>
        <v/>
      </c>
      <c r="J341" s="47" t="n"/>
      <c r="K341" s="47" t="n"/>
      <c r="L341" s="20" t="str">
        <f>IF(ISNUMBER(K341),K341+N(J341),IF(ISNUMBER(H341),I341+N(J341),""))</f>
        <v/>
      </c>
      <c r="M341" s="40" t="str">
        <f>IF(A341="","",IFERROR(T(INDEX('交易记录'!$C$5:$C$304,MATCH(A341,'交易记录'!$A$5:$A$304,0))),"编号没找到"))</f>
        <v/>
      </c>
      <c r="N341" s="30" t="n"/>
    </row>
    <row r="342">
      <c r="A342" s="24" t="n"/>
      <c r="B342" s="29" t="n"/>
      <c r="C342" s="27" t="n"/>
      <c r="D342" s="31" t="n"/>
      <c r="E342" s="32" t="n"/>
      <c r="F342" s="35" t="n"/>
      <c r="G342" s="31" t="n"/>
      <c r="H342" s="20" t="str">
        <f>IF(AND(ISNUMBER(E342),ISNUMBER(F342)),E342*F342,"")</f>
        <v/>
      </c>
      <c r="I342" s="42" t="str">
        <f>IF(ISNUMBER(H342),ROUND(H342*IF(G342="挂单",'参数'!$C$11,'参数'!$C$12),4),"")</f>
        <v/>
      </c>
      <c r="J342" s="47" t="n"/>
      <c r="K342" s="47" t="n"/>
      <c r="L342" s="20" t="str">
        <f>IF(ISNUMBER(K342),K342+N(J342),IF(ISNUMBER(H342),I342+N(J342),""))</f>
        <v/>
      </c>
      <c r="M342" s="40" t="str">
        <f>IF(A342="","",IFERROR(T(INDEX('交易记录'!$C$5:$C$304,MATCH(A342,'交易记录'!$A$5:$A$304,0))),"编号没找到"))</f>
        <v/>
      </c>
      <c r="N342" s="30" t="n"/>
    </row>
    <row r="343">
      <c r="A343" s="24" t="n"/>
      <c r="B343" s="29" t="n"/>
      <c r="C343" s="27" t="n"/>
      <c r="D343" s="31" t="n"/>
      <c r="E343" s="32" t="n"/>
      <c r="F343" s="35" t="n"/>
      <c r="G343" s="31" t="n"/>
      <c r="H343" s="20" t="str">
        <f>IF(AND(ISNUMBER(E343),ISNUMBER(F343)),E343*F343,"")</f>
        <v/>
      </c>
      <c r="I343" s="42" t="str">
        <f>IF(ISNUMBER(H343),ROUND(H343*IF(G343="挂单",'参数'!$C$11,'参数'!$C$12),4),"")</f>
        <v/>
      </c>
      <c r="J343" s="47" t="n"/>
      <c r="K343" s="47" t="n"/>
      <c r="L343" s="20" t="str">
        <f>IF(ISNUMBER(K343),K343+N(J343),IF(ISNUMBER(H343),I343+N(J343),""))</f>
        <v/>
      </c>
      <c r="M343" s="40" t="str">
        <f>IF(A343="","",IFERROR(T(INDEX('交易记录'!$C$5:$C$304,MATCH(A343,'交易记录'!$A$5:$A$304,0))),"编号没找到"))</f>
        <v/>
      </c>
      <c r="N343" s="30" t="n"/>
    </row>
    <row r="344">
      <c r="A344" s="24" t="n"/>
      <c r="B344" s="29" t="n"/>
      <c r="C344" s="27" t="n"/>
      <c r="D344" s="31" t="n"/>
      <c r="E344" s="32" t="n"/>
      <c r="F344" s="35" t="n"/>
      <c r="G344" s="31" t="n"/>
      <c r="H344" s="20" t="str">
        <f>IF(AND(ISNUMBER(E344),ISNUMBER(F344)),E344*F344,"")</f>
        <v/>
      </c>
      <c r="I344" s="42" t="str">
        <f>IF(ISNUMBER(H344),ROUND(H344*IF(G344="挂单",'参数'!$C$11,'参数'!$C$12),4),"")</f>
        <v/>
      </c>
      <c r="J344" s="47" t="n"/>
      <c r="K344" s="47" t="n"/>
      <c r="L344" s="20" t="str">
        <f>IF(ISNUMBER(K344),K344+N(J344),IF(ISNUMBER(H344),I344+N(J344),""))</f>
        <v/>
      </c>
      <c r="M344" s="40" t="str">
        <f>IF(A344="","",IFERROR(T(INDEX('交易记录'!$C$5:$C$304,MATCH(A344,'交易记录'!$A$5:$A$304,0))),"编号没找到"))</f>
        <v/>
      </c>
      <c r="N344" s="30" t="n"/>
    </row>
    <row r="345">
      <c r="A345" s="24" t="n"/>
      <c r="B345" s="29" t="n"/>
      <c r="C345" s="27" t="n"/>
      <c r="D345" s="31" t="n"/>
      <c r="E345" s="32" t="n"/>
      <c r="F345" s="35" t="n"/>
      <c r="G345" s="31" t="n"/>
      <c r="H345" s="20" t="str">
        <f>IF(AND(ISNUMBER(E345),ISNUMBER(F345)),E345*F345,"")</f>
        <v/>
      </c>
      <c r="I345" s="42" t="str">
        <f>IF(ISNUMBER(H345),ROUND(H345*IF(G345="挂单",'参数'!$C$11,'参数'!$C$12),4),"")</f>
        <v/>
      </c>
      <c r="J345" s="47" t="n"/>
      <c r="K345" s="47" t="n"/>
      <c r="L345" s="20" t="str">
        <f>IF(ISNUMBER(K345),K345+N(J345),IF(ISNUMBER(H345),I345+N(J345),""))</f>
        <v/>
      </c>
      <c r="M345" s="40" t="str">
        <f>IF(A345="","",IFERROR(T(INDEX('交易记录'!$C$5:$C$304,MATCH(A345,'交易记录'!$A$5:$A$304,0))),"编号没找到"))</f>
        <v/>
      </c>
      <c r="N345" s="30" t="n"/>
    </row>
    <row r="346">
      <c r="A346" s="24" t="n"/>
      <c r="B346" s="29" t="n"/>
      <c r="C346" s="27" t="n"/>
      <c r="D346" s="31" t="n"/>
      <c r="E346" s="32" t="n"/>
      <c r="F346" s="35" t="n"/>
      <c r="G346" s="31" t="n"/>
      <c r="H346" s="20" t="str">
        <f>IF(AND(ISNUMBER(E346),ISNUMBER(F346)),E346*F346,"")</f>
        <v/>
      </c>
      <c r="I346" s="42" t="str">
        <f>IF(ISNUMBER(H346),ROUND(H346*IF(G346="挂单",'参数'!$C$11,'参数'!$C$12),4),"")</f>
        <v/>
      </c>
      <c r="J346" s="47" t="n"/>
      <c r="K346" s="47" t="n"/>
      <c r="L346" s="20" t="str">
        <f>IF(ISNUMBER(K346),K346+N(J346),IF(ISNUMBER(H346),I346+N(J346),""))</f>
        <v/>
      </c>
      <c r="M346" s="40" t="str">
        <f>IF(A346="","",IFERROR(T(INDEX('交易记录'!$C$5:$C$304,MATCH(A346,'交易记录'!$A$5:$A$304,0))),"编号没找到"))</f>
        <v/>
      </c>
      <c r="N346" s="30" t="n"/>
    </row>
    <row r="347">
      <c r="A347" s="24" t="n"/>
      <c r="B347" s="29" t="n"/>
      <c r="C347" s="27" t="n"/>
      <c r="D347" s="31" t="n"/>
      <c r="E347" s="32" t="n"/>
      <c r="F347" s="35" t="n"/>
      <c r="G347" s="31" t="n"/>
      <c r="H347" s="20" t="str">
        <f>IF(AND(ISNUMBER(E347),ISNUMBER(F347)),E347*F347,"")</f>
        <v/>
      </c>
      <c r="I347" s="42" t="str">
        <f>IF(ISNUMBER(H347),ROUND(H347*IF(G347="挂单",'参数'!$C$11,'参数'!$C$12),4),"")</f>
        <v/>
      </c>
      <c r="J347" s="47" t="n"/>
      <c r="K347" s="47" t="n"/>
      <c r="L347" s="20" t="str">
        <f>IF(ISNUMBER(K347),K347+N(J347),IF(ISNUMBER(H347),I347+N(J347),""))</f>
        <v/>
      </c>
      <c r="M347" s="40" t="str">
        <f>IF(A347="","",IFERROR(T(INDEX('交易记录'!$C$5:$C$304,MATCH(A347,'交易记录'!$A$5:$A$304,0))),"编号没找到"))</f>
        <v/>
      </c>
      <c r="N347" s="30" t="n"/>
    </row>
    <row r="348">
      <c r="A348" s="24" t="n"/>
      <c r="B348" s="29" t="n"/>
      <c r="C348" s="27" t="n"/>
      <c r="D348" s="31" t="n"/>
      <c r="E348" s="32" t="n"/>
      <c r="F348" s="35" t="n"/>
      <c r="G348" s="31" t="n"/>
      <c r="H348" s="20" t="str">
        <f>IF(AND(ISNUMBER(E348),ISNUMBER(F348)),E348*F348,"")</f>
        <v/>
      </c>
      <c r="I348" s="42" t="str">
        <f>IF(ISNUMBER(H348),ROUND(H348*IF(G348="挂单",'参数'!$C$11,'参数'!$C$12),4),"")</f>
        <v/>
      </c>
      <c r="J348" s="47" t="n"/>
      <c r="K348" s="47" t="n"/>
      <c r="L348" s="20" t="str">
        <f>IF(ISNUMBER(K348),K348+N(J348),IF(ISNUMBER(H348),I348+N(J348),""))</f>
        <v/>
      </c>
      <c r="M348" s="40" t="str">
        <f>IF(A348="","",IFERROR(T(INDEX('交易记录'!$C$5:$C$304,MATCH(A348,'交易记录'!$A$5:$A$304,0))),"编号没找到"))</f>
        <v/>
      </c>
      <c r="N348" s="30" t="n"/>
    </row>
    <row r="349">
      <c r="A349" s="24" t="n"/>
      <c r="B349" s="29" t="n"/>
      <c r="C349" s="27" t="n"/>
      <c r="D349" s="31" t="n"/>
      <c r="E349" s="32" t="n"/>
      <c r="F349" s="35" t="n"/>
      <c r="G349" s="31" t="n"/>
      <c r="H349" s="20" t="str">
        <f>IF(AND(ISNUMBER(E349),ISNUMBER(F349)),E349*F349,"")</f>
        <v/>
      </c>
      <c r="I349" s="42" t="str">
        <f>IF(ISNUMBER(H349),ROUND(H349*IF(G349="挂单",'参数'!$C$11,'参数'!$C$12),4),"")</f>
        <v/>
      </c>
      <c r="J349" s="47" t="n"/>
      <c r="K349" s="47" t="n"/>
      <c r="L349" s="20" t="str">
        <f>IF(ISNUMBER(K349),K349+N(J349),IF(ISNUMBER(H349),I349+N(J349),""))</f>
        <v/>
      </c>
      <c r="M349" s="40" t="str">
        <f>IF(A349="","",IFERROR(T(INDEX('交易记录'!$C$5:$C$304,MATCH(A349,'交易记录'!$A$5:$A$304,0))),"编号没找到"))</f>
        <v/>
      </c>
      <c r="N349" s="30" t="n"/>
    </row>
    <row r="350">
      <c r="A350" s="24" t="n"/>
      <c r="B350" s="29" t="n"/>
      <c r="C350" s="27" t="n"/>
      <c r="D350" s="31" t="n"/>
      <c r="E350" s="32" t="n"/>
      <c r="F350" s="35" t="n"/>
      <c r="G350" s="31" t="n"/>
      <c r="H350" s="20" t="str">
        <f>IF(AND(ISNUMBER(E350),ISNUMBER(F350)),E350*F350,"")</f>
        <v/>
      </c>
      <c r="I350" s="42" t="str">
        <f>IF(ISNUMBER(H350),ROUND(H350*IF(G350="挂单",'参数'!$C$11,'参数'!$C$12),4),"")</f>
        <v/>
      </c>
      <c r="J350" s="47" t="n"/>
      <c r="K350" s="47" t="n"/>
      <c r="L350" s="20" t="str">
        <f>IF(ISNUMBER(K350),K350+N(J350),IF(ISNUMBER(H350),I350+N(J350),""))</f>
        <v/>
      </c>
      <c r="M350" s="40" t="str">
        <f>IF(A350="","",IFERROR(T(INDEX('交易记录'!$C$5:$C$304,MATCH(A350,'交易记录'!$A$5:$A$304,0))),"编号没找到"))</f>
        <v/>
      </c>
      <c r="N350" s="30" t="n"/>
    </row>
    <row r="351">
      <c r="A351" s="24" t="n"/>
      <c r="B351" s="29" t="n"/>
      <c r="C351" s="27" t="n"/>
      <c r="D351" s="31" t="n"/>
      <c r="E351" s="32" t="n"/>
      <c r="F351" s="35" t="n"/>
      <c r="G351" s="31" t="n"/>
      <c r="H351" s="20" t="str">
        <f>IF(AND(ISNUMBER(E351),ISNUMBER(F351)),E351*F351,"")</f>
        <v/>
      </c>
      <c r="I351" s="42" t="str">
        <f>IF(ISNUMBER(H351),ROUND(H351*IF(G351="挂单",'参数'!$C$11,'参数'!$C$12),4),"")</f>
        <v/>
      </c>
      <c r="J351" s="47" t="n"/>
      <c r="K351" s="47" t="n"/>
      <c r="L351" s="20" t="str">
        <f>IF(ISNUMBER(K351),K351+N(J351),IF(ISNUMBER(H351),I351+N(J351),""))</f>
        <v/>
      </c>
      <c r="M351" s="40" t="str">
        <f>IF(A351="","",IFERROR(T(INDEX('交易记录'!$C$5:$C$304,MATCH(A351,'交易记录'!$A$5:$A$304,0))),"编号没找到"))</f>
        <v/>
      </c>
      <c r="N351" s="30" t="n"/>
    </row>
    <row r="352">
      <c r="A352" s="24" t="n"/>
      <c r="B352" s="29" t="n"/>
      <c r="C352" s="27" t="n"/>
      <c r="D352" s="31" t="n"/>
      <c r="E352" s="32" t="n"/>
      <c r="F352" s="35" t="n"/>
      <c r="G352" s="31" t="n"/>
      <c r="H352" s="20" t="str">
        <f>IF(AND(ISNUMBER(E352),ISNUMBER(F352)),E352*F352,"")</f>
        <v/>
      </c>
      <c r="I352" s="42" t="str">
        <f>IF(ISNUMBER(H352),ROUND(H352*IF(G352="挂单",'参数'!$C$11,'参数'!$C$12),4),"")</f>
        <v/>
      </c>
      <c r="J352" s="47" t="n"/>
      <c r="K352" s="47" t="n"/>
      <c r="L352" s="20" t="str">
        <f>IF(ISNUMBER(K352),K352+N(J352),IF(ISNUMBER(H352),I352+N(J352),""))</f>
        <v/>
      </c>
      <c r="M352" s="40" t="str">
        <f>IF(A352="","",IFERROR(T(INDEX('交易记录'!$C$5:$C$304,MATCH(A352,'交易记录'!$A$5:$A$304,0))),"编号没找到"))</f>
        <v/>
      </c>
      <c r="N352" s="30" t="n"/>
    </row>
    <row r="353">
      <c r="A353" s="24" t="n"/>
      <c r="B353" s="29" t="n"/>
      <c r="C353" s="27" t="n"/>
      <c r="D353" s="31" t="n"/>
      <c r="E353" s="32" t="n"/>
      <c r="F353" s="35" t="n"/>
      <c r="G353" s="31" t="n"/>
      <c r="H353" s="20" t="str">
        <f>IF(AND(ISNUMBER(E353),ISNUMBER(F353)),E353*F353,"")</f>
        <v/>
      </c>
      <c r="I353" s="42" t="str">
        <f>IF(ISNUMBER(H353),ROUND(H353*IF(G353="挂单",'参数'!$C$11,'参数'!$C$12),4),"")</f>
        <v/>
      </c>
      <c r="J353" s="47" t="n"/>
      <c r="K353" s="47" t="n"/>
      <c r="L353" s="20" t="str">
        <f>IF(ISNUMBER(K353),K353+N(J353),IF(ISNUMBER(H353),I353+N(J353),""))</f>
        <v/>
      </c>
      <c r="M353" s="40" t="str">
        <f>IF(A353="","",IFERROR(T(INDEX('交易记录'!$C$5:$C$304,MATCH(A353,'交易记录'!$A$5:$A$304,0))),"编号没找到"))</f>
        <v/>
      </c>
      <c r="N353" s="30" t="n"/>
    </row>
    <row r="354">
      <c r="A354" s="24" t="n"/>
      <c r="B354" s="29" t="n"/>
      <c r="C354" s="27" t="n"/>
      <c r="D354" s="31" t="n"/>
      <c r="E354" s="32" t="n"/>
      <c r="F354" s="35" t="n"/>
      <c r="G354" s="31" t="n"/>
      <c r="H354" s="20" t="str">
        <f>IF(AND(ISNUMBER(E354),ISNUMBER(F354)),E354*F354,"")</f>
        <v/>
      </c>
      <c r="I354" s="42" t="str">
        <f>IF(ISNUMBER(H354),ROUND(H354*IF(G354="挂单",'参数'!$C$11,'参数'!$C$12),4),"")</f>
        <v/>
      </c>
      <c r="J354" s="47" t="n"/>
      <c r="K354" s="47" t="n"/>
      <c r="L354" s="20" t="str">
        <f>IF(ISNUMBER(K354),K354+N(J354),IF(ISNUMBER(H354),I354+N(J354),""))</f>
        <v/>
      </c>
      <c r="M354" s="40" t="str">
        <f>IF(A354="","",IFERROR(T(INDEX('交易记录'!$C$5:$C$304,MATCH(A354,'交易记录'!$A$5:$A$304,0))),"编号没找到"))</f>
        <v/>
      </c>
      <c r="N354" s="30" t="n"/>
    </row>
    <row r="355">
      <c r="A355" s="24" t="n"/>
      <c r="B355" s="29" t="n"/>
      <c r="C355" s="27" t="n"/>
      <c r="D355" s="31" t="n"/>
      <c r="E355" s="32" t="n"/>
      <c r="F355" s="35" t="n"/>
      <c r="G355" s="31" t="n"/>
      <c r="H355" s="20" t="str">
        <f>IF(AND(ISNUMBER(E355),ISNUMBER(F355)),E355*F355,"")</f>
        <v/>
      </c>
      <c r="I355" s="42" t="str">
        <f>IF(ISNUMBER(H355),ROUND(H355*IF(G355="挂单",'参数'!$C$11,'参数'!$C$12),4),"")</f>
        <v/>
      </c>
      <c r="J355" s="47" t="n"/>
      <c r="K355" s="47" t="n"/>
      <c r="L355" s="20" t="str">
        <f>IF(ISNUMBER(K355),K355+N(J355),IF(ISNUMBER(H355),I355+N(J355),""))</f>
        <v/>
      </c>
      <c r="M355" s="40" t="str">
        <f>IF(A355="","",IFERROR(T(INDEX('交易记录'!$C$5:$C$304,MATCH(A355,'交易记录'!$A$5:$A$304,0))),"编号没找到"))</f>
        <v/>
      </c>
      <c r="N355" s="30" t="n"/>
    </row>
    <row r="356">
      <c r="A356" s="24" t="n"/>
      <c r="B356" s="29" t="n"/>
      <c r="C356" s="27" t="n"/>
      <c r="D356" s="31" t="n"/>
      <c r="E356" s="32" t="n"/>
      <c r="F356" s="35" t="n"/>
      <c r="G356" s="31" t="n"/>
      <c r="H356" s="20" t="str">
        <f>IF(AND(ISNUMBER(E356),ISNUMBER(F356)),E356*F356,"")</f>
        <v/>
      </c>
      <c r="I356" s="42" t="str">
        <f>IF(ISNUMBER(H356),ROUND(H356*IF(G356="挂单",'参数'!$C$11,'参数'!$C$12),4),"")</f>
        <v/>
      </c>
      <c r="J356" s="47" t="n"/>
      <c r="K356" s="47" t="n"/>
      <c r="L356" s="20" t="str">
        <f>IF(ISNUMBER(K356),K356+N(J356),IF(ISNUMBER(H356),I356+N(J356),""))</f>
        <v/>
      </c>
      <c r="M356" s="40" t="str">
        <f>IF(A356="","",IFERROR(T(INDEX('交易记录'!$C$5:$C$304,MATCH(A356,'交易记录'!$A$5:$A$304,0))),"编号没找到"))</f>
        <v/>
      </c>
      <c r="N356" s="30" t="n"/>
    </row>
    <row r="357">
      <c r="A357" s="24" t="n"/>
      <c r="B357" s="29" t="n"/>
      <c r="C357" s="27" t="n"/>
      <c r="D357" s="31" t="n"/>
      <c r="E357" s="32" t="n"/>
      <c r="F357" s="35" t="n"/>
      <c r="G357" s="31" t="n"/>
      <c r="H357" s="20" t="str">
        <f>IF(AND(ISNUMBER(E357),ISNUMBER(F357)),E357*F357,"")</f>
        <v/>
      </c>
      <c r="I357" s="42" t="str">
        <f>IF(ISNUMBER(H357),ROUND(H357*IF(G357="挂单",'参数'!$C$11,'参数'!$C$12),4),"")</f>
        <v/>
      </c>
      <c r="J357" s="47" t="n"/>
      <c r="K357" s="47" t="n"/>
      <c r="L357" s="20" t="str">
        <f>IF(ISNUMBER(K357),K357+N(J357),IF(ISNUMBER(H357),I357+N(J357),""))</f>
        <v/>
      </c>
      <c r="M357" s="40" t="str">
        <f>IF(A357="","",IFERROR(T(INDEX('交易记录'!$C$5:$C$304,MATCH(A357,'交易记录'!$A$5:$A$304,0))),"编号没找到"))</f>
        <v/>
      </c>
      <c r="N357" s="30" t="n"/>
    </row>
    <row r="358">
      <c r="A358" s="24" t="n"/>
      <c r="B358" s="29" t="n"/>
      <c r="C358" s="27" t="n"/>
      <c r="D358" s="31" t="n"/>
      <c r="E358" s="32" t="n"/>
      <c r="F358" s="35" t="n"/>
      <c r="G358" s="31" t="n"/>
      <c r="H358" s="20" t="str">
        <f>IF(AND(ISNUMBER(E358),ISNUMBER(F358)),E358*F358,"")</f>
        <v/>
      </c>
      <c r="I358" s="42" t="str">
        <f>IF(ISNUMBER(H358),ROUND(H358*IF(G358="挂单",'参数'!$C$11,'参数'!$C$12),4),"")</f>
        <v/>
      </c>
      <c r="J358" s="47" t="n"/>
      <c r="K358" s="47" t="n"/>
      <c r="L358" s="20" t="str">
        <f>IF(ISNUMBER(K358),K358+N(J358),IF(ISNUMBER(H358),I358+N(J358),""))</f>
        <v/>
      </c>
      <c r="M358" s="40" t="str">
        <f>IF(A358="","",IFERROR(T(INDEX('交易记录'!$C$5:$C$304,MATCH(A358,'交易记录'!$A$5:$A$304,0))),"编号没找到"))</f>
        <v/>
      </c>
      <c r="N358" s="30" t="n"/>
    </row>
    <row r="359">
      <c r="A359" s="24" t="n"/>
      <c r="B359" s="29" t="n"/>
      <c r="C359" s="27" t="n"/>
      <c r="D359" s="31" t="n"/>
      <c r="E359" s="32" t="n"/>
      <c r="F359" s="35" t="n"/>
      <c r="G359" s="31" t="n"/>
      <c r="H359" s="20" t="str">
        <f>IF(AND(ISNUMBER(E359),ISNUMBER(F359)),E359*F359,"")</f>
        <v/>
      </c>
      <c r="I359" s="42" t="str">
        <f>IF(ISNUMBER(H359),ROUND(H359*IF(G359="挂单",'参数'!$C$11,'参数'!$C$12),4),"")</f>
        <v/>
      </c>
      <c r="J359" s="47" t="n"/>
      <c r="K359" s="47" t="n"/>
      <c r="L359" s="20" t="str">
        <f>IF(ISNUMBER(K359),K359+N(J359),IF(ISNUMBER(H359),I359+N(J359),""))</f>
        <v/>
      </c>
      <c r="M359" s="40" t="str">
        <f>IF(A359="","",IFERROR(T(INDEX('交易记录'!$C$5:$C$304,MATCH(A359,'交易记录'!$A$5:$A$304,0))),"编号没找到"))</f>
        <v/>
      </c>
      <c r="N359" s="30" t="n"/>
    </row>
    <row r="360">
      <c r="A360" s="24" t="n"/>
      <c r="B360" s="29" t="n"/>
      <c r="C360" s="27" t="n"/>
      <c r="D360" s="31" t="n"/>
      <c r="E360" s="32" t="n"/>
      <c r="F360" s="35" t="n"/>
      <c r="G360" s="31" t="n"/>
      <c r="H360" s="20" t="str">
        <f>IF(AND(ISNUMBER(E360),ISNUMBER(F360)),E360*F360,"")</f>
        <v/>
      </c>
      <c r="I360" s="42" t="str">
        <f>IF(ISNUMBER(H360),ROUND(H360*IF(G360="挂单",'参数'!$C$11,'参数'!$C$12),4),"")</f>
        <v/>
      </c>
      <c r="J360" s="47" t="n"/>
      <c r="K360" s="47" t="n"/>
      <c r="L360" s="20" t="str">
        <f>IF(ISNUMBER(K360),K360+N(J360),IF(ISNUMBER(H360),I360+N(J360),""))</f>
        <v/>
      </c>
      <c r="M360" s="40" t="str">
        <f>IF(A360="","",IFERROR(T(INDEX('交易记录'!$C$5:$C$304,MATCH(A360,'交易记录'!$A$5:$A$304,0))),"编号没找到"))</f>
        <v/>
      </c>
      <c r="N360" s="30" t="n"/>
    </row>
    <row r="361">
      <c r="A361" s="24" t="n"/>
      <c r="B361" s="29" t="n"/>
      <c r="C361" s="27" t="n"/>
      <c r="D361" s="31" t="n"/>
      <c r="E361" s="32" t="n"/>
      <c r="F361" s="35" t="n"/>
      <c r="G361" s="31" t="n"/>
      <c r="H361" s="20" t="str">
        <f>IF(AND(ISNUMBER(E361),ISNUMBER(F361)),E361*F361,"")</f>
        <v/>
      </c>
      <c r="I361" s="42" t="str">
        <f>IF(ISNUMBER(H361),ROUND(H361*IF(G361="挂单",'参数'!$C$11,'参数'!$C$12),4),"")</f>
        <v/>
      </c>
      <c r="J361" s="47" t="n"/>
      <c r="K361" s="47" t="n"/>
      <c r="L361" s="20" t="str">
        <f>IF(ISNUMBER(K361),K361+N(J361),IF(ISNUMBER(H361),I361+N(J361),""))</f>
        <v/>
      </c>
      <c r="M361" s="40" t="str">
        <f>IF(A361="","",IFERROR(T(INDEX('交易记录'!$C$5:$C$304,MATCH(A361,'交易记录'!$A$5:$A$304,0))),"编号没找到"))</f>
        <v/>
      </c>
      <c r="N361" s="30" t="n"/>
    </row>
    <row r="362">
      <c r="A362" s="24" t="n"/>
      <c r="B362" s="29" t="n"/>
      <c r="C362" s="27" t="n"/>
      <c r="D362" s="31" t="n"/>
      <c r="E362" s="32" t="n"/>
      <c r="F362" s="35" t="n"/>
      <c r="G362" s="31" t="n"/>
      <c r="H362" s="20" t="str">
        <f>IF(AND(ISNUMBER(E362),ISNUMBER(F362)),E362*F362,"")</f>
        <v/>
      </c>
      <c r="I362" s="42" t="str">
        <f>IF(ISNUMBER(H362),ROUND(H362*IF(G362="挂单",'参数'!$C$11,'参数'!$C$12),4),"")</f>
        <v/>
      </c>
      <c r="J362" s="47" t="n"/>
      <c r="K362" s="47" t="n"/>
      <c r="L362" s="20" t="str">
        <f>IF(ISNUMBER(K362),K362+N(J362),IF(ISNUMBER(H362),I362+N(J362),""))</f>
        <v/>
      </c>
      <c r="M362" s="40" t="str">
        <f>IF(A362="","",IFERROR(T(INDEX('交易记录'!$C$5:$C$304,MATCH(A362,'交易记录'!$A$5:$A$304,0))),"编号没找到"))</f>
        <v/>
      </c>
      <c r="N362" s="30" t="n"/>
    </row>
    <row r="363">
      <c r="A363" s="24" t="n"/>
      <c r="B363" s="29" t="n"/>
      <c r="C363" s="27" t="n"/>
      <c r="D363" s="31" t="n"/>
      <c r="E363" s="32" t="n"/>
      <c r="F363" s="35" t="n"/>
      <c r="G363" s="31" t="n"/>
      <c r="H363" s="20" t="str">
        <f>IF(AND(ISNUMBER(E363),ISNUMBER(F363)),E363*F363,"")</f>
        <v/>
      </c>
      <c r="I363" s="42" t="str">
        <f>IF(ISNUMBER(H363),ROUND(H363*IF(G363="挂单",'参数'!$C$11,'参数'!$C$12),4),"")</f>
        <v/>
      </c>
      <c r="J363" s="47" t="n"/>
      <c r="K363" s="47" t="n"/>
      <c r="L363" s="20" t="str">
        <f>IF(ISNUMBER(K363),K363+N(J363),IF(ISNUMBER(H363),I363+N(J363),""))</f>
        <v/>
      </c>
      <c r="M363" s="40" t="str">
        <f>IF(A363="","",IFERROR(T(INDEX('交易记录'!$C$5:$C$304,MATCH(A363,'交易记录'!$A$5:$A$304,0))),"编号没找到"))</f>
        <v/>
      </c>
      <c r="N363" s="30" t="n"/>
    </row>
    <row r="364">
      <c r="A364" s="24" t="n"/>
      <c r="B364" s="29" t="n"/>
      <c r="C364" s="27" t="n"/>
      <c r="D364" s="31" t="n"/>
      <c r="E364" s="32" t="n"/>
      <c r="F364" s="35" t="n"/>
      <c r="G364" s="31" t="n"/>
      <c r="H364" s="20" t="str">
        <f>IF(AND(ISNUMBER(E364),ISNUMBER(F364)),E364*F364,"")</f>
        <v/>
      </c>
      <c r="I364" s="42" t="str">
        <f>IF(ISNUMBER(H364),ROUND(H364*IF(G364="挂单",'参数'!$C$11,'参数'!$C$12),4),"")</f>
        <v/>
      </c>
      <c r="J364" s="47" t="n"/>
      <c r="K364" s="47" t="n"/>
      <c r="L364" s="20" t="str">
        <f>IF(ISNUMBER(K364),K364+N(J364),IF(ISNUMBER(H364),I364+N(J364),""))</f>
        <v/>
      </c>
      <c r="M364" s="40" t="str">
        <f>IF(A364="","",IFERROR(T(INDEX('交易记录'!$C$5:$C$304,MATCH(A364,'交易记录'!$A$5:$A$304,0))),"编号没找到"))</f>
        <v/>
      </c>
      <c r="N364" s="30" t="n"/>
    </row>
    <row r="365">
      <c r="A365" s="24" t="n"/>
      <c r="B365" s="29" t="n"/>
      <c r="C365" s="27" t="n"/>
      <c r="D365" s="31" t="n"/>
      <c r="E365" s="32" t="n"/>
      <c r="F365" s="35" t="n"/>
      <c r="G365" s="31" t="n"/>
      <c r="H365" s="20" t="str">
        <f>IF(AND(ISNUMBER(E365),ISNUMBER(F365)),E365*F365,"")</f>
        <v/>
      </c>
      <c r="I365" s="42" t="str">
        <f>IF(ISNUMBER(H365),ROUND(H365*IF(G365="挂单",'参数'!$C$11,'参数'!$C$12),4),"")</f>
        <v/>
      </c>
      <c r="J365" s="47" t="n"/>
      <c r="K365" s="47" t="n"/>
      <c r="L365" s="20" t="str">
        <f>IF(ISNUMBER(K365),K365+N(J365),IF(ISNUMBER(H365),I365+N(J365),""))</f>
        <v/>
      </c>
      <c r="M365" s="40" t="str">
        <f>IF(A365="","",IFERROR(T(INDEX('交易记录'!$C$5:$C$304,MATCH(A365,'交易记录'!$A$5:$A$304,0))),"编号没找到"))</f>
        <v/>
      </c>
      <c r="N365" s="30" t="n"/>
    </row>
    <row r="366">
      <c r="A366" s="24" t="n"/>
      <c r="B366" s="29" t="n"/>
      <c r="C366" s="27" t="n"/>
      <c r="D366" s="31" t="n"/>
      <c r="E366" s="32" t="n"/>
      <c r="F366" s="35" t="n"/>
      <c r="G366" s="31" t="n"/>
      <c r="H366" s="20" t="str">
        <f>IF(AND(ISNUMBER(E366),ISNUMBER(F366)),E366*F366,"")</f>
        <v/>
      </c>
      <c r="I366" s="42" t="str">
        <f>IF(ISNUMBER(H366),ROUND(H366*IF(G366="挂单",'参数'!$C$11,'参数'!$C$12),4),"")</f>
        <v/>
      </c>
      <c r="J366" s="47" t="n"/>
      <c r="K366" s="47" t="n"/>
      <c r="L366" s="20" t="str">
        <f>IF(ISNUMBER(K366),K366+N(J366),IF(ISNUMBER(H366),I366+N(J366),""))</f>
        <v/>
      </c>
      <c r="M366" s="40" t="str">
        <f>IF(A366="","",IFERROR(T(INDEX('交易记录'!$C$5:$C$304,MATCH(A366,'交易记录'!$A$5:$A$304,0))),"编号没找到"))</f>
        <v/>
      </c>
      <c r="N366" s="30" t="n"/>
    </row>
    <row r="367">
      <c r="A367" s="24" t="n"/>
      <c r="B367" s="29" t="n"/>
      <c r="C367" s="27" t="n"/>
      <c r="D367" s="31" t="n"/>
      <c r="E367" s="32" t="n"/>
      <c r="F367" s="35" t="n"/>
      <c r="G367" s="31" t="n"/>
      <c r="H367" s="20" t="str">
        <f>IF(AND(ISNUMBER(E367),ISNUMBER(F367)),E367*F367,"")</f>
        <v/>
      </c>
      <c r="I367" s="42" t="str">
        <f>IF(ISNUMBER(H367),ROUND(H367*IF(G367="挂单",'参数'!$C$11,'参数'!$C$12),4),"")</f>
        <v/>
      </c>
      <c r="J367" s="47" t="n"/>
      <c r="K367" s="47" t="n"/>
      <c r="L367" s="20" t="str">
        <f>IF(ISNUMBER(K367),K367+N(J367),IF(ISNUMBER(H367),I367+N(J367),""))</f>
        <v/>
      </c>
      <c r="M367" s="40" t="str">
        <f>IF(A367="","",IFERROR(T(INDEX('交易记录'!$C$5:$C$304,MATCH(A367,'交易记录'!$A$5:$A$304,0))),"编号没找到"))</f>
        <v/>
      </c>
      <c r="N367" s="30" t="n"/>
    </row>
    <row r="368">
      <c r="A368" s="24" t="n"/>
      <c r="B368" s="29" t="n"/>
      <c r="C368" s="27" t="n"/>
      <c r="D368" s="31" t="n"/>
      <c r="E368" s="32" t="n"/>
      <c r="F368" s="35" t="n"/>
      <c r="G368" s="31" t="n"/>
      <c r="H368" s="20" t="str">
        <f>IF(AND(ISNUMBER(E368),ISNUMBER(F368)),E368*F368,"")</f>
        <v/>
      </c>
      <c r="I368" s="42" t="str">
        <f>IF(ISNUMBER(H368),ROUND(H368*IF(G368="挂单",'参数'!$C$11,'参数'!$C$12),4),"")</f>
        <v/>
      </c>
      <c r="J368" s="47" t="n"/>
      <c r="K368" s="47" t="n"/>
      <c r="L368" s="20" t="str">
        <f>IF(ISNUMBER(K368),K368+N(J368),IF(ISNUMBER(H368),I368+N(J368),""))</f>
        <v/>
      </c>
      <c r="M368" s="40" t="str">
        <f>IF(A368="","",IFERROR(T(INDEX('交易记录'!$C$5:$C$304,MATCH(A368,'交易记录'!$A$5:$A$304,0))),"编号没找到"))</f>
        <v/>
      </c>
      <c r="N368" s="30" t="n"/>
    </row>
    <row r="369">
      <c r="A369" s="24" t="n"/>
      <c r="B369" s="29" t="n"/>
      <c r="C369" s="27" t="n"/>
      <c r="D369" s="31" t="n"/>
      <c r="E369" s="32" t="n"/>
      <c r="F369" s="35" t="n"/>
      <c r="G369" s="31" t="n"/>
      <c r="H369" s="20" t="str">
        <f>IF(AND(ISNUMBER(E369),ISNUMBER(F369)),E369*F369,"")</f>
        <v/>
      </c>
      <c r="I369" s="42" t="str">
        <f>IF(ISNUMBER(H369),ROUND(H369*IF(G369="挂单",'参数'!$C$11,'参数'!$C$12),4),"")</f>
        <v/>
      </c>
      <c r="J369" s="47" t="n"/>
      <c r="K369" s="47" t="n"/>
      <c r="L369" s="20" t="str">
        <f>IF(ISNUMBER(K369),K369+N(J369),IF(ISNUMBER(H369),I369+N(J369),""))</f>
        <v/>
      </c>
      <c r="M369" s="40" t="str">
        <f>IF(A369="","",IFERROR(T(INDEX('交易记录'!$C$5:$C$304,MATCH(A369,'交易记录'!$A$5:$A$304,0))),"编号没找到"))</f>
        <v/>
      </c>
      <c r="N369" s="30" t="n"/>
    </row>
    <row r="370">
      <c r="A370" s="24" t="n"/>
      <c r="B370" s="29" t="n"/>
      <c r="C370" s="27" t="n"/>
      <c r="D370" s="31" t="n"/>
      <c r="E370" s="32" t="n"/>
      <c r="F370" s="35" t="n"/>
      <c r="G370" s="31" t="n"/>
      <c r="H370" s="20" t="str">
        <f>IF(AND(ISNUMBER(E370),ISNUMBER(F370)),E370*F370,"")</f>
        <v/>
      </c>
      <c r="I370" s="42" t="str">
        <f>IF(ISNUMBER(H370),ROUND(H370*IF(G370="挂单",'参数'!$C$11,'参数'!$C$12),4),"")</f>
        <v/>
      </c>
      <c r="J370" s="47" t="n"/>
      <c r="K370" s="47" t="n"/>
      <c r="L370" s="20" t="str">
        <f>IF(ISNUMBER(K370),K370+N(J370),IF(ISNUMBER(H370),I370+N(J370),""))</f>
        <v/>
      </c>
      <c r="M370" s="40" t="str">
        <f>IF(A370="","",IFERROR(T(INDEX('交易记录'!$C$5:$C$304,MATCH(A370,'交易记录'!$A$5:$A$304,0))),"编号没找到"))</f>
        <v/>
      </c>
      <c r="N370" s="30" t="n"/>
    </row>
    <row r="371">
      <c r="A371" s="24" t="n"/>
      <c r="B371" s="29" t="n"/>
      <c r="C371" s="27" t="n"/>
      <c r="D371" s="31" t="n"/>
      <c r="E371" s="32" t="n"/>
      <c r="F371" s="35" t="n"/>
      <c r="G371" s="31" t="n"/>
      <c r="H371" s="20" t="str">
        <f>IF(AND(ISNUMBER(E371),ISNUMBER(F371)),E371*F371,"")</f>
        <v/>
      </c>
      <c r="I371" s="42" t="str">
        <f>IF(ISNUMBER(H371),ROUND(H371*IF(G371="挂单",'参数'!$C$11,'参数'!$C$12),4),"")</f>
        <v/>
      </c>
      <c r="J371" s="47" t="n"/>
      <c r="K371" s="47" t="n"/>
      <c r="L371" s="20" t="str">
        <f>IF(ISNUMBER(K371),K371+N(J371),IF(ISNUMBER(H371),I371+N(J371),""))</f>
        <v/>
      </c>
      <c r="M371" s="40" t="str">
        <f>IF(A371="","",IFERROR(T(INDEX('交易记录'!$C$5:$C$304,MATCH(A371,'交易记录'!$A$5:$A$304,0))),"编号没找到"))</f>
        <v/>
      </c>
      <c r="N371" s="30" t="n"/>
    </row>
    <row r="372">
      <c r="A372" s="24" t="n"/>
      <c r="B372" s="29" t="n"/>
      <c r="C372" s="27" t="n"/>
      <c r="D372" s="31" t="n"/>
      <c r="E372" s="32" t="n"/>
      <c r="F372" s="35" t="n"/>
      <c r="G372" s="31" t="n"/>
      <c r="H372" s="20" t="str">
        <f>IF(AND(ISNUMBER(E372),ISNUMBER(F372)),E372*F372,"")</f>
        <v/>
      </c>
      <c r="I372" s="42" t="str">
        <f>IF(ISNUMBER(H372),ROUND(H372*IF(G372="挂单",'参数'!$C$11,'参数'!$C$12),4),"")</f>
        <v/>
      </c>
      <c r="J372" s="47" t="n"/>
      <c r="K372" s="47" t="n"/>
      <c r="L372" s="20" t="str">
        <f>IF(ISNUMBER(K372),K372+N(J372),IF(ISNUMBER(H372),I372+N(J372),""))</f>
        <v/>
      </c>
      <c r="M372" s="40" t="str">
        <f>IF(A372="","",IFERROR(T(INDEX('交易记录'!$C$5:$C$304,MATCH(A372,'交易记录'!$A$5:$A$304,0))),"编号没找到"))</f>
        <v/>
      </c>
      <c r="N372" s="30" t="n"/>
    </row>
    <row r="373">
      <c r="A373" s="24" t="n"/>
      <c r="B373" s="29" t="n"/>
      <c r="C373" s="27" t="n"/>
      <c r="D373" s="31" t="n"/>
      <c r="E373" s="32" t="n"/>
      <c r="F373" s="35" t="n"/>
      <c r="G373" s="31" t="n"/>
      <c r="H373" s="20" t="str">
        <f>IF(AND(ISNUMBER(E373),ISNUMBER(F373)),E373*F373,"")</f>
        <v/>
      </c>
      <c r="I373" s="42" t="str">
        <f>IF(ISNUMBER(H373),ROUND(H373*IF(G373="挂单",'参数'!$C$11,'参数'!$C$12),4),"")</f>
        <v/>
      </c>
      <c r="J373" s="47" t="n"/>
      <c r="K373" s="47" t="n"/>
      <c r="L373" s="20" t="str">
        <f>IF(ISNUMBER(K373),K373+N(J373),IF(ISNUMBER(H373),I373+N(J373),""))</f>
        <v/>
      </c>
      <c r="M373" s="40" t="str">
        <f>IF(A373="","",IFERROR(T(INDEX('交易记录'!$C$5:$C$304,MATCH(A373,'交易记录'!$A$5:$A$304,0))),"编号没找到"))</f>
        <v/>
      </c>
      <c r="N373" s="30" t="n"/>
    </row>
    <row r="374">
      <c r="A374" s="24" t="n"/>
      <c r="B374" s="29" t="n"/>
      <c r="C374" s="27" t="n"/>
      <c r="D374" s="31" t="n"/>
      <c r="E374" s="32" t="n"/>
      <c r="F374" s="35" t="n"/>
      <c r="G374" s="31" t="n"/>
      <c r="H374" s="20" t="str">
        <f>IF(AND(ISNUMBER(E374),ISNUMBER(F374)),E374*F374,"")</f>
        <v/>
      </c>
      <c r="I374" s="42" t="str">
        <f>IF(ISNUMBER(H374),ROUND(H374*IF(G374="挂单",'参数'!$C$11,'参数'!$C$12),4),"")</f>
        <v/>
      </c>
      <c r="J374" s="47" t="n"/>
      <c r="K374" s="47" t="n"/>
      <c r="L374" s="20" t="str">
        <f>IF(ISNUMBER(K374),K374+N(J374),IF(ISNUMBER(H374),I374+N(J374),""))</f>
        <v/>
      </c>
      <c r="M374" s="40" t="str">
        <f>IF(A374="","",IFERROR(T(INDEX('交易记录'!$C$5:$C$304,MATCH(A374,'交易记录'!$A$5:$A$304,0))),"编号没找到"))</f>
        <v/>
      </c>
      <c r="N374" s="30" t="n"/>
    </row>
    <row r="375">
      <c r="A375" s="24" t="n"/>
      <c r="B375" s="29" t="n"/>
      <c r="C375" s="27" t="n"/>
      <c r="D375" s="31" t="n"/>
      <c r="E375" s="32" t="n"/>
      <c r="F375" s="35" t="n"/>
      <c r="G375" s="31" t="n"/>
      <c r="H375" s="20" t="str">
        <f>IF(AND(ISNUMBER(E375),ISNUMBER(F375)),E375*F375,"")</f>
        <v/>
      </c>
      <c r="I375" s="42" t="str">
        <f>IF(ISNUMBER(H375),ROUND(H375*IF(G375="挂单",'参数'!$C$11,'参数'!$C$12),4),"")</f>
        <v/>
      </c>
      <c r="J375" s="47" t="n"/>
      <c r="K375" s="47" t="n"/>
      <c r="L375" s="20" t="str">
        <f>IF(ISNUMBER(K375),K375+N(J375),IF(ISNUMBER(H375),I375+N(J375),""))</f>
        <v/>
      </c>
      <c r="M375" s="40" t="str">
        <f>IF(A375="","",IFERROR(T(INDEX('交易记录'!$C$5:$C$304,MATCH(A375,'交易记录'!$A$5:$A$304,0))),"编号没找到"))</f>
        <v/>
      </c>
      <c r="N375" s="30" t="n"/>
    </row>
    <row r="376">
      <c r="A376" s="24" t="n"/>
      <c r="B376" s="29" t="n"/>
      <c r="C376" s="27" t="n"/>
      <c r="D376" s="31" t="n"/>
      <c r="E376" s="32" t="n"/>
      <c r="F376" s="35" t="n"/>
      <c r="G376" s="31" t="n"/>
      <c r="H376" s="20" t="str">
        <f>IF(AND(ISNUMBER(E376),ISNUMBER(F376)),E376*F376,"")</f>
        <v/>
      </c>
      <c r="I376" s="42" t="str">
        <f>IF(ISNUMBER(H376),ROUND(H376*IF(G376="挂单",'参数'!$C$11,'参数'!$C$12),4),"")</f>
        <v/>
      </c>
      <c r="J376" s="47" t="n"/>
      <c r="K376" s="47" t="n"/>
      <c r="L376" s="20" t="str">
        <f>IF(ISNUMBER(K376),K376+N(J376),IF(ISNUMBER(H376),I376+N(J376),""))</f>
        <v/>
      </c>
      <c r="M376" s="40" t="str">
        <f>IF(A376="","",IFERROR(T(INDEX('交易记录'!$C$5:$C$304,MATCH(A376,'交易记录'!$A$5:$A$304,0))),"编号没找到"))</f>
        <v/>
      </c>
      <c r="N376" s="30" t="n"/>
    </row>
    <row r="377">
      <c r="A377" s="24" t="n"/>
      <c r="B377" s="29" t="n"/>
      <c r="C377" s="27" t="n"/>
      <c r="D377" s="31" t="n"/>
      <c r="E377" s="32" t="n"/>
      <c r="F377" s="35" t="n"/>
      <c r="G377" s="31" t="n"/>
      <c r="H377" s="20" t="str">
        <f>IF(AND(ISNUMBER(E377),ISNUMBER(F377)),E377*F377,"")</f>
        <v/>
      </c>
      <c r="I377" s="42" t="str">
        <f>IF(ISNUMBER(H377),ROUND(H377*IF(G377="挂单",'参数'!$C$11,'参数'!$C$12),4),"")</f>
        <v/>
      </c>
      <c r="J377" s="47" t="n"/>
      <c r="K377" s="47" t="n"/>
      <c r="L377" s="20" t="str">
        <f>IF(ISNUMBER(K377),K377+N(J377),IF(ISNUMBER(H377),I377+N(J377),""))</f>
        <v/>
      </c>
      <c r="M377" s="40" t="str">
        <f>IF(A377="","",IFERROR(T(INDEX('交易记录'!$C$5:$C$304,MATCH(A377,'交易记录'!$A$5:$A$304,0))),"编号没找到"))</f>
        <v/>
      </c>
      <c r="N377" s="30" t="n"/>
    </row>
    <row r="378">
      <c r="A378" s="24" t="n"/>
      <c r="B378" s="29" t="n"/>
      <c r="C378" s="27" t="n"/>
      <c r="D378" s="31" t="n"/>
      <c r="E378" s="32" t="n"/>
      <c r="F378" s="35" t="n"/>
      <c r="G378" s="31" t="n"/>
      <c r="H378" s="20" t="str">
        <f>IF(AND(ISNUMBER(E378),ISNUMBER(F378)),E378*F378,"")</f>
        <v/>
      </c>
      <c r="I378" s="42" t="str">
        <f>IF(ISNUMBER(H378),ROUND(H378*IF(G378="挂单",'参数'!$C$11,'参数'!$C$12),4),"")</f>
        <v/>
      </c>
      <c r="J378" s="47" t="n"/>
      <c r="K378" s="47" t="n"/>
      <c r="L378" s="20" t="str">
        <f>IF(ISNUMBER(K378),K378+N(J378),IF(ISNUMBER(H378),I378+N(J378),""))</f>
        <v/>
      </c>
      <c r="M378" s="40" t="str">
        <f>IF(A378="","",IFERROR(T(INDEX('交易记录'!$C$5:$C$304,MATCH(A378,'交易记录'!$A$5:$A$304,0))),"编号没找到"))</f>
        <v/>
      </c>
      <c r="N378" s="30" t="n"/>
    </row>
    <row r="379">
      <c r="A379" s="24" t="n"/>
      <c r="B379" s="29" t="n"/>
      <c r="C379" s="27" t="n"/>
      <c r="D379" s="31" t="n"/>
      <c r="E379" s="32" t="n"/>
      <c r="F379" s="35" t="n"/>
      <c r="G379" s="31" t="n"/>
      <c r="H379" s="20" t="str">
        <f>IF(AND(ISNUMBER(E379),ISNUMBER(F379)),E379*F379,"")</f>
        <v/>
      </c>
      <c r="I379" s="42" t="str">
        <f>IF(ISNUMBER(H379),ROUND(H379*IF(G379="挂单",'参数'!$C$11,'参数'!$C$12),4),"")</f>
        <v/>
      </c>
      <c r="J379" s="47" t="n"/>
      <c r="K379" s="47" t="n"/>
      <c r="L379" s="20" t="str">
        <f>IF(ISNUMBER(K379),K379+N(J379),IF(ISNUMBER(H379),I379+N(J379),""))</f>
        <v/>
      </c>
      <c r="M379" s="40" t="str">
        <f>IF(A379="","",IFERROR(T(INDEX('交易记录'!$C$5:$C$304,MATCH(A379,'交易记录'!$A$5:$A$304,0))),"编号没找到"))</f>
        <v/>
      </c>
      <c r="N379" s="30" t="n"/>
    </row>
    <row r="380">
      <c r="A380" s="24" t="n"/>
      <c r="B380" s="29" t="n"/>
      <c r="C380" s="27" t="n"/>
      <c r="D380" s="31" t="n"/>
      <c r="E380" s="32" t="n"/>
      <c r="F380" s="35" t="n"/>
      <c r="G380" s="31" t="n"/>
      <c r="H380" s="20" t="str">
        <f>IF(AND(ISNUMBER(E380),ISNUMBER(F380)),E380*F380,"")</f>
        <v/>
      </c>
      <c r="I380" s="42" t="str">
        <f>IF(ISNUMBER(H380),ROUND(H380*IF(G380="挂单",'参数'!$C$11,'参数'!$C$12),4),"")</f>
        <v/>
      </c>
      <c r="J380" s="47" t="n"/>
      <c r="K380" s="47" t="n"/>
      <c r="L380" s="20" t="str">
        <f>IF(ISNUMBER(K380),K380+N(J380),IF(ISNUMBER(H380),I380+N(J380),""))</f>
        <v/>
      </c>
      <c r="M380" s="40" t="str">
        <f>IF(A380="","",IFERROR(T(INDEX('交易记录'!$C$5:$C$304,MATCH(A380,'交易记录'!$A$5:$A$304,0))),"编号没找到"))</f>
        <v/>
      </c>
      <c r="N380" s="30" t="n"/>
    </row>
    <row r="381">
      <c r="A381" s="24" t="n"/>
      <c r="B381" s="29" t="n"/>
      <c r="C381" s="27" t="n"/>
      <c r="D381" s="31" t="n"/>
      <c r="E381" s="32" t="n"/>
      <c r="F381" s="35" t="n"/>
      <c r="G381" s="31" t="n"/>
      <c r="H381" s="20" t="str">
        <f>IF(AND(ISNUMBER(E381),ISNUMBER(F381)),E381*F381,"")</f>
        <v/>
      </c>
      <c r="I381" s="42" t="str">
        <f>IF(ISNUMBER(H381),ROUND(H381*IF(G381="挂单",'参数'!$C$11,'参数'!$C$12),4),"")</f>
        <v/>
      </c>
      <c r="J381" s="47" t="n"/>
      <c r="K381" s="47" t="n"/>
      <c r="L381" s="20" t="str">
        <f>IF(ISNUMBER(K381),K381+N(J381),IF(ISNUMBER(H381),I381+N(J381),""))</f>
        <v/>
      </c>
      <c r="M381" s="40" t="str">
        <f>IF(A381="","",IFERROR(T(INDEX('交易记录'!$C$5:$C$304,MATCH(A381,'交易记录'!$A$5:$A$304,0))),"编号没找到"))</f>
        <v/>
      </c>
      <c r="N381" s="30" t="n"/>
    </row>
    <row r="382">
      <c r="A382" s="24" t="n"/>
      <c r="B382" s="29" t="n"/>
      <c r="C382" s="27" t="n"/>
      <c r="D382" s="31" t="n"/>
      <c r="E382" s="32" t="n"/>
      <c r="F382" s="35" t="n"/>
      <c r="G382" s="31" t="n"/>
      <c r="H382" s="20" t="str">
        <f>IF(AND(ISNUMBER(E382),ISNUMBER(F382)),E382*F382,"")</f>
        <v/>
      </c>
      <c r="I382" s="42" t="str">
        <f>IF(ISNUMBER(H382),ROUND(H382*IF(G382="挂单",'参数'!$C$11,'参数'!$C$12),4),"")</f>
        <v/>
      </c>
      <c r="J382" s="47" t="n"/>
      <c r="K382" s="47" t="n"/>
      <c r="L382" s="20" t="str">
        <f>IF(ISNUMBER(K382),K382+N(J382),IF(ISNUMBER(H382),I382+N(J382),""))</f>
        <v/>
      </c>
      <c r="M382" s="40" t="str">
        <f>IF(A382="","",IFERROR(T(INDEX('交易记录'!$C$5:$C$304,MATCH(A382,'交易记录'!$A$5:$A$304,0))),"编号没找到"))</f>
        <v/>
      </c>
      <c r="N382" s="30" t="n"/>
    </row>
    <row r="383">
      <c r="A383" s="24" t="n"/>
      <c r="B383" s="29" t="n"/>
      <c r="C383" s="27" t="n"/>
      <c r="D383" s="31" t="n"/>
      <c r="E383" s="32" t="n"/>
      <c r="F383" s="35" t="n"/>
      <c r="G383" s="31" t="n"/>
      <c r="H383" s="20" t="str">
        <f>IF(AND(ISNUMBER(E383),ISNUMBER(F383)),E383*F383,"")</f>
        <v/>
      </c>
      <c r="I383" s="42" t="str">
        <f>IF(ISNUMBER(H383),ROUND(H383*IF(G383="挂单",'参数'!$C$11,'参数'!$C$12),4),"")</f>
        <v/>
      </c>
      <c r="J383" s="47" t="n"/>
      <c r="K383" s="47" t="n"/>
      <c r="L383" s="20" t="str">
        <f>IF(ISNUMBER(K383),K383+N(J383),IF(ISNUMBER(H383),I383+N(J383),""))</f>
        <v/>
      </c>
      <c r="M383" s="40" t="str">
        <f>IF(A383="","",IFERROR(T(INDEX('交易记录'!$C$5:$C$304,MATCH(A383,'交易记录'!$A$5:$A$304,0))),"编号没找到"))</f>
        <v/>
      </c>
      <c r="N383" s="30" t="n"/>
    </row>
    <row r="384">
      <c r="A384" s="24" t="n"/>
      <c r="B384" s="29" t="n"/>
      <c r="C384" s="27" t="n"/>
      <c r="D384" s="31" t="n"/>
      <c r="E384" s="32" t="n"/>
      <c r="F384" s="35" t="n"/>
      <c r="G384" s="31" t="n"/>
      <c r="H384" s="20" t="str">
        <f>IF(AND(ISNUMBER(E384),ISNUMBER(F384)),E384*F384,"")</f>
        <v/>
      </c>
      <c r="I384" s="42" t="str">
        <f>IF(ISNUMBER(H384),ROUND(H384*IF(G384="挂单",'参数'!$C$11,'参数'!$C$12),4),"")</f>
        <v/>
      </c>
      <c r="J384" s="47" t="n"/>
      <c r="K384" s="47" t="n"/>
      <c r="L384" s="20" t="str">
        <f>IF(ISNUMBER(K384),K384+N(J384),IF(ISNUMBER(H384),I384+N(J384),""))</f>
        <v/>
      </c>
      <c r="M384" s="40" t="str">
        <f>IF(A384="","",IFERROR(T(INDEX('交易记录'!$C$5:$C$304,MATCH(A384,'交易记录'!$A$5:$A$304,0))),"编号没找到"))</f>
        <v/>
      </c>
      <c r="N384" s="30" t="n"/>
    </row>
    <row r="385">
      <c r="A385" s="24" t="n"/>
      <c r="B385" s="29" t="n"/>
      <c r="C385" s="27" t="n"/>
      <c r="D385" s="31" t="n"/>
      <c r="E385" s="32" t="n"/>
      <c r="F385" s="35" t="n"/>
      <c r="G385" s="31" t="n"/>
      <c r="H385" s="20" t="str">
        <f>IF(AND(ISNUMBER(E385),ISNUMBER(F385)),E385*F385,"")</f>
        <v/>
      </c>
      <c r="I385" s="42" t="str">
        <f>IF(ISNUMBER(H385),ROUND(H385*IF(G385="挂单",'参数'!$C$11,'参数'!$C$12),4),"")</f>
        <v/>
      </c>
      <c r="J385" s="47" t="n"/>
      <c r="K385" s="47" t="n"/>
      <c r="L385" s="20" t="str">
        <f>IF(ISNUMBER(K385),K385+N(J385),IF(ISNUMBER(H385),I385+N(J385),""))</f>
        <v/>
      </c>
      <c r="M385" s="40" t="str">
        <f>IF(A385="","",IFERROR(T(INDEX('交易记录'!$C$5:$C$304,MATCH(A385,'交易记录'!$A$5:$A$304,0))),"编号没找到"))</f>
        <v/>
      </c>
      <c r="N385" s="30" t="n"/>
    </row>
    <row r="386">
      <c r="A386" s="24" t="n"/>
      <c r="B386" s="29" t="n"/>
      <c r="C386" s="27" t="n"/>
      <c r="D386" s="31" t="n"/>
      <c r="E386" s="32" t="n"/>
      <c r="F386" s="35" t="n"/>
      <c r="G386" s="31" t="n"/>
      <c r="H386" s="20" t="str">
        <f>IF(AND(ISNUMBER(E386),ISNUMBER(F386)),E386*F386,"")</f>
        <v/>
      </c>
      <c r="I386" s="42" t="str">
        <f>IF(ISNUMBER(H386),ROUND(H386*IF(G386="挂单",'参数'!$C$11,'参数'!$C$12),4),"")</f>
        <v/>
      </c>
      <c r="J386" s="47" t="n"/>
      <c r="K386" s="47" t="n"/>
      <c r="L386" s="20" t="str">
        <f>IF(ISNUMBER(K386),K386+N(J386),IF(ISNUMBER(H386),I386+N(J386),""))</f>
        <v/>
      </c>
      <c r="M386" s="40" t="str">
        <f>IF(A386="","",IFERROR(T(INDEX('交易记录'!$C$5:$C$304,MATCH(A386,'交易记录'!$A$5:$A$304,0))),"编号没找到"))</f>
        <v/>
      </c>
      <c r="N386" s="30" t="n"/>
    </row>
    <row r="387">
      <c r="A387" s="24" t="n"/>
      <c r="B387" s="29" t="n"/>
      <c r="C387" s="27" t="n"/>
      <c r="D387" s="31" t="n"/>
      <c r="E387" s="32" t="n"/>
      <c r="F387" s="35" t="n"/>
      <c r="G387" s="31" t="n"/>
      <c r="H387" s="20" t="str">
        <f>IF(AND(ISNUMBER(E387),ISNUMBER(F387)),E387*F387,"")</f>
        <v/>
      </c>
      <c r="I387" s="42" t="str">
        <f>IF(ISNUMBER(H387),ROUND(H387*IF(G387="挂单",'参数'!$C$11,'参数'!$C$12),4),"")</f>
        <v/>
      </c>
      <c r="J387" s="47" t="n"/>
      <c r="K387" s="47" t="n"/>
      <c r="L387" s="20" t="str">
        <f>IF(ISNUMBER(K387),K387+N(J387),IF(ISNUMBER(H387),I387+N(J387),""))</f>
        <v/>
      </c>
      <c r="M387" s="40" t="str">
        <f>IF(A387="","",IFERROR(T(INDEX('交易记录'!$C$5:$C$304,MATCH(A387,'交易记录'!$A$5:$A$304,0))),"编号没找到"))</f>
        <v/>
      </c>
      <c r="N387" s="30" t="n"/>
    </row>
    <row r="388">
      <c r="A388" s="24" t="n"/>
      <c r="B388" s="29" t="n"/>
      <c r="C388" s="27" t="n"/>
      <c r="D388" s="31" t="n"/>
      <c r="E388" s="32" t="n"/>
      <c r="F388" s="35" t="n"/>
      <c r="G388" s="31" t="n"/>
      <c r="H388" s="20" t="str">
        <f>IF(AND(ISNUMBER(E388),ISNUMBER(F388)),E388*F388,"")</f>
        <v/>
      </c>
      <c r="I388" s="42" t="str">
        <f>IF(ISNUMBER(H388),ROUND(H388*IF(G388="挂单",'参数'!$C$11,'参数'!$C$12),4),"")</f>
        <v/>
      </c>
      <c r="J388" s="47" t="n"/>
      <c r="K388" s="47" t="n"/>
      <c r="L388" s="20" t="str">
        <f>IF(ISNUMBER(K388),K388+N(J388),IF(ISNUMBER(H388),I388+N(J388),""))</f>
        <v/>
      </c>
      <c r="M388" s="40" t="str">
        <f>IF(A388="","",IFERROR(T(INDEX('交易记录'!$C$5:$C$304,MATCH(A388,'交易记录'!$A$5:$A$304,0))),"编号没找到"))</f>
        <v/>
      </c>
      <c r="N388" s="30" t="n"/>
    </row>
    <row r="389">
      <c r="A389" s="24" t="n"/>
      <c r="B389" s="29" t="n"/>
      <c r="C389" s="27" t="n"/>
      <c r="D389" s="31" t="n"/>
      <c r="E389" s="32" t="n"/>
      <c r="F389" s="35" t="n"/>
      <c r="G389" s="31" t="n"/>
      <c r="H389" s="20" t="str">
        <f>IF(AND(ISNUMBER(E389),ISNUMBER(F389)),E389*F389,"")</f>
        <v/>
      </c>
      <c r="I389" s="42" t="str">
        <f>IF(ISNUMBER(H389),ROUND(H389*IF(G389="挂单",'参数'!$C$11,'参数'!$C$12),4),"")</f>
        <v/>
      </c>
      <c r="J389" s="47" t="n"/>
      <c r="K389" s="47" t="n"/>
      <c r="L389" s="20" t="str">
        <f>IF(ISNUMBER(K389),K389+N(J389),IF(ISNUMBER(H389),I389+N(J389),""))</f>
        <v/>
      </c>
      <c r="M389" s="40" t="str">
        <f>IF(A389="","",IFERROR(T(INDEX('交易记录'!$C$5:$C$304,MATCH(A389,'交易记录'!$A$5:$A$304,0))),"编号没找到"))</f>
        <v/>
      </c>
      <c r="N389" s="30" t="n"/>
    </row>
    <row r="390">
      <c r="A390" s="24" t="n"/>
      <c r="B390" s="29" t="n"/>
      <c r="C390" s="27" t="n"/>
      <c r="D390" s="31" t="n"/>
      <c r="E390" s="32" t="n"/>
      <c r="F390" s="35" t="n"/>
      <c r="G390" s="31" t="n"/>
      <c r="H390" s="20" t="str">
        <f>IF(AND(ISNUMBER(E390),ISNUMBER(F390)),E390*F390,"")</f>
        <v/>
      </c>
      <c r="I390" s="42" t="str">
        <f>IF(ISNUMBER(H390),ROUND(H390*IF(G390="挂单",'参数'!$C$11,'参数'!$C$12),4),"")</f>
        <v/>
      </c>
      <c r="J390" s="47" t="n"/>
      <c r="K390" s="47" t="n"/>
      <c r="L390" s="20" t="str">
        <f>IF(ISNUMBER(K390),K390+N(J390),IF(ISNUMBER(H390),I390+N(J390),""))</f>
        <v/>
      </c>
      <c r="M390" s="40" t="str">
        <f>IF(A390="","",IFERROR(T(INDEX('交易记录'!$C$5:$C$304,MATCH(A390,'交易记录'!$A$5:$A$304,0))),"编号没找到"))</f>
        <v/>
      </c>
      <c r="N390" s="30" t="n"/>
    </row>
    <row r="391">
      <c r="A391" s="24" t="n"/>
      <c r="B391" s="29" t="n"/>
      <c r="C391" s="27" t="n"/>
      <c r="D391" s="31" t="n"/>
      <c r="E391" s="32" t="n"/>
      <c r="F391" s="35" t="n"/>
      <c r="G391" s="31" t="n"/>
      <c r="H391" s="20" t="str">
        <f>IF(AND(ISNUMBER(E391),ISNUMBER(F391)),E391*F391,"")</f>
        <v/>
      </c>
      <c r="I391" s="42" t="str">
        <f>IF(ISNUMBER(H391),ROUND(H391*IF(G391="挂单",'参数'!$C$11,'参数'!$C$12),4),"")</f>
        <v/>
      </c>
      <c r="J391" s="47" t="n"/>
      <c r="K391" s="47" t="n"/>
      <c r="L391" s="20" t="str">
        <f>IF(ISNUMBER(K391),K391+N(J391),IF(ISNUMBER(H391),I391+N(J391),""))</f>
        <v/>
      </c>
      <c r="M391" s="40" t="str">
        <f>IF(A391="","",IFERROR(T(INDEX('交易记录'!$C$5:$C$304,MATCH(A391,'交易记录'!$A$5:$A$304,0))),"编号没找到"))</f>
        <v/>
      </c>
      <c r="N391" s="30" t="n"/>
    </row>
    <row r="392">
      <c r="A392" s="24" t="n"/>
      <c r="B392" s="29" t="n"/>
      <c r="C392" s="27" t="n"/>
      <c r="D392" s="31" t="n"/>
      <c r="E392" s="32" t="n"/>
      <c r="F392" s="35" t="n"/>
      <c r="G392" s="31" t="n"/>
      <c r="H392" s="20" t="str">
        <f>IF(AND(ISNUMBER(E392),ISNUMBER(F392)),E392*F392,"")</f>
        <v/>
      </c>
      <c r="I392" s="42" t="str">
        <f>IF(ISNUMBER(H392),ROUND(H392*IF(G392="挂单",'参数'!$C$11,'参数'!$C$12),4),"")</f>
        <v/>
      </c>
      <c r="J392" s="47" t="n"/>
      <c r="K392" s="47" t="n"/>
      <c r="L392" s="20" t="str">
        <f>IF(ISNUMBER(K392),K392+N(J392),IF(ISNUMBER(H392),I392+N(J392),""))</f>
        <v/>
      </c>
      <c r="M392" s="40" t="str">
        <f>IF(A392="","",IFERROR(T(INDEX('交易记录'!$C$5:$C$304,MATCH(A392,'交易记录'!$A$5:$A$304,0))),"编号没找到"))</f>
        <v/>
      </c>
      <c r="N392" s="30" t="n"/>
    </row>
    <row r="393">
      <c r="A393" s="24" t="n"/>
      <c r="B393" s="29" t="n"/>
      <c r="C393" s="27" t="n"/>
      <c r="D393" s="31" t="n"/>
      <c r="E393" s="32" t="n"/>
      <c r="F393" s="35" t="n"/>
      <c r="G393" s="31" t="n"/>
      <c r="H393" s="20" t="str">
        <f>IF(AND(ISNUMBER(E393),ISNUMBER(F393)),E393*F393,"")</f>
        <v/>
      </c>
      <c r="I393" s="42" t="str">
        <f>IF(ISNUMBER(H393),ROUND(H393*IF(G393="挂单",'参数'!$C$11,'参数'!$C$12),4),"")</f>
        <v/>
      </c>
      <c r="J393" s="47" t="n"/>
      <c r="K393" s="47" t="n"/>
      <c r="L393" s="20" t="str">
        <f>IF(ISNUMBER(K393),K393+N(J393),IF(ISNUMBER(H393),I393+N(J393),""))</f>
        <v/>
      </c>
      <c r="M393" s="40" t="str">
        <f>IF(A393="","",IFERROR(T(INDEX('交易记录'!$C$5:$C$304,MATCH(A393,'交易记录'!$A$5:$A$304,0))),"编号没找到"))</f>
        <v/>
      </c>
      <c r="N393" s="30" t="n"/>
    </row>
    <row r="394">
      <c r="A394" s="24" t="n"/>
      <c r="B394" s="29" t="n"/>
      <c r="C394" s="27" t="n"/>
      <c r="D394" s="31" t="n"/>
      <c r="E394" s="32" t="n"/>
      <c r="F394" s="35" t="n"/>
      <c r="G394" s="31" t="n"/>
      <c r="H394" s="20" t="str">
        <f>IF(AND(ISNUMBER(E394),ISNUMBER(F394)),E394*F394,"")</f>
        <v/>
      </c>
      <c r="I394" s="42" t="str">
        <f>IF(ISNUMBER(H394),ROUND(H394*IF(G394="挂单",'参数'!$C$11,'参数'!$C$12),4),"")</f>
        <v/>
      </c>
      <c r="J394" s="47" t="n"/>
      <c r="K394" s="47" t="n"/>
      <c r="L394" s="20" t="str">
        <f>IF(ISNUMBER(K394),K394+N(J394),IF(ISNUMBER(H394),I394+N(J394),""))</f>
        <v/>
      </c>
      <c r="M394" s="40" t="str">
        <f>IF(A394="","",IFERROR(T(INDEX('交易记录'!$C$5:$C$304,MATCH(A394,'交易记录'!$A$5:$A$304,0))),"编号没找到"))</f>
        <v/>
      </c>
      <c r="N394" s="30" t="n"/>
    </row>
    <row r="395">
      <c r="A395" s="24" t="n"/>
      <c r="B395" s="29" t="n"/>
      <c r="C395" s="27" t="n"/>
      <c r="D395" s="31" t="n"/>
      <c r="E395" s="32" t="n"/>
      <c r="F395" s="35" t="n"/>
      <c r="G395" s="31" t="n"/>
      <c r="H395" s="20" t="str">
        <f>IF(AND(ISNUMBER(E395),ISNUMBER(F395)),E395*F395,"")</f>
        <v/>
      </c>
      <c r="I395" s="42" t="str">
        <f>IF(ISNUMBER(H395),ROUND(H395*IF(G395="挂单",'参数'!$C$11,'参数'!$C$12),4),"")</f>
        <v/>
      </c>
      <c r="J395" s="47" t="n"/>
      <c r="K395" s="47" t="n"/>
      <c r="L395" s="20" t="str">
        <f>IF(ISNUMBER(K395),K395+N(J395),IF(ISNUMBER(H395),I395+N(J395),""))</f>
        <v/>
      </c>
      <c r="M395" s="40" t="str">
        <f>IF(A395="","",IFERROR(T(INDEX('交易记录'!$C$5:$C$304,MATCH(A395,'交易记录'!$A$5:$A$304,0))),"编号没找到"))</f>
        <v/>
      </c>
      <c r="N395" s="30" t="n"/>
    </row>
    <row r="396">
      <c r="A396" s="24" t="n"/>
      <c r="B396" s="29" t="n"/>
      <c r="C396" s="27" t="n"/>
      <c r="D396" s="31" t="n"/>
      <c r="E396" s="32" t="n"/>
      <c r="F396" s="35" t="n"/>
      <c r="G396" s="31" t="n"/>
      <c r="H396" s="20" t="str">
        <f>IF(AND(ISNUMBER(E396),ISNUMBER(F396)),E396*F396,"")</f>
        <v/>
      </c>
      <c r="I396" s="42" t="str">
        <f>IF(ISNUMBER(H396),ROUND(H396*IF(G396="挂单",'参数'!$C$11,'参数'!$C$12),4),"")</f>
        <v/>
      </c>
      <c r="J396" s="47" t="n"/>
      <c r="K396" s="47" t="n"/>
      <c r="L396" s="20" t="str">
        <f>IF(ISNUMBER(K396),K396+N(J396),IF(ISNUMBER(H396),I396+N(J396),""))</f>
        <v/>
      </c>
      <c r="M396" s="40" t="str">
        <f>IF(A396="","",IFERROR(T(INDEX('交易记录'!$C$5:$C$304,MATCH(A396,'交易记录'!$A$5:$A$304,0))),"编号没找到"))</f>
        <v/>
      </c>
      <c r="N396" s="30" t="n"/>
    </row>
    <row r="397">
      <c r="A397" s="24" t="n"/>
      <c r="B397" s="29" t="n"/>
      <c r="C397" s="27" t="n"/>
      <c r="D397" s="31" t="n"/>
      <c r="E397" s="32" t="n"/>
      <c r="F397" s="35" t="n"/>
      <c r="G397" s="31" t="n"/>
      <c r="H397" s="20" t="str">
        <f>IF(AND(ISNUMBER(E397),ISNUMBER(F397)),E397*F397,"")</f>
        <v/>
      </c>
      <c r="I397" s="42" t="str">
        <f>IF(ISNUMBER(H397),ROUND(H397*IF(G397="挂单",'参数'!$C$11,'参数'!$C$12),4),"")</f>
        <v/>
      </c>
      <c r="J397" s="47" t="n"/>
      <c r="K397" s="47" t="n"/>
      <c r="L397" s="20" t="str">
        <f>IF(ISNUMBER(K397),K397+N(J397),IF(ISNUMBER(H397),I397+N(J397),""))</f>
        <v/>
      </c>
      <c r="M397" s="40" t="str">
        <f>IF(A397="","",IFERROR(T(INDEX('交易记录'!$C$5:$C$304,MATCH(A397,'交易记录'!$A$5:$A$304,0))),"编号没找到"))</f>
        <v/>
      </c>
      <c r="N397" s="30" t="n"/>
    </row>
    <row r="398">
      <c r="A398" s="24" t="n"/>
      <c r="B398" s="29" t="n"/>
      <c r="C398" s="27" t="n"/>
      <c r="D398" s="31" t="n"/>
      <c r="E398" s="32" t="n"/>
      <c r="F398" s="35" t="n"/>
      <c r="G398" s="31" t="n"/>
      <c r="H398" s="20" t="str">
        <f>IF(AND(ISNUMBER(E398),ISNUMBER(F398)),E398*F398,"")</f>
        <v/>
      </c>
      <c r="I398" s="42" t="str">
        <f>IF(ISNUMBER(H398),ROUND(H398*IF(G398="挂单",'参数'!$C$11,'参数'!$C$12),4),"")</f>
        <v/>
      </c>
      <c r="J398" s="47" t="n"/>
      <c r="K398" s="47" t="n"/>
      <c r="L398" s="20" t="str">
        <f>IF(ISNUMBER(K398),K398+N(J398),IF(ISNUMBER(H398),I398+N(J398),""))</f>
        <v/>
      </c>
      <c r="M398" s="40" t="str">
        <f>IF(A398="","",IFERROR(T(INDEX('交易记录'!$C$5:$C$304,MATCH(A398,'交易记录'!$A$5:$A$304,0))),"编号没找到"))</f>
        <v/>
      </c>
      <c r="N398" s="30" t="n"/>
    </row>
    <row r="399">
      <c r="A399" s="24" t="n"/>
      <c r="B399" s="29" t="n"/>
      <c r="C399" s="27" t="n"/>
      <c r="D399" s="31" t="n"/>
      <c r="E399" s="32" t="n"/>
      <c r="F399" s="35" t="n"/>
      <c r="G399" s="31" t="n"/>
      <c r="H399" s="20" t="str">
        <f>IF(AND(ISNUMBER(E399),ISNUMBER(F399)),E399*F399,"")</f>
        <v/>
      </c>
      <c r="I399" s="42" t="str">
        <f>IF(ISNUMBER(H399),ROUND(H399*IF(G399="挂单",'参数'!$C$11,'参数'!$C$12),4),"")</f>
        <v/>
      </c>
      <c r="J399" s="47" t="n"/>
      <c r="K399" s="47" t="n"/>
      <c r="L399" s="20" t="str">
        <f>IF(ISNUMBER(K399),K399+N(J399),IF(ISNUMBER(H399),I399+N(J399),""))</f>
        <v/>
      </c>
      <c r="M399" s="40" t="str">
        <f>IF(A399="","",IFERROR(T(INDEX('交易记录'!$C$5:$C$304,MATCH(A399,'交易记录'!$A$5:$A$304,0))),"编号没找到"))</f>
        <v/>
      </c>
      <c r="N399" s="30" t="n"/>
    </row>
    <row r="400">
      <c r="A400" s="24" t="n"/>
      <c r="B400" s="29" t="n"/>
      <c r="C400" s="27" t="n"/>
      <c r="D400" s="31" t="n"/>
      <c r="E400" s="32" t="n"/>
      <c r="F400" s="35" t="n"/>
      <c r="G400" s="31" t="n"/>
      <c r="H400" s="20" t="str">
        <f>IF(AND(ISNUMBER(E400),ISNUMBER(F400)),E400*F400,"")</f>
        <v/>
      </c>
      <c r="I400" s="42" t="str">
        <f>IF(ISNUMBER(H400),ROUND(H400*IF(G400="挂单",'参数'!$C$11,'参数'!$C$12),4),"")</f>
        <v/>
      </c>
      <c r="J400" s="47" t="n"/>
      <c r="K400" s="47" t="n"/>
      <c r="L400" s="20" t="str">
        <f>IF(ISNUMBER(K400),K400+N(J400),IF(ISNUMBER(H400),I400+N(J400),""))</f>
        <v/>
      </c>
      <c r="M400" s="40" t="str">
        <f>IF(A400="","",IFERROR(T(INDEX('交易记录'!$C$5:$C$304,MATCH(A400,'交易记录'!$A$5:$A$304,0))),"编号没找到"))</f>
        <v/>
      </c>
      <c r="N400" s="30" t="n"/>
    </row>
    <row r="401">
      <c r="A401" s="24" t="n"/>
      <c r="B401" s="29" t="n"/>
      <c r="C401" s="27" t="n"/>
      <c r="D401" s="31" t="n"/>
      <c r="E401" s="32" t="n"/>
      <c r="F401" s="35" t="n"/>
      <c r="G401" s="31" t="n"/>
      <c r="H401" s="20" t="str">
        <f>IF(AND(ISNUMBER(E401),ISNUMBER(F401)),E401*F401,"")</f>
        <v/>
      </c>
      <c r="I401" s="42" t="str">
        <f>IF(ISNUMBER(H401),ROUND(H401*IF(G401="挂单",'参数'!$C$11,'参数'!$C$12),4),"")</f>
        <v/>
      </c>
      <c r="J401" s="47" t="n"/>
      <c r="K401" s="47" t="n"/>
      <c r="L401" s="20" t="str">
        <f>IF(ISNUMBER(K401),K401+N(J401),IF(ISNUMBER(H401),I401+N(J401),""))</f>
        <v/>
      </c>
      <c r="M401" s="40" t="str">
        <f>IF(A401="","",IFERROR(T(INDEX('交易记录'!$C$5:$C$304,MATCH(A401,'交易记录'!$A$5:$A$304,0))),"编号没找到"))</f>
        <v/>
      </c>
      <c r="N401" s="30" t="n"/>
    </row>
    <row r="402">
      <c r="A402" s="24" t="n"/>
      <c r="B402" s="29" t="n"/>
      <c r="C402" s="27" t="n"/>
      <c r="D402" s="31" t="n"/>
      <c r="E402" s="32" t="n"/>
      <c r="F402" s="35" t="n"/>
      <c r="G402" s="31" t="n"/>
      <c r="H402" s="20" t="str">
        <f>IF(AND(ISNUMBER(E402),ISNUMBER(F402)),E402*F402,"")</f>
        <v/>
      </c>
      <c r="I402" s="42" t="str">
        <f>IF(ISNUMBER(H402),ROUND(H402*IF(G402="挂单",'参数'!$C$11,'参数'!$C$12),4),"")</f>
        <v/>
      </c>
      <c r="J402" s="47" t="n"/>
      <c r="K402" s="47" t="n"/>
      <c r="L402" s="20" t="str">
        <f>IF(ISNUMBER(K402),K402+N(J402),IF(ISNUMBER(H402),I402+N(J402),""))</f>
        <v/>
      </c>
      <c r="M402" s="40" t="str">
        <f>IF(A402="","",IFERROR(T(INDEX('交易记录'!$C$5:$C$304,MATCH(A402,'交易记录'!$A$5:$A$304,0))),"编号没找到"))</f>
        <v/>
      </c>
      <c r="N402" s="30" t="n"/>
    </row>
    <row r="403">
      <c r="A403" s="24" t="n"/>
      <c r="B403" s="29" t="n"/>
      <c r="C403" s="27" t="n"/>
      <c r="D403" s="31" t="n"/>
      <c r="E403" s="32" t="n"/>
      <c r="F403" s="35" t="n"/>
      <c r="G403" s="31" t="n"/>
      <c r="H403" s="20" t="str">
        <f>IF(AND(ISNUMBER(E403),ISNUMBER(F403)),E403*F403,"")</f>
        <v/>
      </c>
      <c r="I403" s="42" t="str">
        <f>IF(ISNUMBER(H403),ROUND(H403*IF(G403="挂单",'参数'!$C$11,'参数'!$C$12),4),"")</f>
        <v/>
      </c>
      <c r="J403" s="47" t="n"/>
      <c r="K403" s="47" t="n"/>
      <c r="L403" s="20" t="str">
        <f>IF(ISNUMBER(K403),K403+N(J403),IF(ISNUMBER(H403),I403+N(J403),""))</f>
        <v/>
      </c>
      <c r="M403" s="40" t="str">
        <f>IF(A403="","",IFERROR(T(INDEX('交易记录'!$C$5:$C$304,MATCH(A403,'交易记录'!$A$5:$A$304,0))),"编号没找到"))</f>
        <v/>
      </c>
      <c r="N403" s="30" t="n"/>
    </row>
    <row r="404">
      <c r="A404" s="24" t="n"/>
      <c r="B404" s="29" t="n"/>
      <c r="C404" s="27" t="n"/>
      <c r="D404" s="31" t="n"/>
      <c r="E404" s="32" t="n"/>
      <c r="F404" s="35" t="n"/>
      <c r="G404" s="31" t="n"/>
      <c r="H404" s="20" t="str">
        <f>IF(AND(ISNUMBER(E404),ISNUMBER(F404)),E404*F404,"")</f>
        <v/>
      </c>
      <c r="I404" s="42" t="str">
        <f>IF(ISNUMBER(H404),ROUND(H404*IF(G404="挂单",'参数'!$C$11,'参数'!$C$12),4),"")</f>
        <v/>
      </c>
      <c r="J404" s="47" t="n"/>
      <c r="K404" s="47" t="n"/>
      <c r="L404" s="20" t="str">
        <f>IF(ISNUMBER(K404),K404+N(J404),IF(ISNUMBER(H404),I404+N(J404),""))</f>
        <v/>
      </c>
      <c r="M404" s="40" t="str">
        <f>IF(A404="","",IFERROR(T(INDEX('交易记录'!$C$5:$C$304,MATCH(A404,'交易记录'!$A$5:$A$304,0))),"编号没找到"))</f>
        <v/>
      </c>
      <c r="N404" s="30" t="n"/>
    </row>
    <row r="405">
      <c r="A405" s="24" t="n"/>
      <c r="B405" s="29" t="n"/>
      <c r="C405" s="27" t="n"/>
      <c r="D405" s="31" t="n"/>
      <c r="E405" s="32" t="n"/>
      <c r="F405" s="35" t="n"/>
      <c r="G405" s="31" t="n"/>
      <c r="H405" s="20" t="str">
        <f>IF(AND(ISNUMBER(E405),ISNUMBER(F405)),E405*F405,"")</f>
        <v/>
      </c>
      <c r="I405" s="42" t="str">
        <f>IF(ISNUMBER(H405),ROUND(H405*IF(G405="挂单",'参数'!$C$11,'参数'!$C$12),4),"")</f>
        <v/>
      </c>
      <c r="J405" s="47" t="n"/>
      <c r="K405" s="47" t="n"/>
      <c r="L405" s="20" t="str">
        <f>IF(ISNUMBER(K405),K405+N(J405),IF(ISNUMBER(H405),I405+N(J405),""))</f>
        <v/>
      </c>
      <c r="M405" s="40" t="str">
        <f>IF(A405="","",IFERROR(T(INDEX('交易记录'!$C$5:$C$304,MATCH(A405,'交易记录'!$A$5:$A$304,0))),"编号没找到"))</f>
        <v/>
      </c>
      <c r="N405" s="30" t="n"/>
    </row>
    <row r="406">
      <c r="A406" s="24" t="n"/>
      <c r="B406" s="29" t="n"/>
      <c r="C406" s="27" t="n"/>
      <c r="D406" s="31" t="n"/>
      <c r="E406" s="32" t="n"/>
      <c r="F406" s="35" t="n"/>
      <c r="G406" s="31" t="n"/>
      <c r="H406" s="20" t="str">
        <f>IF(AND(ISNUMBER(E406),ISNUMBER(F406)),E406*F406,"")</f>
        <v/>
      </c>
      <c r="I406" s="42" t="str">
        <f>IF(ISNUMBER(H406),ROUND(H406*IF(G406="挂单",'参数'!$C$11,'参数'!$C$12),4),"")</f>
        <v/>
      </c>
      <c r="J406" s="47" t="n"/>
      <c r="K406" s="47" t="n"/>
      <c r="L406" s="20" t="str">
        <f>IF(ISNUMBER(K406),K406+N(J406),IF(ISNUMBER(H406),I406+N(J406),""))</f>
        <v/>
      </c>
      <c r="M406" s="40" t="str">
        <f>IF(A406="","",IFERROR(T(INDEX('交易记录'!$C$5:$C$304,MATCH(A406,'交易记录'!$A$5:$A$304,0))),"编号没找到"))</f>
        <v/>
      </c>
      <c r="N406" s="30" t="n"/>
    </row>
    <row r="407">
      <c r="A407" s="24" t="n"/>
      <c r="B407" s="29" t="n"/>
      <c r="C407" s="27" t="n"/>
      <c r="D407" s="31" t="n"/>
      <c r="E407" s="32" t="n"/>
      <c r="F407" s="35" t="n"/>
      <c r="G407" s="31" t="n"/>
      <c r="H407" s="20" t="str">
        <f>IF(AND(ISNUMBER(E407),ISNUMBER(F407)),E407*F407,"")</f>
        <v/>
      </c>
      <c r="I407" s="42" t="str">
        <f>IF(ISNUMBER(H407),ROUND(H407*IF(G407="挂单",'参数'!$C$11,'参数'!$C$12),4),"")</f>
        <v/>
      </c>
      <c r="J407" s="47" t="n"/>
      <c r="K407" s="47" t="n"/>
      <c r="L407" s="20" t="str">
        <f>IF(ISNUMBER(K407),K407+N(J407),IF(ISNUMBER(H407),I407+N(J407),""))</f>
        <v/>
      </c>
      <c r="M407" s="40" t="str">
        <f>IF(A407="","",IFERROR(T(INDEX('交易记录'!$C$5:$C$304,MATCH(A407,'交易记录'!$A$5:$A$304,0))),"编号没找到"))</f>
        <v/>
      </c>
      <c r="N407" s="30" t="n"/>
    </row>
    <row r="408">
      <c r="A408" s="24" t="n"/>
      <c r="B408" s="29" t="n"/>
      <c r="C408" s="27" t="n"/>
      <c r="D408" s="31" t="n"/>
      <c r="E408" s="32" t="n"/>
      <c r="F408" s="35" t="n"/>
      <c r="G408" s="31" t="n"/>
      <c r="H408" s="20" t="str">
        <f>IF(AND(ISNUMBER(E408),ISNUMBER(F408)),E408*F408,"")</f>
        <v/>
      </c>
      <c r="I408" s="42" t="str">
        <f>IF(ISNUMBER(H408),ROUND(H408*IF(G408="挂单",'参数'!$C$11,'参数'!$C$12),4),"")</f>
        <v/>
      </c>
      <c r="J408" s="47" t="n"/>
      <c r="K408" s="47" t="n"/>
      <c r="L408" s="20" t="str">
        <f>IF(ISNUMBER(K408),K408+N(J408),IF(ISNUMBER(H408),I408+N(J408),""))</f>
        <v/>
      </c>
      <c r="M408" s="40" t="str">
        <f>IF(A408="","",IFERROR(T(INDEX('交易记录'!$C$5:$C$304,MATCH(A408,'交易记录'!$A$5:$A$304,0))),"编号没找到"))</f>
        <v/>
      </c>
      <c r="N408" s="30" t="n"/>
    </row>
    <row r="409">
      <c r="A409" s="24" t="n"/>
      <c r="B409" s="29" t="n"/>
      <c r="C409" s="27" t="n"/>
      <c r="D409" s="31" t="n"/>
      <c r="E409" s="32" t="n"/>
      <c r="F409" s="35" t="n"/>
      <c r="G409" s="31" t="n"/>
      <c r="H409" s="20" t="str">
        <f>IF(AND(ISNUMBER(E409),ISNUMBER(F409)),E409*F409,"")</f>
        <v/>
      </c>
      <c r="I409" s="42" t="str">
        <f>IF(ISNUMBER(H409),ROUND(H409*IF(G409="挂单",'参数'!$C$11,'参数'!$C$12),4),"")</f>
        <v/>
      </c>
      <c r="J409" s="47" t="n"/>
      <c r="K409" s="47" t="n"/>
      <c r="L409" s="20" t="str">
        <f>IF(ISNUMBER(K409),K409+N(J409),IF(ISNUMBER(H409),I409+N(J409),""))</f>
        <v/>
      </c>
      <c r="M409" s="40" t="str">
        <f>IF(A409="","",IFERROR(T(INDEX('交易记录'!$C$5:$C$304,MATCH(A409,'交易记录'!$A$5:$A$304,0))),"编号没找到"))</f>
        <v/>
      </c>
      <c r="N409" s="30" t="n"/>
    </row>
    <row r="410">
      <c r="A410" s="24" t="n"/>
      <c r="B410" s="29" t="n"/>
      <c r="C410" s="27" t="n"/>
      <c r="D410" s="31" t="n"/>
      <c r="E410" s="32" t="n"/>
      <c r="F410" s="35" t="n"/>
      <c r="G410" s="31" t="n"/>
      <c r="H410" s="20" t="str">
        <f>IF(AND(ISNUMBER(E410),ISNUMBER(F410)),E410*F410,"")</f>
        <v/>
      </c>
      <c r="I410" s="42" t="str">
        <f>IF(ISNUMBER(H410),ROUND(H410*IF(G410="挂单",'参数'!$C$11,'参数'!$C$12),4),"")</f>
        <v/>
      </c>
      <c r="J410" s="47" t="n"/>
      <c r="K410" s="47" t="n"/>
      <c r="L410" s="20" t="str">
        <f>IF(ISNUMBER(K410),K410+N(J410),IF(ISNUMBER(H410),I410+N(J410),""))</f>
        <v/>
      </c>
      <c r="M410" s="40" t="str">
        <f>IF(A410="","",IFERROR(T(INDEX('交易记录'!$C$5:$C$304,MATCH(A410,'交易记录'!$A$5:$A$304,0))),"编号没找到"))</f>
        <v/>
      </c>
      <c r="N410" s="30" t="n"/>
    </row>
    <row r="411">
      <c r="A411" s="24" t="n"/>
      <c r="B411" s="29" t="n"/>
      <c r="C411" s="27" t="n"/>
      <c r="D411" s="31" t="n"/>
      <c r="E411" s="32" t="n"/>
      <c r="F411" s="35" t="n"/>
      <c r="G411" s="31" t="n"/>
      <c r="H411" s="20" t="str">
        <f>IF(AND(ISNUMBER(E411),ISNUMBER(F411)),E411*F411,"")</f>
        <v/>
      </c>
      <c r="I411" s="42" t="str">
        <f>IF(ISNUMBER(H411),ROUND(H411*IF(G411="挂单",'参数'!$C$11,'参数'!$C$12),4),"")</f>
        <v/>
      </c>
      <c r="J411" s="47" t="n"/>
      <c r="K411" s="47" t="n"/>
      <c r="L411" s="20" t="str">
        <f>IF(ISNUMBER(K411),K411+N(J411),IF(ISNUMBER(H411),I411+N(J411),""))</f>
        <v/>
      </c>
      <c r="M411" s="40" t="str">
        <f>IF(A411="","",IFERROR(T(INDEX('交易记录'!$C$5:$C$304,MATCH(A411,'交易记录'!$A$5:$A$304,0))),"编号没找到"))</f>
        <v/>
      </c>
      <c r="N411" s="30" t="n"/>
    </row>
    <row r="412">
      <c r="A412" s="24" t="n"/>
      <c r="B412" s="29" t="n"/>
      <c r="C412" s="27" t="n"/>
      <c r="D412" s="31" t="n"/>
      <c r="E412" s="32" t="n"/>
      <c r="F412" s="35" t="n"/>
      <c r="G412" s="31" t="n"/>
      <c r="H412" s="20" t="str">
        <f>IF(AND(ISNUMBER(E412),ISNUMBER(F412)),E412*F412,"")</f>
        <v/>
      </c>
      <c r="I412" s="42" t="str">
        <f>IF(ISNUMBER(H412),ROUND(H412*IF(G412="挂单",'参数'!$C$11,'参数'!$C$12),4),"")</f>
        <v/>
      </c>
      <c r="J412" s="47" t="n"/>
      <c r="K412" s="47" t="n"/>
      <c r="L412" s="20" t="str">
        <f>IF(ISNUMBER(K412),K412+N(J412),IF(ISNUMBER(H412),I412+N(J412),""))</f>
        <v/>
      </c>
      <c r="M412" s="40" t="str">
        <f>IF(A412="","",IFERROR(T(INDEX('交易记录'!$C$5:$C$304,MATCH(A412,'交易记录'!$A$5:$A$304,0))),"编号没找到"))</f>
        <v/>
      </c>
      <c r="N412" s="30" t="n"/>
    </row>
    <row r="413">
      <c r="A413" s="24" t="n"/>
      <c r="B413" s="29" t="n"/>
      <c r="C413" s="27" t="n"/>
      <c r="D413" s="31" t="n"/>
      <c r="E413" s="32" t="n"/>
      <c r="F413" s="35" t="n"/>
      <c r="G413" s="31" t="n"/>
      <c r="H413" s="20" t="str">
        <f>IF(AND(ISNUMBER(E413),ISNUMBER(F413)),E413*F413,"")</f>
        <v/>
      </c>
      <c r="I413" s="42" t="str">
        <f>IF(ISNUMBER(H413),ROUND(H413*IF(G413="挂单",'参数'!$C$11,'参数'!$C$12),4),"")</f>
        <v/>
      </c>
      <c r="J413" s="47" t="n"/>
      <c r="K413" s="47" t="n"/>
      <c r="L413" s="20" t="str">
        <f>IF(ISNUMBER(K413),K413+N(J413),IF(ISNUMBER(H413),I413+N(J413),""))</f>
        <v/>
      </c>
      <c r="M413" s="40" t="str">
        <f>IF(A413="","",IFERROR(T(INDEX('交易记录'!$C$5:$C$304,MATCH(A413,'交易记录'!$A$5:$A$304,0))),"编号没找到"))</f>
        <v/>
      </c>
      <c r="N413" s="30" t="n"/>
    </row>
    <row r="414">
      <c r="A414" s="24" t="n"/>
      <c r="B414" s="29" t="n"/>
      <c r="C414" s="27" t="n"/>
      <c r="D414" s="31" t="n"/>
      <c r="E414" s="32" t="n"/>
      <c r="F414" s="35" t="n"/>
      <c r="G414" s="31" t="n"/>
      <c r="H414" s="20" t="str">
        <f>IF(AND(ISNUMBER(E414),ISNUMBER(F414)),E414*F414,"")</f>
        <v/>
      </c>
      <c r="I414" s="42" t="str">
        <f>IF(ISNUMBER(H414),ROUND(H414*IF(G414="挂单",'参数'!$C$11,'参数'!$C$12),4),"")</f>
        <v/>
      </c>
      <c r="J414" s="47" t="n"/>
      <c r="K414" s="47" t="n"/>
      <c r="L414" s="20" t="str">
        <f>IF(ISNUMBER(K414),K414+N(J414),IF(ISNUMBER(H414),I414+N(J414),""))</f>
        <v/>
      </c>
      <c r="M414" s="40" t="str">
        <f>IF(A414="","",IFERROR(T(INDEX('交易记录'!$C$5:$C$304,MATCH(A414,'交易记录'!$A$5:$A$304,0))),"编号没找到"))</f>
        <v/>
      </c>
      <c r="N414" s="30" t="n"/>
    </row>
    <row r="415">
      <c r="A415" s="24" t="n"/>
      <c r="B415" s="29" t="n"/>
      <c r="C415" s="27" t="n"/>
      <c r="D415" s="31" t="n"/>
      <c r="E415" s="32" t="n"/>
      <c r="F415" s="35" t="n"/>
      <c r="G415" s="31" t="n"/>
      <c r="H415" s="20" t="str">
        <f>IF(AND(ISNUMBER(E415),ISNUMBER(F415)),E415*F415,"")</f>
        <v/>
      </c>
      <c r="I415" s="42" t="str">
        <f>IF(ISNUMBER(H415),ROUND(H415*IF(G415="挂单",'参数'!$C$11,'参数'!$C$12),4),"")</f>
        <v/>
      </c>
      <c r="J415" s="47" t="n"/>
      <c r="K415" s="47" t="n"/>
      <c r="L415" s="20" t="str">
        <f>IF(ISNUMBER(K415),K415+N(J415),IF(ISNUMBER(H415),I415+N(J415),""))</f>
        <v/>
      </c>
      <c r="M415" s="40" t="str">
        <f>IF(A415="","",IFERROR(T(INDEX('交易记录'!$C$5:$C$304,MATCH(A415,'交易记录'!$A$5:$A$304,0))),"编号没找到"))</f>
        <v/>
      </c>
      <c r="N415" s="30" t="n"/>
    </row>
    <row r="416">
      <c r="A416" s="24" t="n"/>
      <c r="B416" s="29" t="n"/>
      <c r="C416" s="27" t="n"/>
      <c r="D416" s="31" t="n"/>
      <c r="E416" s="32" t="n"/>
      <c r="F416" s="35" t="n"/>
      <c r="G416" s="31" t="n"/>
      <c r="H416" s="20" t="str">
        <f>IF(AND(ISNUMBER(E416),ISNUMBER(F416)),E416*F416,"")</f>
        <v/>
      </c>
      <c r="I416" s="42" t="str">
        <f>IF(ISNUMBER(H416),ROUND(H416*IF(G416="挂单",'参数'!$C$11,'参数'!$C$12),4),"")</f>
        <v/>
      </c>
      <c r="J416" s="47" t="n"/>
      <c r="K416" s="47" t="n"/>
      <c r="L416" s="20" t="str">
        <f>IF(ISNUMBER(K416),K416+N(J416),IF(ISNUMBER(H416),I416+N(J416),""))</f>
        <v/>
      </c>
      <c r="M416" s="40" t="str">
        <f>IF(A416="","",IFERROR(T(INDEX('交易记录'!$C$5:$C$304,MATCH(A416,'交易记录'!$A$5:$A$304,0))),"编号没找到"))</f>
        <v/>
      </c>
      <c r="N416" s="30" t="n"/>
    </row>
    <row r="417">
      <c r="A417" s="24" t="n"/>
      <c r="B417" s="29" t="n"/>
      <c r="C417" s="27" t="n"/>
      <c r="D417" s="31" t="n"/>
      <c r="E417" s="32" t="n"/>
      <c r="F417" s="35" t="n"/>
      <c r="G417" s="31" t="n"/>
      <c r="H417" s="20" t="str">
        <f>IF(AND(ISNUMBER(E417),ISNUMBER(F417)),E417*F417,"")</f>
        <v/>
      </c>
      <c r="I417" s="42" t="str">
        <f>IF(ISNUMBER(H417),ROUND(H417*IF(G417="挂单",'参数'!$C$11,'参数'!$C$12),4),"")</f>
        <v/>
      </c>
      <c r="J417" s="47" t="n"/>
      <c r="K417" s="47" t="n"/>
      <c r="L417" s="20" t="str">
        <f>IF(ISNUMBER(K417),K417+N(J417),IF(ISNUMBER(H417),I417+N(J417),""))</f>
        <v/>
      </c>
      <c r="M417" s="40" t="str">
        <f>IF(A417="","",IFERROR(T(INDEX('交易记录'!$C$5:$C$304,MATCH(A417,'交易记录'!$A$5:$A$304,0))),"编号没找到"))</f>
        <v/>
      </c>
      <c r="N417" s="30" t="n"/>
    </row>
    <row r="418">
      <c r="A418" s="24" t="n"/>
      <c r="B418" s="29" t="n"/>
      <c r="C418" s="27" t="n"/>
      <c r="D418" s="31" t="n"/>
      <c r="E418" s="32" t="n"/>
      <c r="F418" s="35" t="n"/>
      <c r="G418" s="31" t="n"/>
      <c r="H418" s="20" t="str">
        <f>IF(AND(ISNUMBER(E418),ISNUMBER(F418)),E418*F418,"")</f>
        <v/>
      </c>
      <c r="I418" s="42" t="str">
        <f>IF(ISNUMBER(H418),ROUND(H418*IF(G418="挂单",'参数'!$C$11,'参数'!$C$12),4),"")</f>
        <v/>
      </c>
      <c r="J418" s="47" t="n"/>
      <c r="K418" s="47" t="n"/>
      <c r="L418" s="20" t="str">
        <f>IF(ISNUMBER(K418),K418+N(J418),IF(ISNUMBER(H418),I418+N(J418),""))</f>
        <v/>
      </c>
      <c r="M418" s="40" t="str">
        <f>IF(A418="","",IFERROR(T(INDEX('交易记录'!$C$5:$C$304,MATCH(A418,'交易记录'!$A$5:$A$304,0))),"编号没找到"))</f>
        <v/>
      </c>
      <c r="N418" s="30" t="n"/>
    </row>
    <row r="419">
      <c r="A419" s="24" t="n"/>
      <c r="B419" s="29" t="n"/>
      <c r="C419" s="27" t="n"/>
      <c r="D419" s="31" t="n"/>
      <c r="E419" s="32" t="n"/>
      <c r="F419" s="35" t="n"/>
      <c r="G419" s="31" t="n"/>
      <c r="H419" s="20" t="str">
        <f>IF(AND(ISNUMBER(E419),ISNUMBER(F419)),E419*F419,"")</f>
        <v/>
      </c>
      <c r="I419" s="42" t="str">
        <f>IF(ISNUMBER(H419),ROUND(H419*IF(G419="挂单",'参数'!$C$11,'参数'!$C$12),4),"")</f>
        <v/>
      </c>
      <c r="J419" s="47" t="n"/>
      <c r="K419" s="47" t="n"/>
      <c r="L419" s="20" t="str">
        <f>IF(ISNUMBER(K419),K419+N(J419),IF(ISNUMBER(H419),I419+N(J419),""))</f>
        <v/>
      </c>
      <c r="M419" s="40" t="str">
        <f>IF(A419="","",IFERROR(T(INDEX('交易记录'!$C$5:$C$304,MATCH(A419,'交易记录'!$A$5:$A$304,0))),"编号没找到"))</f>
        <v/>
      </c>
      <c r="N419" s="30" t="n"/>
    </row>
    <row r="420">
      <c r="A420" s="24" t="n"/>
      <c r="B420" s="29" t="n"/>
      <c r="C420" s="27" t="n"/>
      <c r="D420" s="31" t="n"/>
      <c r="E420" s="32" t="n"/>
      <c r="F420" s="35" t="n"/>
      <c r="G420" s="31" t="n"/>
      <c r="H420" s="20" t="str">
        <f>IF(AND(ISNUMBER(E420),ISNUMBER(F420)),E420*F420,"")</f>
        <v/>
      </c>
      <c r="I420" s="42" t="str">
        <f>IF(ISNUMBER(H420),ROUND(H420*IF(G420="挂单",'参数'!$C$11,'参数'!$C$12),4),"")</f>
        <v/>
      </c>
      <c r="J420" s="47" t="n"/>
      <c r="K420" s="47" t="n"/>
      <c r="L420" s="20" t="str">
        <f>IF(ISNUMBER(K420),K420+N(J420),IF(ISNUMBER(H420),I420+N(J420),""))</f>
        <v/>
      </c>
      <c r="M420" s="40" t="str">
        <f>IF(A420="","",IFERROR(T(INDEX('交易记录'!$C$5:$C$304,MATCH(A420,'交易记录'!$A$5:$A$304,0))),"编号没找到"))</f>
        <v/>
      </c>
      <c r="N420" s="30" t="n"/>
    </row>
    <row r="421">
      <c r="A421" s="24" t="n"/>
      <c r="B421" s="29" t="n"/>
      <c r="C421" s="27" t="n"/>
      <c r="D421" s="31" t="n"/>
      <c r="E421" s="32" t="n"/>
      <c r="F421" s="35" t="n"/>
      <c r="G421" s="31" t="n"/>
      <c r="H421" s="20" t="str">
        <f>IF(AND(ISNUMBER(E421),ISNUMBER(F421)),E421*F421,"")</f>
        <v/>
      </c>
      <c r="I421" s="42" t="str">
        <f>IF(ISNUMBER(H421),ROUND(H421*IF(G421="挂单",'参数'!$C$11,'参数'!$C$12),4),"")</f>
        <v/>
      </c>
      <c r="J421" s="47" t="n"/>
      <c r="K421" s="47" t="n"/>
      <c r="L421" s="20" t="str">
        <f>IF(ISNUMBER(K421),K421+N(J421),IF(ISNUMBER(H421),I421+N(J421),""))</f>
        <v/>
      </c>
      <c r="M421" s="40" t="str">
        <f>IF(A421="","",IFERROR(T(INDEX('交易记录'!$C$5:$C$304,MATCH(A421,'交易记录'!$A$5:$A$304,0))),"编号没找到"))</f>
        <v/>
      </c>
      <c r="N421" s="30" t="n"/>
    </row>
    <row r="422">
      <c r="A422" s="24" t="n"/>
      <c r="B422" s="29" t="n"/>
      <c r="C422" s="27" t="n"/>
      <c r="D422" s="31" t="n"/>
      <c r="E422" s="32" t="n"/>
      <c r="F422" s="35" t="n"/>
      <c r="G422" s="31" t="n"/>
      <c r="H422" s="20" t="str">
        <f>IF(AND(ISNUMBER(E422),ISNUMBER(F422)),E422*F422,"")</f>
        <v/>
      </c>
      <c r="I422" s="42" t="str">
        <f>IF(ISNUMBER(H422),ROUND(H422*IF(G422="挂单",'参数'!$C$11,'参数'!$C$12),4),"")</f>
        <v/>
      </c>
      <c r="J422" s="47" t="n"/>
      <c r="K422" s="47" t="n"/>
      <c r="L422" s="20" t="str">
        <f>IF(ISNUMBER(K422),K422+N(J422),IF(ISNUMBER(H422),I422+N(J422),""))</f>
        <v/>
      </c>
      <c r="M422" s="40" t="str">
        <f>IF(A422="","",IFERROR(T(INDEX('交易记录'!$C$5:$C$304,MATCH(A422,'交易记录'!$A$5:$A$304,0))),"编号没找到"))</f>
        <v/>
      </c>
      <c r="N422" s="30" t="n"/>
    </row>
    <row r="423">
      <c r="A423" s="24" t="n"/>
      <c r="B423" s="29" t="n"/>
      <c r="C423" s="27" t="n"/>
      <c r="D423" s="31" t="n"/>
      <c r="E423" s="32" t="n"/>
      <c r="F423" s="35" t="n"/>
      <c r="G423" s="31" t="n"/>
      <c r="H423" s="20" t="str">
        <f>IF(AND(ISNUMBER(E423),ISNUMBER(F423)),E423*F423,"")</f>
        <v/>
      </c>
      <c r="I423" s="42" t="str">
        <f>IF(ISNUMBER(H423),ROUND(H423*IF(G423="挂单",'参数'!$C$11,'参数'!$C$12),4),"")</f>
        <v/>
      </c>
      <c r="J423" s="47" t="n"/>
      <c r="K423" s="47" t="n"/>
      <c r="L423" s="20" t="str">
        <f>IF(ISNUMBER(K423),K423+N(J423),IF(ISNUMBER(H423),I423+N(J423),""))</f>
        <v/>
      </c>
      <c r="M423" s="40" t="str">
        <f>IF(A423="","",IFERROR(T(INDEX('交易记录'!$C$5:$C$304,MATCH(A423,'交易记录'!$A$5:$A$304,0))),"编号没找到"))</f>
        <v/>
      </c>
      <c r="N423" s="30" t="n"/>
    </row>
    <row r="424">
      <c r="A424" s="24" t="n"/>
      <c r="B424" s="29" t="n"/>
      <c r="C424" s="27" t="n"/>
      <c r="D424" s="31" t="n"/>
      <c r="E424" s="32" t="n"/>
      <c r="F424" s="35" t="n"/>
      <c r="G424" s="31" t="n"/>
      <c r="H424" s="20" t="str">
        <f>IF(AND(ISNUMBER(E424),ISNUMBER(F424)),E424*F424,"")</f>
        <v/>
      </c>
      <c r="I424" s="42" t="str">
        <f>IF(ISNUMBER(H424),ROUND(H424*IF(G424="挂单",'参数'!$C$11,'参数'!$C$12),4),"")</f>
        <v/>
      </c>
      <c r="J424" s="47" t="n"/>
      <c r="K424" s="47" t="n"/>
      <c r="L424" s="20" t="str">
        <f>IF(ISNUMBER(K424),K424+N(J424),IF(ISNUMBER(H424),I424+N(J424),""))</f>
        <v/>
      </c>
      <c r="M424" s="40" t="str">
        <f>IF(A424="","",IFERROR(T(INDEX('交易记录'!$C$5:$C$304,MATCH(A424,'交易记录'!$A$5:$A$304,0))),"编号没找到"))</f>
        <v/>
      </c>
      <c r="N424" s="30" t="n"/>
    </row>
    <row r="425">
      <c r="A425" s="24" t="n"/>
      <c r="B425" s="29" t="n"/>
      <c r="C425" s="27" t="n"/>
      <c r="D425" s="31" t="n"/>
      <c r="E425" s="32" t="n"/>
      <c r="F425" s="35" t="n"/>
      <c r="G425" s="31" t="n"/>
      <c r="H425" s="20" t="str">
        <f>IF(AND(ISNUMBER(E425),ISNUMBER(F425)),E425*F425,"")</f>
        <v/>
      </c>
      <c r="I425" s="42" t="str">
        <f>IF(ISNUMBER(H425),ROUND(H425*IF(G425="挂单",'参数'!$C$11,'参数'!$C$12),4),"")</f>
        <v/>
      </c>
      <c r="J425" s="47" t="n"/>
      <c r="K425" s="47" t="n"/>
      <c r="L425" s="20" t="str">
        <f>IF(ISNUMBER(K425),K425+N(J425),IF(ISNUMBER(H425),I425+N(J425),""))</f>
        <v/>
      </c>
      <c r="M425" s="40" t="str">
        <f>IF(A425="","",IFERROR(T(INDEX('交易记录'!$C$5:$C$304,MATCH(A425,'交易记录'!$A$5:$A$304,0))),"编号没找到"))</f>
        <v/>
      </c>
      <c r="N425" s="30" t="n"/>
    </row>
    <row r="426">
      <c r="A426" s="24" t="n"/>
      <c r="B426" s="29" t="n"/>
      <c r="C426" s="27" t="n"/>
      <c r="D426" s="31" t="n"/>
      <c r="E426" s="32" t="n"/>
      <c r="F426" s="35" t="n"/>
      <c r="G426" s="31" t="n"/>
      <c r="H426" s="20" t="str">
        <f>IF(AND(ISNUMBER(E426),ISNUMBER(F426)),E426*F426,"")</f>
        <v/>
      </c>
      <c r="I426" s="42" t="str">
        <f>IF(ISNUMBER(H426),ROUND(H426*IF(G426="挂单",'参数'!$C$11,'参数'!$C$12),4),"")</f>
        <v/>
      </c>
      <c r="J426" s="47" t="n"/>
      <c r="K426" s="47" t="n"/>
      <c r="L426" s="20" t="str">
        <f>IF(ISNUMBER(K426),K426+N(J426),IF(ISNUMBER(H426),I426+N(J426),""))</f>
        <v/>
      </c>
      <c r="M426" s="40" t="str">
        <f>IF(A426="","",IFERROR(T(INDEX('交易记录'!$C$5:$C$304,MATCH(A426,'交易记录'!$A$5:$A$304,0))),"编号没找到"))</f>
        <v/>
      </c>
      <c r="N426" s="30" t="n"/>
    </row>
    <row r="427">
      <c r="A427" s="24" t="n"/>
      <c r="B427" s="29" t="n"/>
      <c r="C427" s="27" t="n"/>
      <c r="D427" s="31" t="n"/>
      <c r="E427" s="32" t="n"/>
      <c r="F427" s="35" t="n"/>
      <c r="G427" s="31" t="n"/>
      <c r="H427" s="20" t="str">
        <f>IF(AND(ISNUMBER(E427),ISNUMBER(F427)),E427*F427,"")</f>
        <v/>
      </c>
      <c r="I427" s="42" t="str">
        <f>IF(ISNUMBER(H427),ROUND(H427*IF(G427="挂单",'参数'!$C$11,'参数'!$C$12),4),"")</f>
        <v/>
      </c>
      <c r="J427" s="47" t="n"/>
      <c r="K427" s="47" t="n"/>
      <c r="L427" s="20" t="str">
        <f>IF(ISNUMBER(K427),K427+N(J427),IF(ISNUMBER(H427),I427+N(J427),""))</f>
        <v/>
      </c>
      <c r="M427" s="40" t="str">
        <f>IF(A427="","",IFERROR(T(INDEX('交易记录'!$C$5:$C$304,MATCH(A427,'交易记录'!$A$5:$A$304,0))),"编号没找到"))</f>
        <v/>
      </c>
      <c r="N427" s="30" t="n"/>
    </row>
    <row r="428">
      <c r="A428" s="24" t="n"/>
      <c r="B428" s="29" t="n"/>
      <c r="C428" s="27" t="n"/>
      <c r="D428" s="31" t="n"/>
      <c r="E428" s="32" t="n"/>
      <c r="F428" s="35" t="n"/>
      <c r="G428" s="31" t="n"/>
      <c r="H428" s="20" t="str">
        <f>IF(AND(ISNUMBER(E428),ISNUMBER(F428)),E428*F428,"")</f>
        <v/>
      </c>
      <c r="I428" s="42" t="str">
        <f>IF(ISNUMBER(H428),ROUND(H428*IF(G428="挂单",'参数'!$C$11,'参数'!$C$12),4),"")</f>
        <v/>
      </c>
      <c r="J428" s="47" t="n"/>
      <c r="K428" s="47" t="n"/>
      <c r="L428" s="20" t="str">
        <f>IF(ISNUMBER(K428),K428+N(J428),IF(ISNUMBER(H428),I428+N(J428),""))</f>
        <v/>
      </c>
      <c r="M428" s="40" t="str">
        <f>IF(A428="","",IFERROR(T(INDEX('交易记录'!$C$5:$C$304,MATCH(A428,'交易记录'!$A$5:$A$304,0))),"编号没找到"))</f>
        <v/>
      </c>
      <c r="N428" s="30" t="n"/>
    </row>
    <row r="429">
      <c r="A429" s="24" t="n"/>
      <c r="B429" s="29" t="n"/>
      <c r="C429" s="27" t="n"/>
      <c r="D429" s="31" t="n"/>
      <c r="E429" s="32" t="n"/>
      <c r="F429" s="35" t="n"/>
      <c r="G429" s="31" t="n"/>
      <c r="H429" s="20" t="str">
        <f>IF(AND(ISNUMBER(E429),ISNUMBER(F429)),E429*F429,"")</f>
        <v/>
      </c>
      <c r="I429" s="42" t="str">
        <f>IF(ISNUMBER(H429),ROUND(H429*IF(G429="挂单",'参数'!$C$11,'参数'!$C$12),4),"")</f>
        <v/>
      </c>
      <c r="J429" s="47" t="n"/>
      <c r="K429" s="47" t="n"/>
      <c r="L429" s="20" t="str">
        <f>IF(ISNUMBER(K429),K429+N(J429),IF(ISNUMBER(H429),I429+N(J429),""))</f>
        <v/>
      </c>
      <c r="M429" s="40" t="str">
        <f>IF(A429="","",IFERROR(T(INDEX('交易记录'!$C$5:$C$304,MATCH(A429,'交易记录'!$A$5:$A$304,0))),"编号没找到"))</f>
        <v/>
      </c>
      <c r="N429" s="30" t="n"/>
    </row>
    <row r="430">
      <c r="A430" s="24" t="n"/>
      <c r="B430" s="29" t="n"/>
      <c r="C430" s="27" t="n"/>
      <c r="D430" s="31" t="n"/>
      <c r="E430" s="32" t="n"/>
      <c r="F430" s="35" t="n"/>
      <c r="G430" s="31" t="n"/>
      <c r="H430" s="20" t="str">
        <f>IF(AND(ISNUMBER(E430),ISNUMBER(F430)),E430*F430,"")</f>
        <v/>
      </c>
      <c r="I430" s="42" t="str">
        <f>IF(ISNUMBER(H430),ROUND(H430*IF(G430="挂单",'参数'!$C$11,'参数'!$C$12),4),"")</f>
        <v/>
      </c>
      <c r="J430" s="47" t="n"/>
      <c r="K430" s="47" t="n"/>
      <c r="L430" s="20" t="str">
        <f>IF(ISNUMBER(K430),K430+N(J430),IF(ISNUMBER(H430),I430+N(J430),""))</f>
        <v/>
      </c>
      <c r="M430" s="40" t="str">
        <f>IF(A430="","",IFERROR(T(INDEX('交易记录'!$C$5:$C$304,MATCH(A430,'交易记录'!$A$5:$A$304,0))),"编号没找到"))</f>
        <v/>
      </c>
      <c r="N430" s="30" t="n"/>
    </row>
    <row r="431">
      <c r="A431" s="24" t="n"/>
      <c r="B431" s="29" t="n"/>
      <c r="C431" s="27" t="n"/>
      <c r="D431" s="31" t="n"/>
      <c r="E431" s="32" t="n"/>
      <c r="F431" s="35" t="n"/>
      <c r="G431" s="31" t="n"/>
      <c r="H431" s="20" t="str">
        <f>IF(AND(ISNUMBER(E431),ISNUMBER(F431)),E431*F431,"")</f>
        <v/>
      </c>
      <c r="I431" s="42" t="str">
        <f>IF(ISNUMBER(H431),ROUND(H431*IF(G431="挂单",'参数'!$C$11,'参数'!$C$12),4),"")</f>
        <v/>
      </c>
      <c r="J431" s="47" t="n"/>
      <c r="K431" s="47" t="n"/>
      <c r="L431" s="20" t="str">
        <f>IF(ISNUMBER(K431),K431+N(J431),IF(ISNUMBER(H431),I431+N(J431),""))</f>
        <v/>
      </c>
      <c r="M431" s="40" t="str">
        <f>IF(A431="","",IFERROR(T(INDEX('交易记录'!$C$5:$C$304,MATCH(A431,'交易记录'!$A$5:$A$304,0))),"编号没找到"))</f>
        <v/>
      </c>
      <c r="N431" s="30" t="n"/>
    </row>
    <row r="432">
      <c r="A432" s="24" t="n"/>
      <c r="B432" s="29" t="n"/>
      <c r="C432" s="27" t="n"/>
      <c r="D432" s="31" t="n"/>
      <c r="E432" s="32" t="n"/>
      <c r="F432" s="35" t="n"/>
      <c r="G432" s="31" t="n"/>
      <c r="H432" s="20" t="str">
        <f>IF(AND(ISNUMBER(E432),ISNUMBER(F432)),E432*F432,"")</f>
        <v/>
      </c>
      <c r="I432" s="42" t="str">
        <f>IF(ISNUMBER(H432),ROUND(H432*IF(G432="挂单",'参数'!$C$11,'参数'!$C$12),4),"")</f>
        <v/>
      </c>
      <c r="J432" s="47" t="n"/>
      <c r="K432" s="47" t="n"/>
      <c r="L432" s="20" t="str">
        <f>IF(ISNUMBER(K432),K432+N(J432),IF(ISNUMBER(H432),I432+N(J432),""))</f>
        <v/>
      </c>
      <c r="M432" s="40" t="str">
        <f>IF(A432="","",IFERROR(T(INDEX('交易记录'!$C$5:$C$304,MATCH(A432,'交易记录'!$A$5:$A$304,0))),"编号没找到"))</f>
        <v/>
      </c>
      <c r="N432" s="30" t="n"/>
    </row>
    <row r="433">
      <c r="A433" s="24" t="n"/>
      <c r="B433" s="29" t="n"/>
      <c r="C433" s="27" t="n"/>
      <c r="D433" s="31" t="n"/>
      <c r="E433" s="32" t="n"/>
      <c r="F433" s="35" t="n"/>
      <c r="G433" s="31" t="n"/>
      <c r="H433" s="20" t="str">
        <f>IF(AND(ISNUMBER(E433),ISNUMBER(F433)),E433*F433,"")</f>
        <v/>
      </c>
      <c r="I433" s="42" t="str">
        <f>IF(ISNUMBER(H433),ROUND(H433*IF(G433="挂单",'参数'!$C$11,'参数'!$C$12),4),"")</f>
        <v/>
      </c>
      <c r="J433" s="47" t="n"/>
      <c r="K433" s="47" t="n"/>
      <c r="L433" s="20" t="str">
        <f>IF(ISNUMBER(K433),K433+N(J433),IF(ISNUMBER(H433),I433+N(J433),""))</f>
        <v/>
      </c>
      <c r="M433" s="40" t="str">
        <f>IF(A433="","",IFERROR(T(INDEX('交易记录'!$C$5:$C$304,MATCH(A433,'交易记录'!$A$5:$A$304,0))),"编号没找到"))</f>
        <v/>
      </c>
      <c r="N433" s="30" t="n"/>
    </row>
    <row r="434">
      <c r="A434" s="24" t="n"/>
      <c r="B434" s="29" t="n"/>
      <c r="C434" s="27" t="n"/>
      <c r="D434" s="31" t="n"/>
      <c r="E434" s="32" t="n"/>
      <c r="F434" s="35" t="n"/>
      <c r="G434" s="31" t="n"/>
      <c r="H434" s="20" t="str">
        <f>IF(AND(ISNUMBER(E434),ISNUMBER(F434)),E434*F434,"")</f>
        <v/>
      </c>
      <c r="I434" s="42" t="str">
        <f>IF(ISNUMBER(H434),ROUND(H434*IF(G434="挂单",'参数'!$C$11,'参数'!$C$12),4),"")</f>
        <v/>
      </c>
      <c r="J434" s="47" t="n"/>
      <c r="K434" s="47" t="n"/>
      <c r="L434" s="20" t="str">
        <f>IF(ISNUMBER(K434),K434+N(J434),IF(ISNUMBER(H434),I434+N(J434),""))</f>
        <v/>
      </c>
      <c r="M434" s="40" t="str">
        <f>IF(A434="","",IFERROR(T(INDEX('交易记录'!$C$5:$C$304,MATCH(A434,'交易记录'!$A$5:$A$304,0))),"编号没找到"))</f>
        <v/>
      </c>
      <c r="N434" s="30" t="n"/>
    </row>
    <row r="435">
      <c r="A435" s="24" t="n"/>
      <c r="B435" s="29" t="n"/>
      <c r="C435" s="27" t="n"/>
      <c r="D435" s="31" t="n"/>
      <c r="E435" s="32" t="n"/>
      <c r="F435" s="35" t="n"/>
      <c r="G435" s="31" t="n"/>
      <c r="H435" s="20" t="str">
        <f>IF(AND(ISNUMBER(E435),ISNUMBER(F435)),E435*F435,"")</f>
        <v/>
      </c>
      <c r="I435" s="42" t="str">
        <f>IF(ISNUMBER(H435),ROUND(H435*IF(G435="挂单",'参数'!$C$11,'参数'!$C$12),4),"")</f>
        <v/>
      </c>
      <c r="J435" s="47" t="n"/>
      <c r="K435" s="47" t="n"/>
      <c r="L435" s="20" t="str">
        <f>IF(ISNUMBER(K435),K435+N(J435),IF(ISNUMBER(H435),I435+N(J435),""))</f>
        <v/>
      </c>
      <c r="M435" s="40" t="str">
        <f>IF(A435="","",IFERROR(T(INDEX('交易记录'!$C$5:$C$304,MATCH(A435,'交易记录'!$A$5:$A$304,0))),"编号没找到"))</f>
        <v/>
      </c>
      <c r="N435" s="30" t="n"/>
    </row>
    <row r="436">
      <c r="A436" s="24" t="n"/>
      <c r="B436" s="29" t="n"/>
      <c r="C436" s="27" t="n"/>
      <c r="D436" s="31" t="n"/>
      <c r="E436" s="32" t="n"/>
      <c r="F436" s="35" t="n"/>
      <c r="G436" s="31" t="n"/>
      <c r="H436" s="20" t="str">
        <f>IF(AND(ISNUMBER(E436),ISNUMBER(F436)),E436*F436,"")</f>
        <v/>
      </c>
      <c r="I436" s="42" t="str">
        <f>IF(ISNUMBER(H436),ROUND(H436*IF(G436="挂单",'参数'!$C$11,'参数'!$C$12),4),"")</f>
        <v/>
      </c>
      <c r="J436" s="47" t="n"/>
      <c r="K436" s="47" t="n"/>
      <c r="L436" s="20" t="str">
        <f>IF(ISNUMBER(K436),K436+N(J436),IF(ISNUMBER(H436),I436+N(J436),""))</f>
        <v/>
      </c>
      <c r="M436" s="40" t="str">
        <f>IF(A436="","",IFERROR(T(INDEX('交易记录'!$C$5:$C$304,MATCH(A436,'交易记录'!$A$5:$A$304,0))),"编号没找到"))</f>
        <v/>
      </c>
      <c r="N436" s="30" t="n"/>
    </row>
    <row r="437">
      <c r="A437" s="24" t="n"/>
      <c r="B437" s="29" t="n"/>
      <c r="C437" s="27" t="n"/>
      <c r="D437" s="31" t="n"/>
      <c r="E437" s="32" t="n"/>
      <c r="F437" s="35" t="n"/>
      <c r="G437" s="31" t="n"/>
      <c r="H437" s="20" t="str">
        <f>IF(AND(ISNUMBER(E437),ISNUMBER(F437)),E437*F437,"")</f>
        <v/>
      </c>
      <c r="I437" s="42" t="str">
        <f>IF(ISNUMBER(H437),ROUND(H437*IF(G437="挂单",'参数'!$C$11,'参数'!$C$12),4),"")</f>
        <v/>
      </c>
      <c r="J437" s="47" t="n"/>
      <c r="K437" s="47" t="n"/>
      <c r="L437" s="20" t="str">
        <f>IF(ISNUMBER(K437),K437+N(J437),IF(ISNUMBER(H437),I437+N(J437),""))</f>
        <v/>
      </c>
      <c r="M437" s="40" t="str">
        <f>IF(A437="","",IFERROR(T(INDEX('交易记录'!$C$5:$C$304,MATCH(A437,'交易记录'!$A$5:$A$304,0))),"编号没找到"))</f>
        <v/>
      </c>
      <c r="N437" s="30" t="n"/>
    </row>
    <row r="438">
      <c r="A438" s="24" t="n"/>
      <c r="B438" s="29" t="n"/>
      <c r="C438" s="27" t="n"/>
      <c r="D438" s="31" t="n"/>
      <c r="E438" s="32" t="n"/>
      <c r="F438" s="35" t="n"/>
      <c r="G438" s="31" t="n"/>
      <c r="H438" s="20" t="str">
        <f>IF(AND(ISNUMBER(E438),ISNUMBER(F438)),E438*F438,"")</f>
        <v/>
      </c>
      <c r="I438" s="42" t="str">
        <f>IF(ISNUMBER(H438),ROUND(H438*IF(G438="挂单",'参数'!$C$11,'参数'!$C$12),4),"")</f>
        <v/>
      </c>
      <c r="J438" s="47" t="n"/>
      <c r="K438" s="47" t="n"/>
      <c r="L438" s="20" t="str">
        <f>IF(ISNUMBER(K438),K438+N(J438),IF(ISNUMBER(H438),I438+N(J438),""))</f>
        <v/>
      </c>
      <c r="M438" s="40" t="str">
        <f>IF(A438="","",IFERROR(T(INDEX('交易记录'!$C$5:$C$304,MATCH(A438,'交易记录'!$A$5:$A$304,0))),"编号没找到"))</f>
        <v/>
      </c>
      <c r="N438" s="30" t="n"/>
    </row>
    <row r="439">
      <c r="A439" s="24" t="n"/>
      <c r="B439" s="29" t="n"/>
      <c r="C439" s="27" t="n"/>
      <c r="D439" s="31" t="n"/>
      <c r="E439" s="32" t="n"/>
      <c r="F439" s="35" t="n"/>
      <c r="G439" s="31" t="n"/>
      <c r="H439" s="20" t="str">
        <f>IF(AND(ISNUMBER(E439),ISNUMBER(F439)),E439*F439,"")</f>
        <v/>
      </c>
      <c r="I439" s="42" t="str">
        <f>IF(ISNUMBER(H439),ROUND(H439*IF(G439="挂单",'参数'!$C$11,'参数'!$C$12),4),"")</f>
        <v/>
      </c>
      <c r="J439" s="47" t="n"/>
      <c r="K439" s="47" t="n"/>
      <c r="L439" s="20" t="str">
        <f>IF(ISNUMBER(K439),K439+N(J439),IF(ISNUMBER(H439),I439+N(J439),""))</f>
        <v/>
      </c>
      <c r="M439" s="40" t="str">
        <f>IF(A439="","",IFERROR(T(INDEX('交易记录'!$C$5:$C$304,MATCH(A439,'交易记录'!$A$5:$A$304,0))),"编号没找到"))</f>
        <v/>
      </c>
      <c r="N439" s="30" t="n"/>
    </row>
    <row r="440">
      <c r="A440" s="24" t="n"/>
      <c r="B440" s="29" t="n"/>
      <c r="C440" s="27" t="n"/>
      <c r="D440" s="31" t="n"/>
      <c r="E440" s="32" t="n"/>
      <c r="F440" s="35" t="n"/>
      <c r="G440" s="31" t="n"/>
      <c r="H440" s="20" t="str">
        <f>IF(AND(ISNUMBER(E440),ISNUMBER(F440)),E440*F440,"")</f>
        <v/>
      </c>
      <c r="I440" s="42" t="str">
        <f>IF(ISNUMBER(H440),ROUND(H440*IF(G440="挂单",'参数'!$C$11,'参数'!$C$12),4),"")</f>
        <v/>
      </c>
      <c r="J440" s="47" t="n"/>
      <c r="K440" s="47" t="n"/>
      <c r="L440" s="20" t="str">
        <f>IF(ISNUMBER(K440),K440+N(J440),IF(ISNUMBER(H440),I440+N(J440),""))</f>
        <v/>
      </c>
      <c r="M440" s="40" t="str">
        <f>IF(A440="","",IFERROR(T(INDEX('交易记录'!$C$5:$C$304,MATCH(A440,'交易记录'!$A$5:$A$304,0))),"编号没找到"))</f>
        <v/>
      </c>
      <c r="N440" s="30" t="n"/>
    </row>
    <row r="441">
      <c r="A441" s="24" t="n"/>
      <c r="B441" s="29" t="n"/>
      <c r="C441" s="27" t="n"/>
      <c r="D441" s="31" t="n"/>
      <c r="E441" s="32" t="n"/>
      <c r="F441" s="35" t="n"/>
      <c r="G441" s="31" t="n"/>
      <c r="H441" s="20" t="str">
        <f>IF(AND(ISNUMBER(E441),ISNUMBER(F441)),E441*F441,"")</f>
        <v/>
      </c>
      <c r="I441" s="42" t="str">
        <f>IF(ISNUMBER(H441),ROUND(H441*IF(G441="挂单",'参数'!$C$11,'参数'!$C$12),4),"")</f>
        <v/>
      </c>
      <c r="J441" s="47" t="n"/>
      <c r="K441" s="47" t="n"/>
      <c r="L441" s="20" t="str">
        <f>IF(ISNUMBER(K441),K441+N(J441),IF(ISNUMBER(H441),I441+N(J441),""))</f>
        <v/>
      </c>
      <c r="M441" s="40" t="str">
        <f>IF(A441="","",IFERROR(T(INDEX('交易记录'!$C$5:$C$304,MATCH(A441,'交易记录'!$A$5:$A$304,0))),"编号没找到"))</f>
        <v/>
      </c>
      <c r="N441" s="30" t="n"/>
    </row>
    <row r="442">
      <c r="A442" s="24" t="n"/>
      <c r="B442" s="29" t="n"/>
      <c r="C442" s="27" t="n"/>
      <c r="D442" s="31" t="n"/>
      <c r="E442" s="32" t="n"/>
      <c r="F442" s="35" t="n"/>
      <c r="G442" s="31" t="n"/>
      <c r="H442" s="20" t="str">
        <f>IF(AND(ISNUMBER(E442),ISNUMBER(F442)),E442*F442,"")</f>
        <v/>
      </c>
      <c r="I442" s="42" t="str">
        <f>IF(ISNUMBER(H442),ROUND(H442*IF(G442="挂单",'参数'!$C$11,'参数'!$C$12),4),"")</f>
        <v/>
      </c>
      <c r="J442" s="47" t="n"/>
      <c r="K442" s="47" t="n"/>
      <c r="L442" s="20" t="str">
        <f>IF(ISNUMBER(K442),K442+N(J442),IF(ISNUMBER(H442),I442+N(J442),""))</f>
        <v/>
      </c>
      <c r="M442" s="40" t="str">
        <f>IF(A442="","",IFERROR(T(INDEX('交易记录'!$C$5:$C$304,MATCH(A442,'交易记录'!$A$5:$A$304,0))),"编号没找到"))</f>
        <v/>
      </c>
      <c r="N442" s="30" t="n"/>
    </row>
    <row r="443">
      <c r="A443" s="24" t="n"/>
      <c r="B443" s="29" t="n"/>
      <c r="C443" s="27" t="n"/>
      <c r="D443" s="31" t="n"/>
      <c r="E443" s="32" t="n"/>
      <c r="F443" s="35" t="n"/>
      <c r="G443" s="31" t="n"/>
      <c r="H443" s="20" t="str">
        <f>IF(AND(ISNUMBER(E443),ISNUMBER(F443)),E443*F443,"")</f>
        <v/>
      </c>
      <c r="I443" s="42" t="str">
        <f>IF(ISNUMBER(H443),ROUND(H443*IF(G443="挂单",'参数'!$C$11,'参数'!$C$12),4),"")</f>
        <v/>
      </c>
      <c r="J443" s="47" t="n"/>
      <c r="K443" s="47" t="n"/>
      <c r="L443" s="20" t="str">
        <f>IF(ISNUMBER(K443),K443+N(J443),IF(ISNUMBER(H443),I443+N(J443),""))</f>
        <v/>
      </c>
      <c r="M443" s="40" t="str">
        <f>IF(A443="","",IFERROR(T(INDEX('交易记录'!$C$5:$C$304,MATCH(A443,'交易记录'!$A$5:$A$304,0))),"编号没找到"))</f>
        <v/>
      </c>
      <c r="N443" s="30" t="n"/>
    </row>
    <row r="444">
      <c r="A444" s="24" t="n"/>
      <c r="B444" s="29" t="n"/>
      <c r="C444" s="27" t="n"/>
      <c r="D444" s="31" t="n"/>
      <c r="E444" s="32" t="n"/>
      <c r="F444" s="35" t="n"/>
      <c r="G444" s="31" t="n"/>
      <c r="H444" s="20" t="str">
        <f>IF(AND(ISNUMBER(E444),ISNUMBER(F444)),E444*F444,"")</f>
        <v/>
      </c>
      <c r="I444" s="42" t="str">
        <f>IF(ISNUMBER(H444),ROUND(H444*IF(G444="挂单",'参数'!$C$11,'参数'!$C$12),4),"")</f>
        <v/>
      </c>
      <c r="J444" s="47" t="n"/>
      <c r="K444" s="47" t="n"/>
      <c r="L444" s="20" t="str">
        <f>IF(ISNUMBER(K444),K444+N(J444),IF(ISNUMBER(H444),I444+N(J444),""))</f>
        <v/>
      </c>
      <c r="M444" s="40" t="str">
        <f>IF(A444="","",IFERROR(T(INDEX('交易记录'!$C$5:$C$304,MATCH(A444,'交易记录'!$A$5:$A$304,0))),"编号没找到"))</f>
        <v/>
      </c>
      <c r="N444" s="30" t="n"/>
    </row>
    <row r="445">
      <c r="A445" s="24" t="n"/>
      <c r="B445" s="29" t="n"/>
      <c r="C445" s="27" t="n"/>
      <c r="D445" s="31" t="n"/>
      <c r="E445" s="32" t="n"/>
      <c r="F445" s="35" t="n"/>
      <c r="G445" s="31" t="n"/>
      <c r="H445" s="20" t="str">
        <f>IF(AND(ISNUMBER(E445),ISNUMBER(F445)),E445*F445,"")</f>
        <v/>
      </c>
      <c r="I445" s="42" t="str">
        <f>IF(ISNUMBER(H445),ROUND(H445*IF(G445="挂单",'参数'!$C$11,'参数'!$C$12),4),"")</f>
        <v/>
      </c>
      <c r="J445" s="47" t="n"/>
      <c r="K445" s="47" t="n"/>
      <c r="L445" s="20" t="str">
        <f>IF(ISNUMBER(K445),K445+N(J445),IF(ISNUMBER(H445),I445+N(J445),""))</f>
        <v/>
      </c>
      <c r="M445" s="40" t="str">
        <f>IF(A445="","",IFERROR(T(INDEX('交易记录'!$C$5:$C$304,MATCH(A445,'交易记录'!$A$5:$A$304,0))),"编号没找到"))</f>
        <v/>
      </c>
      <c r="N445" s="30" t="n"/>
    </row>
    <row r="446">
      <c r="A446" s="24" t="n"/>
      <c r="B446" s="29" t="n"/>
      <c r="C446" s="27" t="n"/>
      <c r="D446" s="31" t="n"/>
      <c r="E446" s="32" t="n"/>
      <c r="F446" s="35" t="n"/>
      <c r="G446" s="31" t="n"/>
      <c r="H446" s="20" t="str">
        <f>IF(AND(ISNUMBER(E446),ISNUMBER(F446)),E446*F446,"")</f>
        <v/>
      </c>
      <c r="I446" s="42" t="str">
        <f>IF(ISNUMBER(H446),ROUND(H446*IF(G446="挂单",'参数'!$C$11,'参数'!$C$12),4),"")</f>
        <v/>
      </c>
      <c r="J446" s="47" t="n"/>
      <c r="K446" s="47" t="n"/>
      <c r="L446" s="20" t="str">
        <f>IF(ISNUMBER(K446),K446+N(J446),IF(ISNUMBER(H446),I446+N(J446),""))</f>
        <v/>
      </c>
      <c r="M446" s="40" t="str">
        <f>IF(A446="","",IFERROR(T(INDEX('交易记录'!$C$5:$C$304,MATCH(A446,'交易记录'!$A$5:$A$304,0))),"编号没找到"))</f>
        <v/>
      </c>
      <c r="N446" s="30" t="n"/>
    </row>
    <row r="447">
      <c r="A447" s="24" t="n"/>
      <c r="B447" s="29" t="n"/>
      <c r="C447" s="27" t="n"/>
      <c r="D447" s="31" t="n"/>
      <c r="E447" s="32" t="n"/>
      <c r="F447" s="35" t="n"/>
      <c r="G447" s="31" t="n"/>
      <c r="H447" s="20" t="str">
        <f>IF(AND(ISNUMBER(E447),ISNUMBER(F447)),E447*F447,"")</f>
        <v/>
      </c>
      <c r="I447" s="42" t="str">
        <f>IF(ISNUMBER(H447),ROUND(H447*IF(G447="挂单",'参数'!$C$11,'参数'!$C$12),4),"")</f>
        <v/>
      </c>
      <c r="J447" s="47" t="n"/>
      <c r="K447" s="47" t="n"/>
      <c r="L447" s="20" t="str">
        <f>IF(ISNUMBER(K447),K447+N(J447),IF(ISNUMBER(H447),I447+N(J447),""))</f>
        <v/>
      </c>
      <c r="M447" s="40" t="str">
        <f>IF(A447="","",IFERROR(T(INDEX('交易记录'!$C$5:$C$304,MATCH(A447,'交易记录'!$A$5:$A$304,0))),"编号没找到"))</f>
        <v/>
      </c>
      <c r="N447" s="30" t="n"/>
    </row>
    <row r="448">
      <c r="A448" s="24" t="n"/>
      <c r="B448" s="29" t="n"/>
      <c r="C448" s="27" t="n"/>
      <c r="D448" s="31" t="n"/>
      <c r="E448" s="32" t="n"/>
      <c r="F448" s="35" t="n"/>
      <c r="G448" s="31" t="n"/>
      <c r="H448" s="20" t="str">
        <f>IF(AND(ISNUMBER(E448),ISNUMBER(F448)),E448*F448,"")</f>
        <v/>
      </c>
      <c r="I448" s="42" t="str">
        <f>IF(ISNUMBER(H448),ROUND(H448*IF(G448="挂单",'参数'!$C$11,'参数'!$C$12),4),"")</f>
        <v/>
      </c>
      <c r="J448" s="47" t="n"/>
      <c r="K448" s="47" t="n"/>
      <c r="L448" s="20" t="str">
        <f>IF(ISNUMBER(K448),K448+N(J448),IF(ISNUMBER(H448),I448+N(J448),""))</f>
        <v/>
      </c>
      <c r="M448" s="40" t="str">
        <f>IF(A448="","",IFERROR(T(INDEX('交易记录'!$C$5:$C$304,MATCH(A448,'交易记录'!$A$5:$A$304,0))),"编号没找到"))</f>
        <v/>
      </c>
      <c r="N448" s="30" t="n"/>
    </row>
    <row r="449">
      <c r="A449" s="24" t="n"/>
      <c r="B449" s="29" t="n"/>
      <c r="C449" s="27" t="n"/>
      <c r="D449" s="31" t="n"/>
      <c r="E449" s="32" t="n"/>
      <c r="F449" s="35" t="n"/>
      <c r="G449" s="31" t="n"/>
      <c r="H449" s="20" t="str">
        <f>IF(AND(ISNUMBER(E449),ISNUMBER(F449)),E449*F449,"")</f>
        <v/>
      </c>
      <c r="I449" s="42" t="str">
        <f>IF(ISNUMBER(H449),ROUND(H449*IF(G449="挂单",'参数'!$C$11,'参数'!$C$12),4),"")</f>
        <v/>
      </c>
      <c r="J449" s="47" t="n"/>
      <c r="K449" s="47" t="n"/>
      <c r="L449" s="20" t="str">
        <f>IF(ISNUMBER(K449),K449+N(J449),IF(ISNUMBER(H449),I449+N(J449),""))</f>
        <v/>
      </c>
      <c r="M449" s="40" t="str">
        <f>IF(A449="","",IFERROR(T(INDEX('交易记录'!$C$5:$C$304,MATCH(A449,'交易记录'!$A$5:$A$304,0))),"编号没找到"))</f>
        <v/>
      </c>
      <c r="N449" s="30" t="n"/>
    </row>
    <row r="450">
      <c r="A450" s="24" t="n"/>
      <c r="B450" s="29" t="n"/>
      <c r="C450" s="27" t="n"/>
      <c r="D450" s="31" t="n"/>
      <c r="E450" s="32" t="n"/>
      <c r="F450" s="35" t="n"/>
      <c r="G450" s="31" t="n"/>
      <c r="H450" s="20" t="str">
        <f>IF(AND(ISNUMBER(E450),ISNUMBER(F450)),E450*F450,"")</f>
        <v/>
      </c>
      <c r="I450" s="42" t="str">
        <f>IF(ISNUMBER(H450),ROUND(H450*IF(G450="挂单",'参数'!$C$11,'参数'!$C$12),4),"")</f>
        <v/>
      </c>
      <c r="J450" s="47" t="n"/>
      <c r="K450" s="47" t="n"/>
      <c r="L450" s="20" t="str">
        <f>IF(ISNUMBER(K450),K450+N(J450),IF(ISNUMBER(H450),I450+N(J450),""))</f>
        <v/>
      </c>
      <c r="M450" s="40" t="str">
        <f>IF(A450="","",IFERROR(T(INDEX('交易记录'!$C$5:$C$304,MATCH(A450,'交易记录'!$A$5:$A$304,0))),"编号没找到"))</f>
        <v/>
      </c>
      <c r="N450" s="30" t="n"/>
    </row>
    <row r="451">
      <c r="A451" s="24" t="n"/>
      <c r="B451" s="29" t="n"/>
      <c r="C451" s="27" t="n"/>
      <c r="D451" s="31" t="n"/>
      <c r="E451" s="32" t="n"/>
      <c r="F451" s="35" t="n"/>
      <c r="G451" s="31" t="n"/>
      <c r="H451" s="20" t="str">
        <f>IF(AND(ISNUMBER(E451),ISNUMBER(F451)),E451*F451,"")</f>
        <v/>
      </c>
      <c r="I451" s="42" t="str">
        <f>IF(ISNUMBER(H451),ROUND(H451*IF(G451="挂单",'参数'!$C$11,'参数'!$C$12),4),"")</f>
        <v/>
      </c>
      <c r="J451" s="47" t="n"/>
      <c r="K451" s="47" t="n"/>
      <c r="L451" s="20" t="str">
        <f>IF(ISNUMBER(K451),K451+N(J451),IF(ISNUMBER(H451),I451+N(J451),""))</f>
        <v/>
      </c>
      <c r="M451" s="40" t="str">
        <f>IF(A451="","",IFERROR(T(INDEX('交易记录'!$C$5:$C$304,MATCH(A451,'交易记录'!$A$5:$A$304,0))),"编号没找到"))</f>
        <v/>
      </c>
      <c r="N451" s="30" t="n"/>
    </row>
    <row r="452">
      <c r="A452" s="24" t="n"/>
      <c r="B452" s="29" t="n"/>
      <c r="C452" s="27" t="n"/>
      <c r="D452" s="31" t="n"/>
      <c r="E452" s="32" t="n"/>
      <c r="F452" s="35" t="n"/>
      <c r="G452" s="31" t="n"/>
      <c r="H452" s="20" t="str">
        <f>IF(AND(ISNUMBER(E452),ISNUMBER(F452)),E452*F452,"")</f>
        <v/>
      </c>
      <c r="I452" s="42" t="str">
        <f>IF(ISNUMBER(H452),ROUND(H452*IF(G452="挂单",'参数'!$C$11,'参数'!$C$12),4),"")</f>
        <v/>
      </c>
      <c r="J452" s="47" t="n"/>
      <c r="K452" s="47" t="n"/>
      <c r="L452" s="20" t="str">
        <f>IF(ISNUMBER(K452),K452+N(J452),IF(ISNUMBER(H452),I452+N(J452),""))</f>
        <v/>
      </c>
      <c r="M452" s="40" t="str">
        <f>IF(A452="","",IFERROR(T(INDEX('交易记录'!$C$5:$C$304,MATCH(A452,'交易记录'!$A$5:$A$304,0))),"编号没找到"))</f>
        <v/>
      </c>
      <c r="N452" s="30" t="n"/>
    </row>
    <row r="453">
      <c r="A453" s="24" t="n"/>
      <c r="B453" s="29" t="n"/>
      <c r="C453" s="27" t="n"/>
      <c r="D453" s="31" t="n"/>
      <c r="E453" s="32" t="n"/>
      <c r="F453" s="35" t="n"/>
      <c r="G453" s="31" t="n"/>
      <c r="H453" s="20" t="str">
        <f>IF(AND(ISNUMBER(E453),ISNUMBER(F453)),E453*F453,"")</f>
        <v/>
      </c>
      <c r="I453" s="42" t="str">
        <f>IF(ISNUMBER(H453),ROUND(H453*IF(G453="挂单",'参数'!$C$11,'参数'!$C$12),4),"")</f>
        <v/>
      </c>
      <c r="J453" s="47" t="n"/>
      <c r="K453" s="47" t="n"/>
      <c r="L453" s="20" t="str">
        <f>IF(ISNUMBER(K453),K453+N(J453),IF(ISNUMBER(H453),I453+N(J453),""))</f>
        <v/>
      </c>
      <c r="M453" s="40" t="str">
        <f>IF(A453="","",IFERROR(T(INDEX('交易记录'!$C$5:$C$304,MATCH(A453,'交易记录'!$A$5:$A$304,0))),"编号没找到"))</f>
        <v/>
      </c>
      <c r="N453" s="30" t="n"/>
    </row>
    <row r="454">
      <c r="A454" s="24" t="n"/>
      <c r="B454" s="29" t="n"/>
      <c r="C454" s="27" t="n"/>
      <c r="D454" s="31" t="n"/>
      <c r="E454" s="32" t="n"/>
      <c r="F454" s="35" t="n"/>
      <c r="G454" s="31" t="n"/>
      <c r="H454" s="20" t="str">
        <f>IF(AND(ISNUMBER(E454),ISNUMBER(F454)),E454*F454,"")</f>
        <v/>
      </c>
      <c r="I454" s="42" t="str">
        <f>IF(ISNUMBER(H454),ROUND(H454*IF(G454="挂单",'参数'!$C$11,'参数'!$C$12),4),"")</f>
        <v/>
      </c>
      <c r="J454" s="47" t="n"/>
      <c r="K454" s="47" t="n"/>
      <c r="L454" s="20" t="str">
        <f>IF(ISNUMBER(K454),K454+N(J454),IF(ISNUMBER(H454),I454+N(J454),""))</f>
        <v/>
      </c>
      <c r="M454" s="40" t="str">
        <f>IF(A454="","",IFERROR(T(INDEX('交易记录'!$C$5:$C$304,MATCH(A454,'交易记录'!$A$5:$A$304,0))),"编号没找到"))</f>
        <v/>
      </c>
      <c r="N454" s="30" t="n"/>
    </row>
    <row r="455">
      <c r="A455" s="24" t="n"/>
      <c r="B455" s="29" t="n"/>
      <c r="C455" s="27" t="n"/>
      <c r="D455" s="31" t="n"/>
      <c r="E455" s="32" t="n"/>
      <c r="F455" s="35" t="n"/>
      <c r="G455" s="31" t="n"/>
      <c r="H455" s="20" t="str">
        <f>IF(AND(ISNUMBER(E455),ISNUMBER(F455)),E455*F455,"")</f>
        <v/>
      </c>
      <c r="I455" s="42" t="str">
        <f>IF(ISNUMBER(H455),ROUND(H455*IF(G455="挂单",'参数'!$C$11,'参数'!$C$12),4),"")</f>
        <v/>
      </c>
      <c r="J455" s="47" t="n"/>
      <c r="K455" s="47" t="n"/>
      <c r="L455" s="20" t="str">
        <f>IF(ISNUMBER(K455),K455+N(J455),IF(ISNUMBER(H455),I455+N(J455),""))</f>
        <v/>
      </c>
      <c r="M455" s="40" t="str">
        <f>IF(A455="","",IFERROR(T(INDEX('交易记录'!$C$5:$C$304,MATCH(A455,'交易记录'!$A$5:$A$304,0))),"编号没找到"))</f>
        <v/>
      </c>
      <c r="N455" s="30" t="n"/>
    </row>
    <row r="456">
      <c r="A456" s="24" t="n"/>
      <c r="B456" s="29" t="n"/>
      <c r="C456" s="27" t="n"/>
      <c r="D456" s="31" t="n"/>
      <c r="E456" s="32" t="n"/>
      <c r="F456" s="35" t="n"/>
      <c r="G456" s="31" t="n"/>
      <c r="H456" s="20" t="str">
        <f>IF(AND(ISNUMBER(E456),ISNUMBER(F456)),E456*F456,"")</f>
        <v/>
      </c>
      <c r="I456" s="42" t="str">
        <f>IF(ISNUMBER(H456),ROUND(H456*IF(G456="挂单",'参数'!$C$11,'参数'!$C$12),4),"")</f>
        <v/>
      </c>
      <c r="J456" s="47" t="n"/>
      <c r="K456" s="47" t="n"/>
      <c r="L456" s="20" t="str">
        <f>IF(ISNUMBER(K456),K456+N(J456),IF(ISNUMBER(H456),I456+N(J456),""))</f>
        <v/>
      </c>
      <c r="M456" s="40" t="str">
        <f>IF(A456="","",IFERROR(T(INDEX('交易记录'!$C$5:$C$304,MATCH(A456,'交易记录'!$A$5:$A$304,0))),"编号没找到"))</f>
        <v/>
      </c>
      <c r="N456" s="30" t="n"/>
    </row>
    <row r="457">
      <c r="A457" s="24" t="n"/>
      <c r="B457" s="29" t="n"/>
      <c r="C457" s="27" t="n"/>
      <c r="D457" s="31" t="n"/>
      <c r="E457" s="32" t="n"/>
      <c r="F457" s="35" t="n"/>
      <c r="G457" s="31" t="n"/>
      <c r="H457" s="20" t="str">
        <f>IF(AND(ISNUMBER(E457),ISNUMBER(F457)),E457*F457,"")</f>
        <v/>
      </c>
      <c r="I457" s="42" t="str">
        <f>IF(ISNUMBER(H457),ROUND(H457*IF(G457="挂单",'参数'!$C$11,'参数'!$C$12),4),"")</f>
        <v/>
      </c>
      <c r="J457" s="47" t="n"/>
      <c r="K457" s="47" t="n"/>
      <c r="L457" s="20" t="str">
        <f>IF(ISNUMBER(K457),K457+N(J457),IF(ISNUMBER(H457),I457+N(J457),""))</f>
        <v/>
      </c>
      <c r="M457" s="40" t="str">
        <f>IF(A457="","",IFERROR(T(INDEX('交易记录'!$C$5:$C$304,MATCH(A457,'交易记录'!$A$5:$A$304,0))),"编号没找到"))</f>
        <v/>
      </c>
      <c r="N457" s="30" t="n"/>
    </row>
    <row r="458">
      <c r="A458" s="24" t="n"/>
      <c r="B458" s="29" t="n"/>
      <c r="C458" s="27" t="n"/>
      <c r="D458" s="31" t="n"/>
      <c r="E458" s="32" t="n"/>
      <c r="F458" s="35" t="n"/>
      <c r="G458" s="31" t="n"/>
      <c r="H458" s="20" t="str">
        <f>IF(AND(ISNUMBER(E458),ISNUMBER(F458)),E458*F458,"")</f>
        <v/>
      </c>
      <c r="I458" s="42" t="str">
        <f>IF(ISNUMBER(H458),ROUND(H458*IF(G458="挂单",'参数'!$C$11,'参数'!$C$12),4),"")</f>
        <v/>
      </c>
      <c r="J458" s="47" t="n"/>
      <c r="K458" s="47" t="n"/>
      <c r="L458" s="20" t="str">
        <f>IF(ISNUMBER(K458),K458+N(J458),IF(ISNUMBER(H458),I458+N(J458),""))</f>
        <v/>
      </c>
      <c r="M458" s="40" t="str">
        <f>IF(A458="","",IFERROR(T(INDEX('交易记录'!$C$5:$C$304,MATCH(A458,'交易记录'!$A$5:$A$304,0))),"编号没找到"))</f>
        <v/>
      </c>
      <c r="N458" s="30" t="n"/>
    </row>
    <row r="459">
      <c r="A459" s="24" t="n"/>
      <c r="B459" s="29" t="n"/>
      <c r="C459" s="27" t="n"/>
      <c r="D459" s="31" t="n"/>
      <c r="E459" s="32" t="n"/>
      <c r="F459" s="35" t="n"/>
      <c r="G459" s="31" t="n"/>
      <c r="H459" s="20" t="str">
        <f>IF(AND(ISNUMBER(E459),ISNUMBER(F459)),E459*F459,"")</f>
        <v/>
      </c>
      <c r="I459" s="42" t="str">
        <f>IF(ISNUMBER(H459),ROUND(H459*IF(G459="挂单",'参数'!$C$11,'参数'!$C$12),4),"")</f>
        <v/>
      </c>
      <c r="J459" s="47" t="n"/>
      <c r="K459" s="47" t="n"/>
      <c r="L459" s="20" t="str">
        <f>IF(ISNUMBER(K459),K459+N(J459),IF(ISNUMBER(H459),I459+N(J459),""))</f>
        <v/>
      </c>
      <c r="M459" s="40" t="str">
        <f>IF(A459="","",IFERROR(T(INDEX('交易记录'!$C$5:$C$304,MATCH(A459,'交易记录'!$A$5:$A$304,0))),"编号没找到"))</f>
        <v/>
      </c>
      <c r="N459" s="30" t="n"/>
    </row>
    <row r="460">
      <c r="A460" s="24" t="n"/>
      <c r="B460" s="29" t="n"/>
      <c r="C460" s="27" t="n"/>
      <c r="D460" s="31" t="n"/>
      <c r="E460" s="32" t="n"/>
      <c r="F460" s="35" t="n"/>
      <c r="G460" s="31" t="n"/>
      <c r="H460" s="20" t="str">
        <f>IF(AND(ISNUMBER(E460),ISNUMBER(F460)),E460*F460,"")</f>
        <v/>
      </c>
      <c r="I460" s="42" t="str">
        <f>IF(ISNUMBER(H460),ROUND(H460*IF(G460="挂单",'参数'!$C$11,'参数'!$C$12),4),"")</f>
        <v/>
      </c>
      <c r="J460" s="47" t="n"/>
      <c r="K460" s="47" t="n"/>
      <c r="L460" s="20" t="str">
        <f>IF(ISNUMBER(K460),K460+N(J460),IF(ISNUMBER(H460),I460+N(J460),""))</f>
        <v/>
      </c>
      <c r="M460" s="40" t="str">
        <f>IF(A460="","",IFERROR(T(INDEX('交易记录'!$C$5:$C$304,MATCH(A460,'交易记录'!$A$5:$A$304,0))),"编号没找到"))</f>
        <v/>
      </c>
      <c r="N460" s="30" t="n"/>
    </row>
    <row r="461">
      <c r="A461" s="24" t="n"/>
      <c r="B461" s="29" t="n"/>
      <c r="C461" s="27" t="n"/>
      <c r="D461" s="31" t="n"/>
      <c r="E461" s="32" t="n"/>
      <c r="F461" s="35" t="n"/>
      <c r="G461" s="31" t="n"/>
      <c r="H461" s="20" t="str">
        <f>IF(AND(ISNUMBER(E461),ISNUMBER(F461)),E461*F461,"")</f>
        <v/>
      </c>
      <c r="I461" s="42" t="str">
        <f>IF(ISNUMBER(H461),ROUND(H461*IF(G461="挂单",'参数'!$C$11,'参数'!$C$12),4),"")</f>
        <v/>
      </c>
      <c r="J461" s="47" t="n"/>
      <c r="K461" s="47" t="n"/>
      <c r="L461" s="20" t="str">
        <f>IF(ISNUMBER(K461),K461+N(J461),IF(ISNUMBER(H461),I461+N(J461),""))</f>
        <v/>
      </c>
      <c r="M461" s="40" t="str">
        <f>IF(A461="","",IFERROR(T(INDEX('交易记录'!$C$5:$C$304,MATCH(A461,'交易记录'!$A$5:$A$304,0))),"编号没找到"))</f>
        <v/>
      </c>
      <c r="N461" s="30" t="n"/>
    </row>
    <row r="462">
      <c r="A462" s="24" t="n"/>
      <c r="B462" s="29" t="n"/>
      <c r="C462" s="27" t="n"/>
      <c r="D462" s="31" t="n"/>
      <c r="E462" s="32" t="n"/>
      <c r="F462" s="35" t="n"/>
      <c r="G462" s="31" t="n"/>
      <c r="H462" s="20" t="str">
        <f>IF(AND(ISNUMBER(E462),ISNUMBER(F462)),E462*F462,"")</f>
        <v/>
      </c>
      <c r="I462" s="42" t="str">
        <f>IF(ISNUMBER(H462),ROUND(H462*IF(G462="挂单",'参数'!$C$11,'参数'!$C$12),4),"")</f>
        <v/>
      </c>
      <c r="J462" s="47" t="n"/>
      <c r="K462" s="47" t="n"/>
      <c r="L462" s="20" t="str">
        <f>IF(ISNUMBER(K462),K462+N(J462),IF(ISNUMBER(H462),I462+N(J462),""))</f>
        <v/>
      </c>
      <c r="M462" s="40" t="str">
        <f>IF(A462="","",IFERROR(T(INDEX('交易记录'!$C$5:$C$304,MATCH(A462,'交易记录'!$A$5:$A$304,0))),"编号没找到"))</f>
        <v/>
      </c>
      <c r="N462" s="30" t="n"/>
    </row>
    <row r="463">
      <c r="A463" s="24" t="n"/>
      <c r="B463" s="29" t="n"/>
      <c r="C463" s="27" t="n"/>
      <c r="D463" s="31" t="n"/>
      <c r="E463" s="32" t="n"/>
      <c r="F463" s="35" t="n"/>
      <c r="G463" s="31" t="n"/>
      <c r="H463" s="20" t="str">
        <f>IF(AND(ISNUMBER(E463),ISNUMBER(F463)),E463*F463,"")</f>
        <v/>
      </c>
      <c r="I463" s="42" t="str">
        <f>IF(ISNUMBER(H463),ROUND(H463*IF(G463="挂单",'参数'!$C$11,'参数'!$C$12),4),"")</f>
        <v/>
      </c>
      <c r="J463" s="47" t="n"/>
      <c r="K463" s="47" t="n"/>
      <c r="L463" s="20" t="str">
        <f>IF(ISNUMBER(K463),K463+N(J463),IF(ISNUMBER(H463),I463+N(J463),""))</f>
        <v/>
      </c>
      <c r="M463" s="40" t="str">
        <f>IF(A463="","",IFERROR(T(INDEX('交易记录'!$C$5:$C$304,MATCH(A463,'交易记录'!$A$5:$A$304,0))),"编号没找到"))</f>
        <v/>
      </c>
      <c r="N463" s="30" t="n"/>
    </row>
    <row r="464">
      <c r="A464" s="24" t="n"/>
      <c r="B464" s="29" t="n"/>
      <c r="C464" s="27" t="n"/>
      <c r="D464" s="31" t="n"/>
      <c r="E464" s="32" t="n"/>
      <c r="F464" s="35" t="n"/>
      <c r="G464" s="31" t="n"/>
      <c r="H464" s="20" t="str">
        <f>IF(AND(ISNUMBER(E464),ISNUMBER(F464)),E464*F464,"")</f>
        <v/>
      </c>
      <c r="I464" s="42" t="str">
        <f>IF(ISNUMBER(H464),ROUND(H464*IF(G464="挂单",'参数'!$C$11,'参数'!$C$12),4),"")</f>
        <v/>
      </c>
      <c r="J464" s="47" t="n"/>
      <c r="K464" s="47" t="n"/>
      <c r="L464" s="20" t="str">
        <f>IF(ISNUMBER(K464),K464+N(J464),IF(ISNUMBER(H464),I464+N(J464),""))</f>
        <v/>
      </c>
      <c r="M464" s="40" t="str">
        <f>IF(A464="","",IFERROR(T(INDEX('交易记录'!$C$5:$C$304,MATCH(A464,'交易记录'!$A$5:$A$304,0))),"编号没找到"))</f>
        <v/>
      </c>
      <c r="N464" s="30" t="n"/>
    </row>
    <row r="465">
      <c r="A465" s="24" t="n"/>
      <c r="B465" s="29" t="n"/>
      <c r="C465" s="27" t="n"/>
      <c r="D465" s="31" t="n"/>
      <c r="E465" s="32" t="n"/>
      <c r="F465" s="35" t="n"/>
      <c r="G465" s="31" t="n"/>
      <c r="H465" s="20" t="str">
        <f>IF(AND(ISNUMBER(E465),ISNUMBER(F465)),E465*F465,"")</f>
        <v/>
      </c>
      <c r="I465" s="42" t="str">
        <f>IF(ISNUMBER(H465),ROUND(H465*IF(G465="挂单",'参数'!$C$11,'参数'!$C$12),4),"")</f>
        <v/>
      </c>
      <c r="J465" s="47" t="n"/>
      <c r="K465" s="47" t="n"/>
      <c r="L465" s="20" t="str">
        <f>IF(ISNUMBER(K465),K465+N(J465),IF(ISNUMBER(H465),I465+N(J465),""))</f>
        <v/>
      </c>
      <c r="M465" s="40" t="str">
        <f>IF(A465="","",IFERROR(T(INDEX('交易记录'!$C$5:$C$304,MATCH(A465,'交易记录'!$A$5:$A$304,0))),"编号没找到"))</f>
        <v/>
      </c>
      <c r="N465" s="30" t="n"/>
    </row>
    <row r="466">
      <c r="A466" s="24" t="n"/>
      <c r="B466" s="29" t="n"/>
      <c r="C466" s="27" t="n"/>
      <c r="D466" s="31" t="n"/>
      <c r="E466" s="32" t="n"/>
      <c r="F466" s="35" t="n"/>
      <c r="G466" s="31" t="n"/>
      <c r="H466" s="20" t="str">
        <f>IF(AND(ISNUMBER(E466),ISNUMBER(F466)),E466*F466,"")</f>
        <v/>
      </c>
      <c r="I466" s="42" t="str">
        <f>IF(ISNUMBER(H466),ROUND(H466*IF(G466="挂单",'参数'!$C$11,'参数'!$C$12),4),"")</f>
        <v/>
      </c>
      <c r="J466" s="47" t="n"/>
      <c r="K466" s="47" t="n"/>
      <c r="L466" s="20" t="str">
        <f>IF(ISNUMBER(K466),K466+N(J466),IF(ISNUMBER(H466),I466+N(J466),""))</f>
        <v/>
      </c>
      <c r="M466" s="40" t="str">
        <f>IF(A466="","",IFERROR(T(INDEX('交易记录'!$C$5:$C$304,MATCH(A466,'交易记录'!$A$5:$A$304,0))),"编号没找到"))</f>
        <v/>
      </c>
      <c r="N466" s="30" t="n"/>
    </row>
    <row r="467">
      <c r="A467" s="24" t="n"/>
      <c r="B467" s="29" t="n"/>
      <c r="C467" s="27" t="n"/>
      <c r="D467" s="31" t="n"/>
      <c r="E467" s="32" t="n"/>
      <c r="F467" s="35" t="n"/>
      <c r="G467" s="31" t="n"/>
      <c r="H467" s="20" t="str">
        <f>IF(AND(ISNUMBER(E467),ISNUMBER(F467)),E467*F467,"")</f>
        <v/>
      </c>
      <c r="I467" s="42" t="str">
        <f>IF(ISNUMBER(H467),ROUND(H467*IF(G467="挂单",'参数'!$C$11,'参数'!$C$12),4),"")</f>
        <v/>
      </c>
      <c r="J467" s="47" t="n"/>
      <c r="K467" s="47" t="n"/>
      <c r="L467" s="20" t="str">
        <f>IF(ISNUMBER(K467),K467+N(J467),IF(ISNUMBER(H467),I467+N(J467),""))</f>
        <v/>
      </c>
      <c r="M467" s="40" t="str">
        <f>IF(A467="","",IFERROR(T(INDEX('交易记录'!$C$5:$C$304,MATCH(A467,'交易记录'!$A$5:$A$304,0))),"编号没找到"))</f>
        <v/>
      </c>
      <c r="N467" s="30" t="n"/>
    </row>
    <row r="468">
      <c r="A468" s="24" t="n"/>
      <c r="B468" s="29" t="n"/>
      <c r="C468" s="27" t="n"/>
      <c r="D468" s="31" t="n"/>
      <c r="E468" s="32" t="n"/>
      <c r="F468" s="35" t="n"/>
      <c r="G468" s="31" t="n"/>
      <c r="H468" s="20" t="str">
        <f>IF(AND(ISNUMBER(E468),ISNUMBER(F468)),E468*F468,"")</f>
        <v/>
      </c>
      <c r="I468" s="42" t="str">
        <f>IF(ISNUMBER(H468),ROUND(H468*IF(G468="挂单",'参数'!$C$11,'参数'!$C$12),4),"")</f>
        <v/>
      </c>
      <c r="J468" s="47" t="n"/>
      <c r="K468" s="47" t="n"/>
      <c r="L468" s="20" t="str">
        <f>IF(ISNUMBER(K468),K468+N(J468),IF(ISNUMBER(H468),I468+N(J468),""))</f>
        <v/>
      </c>
      <c r="M468" s="40" t="str">
        <f>IF(A468="","",IFERROR(T(INDEX('交易记录'!$C$5:$C$304,MATCH(A468,'交易记录'!$A$5:$A$304,0))),"编号没找到"))</f>
        <v/>
      </c>
      <c r="N468" s="30" t="n"/>
    </row>
    <row r="469">
      <c r="A469" s="24" t="n"/>
      <c r="B469" s="29" t="n"/>
      <c r="C469" s="27" t="n"/>
      <c r="D469" s="31" t="n"/>
      <c r="E469" s="32" t="n"/>
      <c r="F469" s="35" t="n"/>
      <c r="G469" s="31" t="n"/>
      <c r="H469" s="20" t="str">
        <f>IF(AND(ISNUMBER(E469),ISNUMBER(F469)),E469*F469,"")</f>
        <v/>
      </c>
      <c r="I469" s="42" t="str">
        <f>IF(ISNUMBER(H469),ROUND(H469*IF(G469="挂单",'参数'!$C$11,'参数'!$C$12),4),"")</f>
        <v/>
      </c>
      <c r="J469" s="47" t="n"/>
      <c r="K469" s="47" t="n"/>
      <c r="L469" s="20" t="str">
        <f>IF(ISNUMBER(K469),K469+N(J469),IF(ISNUMBER(H469),I469+N(J469),""))</f>
        <v/>
      </c>
      <c r="M469" s="40" t="str">
        <f>IF(A469="","",IFERROR(T(INDEX('交易记录'!$C$5:$C$304,MATCH(A469,'交易记录'!$A$5:$A$304,0))),"编号没找到"))</f>
        <v/>
      </c>
      <c r="N469" s="30" t="n"/>
    </row>
    <row r="470">
      <c r="A470" s="24" t="n"/>
      <c r="B470" s="29" t="n"/>
      <c r="C470" s="27" t="n"/>
      <c r="D470" s="31" t="n"/>
      <c r="E470" s="32" t="n"/>
      <c r="F470" s="35" t="n"/>
      <c r="G470" s="31" t="n"/>
      <c r="H470" s="20" t="str">
        <f>IF(AND(ISNUMBER(E470),ISNUMBER(F470)),E470*F470,"")</f>
        <v/>
      </c>
      <c r="I470" s="42" t="str">
        <f>IF(ISNUMBER(H470),ROUND(H470*IF(G470="挂单",'参数'!$C$11,'参数'!$C$12),4),"")</f>
        <v/>
      </c>
      <c r="J470" s="47" t="n"/>
      <c r="K470" s="47" t="n"/>
      <c r="L470" s="20" t="str">
        <f>IF(ISNUMBER(K470),K470+N(J470),IF(ISNUMBER(H470),I470+N(J470),""))</f>
        <v/>
      </c>
      <c r="M470" s="40" t="str">
        <f>IF(A470="","",IFERROR(T(INDEX('交易记录'!$C$5:$C$304,MATCH(A470,'交易记录'!$A$5:$A$304,0))),"编号没找到"))</f>
        <v/>
      </c>
      <c r="N470" s="30" t="n"/>
    </row>
    <row r="471">
      <c r="A471" s="24" t="n"/>
      <c r="B471" s="29" t="n"/>
      <c r="C471" s="27" t="n"/>
      <c r="D471" s="31" t="n"/>
      <c r="E471" s="32" t="n"/>
      <c r="F471" s="35" t="n"/>
      <c r="G471" s="31" t="n"/>
      <c r="H471" s="20" t="str">
        <f>IF(AND(ISNUMBER(E471),ISNUMBER(F471)),E471*F471,"")</f>
        <v/>
      </c>
      <c r="I471" s="42" t="str">
        <f>IF(ISNUMBER(H471),ROUND(H471*IF(G471="挂单",'参数'!$C$11,'参数'!$C$12),4),"")</f>
        <v/>
      </c>
      <c r="J471" s="47" t="n"/>
      <c r="K471" s="47" t="n"/>
      <c r="L471" s="20" t="str">
        <f>IF(ISNUMBER(K471),K471+N(J471),IF(ISNUMBER(H471),I471+N(J471),""))</f>
        <v/>
      </c>
      <c r="M471" s="40" t="str">
        <f>IF(A471="","",IFERROR(T(INDEX('交易记录'!$C$5:$C$304,MATCH(A471,'交易记录'!$A$5:$A$304,0))),"编号没找到"))</f>
        <v/>
      </c>
      <c r="N471" s="30" t="n"/>
    </row>
    <row r="472">
      <c r="A472" s="24" t="n"/>
      <c r="B472" s="29" t="n"/>
      <c r="C472" s="27" t="n"/>
      <c r="D472" s="31" t="n"/>
      <c r="E472" s="32" t="n"/>
      <c r="F472" s="35" t="n"/>
      <c r="G472" s="31" t="n"/>
      <c r="H472" s="20" t="str">
        <f>IF(AND(ISNUMBER(E472),ISNUMBER(F472)),E472*F472,"")</f>
        <v/>
      </c>
      <c r="I472" s="42" t="str">
        <f>IF(ISNUMBER(H472),ROUND(H472*IF(G472="挂单",'参数'!$C$11,'参数'!$C$12),4),"")</f>
        <v/>
      </c>
      <c r="J472" s="47" t="n"/>
      <c r="K472" s="47" t="n"/>
      <c r="L472" s="20" t="str">
        <f>IF(ISNUMBER(K472),K472+N(J472),IF(ISNUMBER(H472),I472+N(J472),""))</f>
        <v/>
      </c>
      <c r="M472" s="40" t="str">
        <f>IF(A472="","",IFERROR(T(INDEX('交易记录'!$C$5:$C$304,MATCH(A472,'交易记录'!$A$5:$A$304,0))),"编号没找到"))</f>
        <v/>
      </c>
      <c r="N472" s="30" t="n"/>
    </row>
    <row r="473">
      <c r="A473" s="24" t="n"/>
      <c r="B473" s="29" t="n"/>
      <c r="C473" s="27" t="n"/>
      <c r="D473" s="31" t="n"/>
      <c r="E473" s="32" t="n"/>
      <c r="F473" s="35" t="n"/>
      <c r="G473" s="31" t="n"/>
      <c r="H473" s="20" t="str">
        <f>IF(AND(ISNUMBER(E473),ISNUMBER(F473)),E473*F473,"")</f>
        <v/>
      </c>
      <c r="I473" s="42" t="str">
        <f>IF(ISNUMBER(H473),ROUND(H473*IF(G473="挂单",'参数'!$C$11,'参数'!$C$12),4),"")</f>
        <v/>
      </c>
      <c r="J473" s="47" t="n"/>
      <c r="K473" s="47" t="n"/>
      <c r="L473" s="20" t="str">
        <f>IF(ISNUMBER(K473),K473+N(J473),IF(ISNUMBER(H473),I473+N(J473),""))</f>
        <v/>
      </c>
      <c r="M473" s="40" t="str">
        <f>IF(A473="","",IFERROR(T(INDEX('交易记录'!$C$5:$C$304,MATCH(A473,'交易记录'!$A$5:$A$304,0))),"编号没找到"))</f>
        <v/>
      </c>
      <c r="N473" s="30" t="n"/>
    </row>
    <row r="474">
      <c r="A474" s="24" t="n"/>
      <c r="B474" s="29" t="n"/>
      <c r="C474" s="27" t="n"/>
      <c r="D474" s="31" t="n"/>
      <c r="E474" s="32" t="n"/>
      <c r="F474" s="35" t="n"/>
      <c r="G474" s="31" t="n"/>
      <c r="H474" s="20" t="str">
        <f>IF(AND(ISNUMBER(E474),ISNUMBER(F474)),E474*F474,"")</f>
        <v/>
      </c>
      <c r="I474" s="42" t="str">
        <f>IF(ISNUMBER(H474),ROUND(H474*IF(G474="挂单",'参数'!$C$11,'参数'!$C$12),4),"")</f>
        <v/>
      </c>
      <c r="J474" s="47" t="n"/>
      <c r="K474" s="47" t="n"/>
      <c r="L474" s="20" t="str">
        <f>IF(ISNUMBER(K474),K474+N(J474),IF(ISNUMBER(H474),I474+N(J474),""))</f>
        <v/>
      </c>
      <c r="M474" s="40" t="str">
        <f>IF(A474="","",IFERROR(T(INDEX('交易记录'!$C$5:$C$304,MATCH(A474,'交易记录'!$A$5:$A$304,0))),"编号没找到"))</f>
        <v/>
      </c>
      <c r="N474" s="30" t="n"/>
    </row>
    <row r="475">
      <c r="A475" s="24" t="n"/>
      <c r="B475" s="29" t="n"/>
      <c r="C475" s="27" t="n"/>
      <c r="D475" s="31" t="n"/>
      <c r="E475" s="32" t="n"/>
      <c r="F475" s="35" t="n"/>
      <c r="G475" s="31" t="n"/>
      <c r="H475" s="20" t="str">
        <f>IF(AND(ISNUMBER(E475),ISNUMBER(F475)),E475*F475,"")</f>
        <v/>
      </c>
      <c r="I475" s="42" t="str">
        <f>IF(ISNUMBER(H475),ROUND(H475*IF(G475="挂单",'参数'!$C$11,'参数'!$C$12),4),"")</f>
        <v/>
      </c>
      <c r="J475" s="47" t="n"/>
      <c r="K475" s="47" t="n"/>
      <c r="L475" s="20" t="str">
        <f>IF(ISNUMBER(K475),K475+N(J475),IF(ISNUMBER(H475),I475+N(J475),""))</f>
        <v/>
      </c>
      <c r="M475" s="40" t="str">
        <f>IF(A475="","",IFERROR(T(INDEX('交易记录'!$C$5:$C$304,MATCH(A475,'交易记录'!$A$5:$A$304,0))),"编号没找到"))</f>
        <v/>
      </c>
      <c r="N475" s="30" t="n"/>
    </row>
    <row r="476">
      <c r="A476" s="24" t="n"/>
      <c r="B476" s="29" t="n"/>
      <c r="C476" s="27" t="n"/>
      <c r="D476" s="31" t="n"/>
      <c r="E476" s="32" t="n"/>
      <c r="F476" s="35" t="n"/>
      <c r="G476" s="31" t="n"/>
      <c r="H476" s="20" t="str">
        <f>IF(AND(ISNUMBER(E476),ISNUMBER(F476)),E476*F476,"")</f>
        <v/>
      </c>
      <c r="I476" s="42" t="str">
        <f>IF(ISNUMBER(H476),ROUND(H476*IF(G476="挂单",'参数'!$C$11,'参数'!$C$12),4),"")</f>
        <v/>
      </c>
      <c r="J476" s="47" t="n"/>
      <c r="K476" s="47" t="n"/>
      <c r="L476" s="20" t="str">
        <f>IF(ISNUMBER(K476),K476+N(J476),IF(ISNUMBER(H476),I476+N(J476),""))</f>
        <v/>
      </c>
      <c r="M476" s="40" t="str">
        <f>IF(A476="","",IFERROR(T(INDEX('交易记录'!$C$5:$C$304,MATCH(A476,'交易记录'!$A$5:$A$304,0))),"编号没找到"))</f>
        <v/>
      </c>
      <c r="N476" s="30" t="n"/>
    </row>
    <row r="477">
      <c r="A477" s="24" t="n"/>
      <c r="B477" s="29" t="n"/>
      <c r="C477" s="27" t="n"/>
      <c r="D477" s="31" t="n"/>
      <c r="E477" s="32" t="n"/>
      <c r="F477" s="35" t="n"/>
      <c r="G477" s="31" t="n"/>
      <c r="H477" s="20" t="str">
        <f>IF(AND(ISNUMBER(E477),ISNUMBER(F477)),E477*F477,"")</f>
        <v/>
      </c>
      <c r="I477" s="42" t="str">
        <f>IF(ISNUMBER(H477),ROUND(H477*IF(G477="挂单",'参数'!$C$11,'参数'!$C$12),4),"")</f>
        <v/>
      </c>
      <c r="J477" s="47" t="n"/>
      <c r="K477" s="47" t="n"/>
      <c r="L477" s="20" t="str">
        <f>IF(ISNUMBER(K477),K477+N(J477),IF(ISNUMBER(H477),I477+N(J477),""))</f>
        <v/>
      </c>
      <c r="M477" s="40" t="str">
        <f>IF(A477="","",IFERROR(T(INDEX('交易记录'!$C$5:$C$304,MATCH(A477,'交易记录'!$A$5:$A$304,0))),"编号没找到"))</f>
        <v/>
      </c>
      <c r="N477" s="30" t="n"/>
    </row>
    <row r="478">
      <c r="A478" s="24" t="n"/>
      <c r="B478" s="29" t="n"/>
      <c r="C478" s="27" t="n"/>
      <c r="D478" s="31" t="n"/>
      <c r="E478" s="32" t="n"/>
      <c r="F478" s="35" t="n"/>
      <c r="G478" s="31" t="n"/>
      <c r="H478" s="20" t="str">
        <f>IF(AND(ISNUMBER(E478),ISNUMBER(F478)),E478*F478,"")</f>
        <v/>
      </c>
      <c r="I478" s="42" t="str">
        <f>IF(ISNUMBER(H478),ROUND(H478*IF(G478="挂单",'参数'!$C$11,'参数'!$C$12),4),"")</f>
        <v/>
      </c>
      <c r="J478" s="47" t="n"/>
      <c r="K478" s="47" t="n"/>
      <c r="L478" s="20" t="str">
        <f>IF(ISNUMBER(K478),K478+N(J478),IF(ISNUMBER(H478),I478+N(J478),""))</f>
        <v/>
      </c>
      <c r="M478" s="40" t="str">
        <f>IF(A478="","",IFERROR(T(INDEX('交易记录'!$C$5:$C$304,MATCH(A478,'交易记录'!$A$5:$A$304,0))),"编号没找到"))</f>
        <v/>
      </c>
      <c r="N478" s="30" t="n"/>
    </row>
    <row r="479">
      <c r="A479" s="24" t="n"/>
      <c r="B479" s="29" t="n"/>
      <c r="C479" s="27" t="n"/>
      <c r="D479" s="31" t="n"/>
      <c r="E479" s="32" t="n"/>
      <c r="F479" s="35" t="n"/>
      <c r="G479" s="31" t="n"/>
      <c r="H479" s="20" t="str">
        <f>IF(AND(ISNUMBER(E479),ISNUMBER(F479)),E479*F479,"")</f>
        <v/>
      </c>
      <c r="I479" s="42" t="str">
        <f>IF(ISNUMBER(H479),ROUND(H479*IF(G479="挂单",'参数'!$C$11,'参数'!$C$12),4),"")</f>
        <v/>
      </c>
      <c r="J479" s="47" t="n"/>
      <c r="K479" s="47" t="n"/>
      <c r="L479" s="20" t="str">
        <f>IF(ISNUMBER(K479),K479+N(J479),IF(ISNUMBER(H479),I479+N(J479),""))</f>
        <v/>
      </c>
      <c r="M479" s="40" t="str">
        <f>IF(A479="","",IFERROR(T(INDEX('交易记录'!$C$5:$C$304,MATCH(A479,'交易记录'!$A$5:$A$304,0))),"编号没找到"))</f>
        <v/>
      </c>
      <c r="N479" s="30" t="n"/>
    </row>
    <row r="480">
      <c r="A480" s="24" t="n"/>
      <c r="B480" s="29" t="n"/>
      <c r="C480" s="27" t="n"/>
      <c r="D480" s="31" t="n"/>
      <c r="E480" s="32" t="n"/>
      <c r="F480" s="35" t="n"/>
      <c r="G480" s="31" t="n"/>
      <c r="H480" s="20" t="str">
        <f>IF(AND(ISNUMBER(E480),ISNUMBER(F480)),E480*F480,"")</f>
        <v/>
      </c>
      <c r="I480" s="42" t="str">
        <f>IF(ISNUMBER(H480),ROUND(H480*IF(G480="挂单",'参数'!$C$11,'参数'!$C$12),4),"")</f>
        <v/>
      </c>
      <c r="J480" s="47" t="n"/>
      <c r="K480" s="47" t="n"/>
      <c r="L480" s="20" t="str">
        <f>IF(ISNUMBER(K480),K480+N(J480),IF(ISNUMBER(H480),I480+N(J480),""))</f>
        <v/>
      </c>
      <c r="M480" s="40" t="str">
        <f>IF(A480="","",IFERROR(T(INDEX('交易记录'!$C$5:$C$304,MATCH(A480,'交易记录'!$A$5:$A$304,0))),"编号没找到"))</f>
        <v/>
      </c>
      <c r="N480" s="30" t="n"/>
    </row>
    <row r="481">
      <c r="A481" s="24" t="n"/>
      <c r="B481" s="29" t="n"/>
      <c r="C481" s="27" t="n"/>
      <c r="D481" s="31" t="n"/>
      <c r="E481" s="32" t="n"/>
      <c r="F481" s="35" t="n"/>
      <c r="G481" s="31" t="n"/>
      <c r="H481" s="20" t="str">
        <f>IF(AND(ISNUMBER(E481),ISNUMBER(F481)),E481*F481,"")</f>
        <v/>
      </c>
      <c r="I481" s="42" t="str">
        <f>IF(ISNUMBER(H481),ROUND(H481*IF(G481="挂单",'参数'!$C$11,'参数'!$C$12),4),"")</f>
        <v/>
      </c>
      <c r="J481" s="47" t="n"/>
      <c r="K481" s="47" t="n"/>
      <c r="L481" s="20" t="str">
        <f>IF(ISNUMBER(K481),K481+N(J481),IF(ISNUMBER(H481),I481+N(J481),""))</f>
        <v/>
      </c>
      <c r="M481" s="40" t="str">
        <f>IF(A481="","",IFERROR(T(INDEX('交易记录'!$C$5:$C$304,MATCH(A481,'交易记录'!$A$5:$A$304,0))),"编号没找到"))</f>
        <v/>
      </c>
      <c r="N481" s="30" t="n"/>
    </row>
    <row r="482">
      <c r="A482" s="24" t="n"/>
      <c r="B482" s="29" t="n"/>
      <c r="C482" s="27" t="n"/>
      <c r="D482" s="31" t="n"/>
      <c r="E482" s="32" t="n"/>
      <c r="F482" s="35" t="n"/>
      <c r="G482" s="31" t="n"/>
      <c r="H482" s="20" t="str">
        <f>IF(AND(ISNUMBER(E482),ISNUMBER(F482)),E482*F482,"")</f>
        <v/>
      </c>
      <c r="I482" s="42" t="str">
        <f>IF(ISNUMBER(H482),ROUND(H482*IF(G482="挂单",'参数'!$C$11,'参数'!$C$12),4),"")</f>
        <v/>
      </c>
      <c r="J482" s="47" t="n"/>
      <c r="K482" s="47" t="n"/>
      <c r="L482" s="20" t="str">
        <f>IF(ISNUMBER(K482),K482+N(J482),IF(ISNUMBER(H482),I482+N(J482),""))</f>
        <v/>
      </c>
      <c r="M482" s="40" t="str">
        <f>IF(A482="","",IFERROR(T(INDEX('交易记录'!$C$5:$C$304,MATCH(A482,'交易记录'!$A$5:$A$304,0))),"编号没找到"))</f>
        <v/>
      </c>
      <c r="N482" s="30" t="n"/>
    </row>
    <row r="483">
      <c r="A483" s="24" t="n"/>
      <c r="B483" s="29" t="n"/>
      <c r="C483" s="27" t="n"/>
      <c r="D483" s="31" t="n"/>
      <c r="E483" s="32" t="n"/>
      <c r="F483" s="35" t="n"/>
      <c r="G483" s="31" t="n"/>
      <c r="H483" s="20" t="str">
        <f>IF(AND(ISNUMBER(E483),ISNUMBER(F483)),E483*F483,"")</f>
        <v/>
      </c>
      <c r="I483" s="42" t="str">
        <f>IF(ISNUMBER(H483),ROUND(H483*IF(G483="挂单",'参数'!$C$11,'参数'!$C$12),4),"")</f>
        <v/>
      </c>
      <c r="J483" s="47" t="n"/>
      <c r="K483" s="47" t="n"/>
      <c r="L483" s="20" t="str">
        <f>IF(ISNUMBER(K483),K483+N(J483),IF(ISNUMBER(H483),I483+N(J483),""))</f>
        <v/>
      </c>
      <c r="M483" s="40" t="str">
        <f>IF(A483="","",IFERROR(T(INDEX('交易记录'!$C$5:$C$304,MATCH(A483,'交易记录'!$A$5:$A$304,0))),"编号没找到"))</f>
        <v/>
      </c>
      <c r="N483" s="30" t="n"/>
    </row>
    <row r="484">
      <c r="A484" s="24" t="n"/>
      <c r="B484" s="29" t="n"/>
      <c r="C484" s="27" t="n"/>
      <c r="D484" s="31" t="n"/>
      <c r="E484" s="32" t="n"/>
      <c r="F484" s="35" t="n"/>
      <c r="G484" s="31" t="n"/>
      <c r="H484" s="20" t="str">
        <f>IF(AND(ISNUMBER(E484),ISNUMBER(F484)),E484*F484,"")</f>
        <v/>
      </c>
      <c r="I484" s="42" t="str">
        <f>IF(ISNUMBER(H484),ROUND(H484*IF(G484="挂单",'参数'!$C$11,'参数'!$C$12),4),"")</f>
        <v/>
      </c>
      <c r="J484" s="47" t="n"/>
      <c r="K484" s="47" t="n"/>
      <c r="L484" s="20" t="str">
        <f>IF(ISNUMBER(K484),K484+N(J484),IF(ISNUMBER(H484),I484+N(J484),""))</f>
        <v/>
      </c>
      <c r="M484" s="40" t="str">
        <f>IF(A484="","",IFERROR(T(INDEX('交易记录'!$C$5:$C$304,MATCH(A484,'交易记录'!$A$5:$A$304,0))),"编号没找到"))</f>
        <v/>
      </c>
      <c r="N484" s="30" t="n"/>
    </row>
    <row r="485">
      <c r="A485" s="24" t="n"/>
      <c r="B485" s="29" t="n"/>
      <c r="C485" s="27" t="n"/>
      <c r="D485" s="31" t="n"/>
      <c r="E485" s="32" t="n"/>
      <c r="F485" s="35" t="n"/>
      <c r="G485" s="31" t="n"/>
      <c r="H485" s="20" t="str">
        <f>IF(AND(ISNUMBER(E485),ISNUMBER(F485)),E485*F485,"")</f>
        <v/>
      </c>
      <c r="I485" s="42" t="str">
        <f>IF(ISNUMBER(H485),ROUND(H485*IF(G485="挂单",'参数'!$C$11,'参数'!$C$12),4),"")</f>
        <v/>
      </c>
      <c r="J485" s="47" t="n"/>
      <c r="K485" s="47" t="n"/>
      <c r="L485" s="20" t="str">
        <f>IF(ISNUMBER(K485),K485+N(J485),IF(ISNUMBER(H485),I485+N(J485),""))</f>
        <v/>
      </c>
      <c r="M485" s="40" t="str">
        <f>IF(A485="","",IFERROR(T(INDEX('交易记录'!$C$5:$C$304,MATCH(A485,'交易记录'!$A$5:$A$304,0))),"编号没找到"))</f>
        <v/>
      </c>
      <c r="N485" s="30" t="n"/>
    </row>
    <row r="486">
      <c r="A486" s="24" t="n"/>
      <c r="B486" s="29" t="n"/>
      <c r="C486" s="27" t="n"/>
      <c r="D486" s="31" t="n"/>
      <c r="E486" s="32" t="n"/>
      <c r="F486" s="35" t="n"/>
      <c r="G486" s="31" t="n"/>
      <c r="H486" s="20" t="str">
        <f>IF(AND(ISNUMBER(E486),ISNUMBER(F486)),E486*F486,"")</f>
        <v/>
      </c>
      <c r="I486" s="42" t="str">
        <f>IF(ISNUMBER(H486),ROUND(H486*IF(G486="挂单",'参数'!$C$11,'参数'!$C$12),4),"")</f>
        <v/>
      </c>
      <c r="J486" s="47" t="n"/>
      <c r="K486" s="47" t="n"/>
      <c r="L486" s="20" t="str">
        <f>IF(ISNUMBER(K486),K486+N(J486),IF(ISNUMBER(H486),I486+N(J486),""))</f>
        <v/>
      </c>
      <c r="M486" s="40" t="str">
        <f>IF(A486="","",IFERROR(T(INDEX('交易记录'!$C$5:$C$304,MATCH(A486,'交易记录'!$A$5:$A$304,0))),"编号没找到"))</f>
        <v/>
      </c>
      <c r="N486" s="30" t="n"/>
    </row>
    <row r="487">
      <c r="A487" s="24" t="n"/>
      <c r="B487" s="29" t="n"/>
      <c r="C487" s="27" t="n"/>
      <c r="D487" s="31" t="n"/>
      <c r="E487" s="32" t="n"/>
      <c r="F487" s="35" t="n"/>
      <c r="G487" s="31" t="n"/>
      <c r="H487" s="20" t="str">
        <f>IF(AND(ISNUMBER(E487),ISNUMBER(F487)),E487*F487,"")</f>
        <v/>
      </c>
      <c r="I487" s="42" t="str">
        <f>IF(ISNUMBER(H487),ROUND(H487*IF(G487="挂单",'参数'!$C$11,'参数'!$C$12),4),"")</f>
        <v/>
      </c>
      <c r="J487" s="47" t="n"/>
      <c r="K487" s="47" t="n"/>
      <c r="L487" s="20" t="str">
        <f>IF(ISNUMBER(K487),K487+N(J487),IF(ISNUMBER(H487),I487+N(J487),""))</f>
        <v/>
      </c>
      <c r="M487" s="40" t="str">
        <f>IF(A487="","",IFERROR(T(INDEX('交易记录'!$C$5:$C$304,MATCH(A487,'交易记录'!$A$5:$A$304,0))),"编号没找到"))</f>
        <v/>
      </c>
      <c r="N487" s="30" t="n"/>
    </row>
    <row r="488">
      <c r="A488" s="24" t="n"/>
      <c r="B488" s="29" t="n"/>
      <c r="C488" s="27" t="n"/>
      <c r="D488" s="31" t="n"/>
      <c r="E488" s="32" t="n"/>
      <c r="F488" s="35" t="n"/>
      <c r="G488" s="31" t="n"/>
      <c r="H488" s="20" t="str">
        <f>IF(AND(ISNUMBER(E488),ISNUMBER(F488)),E488*F488,"")</f>
        <v/>
      </c>
      <c r="I488" s="42" t="str">
        <f>IF(ISNUMBER(H488),ROUND(H488*IF(G488="挂单",'参数'!$C$11,'参数'!$C$12),4),"")</f>
        <v/>
      </c>
      <c r="J488" s="47" t="n"/>
      <c r="K488" s="47" t="n"/>
      <c r="L488" s="20" t="str">
        <f>IF(ISNUMBER(K488),K488+N(J488),IF(ISNUMBER(H488),I488+N(J488),""))</f>
        <v/>
      </c>
      <c r="M488" s="40" t="str">
        <f>IF(A488="","",IFERROR(T(INDEX('交易记录'!$C$5:$C$304,MATCH(A488,'交易记录'!$A$5:$A$304,0))),"编号没找到"))</f>
        <v/>
      </c>
      <c r="N488" s="30" t="n"/>
    </row>
    <row r="489">
      <c r="A489" s="24" t="n"/>
      <c r="B489" s="29" t="n"/>
      <c r="C489" s="27" t="n"/>
      <c r="D489" s="31" t="n"/>
      <c r="E489" s="32" t="n"/>
      <c r="F489" s="35" t="n"/>
      <c r="G489" s="31" t="n"/>
      <c r="H489" s="20" t="str">
        <f>IF(AND(ISNUMBER(E489),ISNUMBER(F489)),E489*F489,"")</f>
        <v/>
      </c>
      <c r="I489" s="42" t="str">
        <f>IF(ISNUMBER(H489),ROUND(H489*IF(G489="挂单",'参数'!$C$11,'参数'!$C$12),4),"")</f>
        <v/>
      </c>
      <c r="J489" s="47" t="n"/>
      <c r="K489" s="47" t="n"/>
      <c r="L489" s="20" t="str">
        <f>IF(ISNUMBER(K489),K489+N(J489),IF(ISNUMBER(H489),I489+N(J489),""))</f>
        <v/>
      </c>
      <c r="M489" s="40" t="str">
        <f>IF(A489="","",IFERROR(T(INDEX('交易记录'!$C$5:$C$304,MATCH(A489,'交易记录'!$A$5:$A$304,0))),"编号没找到"))</f>
        <v/>
      </c>
      <c r="N489" s="30" t="n"/>
    </row>
    <row r="490">
      <c r="A490" s="24" t="n"/>
      <c r="B490" s="29" t="n"/>
      <c r="C490" s="27" t="n"/>
      <c r="D490" s="31" t="n"/>
      <c r="E490" s="32" t="n"/>
      <c r="F490" s="35" t="n"/>
      <c r="G490" s="31" t="n"/>
      <c r="H490" s="20" t="str">
        <f>IF(AND(ISNUMBER(E490),ISNUMBER(F490)),E490*F490,"")</f>
        <v/>
      </c>
      <c r="I490" s="42" t="str">
        <f>IF(ISNUMBER(H490),ROUND(H490*IF(G490="挂单",'参数'!$C$11,'参数'!$C$12),4),"")</f>
        <v/>
      </c>
      <c r="J490" s="47" t="n"/>
      <c r="K490" s="47" t="n"/>
      <c r="L490" s="20" t="str">
        <f>IF(ISNUMBER(K490),K490+N(J490),IF(ISNUMBER(H490),I490+N(J490),""))</f>
        <v/>
      </c>
      <c r="M490" s="40" t="str">
        <f>IF(A490="","",IFERROR(T(INDEX('交易记录'!$C$5:$C$304,MATCH(A490,'交易记录'!$A$5:$A$304,0))),"编号没找到"))</f>
        <v/>
      </c>
      <c r="N490" s="30" t="n"/>
    </row>
    <row r="491">
      <c r="A491" s="24" t="n"/>
      <c r="B491" s="29" t="n"/>
      <c r="C491" s="27" t="n"/>
      <c r="D491" s="31" t="n"/>
      <c r="E491" s="32" t="n"/>
      <c r="F491" s="35" t="n"/>
      <c r="G491" s="31" t="n"/>
      <c r="H491" s="20" t="str">
        <f>IF(AND(ISNUMBER(E491),ISNUMBER(F491)),E491*F491,"")</f>
        <v/>
      </c>
      <c r="I491" s="42" t="str">
        <f>IF(ISNUMBER(H491),ROUND(H491*IF(G491="挂单",'参数'!$C$11,'参数'!$C$12),4),"")</f>
        <v/>
      </c>
      <c r="J491" s="47" t="n"/>
      <c r="K491" s="47" t="n"/>
      <c r="L491" s="20" t="str">
        <f>IF(ISNUMBER(K491),K491+N(J491),IF(ISNUMBER(H491),I491+N(J491),""))</f>
        <v/>
      </c>
      <c r="M491" s="40" t="str">
        <f>IF(A491="","",IFERROR(T(INDEX('交易记录'!$C$5:$C$304,MATCH(A491,'交易记录'!$A$5:$A$304,0))),"编号没找到"))</f>
        <v/>
      </c>
      <c r="N491" s="30" t="n"/>
    </row>
    <row r="492">
      <c r="A492" s="24" t="n"/>
      <c r="B492" s="29" t="n"/>
      <c r="C492" s="27" t="n"/>
      <c r="D492" s="31" t="n"/>
      <c r="E492" s="32" t="n"/>
      <c r="F492" s="35" t="n"/>
      <c r="G492" s="31" t="n"/>
      <c r="H492" s="20" t="str">
        <f>IF(AND(ISNUMBER(E492),ISNUMBER(F492)),E492*F492,"")</f>
        <v/>
      </c>
      <c r="I492" s="42" t="str">
        <f>IF(ISNUMBER(H492),ROUND(H492*IF(G492="挂单",'参数'!$C$11,'参数'!$C$12),4),"")</f>
        <v/>
      </c>
      <c r="J492" s="47" t="n"/>
      <c r="K492" s="47" t="n"/>
      <c r="L492" s="20" t="str">
        <f>IF(ISNUMBER(K492),K492+N(J492),IF(ISNUMBER(H492),I492+N(J492),""))</f>
        <v/>
      </c>
      <c r="M492" s="40" t="str">
        <f>IF(A492="","",IFERROR(T(INDEX('交易记录'!$C$5:$C$304,MATCH(A492,'交易记录'!$A$5:$A$304,0))),"编号没找到"))</f>
        <v/>
      </c>
      <c r="N492" s="30" t="n"/>
    </row>
    <row r="493">
      <c r="A493" s="24" t="n"/>
      <c r="B493" s="29" t="n"/>
      <c r="C493" s="27" t="n"/>
      <c r="D493" s="31" t="n"/>
      <c r="E493" s="32" t="n"/>
      <c r="F493" s="35" t="n"/>
      <c r="G493" s="31" t="n"/>
      <c r="H493" s="20" t="str">
        <f>IF(AND(ISNUMBER(E493),ISNUMBER(F493)),E493*F493,"")</f>
        <v/>
      </c>
      <c r="I493" s="42" t="str">
        <f>IF(ISNUMBER(H493),ROUND(H493*IF(G493="挂单",'参数'!$C$11,'参数'!$C$12),4),"")</f>
        <v/>
      </c>
      <c r="J493" s="47" t="n"/>
      <c r="K493" s="47" t="n"/>
      <c r="L493" s="20" t="str">
        <f>IF(ISNUMBER(K493),K493+N(J493),IF(ISNUMBER(H493),I493+N(J493),""))</f>
        <v/>
      </c>
      <c r="M493" s="40" t="str">
        <f>IF(A493="","",IFERROR(T(INDEX('交易记录'!$C$5:$C$304,MATCH(A493,'交易记录'!$A$5:$A$304,0))),"编号没找到"))</f>
        <v/>
      </c>
      <c r="N493" s="30" t="n"/>
    </row>
    <row r="494">
      <c r="A494" s="24" t="n"/>
      <c r="B494" s="29" t="n"/>
      <c r="C494" s="27" t="n"/>
      <c r="D494" s="31" t="n"/>
      <c r="E494" s="32" t="n"/>
      <c r="F494" s="35" t="n"/>
      <c r="G494" s="31" t="n"/>
      <c r="H494" s="20" t="str">
        <f>IF(AND(ISNUMBER(E494),ISNUMBER(F494)),E494*F494,"")</f>
        <v/>
      </c>
      <c r="I494" s="42" t="str">
        <f>IF(ISNUMBER(H494),ROUND(H494*IF(G494="挂单",'参数'!$C$11,'参数'!$C$12),4),"")</f>
        <v/>
      </c>
      <c r="J494" s="47" t="n"/>
      <c r="K494" s="47" t="n"/>
      <c r="L494" s="20" t="str">
        <f>IF(ISNUMBER(K494),K494+N(J494),IF(ISNUMBER(H494),I494+N(J494),""))</f>
        <v/>
      </c>
      <c r="M494" s="40" t="str">
        <f>IF(A494="","",IFERROR(T(INDEX('交易记录'!$C$5:$C$304,MATCH(A494,'交易记录'!$A$5:$A$304,0))),"编号没找到"))</f>
        <v/>
      </c>
      <c r="N494" s="30" t="n"/>
    </row>
    <row r="495">
      <c r="A495" s="24" t="n"/>
      <c r="B495" s="29" t="n"/>
      <c r="C495" s="27" t="n"/>
      <c r="D495" s="31" t="n"/>
      <c r="E495" s="32" t="n"/>
      <c r="F495" s="35" t="n"/>
      <c r="G495" s="31" t="n"/>
      <c r="H495" s="20" t="str">
        <f>IF(AND(ISNUMBER(E495),ISNUMBER(F495)),E495*F495,"")</f>
        <v/>
      </c>
      <c r="I495" s="42" t="str">
        <f>IF(ISNUMBER(H495),ROUND(H495*IF(G495="挂单",'参数'!$C$11,'参数'!$C$12),4),"")</f>
        <v/>
      </c>
      <c r="J495" s="47" t="n"/>
      <c r="K495" s="47" t="n"/>
      <c r="L495" s="20" t="str">
        <f>IF(ISNUMBER(K495),K495+N(J495),IF(ISNUMBER(H495),I495+N(J495),""))</f>
        <v/>
      </c>
      <c r="M495" s="40" t="str">
        <f>IF(A495="","",IFERROR(T(INDEX('交易记录'!$C$5:$C$304,MATCH(A495,'交易记录'!$A$5:$A$304,0))),"编号没找到"))</f>
        <v/>
      </c>
      <c r="N495" s="30" t="n"/>
    </row>
    <row r="496">
      <c r="A496" s="24" t="n"/>
      <c r="B496" s="29" t="n"/>
      <c r="C496" s="27" t="n"/>
      <c r="D496" s="31" t="n"/>
      <c r="E496" s="32" t="n"/>
      <c r="F496" s="35" t="n"/>
      <c r="G496" s="31" t="n"/>
      <c r="H496" s="20" t="str">
        <f>IF(AND(ISNUMBER(E496),ISNUMBER(F496)),E496*F496,"")</f>
        <v/>
      </c>
      <c r="I496" s="42" t="str">
        <f>IF(ISNUMBER(H496),ROUND(H496*IF(G496="挂单",'参数'!$C$11,'参数'!$C$12),4),"")</f>
        <v/>
      </c>
      <c r="J496" s="47" t="n"/>
      <c r="K496" s="47" t="n"/>
      <c r="L496" s="20" t="str">
        <f>IF(ISNUMBER(K496),K496+N(J496),IF(ISNUMBER(H496),I496+N(J496),""))</f>
        <v/>
      </c>
      <c r="M496" s="40" t="str">
        <f>IF(A496="","",IFERROR(T(INDEX('交易记录'!$C$5:$C$304,MATCH(A496,'交易记录'!$A$5:$A$304,0))),"编号没找到"))</f>
        <v/>
      </c>
      <c r="N496" s="30" t="n"/>
    </row>
    <row r="497">
      <c r="A497" s="24" t="n"/>
      <c r="B497" s="29" t="n"/>
      <c r="C497" s="27" t="n"/>
      <c r="D497" s="31" t="n"/>
      <c r="E497" s="32" t="n"/>
      <c r="F497" s="35" t="n"/>
      <c r="G497" s="31" t="n"/>
      <c r="H497" s="20" t="str">
        <f>IF(AND(ISNUMBER(E497),ISNUMBER(F497)),E497*F497,"")</f>
        <v/>
      </c>
      <c r="I497" s="42" t="str">
        <f>IF(ISNUMBER(H497),ROUND(H497*IF(G497="挂单",'参数'!$C$11,'参数'!$C$12),4),"")</f>
        <v/>
      </c>
      <c r="J497" s="47" t="n"/>
      <c r="K497" s="47" t="n"/>
      <c r="L497" s="20" t="str">
        <f>IF(ISNUMBER(K497),K497+N(J497),IF(ISNUMBER(H497),I497+N(J497),""))</f>
        <v/>
      </c>
      <c r="M497" s="40" t="str">
        <f>IF(A497="","",IFERROR(T(INDEX('交易记录'!$C$5:$C$304,MATCH(A497,'交易记录'!$A$5:$A$304,0))),"编号没找到"))</f>
        <v/>
      </c>
      <c r="N497" s="30" t="n"/>
    </row>
    <row r="498">
      <c r="A498" s="24" t="n"/>
      <c r="B498" s="29" t="n"/>
      <c r="C498" s="27" t="n"/>
      <c r="D498" s="31" t="n"/>
      <c r="E498" s="32" t="n"/>
      <c r="F498" s="35" t="n"/>
      <c r="G498" s="31" t="n"/>
      <c r="H498" s="20" t="str">
        <f>IF(AND(ISNUMBER(E498),ISNUMBER(F498)),E498*F498,"")</f>
        <v/>
      </c>
      <c r="I498" s="42" t="str">
        <f>IF(ISNUMBER(H498),ROUND(H498*IF(G498="挂单",'参数'!$C$11,'参数'!$C$12),4),"")</f>
        <v/>
      </c>
      <c r="J498" s="47" t="n"/>
      <c r="K498" s="47" t="n"/>
      <c r="L498" s="20" t="str">
        <f>IF(ISNUMBER(K498),K498+N(J498),IF(ISNUMBER(H498),I498+N(J498),""))</f>
        <v/>
      </c>
      <c r="M498" s="40" t="str">
        <f>IF(A498="","",IFERROR(T(INDEX('交易记录'!$C$5:$C$304,MATCH(A498,'交易记录'!$A$5:$A$304,0))),"编号没找到"))</f>
        <v/>
      </c>
      <c r="N498" s="30" t="n"/>
    </row>
    <row r="499">
      <c r="A499" s="24" t="n"/>
      <c r="B499" s="29" t="n"/>
      <c r="C499" s="27" t="n"/>
      <c r="D499" s="31" t="n"/>
      <c r="E499" s="32" t="n"/>
      <c r="F499" s="35" t="n"/>
      <c r="G499" s="31" t="n"/>
      <c r="H499" s="20" t="str">
        <f>IF(AND(ISNUMBER(E499),ISNUMBER(F499)),E499*F499,"")</f>
        <v/>
      </c>
      <c r="I499" s="42" t="str">
        <f>IF(ISNUMBER(H499),ROUND(H499*IF(G499="挂单",'参数'!$C$11,'参数'!$C$12),4),"")</f>
        <v/>
      </c>
      <c r="J499" s="47" t="n"/>
      <c r="K499" s="47" t="n"/>
      <c r="L499" s="20" t="str">
        <f>IF(ISNUMBER(K499),K499+N(J499),IF(ISNUMBER(H499),I499+N(J499),""))</f>
        <v/>
      </c>
      <c r="M499" s="40" t="str">
        <f>IF(A499="","",IFERROR(T(INDEX('交易记录'!$C$5:$C$304,MATCH(A499,'交易记录'!$A$5:$A$304,0))),"编号没找到"))</f>
        <v/>
      </c>
      <c r="N499" s="30" t="n"/>
    </row>
    <row r="500">
      <c r="A500" s="24" t="n"/>
      <c r="B500" s="29" t="n"/>
      <c r="C500" s="27" t="n"/>
      <c r="D500" s="31" t="n"/>
      <c r="E500" s="32" t="n"/>
      <c r="F500" s="35" t="n"/>
      <c r="G500" s="31" t="n"/>
      <c r="H500" s="20" t="str">
        <f>IF(AND(ISNUMBER(E500),ISNUMBER(F500)),E500*F500,"")</f>
        <v/>
      </c>
      <c r="I500" s="42" t="str">
        <f>IF(ISNUMBER(H500),ROUND(H500*IF(G500="挂单",'参数'!$C$11,'参数'!$C$12),4),"")</f>
        <v/>
      </c>
      <c r="J500" s="47" t="n"/>
      <c r="K500" s="47" t="n"/>
      <c r="L500" s="20" t="str">
        <f>IF(ISNUMBER(K500),K500+N(J500),IF(ISNUMBER(H500),I500+N(J500),""))</f>
        <v/>
      </c>
      <c r="M500" s="40" t="str">
        <f>IF(A500="","",IFERROR(T(INDEX('交易记录'!$C$5:$C$304,MATCH(A500,'交易记录'!$A$5:$A$304,0))),"编号没找到"))</f>
        <v/>
      </c>
      <c r="N500" s="30" t="n"/>
    </row>
    <row r="501">
      <c r="A501" s="24" t="n"/>
      <c r="B501" s="29" t="n"/>
      <c r="C501" s="27" t="n"/>
      <c r="D501" s="31" t="n"/>
      <c r="E501" s="32" t="n"/>
      <c r="F501" s="35" t="n"/>
      <c r="G501" s="31" t="n"/>
      <c r="H501" s="20" t="str">
        <f>IF(AND(ISNUMBER(E501),ISNUMBER(F501)),E501*F501,"")</f>
        <v/>
      </c>
      <c r="I501" s="42" t="str">
        <f>IF(ISNUMBER(H501),ROUND(H501*IF(G501="挂单",'参数'!$C$11,'参数'!$C$12),4),"")</f>
        <v/>
      </c>
      <c r="J501" s="47" t="n"/>
      <c r="K501" s="47" t="n"/>
      <c r="L501" s="20" t="str">
        <f>IF(ISNUMBER(K501),K501+N(J501),IF(ISNUMBER(H501),I501+N(J501),""))</f>
        <v/>
      </c>
      <c r="M501" s="40" t="str">
        <f>IF(A501="","",IFERROR(T(INDEX('交易记录'!$C$5:$C$304,MATCH(A501,'交易记录'!$A$5:$A$304,0))),"编号没找到"))</f>
        <v/>
      </c>
      <c r="N501" s="30" t="n"/>
    </row>
    <row r="502">
      <c r="A502" s="24" t="n"/>
      <c r="B502" s="29" t="n"/>
      <c r="C502" s="27" t="n"/>
      <c r="D502" s="31" t="n"/>
      <c r="E502" s="32" t="n"/>
      <c r="F502" s="35" t="n"/>
      <c r="G502" s="31" t="n"/>
      <c r="H502" s="20" t="str">
        <f>IF(AND(ISNUMBER(E502),ISNUMBER(F502)),E502*F502,"")</f>
        <v/>
      </c>
      <c r="I502" s="42" t="str">
        <f>IF(ISNUMBER(H502),ROUND(H502*IF(G502="挂单",'参数'!$C$11,'参数'!$C$12),4),"")</f>
        <v/>
      </c>
      <c r="J502" s="47" t="n"/>
      <c r="K502" s="47" t="n"/>
      <c r="L502" s="20" t="str">
        <f>IF(ISNUMBER(K502),K502+N(J502),IF(ISNUMBER(H502),I502+N(J502),""))</f>
        <v/>
      </c>
      <c r="M502" s="40" t="str">
        <f>IF(A502="","",IFERROR(T(INDEX('交易记录'!$C$5:$C$304,MATCH(A502,'交易记录'!$A$5:$A$304,0))),"编号没找到"))</f>
        <v/>
      </c>
      <c r="N502" s="30" t="n"/>
    </row>
    <row r="503">
      <c r="A503" s="24" t="n"/>
      <c r="B503" s="29" t="n"/>
      <c r="C503" s="27" t="n"/>
      <c r="D503" s="31" t="n"/>
      <c r="E503" s="32" t="n"/>
      <c r="F503" s="35" t="n"/>
      <c r="G503" s="31" t="n"/>
      <c r="H503" s="20" t="str">
        <f>IF(AND(ISNUMBER(E503),ISNUMBER(F503)),E503*F503,"")</f>
        <v/>
      </c>
      <c r="I503" s="42" t="str">
        <f>IF(ISNUMBER(H503),ROUND(H503*IF(G503="挂单",'参数'!$C$11,'参数'!$C$12),4),"")</f>
        <v/>
      </c>
      <c r="J503" s="47" t="n"/>
      <c r="K503" s="47" t="n"/>
      <c r="L503" s="20" t="str">
        <f>IF(ISNUMBER(K503),K503+N(J503),IF(ISNUMBER(H503),I503+N(J503),""))</f>
        <v/>
      </c>
      <c r="M503" s="40" t="str">
        <f>IF(A503="","",IFERROR(T(INDEX('交易记录'!$C$5:$C$304,MATCH(A503,'交易记录'!$A$5:$A$304,0))),"编号没找到"))</f>
        <v/>
      </c>
      <c r="N503" s="30" t="n"/>
    </row>
    <row r="504">
      <c r="A504" s="24" t="n"/>
      <c r="B504" s="29" t="n"/>
      <c r="C504" s="27" t="n"/>
      <c r="D504" s="31" t="n"/>
      <c r="E504" s="32" t="n"/>
      <c r="F504" s="35" t="n"/>
      <c r="G504" s="31" t="n"/>
      <c r="H504" s="20" t="str">
        <f>IF(AND(ISNUMBER(E504),ISNUMBER(F504)),E504*F504,"")</f>
        <v/>
      </c>
      <c r="I504" s="42" t="str">
        <f>IF(ISNUMBER(H504),ROUND(H504*IF(G504="挂单",'参数'!$C$11,'参数'!$C$12),4),"")</f>
        <v/>
      </c>
      <c r="J504" s="47" t="n"/>
      <c r="K504" s="47" t="n"/>
      <c r="L504" s="20" t="str">
        <f>IF(ISNUMBER(K504),K504+N(J504),IF(ISNUMBER(H504),I504+N(J504),""))</f>
        <v/>
      </c>
      <c r="M504" s="40" t="str">
        <f>IF(A504="","",IFERROR(T(INDEX('交易记录'!$C$5:$C$304,MATCH(A504,'交易记录'!$A$5:$A$304,0))),"编号没找到"))</f>
        <v/>
      </c>
      <c r="N504" s="30" t="n"/>
    </row>
    <row r="505">
      <c r="A505" s="24" t="n"/>
      <c r="B505" s="29" t="n"/>
      <c r="C505" s="27" t="n"/>
      <c r="D505" s="31" t="n"/>
      <c r="E505" s="32" t="n"/>
      <c r="F505" s="35" t="n"/>
      <c r="G505" s="31" t="n"/>
      <c r="H505" s="20" t="str">
        <f>IF(AND(ISNUMBER(E505),ISNUMBER(F505)),E505*F505,"")</f>
        <v/>
      </c>
      <c r="I505" s="42" t="str">
        <f>IF(ISNUMBER(H505),ROUND(H505*IF(G505="挂单",'参数'!$C$11,'参数'!$C$12),4),"")</f>
        <v/>
      </c>
      <c r="J505" s="47" t="n"/>
      <c r="K505" s="47" t="n"/>
      <c r="L505" s="20" t="str">
        <f>IF(ISNUMBER(K505),K505+N(J505),IF(ISNUMBER(H505),I505+N(J505),""))</f>
        <v/>
      </c>
      <c r="M505" s="40" t="str">
        <f>IF(A505="","",IFERROR(T(INDEX('交易记录'!$C$5:$C$304,MATCH(A505,'交易记录'!$A$5:$A$304,0))),"编号没找到"))</f>
        <v/>
      </c>
      <c r="N505" s="30" t="n"/>
    </row>
    <row r="506">
      <c r="A506" s="24" t="n"/>
      <c r="B506" s="29" t="n"/>
      <c r="C506" s="27" t="n"/>
      <c r="D506" s="31" t="n"/>
      <c r="E506" s="32" t="n"/>
      <c r="F506" s="35" t="n"/>
      <c r="G506" s="31" t="n"/>
      <c r="H506" s="20" t="str">
        <f>IF(AND(ISNUMBER(E506),ISNUMBER(F506)),E506*F506,"")</f>
        <v/>
      </c>
      <c r="I506" s="42" t="str">
        <f>IF(ISNUMBER(H506),ROUND(H506*IF(G506="挂单",'参数'!$C$11,'参数'!$C$12),4),"")</f>
        <v/>
      </c>
      <c r="J506" s="47" t="n"/>
      <c r="K506" s="47" t="n"/>
      <c r="L506" s="20" t="str">
        <f>IF(ISNUMBER(K506),K506+N(J506),IF(ISNUMBER(H506),I506+N(J506),""))</f>
        <v/>
      </c>
      <c r="M506" s="40" t="str">
        <f>IF(A506="","",IFERROR(T(INDEX('交易记录'!$C$5:$C$304,MATCH(A506,'交易记录'!$A$5:$A$304,0))),"编号没找到"))</f>
        <v/>
      </c>
      <c r="N506" s="30" t="n"/>
    </row>
    <row r="507">
      <c r="A507" s="24" t="n"/>
      <c r="B507" s="29" t="n"/>
      <c r="C507" s="27" t="n"/>
      <c r="D507" s="31" t="n"/>
      <c r="E507" s="32" t="n"/>
      <c r="F507" s="35" t="n"/>
      <c r="G507" s="31" t="n"/>
      <c r="H507" s="20" t="str">
        <f>IF(AND(ISNUMBER(E507),ISNUMBER(F507)),E507*F507,"")</f>
        <v/>
      </c>
      <c r="I507" s="42" t="str">
        <f>IF(ISNUMBER(H507),ROUND(H507*IF(G507="挂单",'参数'!$C$11,'参数'!$C$12),4),"")</f>
        <v/>
      </c>
      <c r="J507" s="47" t="n"/>
      <c r="K507" s="47" t="n"/>
      <c r="L507" s="20" t="str">
        <f>IF(ISNUMBER(K507),K507+N(J507),IF(ISNUMBER(H507),I507+N(J507),""))</f>
        <v/>
      </c>
      <c r="M507" s="40" t="str">
        <f>IF(A507="","",IFERROR(T(INDEX('交易记录'!$C$5:$C$304,MATCH(A507,'交易记录'!$A$5:$A$304,0))),"编号没找到"))</f>
        <v/>
      </c>
      <c r="N507" s="30" t="n"/>
    </row>
    <row r="508">
      <c r="A508" s="24" t="n"/>
      <c r="B508" s="29" t="n"/>
      <c r="C508" s="27" t="n"/>
      <c r="D508" s="31" t="n"/>
      <c r="E508" s="32" t="n"/>
      <c r="F508" s="35" t="n"/>
      <c r="G508" s="31" t="n"/>
      <c r="H508" s="20" t="str">
        <f>IF(AND(ISNUMBER(E508),ISNUMBER(F508)),E508*F508,"")</f>
        <v/>
      </c>
      <c r="I508" s="42" t="str">
        <f>IF(ISNUMBER(H508),ROUND(H508*IF(G508="挂单",'参数'!$C$11,'参数'!$C$12),4),"")</f>
        <v/>
      </c>
      <c r="J508" s="47" t="n"/>
      <c r="K508" s="47" t="n"/>
      <c r="L508" s="20" t="str">
        <f>IF(ISNUMBER(K508),K508+N(J508),IF(ISNUMBER(H508),I508+N(J508),""))</f>
        <v/>
      </c>
      <c r="M508" s="40" t="str">
        <f>IF(A508="","",IFERROR(T(INDEX('交易记录'!$C$5:$C$304,MATCH(A508,'交易记录'!$A$5:$A$304,0))),"编号没找到"))</f>
        <v/>
      </c>
      <c r="N508" s="30" t="n"/>
    </row>
    <row r="509">
      <c r="A509" s="24" t="n"/>
      <c r="B509" s="29" t="n"/>
      <c r="C509" s="27" t="n"/>
      <c r="D509" s="31" t="n"/>
      <c r="E509" s="32" t="n"/>
      <c r="F509" s="35" t="n"/>
      <c r="G509" s="31" t="n"/>
      <c r="H509" s="20" t="str">
        <f>IF(AND(ISNUMBER(E509),ISNUMBER(F509)),E509*F509,"")</f>
        <v/>
      </c>
      <c r="I509" s="42" t="str">
        <f>IF(ISNUMBER(H509),ROUND(H509*IF(G509="挂单",'参数'!$C$11,'参数'!$C$12),4),"")</f>
        <v/>
      </c>
      <c r="J509" s="47" t="n"/>
      <c r="K509" s="47" t="n"/>
      <c r="L509" s="20" t="str">
        <f>IF(ISNUMBER(K509),K509+N(J509),IF(ISNUMBER(H509),I509+N(J509),""))</f>
        <v/>
      </c>
      <c r="M509" s="40" t="str">
        <f>IF(A509="","",IFERROR(T(INDEX('交易记录'!$C$5:$C$304,MATCH(A509,'交易记录'!$A$5:$A$304,0))),"编号没找到"))</f>
        <v/>
      </c>
      <c r="N509" s="30" t="n"/>
    </row>
    <row r="510">
      <c r="A510" s="24" t="n"/>
      <c r="B510" s="29" t="n"/>
      <c r="C510" s="27" t="n"/>
      <c r="D510" s="31" t="n"/>
      <c r="E510" s="32" t="n"/>
      <c r="F510" s="35" t="n"/>
      <c r="G510" s="31" t="n"/>
      <c r="H510" s="20" t="str">
        <f>IF(AND(ISNUMBER(E510),ISNUMBER(F510)),E510*F510,"")</f>
        <v/>
      </c>
      <c r="I510" s="42" t="str">
        <f>IF(ISNUMBER(H510),ROUND(H510*IF(G510="挂单",'参数'!$C$11,'参数'!$C$12),4),"")</f>
        <v/>
      </c>
      <c r="J510" s="47" t="n"/>
      <c r="K510" s="47" t="n"/>
      <c r="L510" s="20" t="str">
        <f>IF(ISNUMBER(K510),K510+N(J510),IF(ISNUMBER(H510),I510+N(J510),""))</f>
        <v/>
      </c>
      <c r="M510" s="40" t="str">
        <f>IF(A510="","",IFERROR(T(INDEX('交易记录'!$C$5:$C$304,MATCH(A510,'交易记录'!$A$5:$A$304,0))),"编号没找到"))</f>
        <v/>
      </c>
      <c r="N510" s="30" t="n"/>
    </row>
    <row r="511">
      <c r="A511" s="24" t="n"/>
      <c r="B511" s="29" t="n"/>
      <c r="C511" s="27" t="n"/>
      <c r="D511" s="31" t="n"/>
      <c r="E511" s="32" t="n"/>
      <c r="F511" s="35" t="n"/>
      <c r="G511" s="31" t="n"/>
      <c r="H511" s="20" t="str">
        <f>IF(AND(ISNUMBER(E511),ISNUMBER(F511)),E511*F511,"")</f>
        <v/>
      </c>
      <c r="I511" s="42" t="str">
        <f>IF(ISNUMBER(H511),ROUND(H511*IF(G511="挂单",'参数'!$C$11,'参数'!$C$12),4),"")</f>
        <v/>
      </c>
      <c r="J511" s="47" t="n"/>
      <c r="K511" s="47" t="n"/>
      <c r="L511" s="20" t="str">
        <f>IF(ISNUMBER(K511),K511+N(J511),IF(ISNUMBER(H511),I511+N(J511),""))</f>
        <v/>
      </c>
      <c r="M511" s="40" t="str">
        <f>IF(A511="","",IFERROR(T(INDEX('交易记录'!$C$5:$C$304,MATCH(A511,'交易记录'!$A$5:$A$304,0))),"编号没找到"))</f>
        <v/>
      </c>
      <c r="N511" s="30" t="n"/>
    </row>
    <row r="512">
      <c r="A512" s="24" t="n"/>
      <c r="B512" s="29" t="n"/>
      <c r="C512" s="27" t="n"/>
      <c r="D512" s="31" t="n"/>
      <c r="E512" s="32" t="n"/>
      <c r="F512" s="35" t="n"/>
      <c r="G512" s="31" t="n"/>
      <c r="H512" s="20" t="str">
        <f>IF(AND(ISNUMBER(E512),ISNUMBER(F512)),E512*F512,"")</f>
        <v/>
      </c>
      <c r="I512" s="42" t="str">
        <f>IF(ISNUMBER(H512),ROUND(H512*IF(G512="挂单",'参数'!$C$11,'参数'!$C$12),4),"")</f>
        <v/>
      </c>
      <c r="J512" s="47" t="n"/>
      <c r="K512" s="47" t="n"/>
      <c r="L512" s="20" t="str">
        <f>IF(ISNUMBER(K512),K512+N(J512),IF(ISNUMBER(H512),I512+N(J512),""))</f>
        <v/>
      </c>
      <c r="M512" s="40" t="str">
        <f>IF(A512="","",IFERROR(T(INDEX('交易记录'!$C$5:$C$304,MATCH(A512,'交易记录'!$A$5:$A$304,0))),"编号没找到"))</f>
        <v/>
      </c>
      <c r="N512" s="30" t="n"/>
    </row>
    <row r="513">
      <c r="A513" s="24" t="n"/>
      <c r="B513" s="29" t="n"/>
      <c r="C513" s="27" t="n"/>
      <c r="D513" s="31" t="n"/>
      <c r="E513" s="32" t="n"/>
      <c r="F513" s="35" t="n"/>
      <c r="G513" s="31" t="n"/>
      <c r="H513" s="20" t="str">
        <f>IF(AND(ISNUMBER(E513),ISNUMBER(F513)),E513*F513,"")</f>
        <v/>
      </c>
      <c r="I513" s="42" t="str">
        <f>IF(ISNUMBER(H513),ROUND(H513*IF(G513="挂单",'参数'!$C$11,'参数'!$C$12),4),"")</f>
        <v/>
      </c>
      <c r="J513" s="47" t="n"/>
      <c r="K513" s="47" t="n"/>
      <c r="L513" s="20" t="str">
        <f>IF(ISNUMBER(K513),K513+N(J513),IF(ISNUMBER(H513),I513+N(J513),""))</f>
        <v/>
      </c>
      <c r="M513" s="40" t="str">
        <f>IF(A513="","",IFERROR(T(INDEX('交易记录'!$C$5:$C$304,MATCH(A513,'交易记录'!$A$5:$A$304,0))),"编号没找到"))</f>
        <v/>
      </c>
      <c r="N513" s="30" t="n"/>
    </row>
    <row r="514">
      <c r="A514" s="24" t="n"/>
      <c r="B514" s="29" t="n"/>
      <c r="C514" s="27" t="n"/>
      <c r="D514" s="31" t="n"/>
      <c r="E514" s="32" t="n"/>
      <c r="F514" s="35" t="n"/>
      <c r="G514" s="31" t="n"/>
      <c r="H514" s="20" t="str">
        <f>IF(AND(ISNUMBER(E514),ISNUMBER(F514)),E514*F514,"")</f>
        <v/>
      </c>
      <c r="I514" s="42" t="str">
        <f>IF(ISNUMBER(H514),ROUND(H514*IF(G514="挂单",'参数'!$C$11,'参数'!$C$12),4),"")</f>
        <v/>
      </c>
      <c r="J514" s="47" t="n"/>
      <c r="K514" s="47" t="n"/>
      <c r="L514" s="20" t="str">
        <f>IF(ISNUMBER(K514),K514+N(J514),IF(ISNUMBER(H514),I514+N(J514),""))</f>
        <v/>
      </c>
      <c r="M514" s="40" t="str">
        <f>IF(A514="","",IFERROR(T(INDEX('交易记录'!$C$5:$C$304,MATCH(A514,'交易记录'!$A$5:$A$304,0))),"编号没找到"))</f>
        <v/>
      </c>
      <c r="N514" s="30" t="n"/>
    </row>
    <row r="515">
      <c r="A515" s="24" t="n"/>
      <c r="B515" s="29" t="n"/>
      <c r="C515" s="27" t="n"/>
      <c r="D515" s="31" t="n"/>
      <c r="E515" s="32" t="n"/>
      <c r="F515" s="35" t="n"/>
      <c r="G515" s="31" t="n"/>
      <c r="H515" s="20" t="str">
        <f>IF(AND(ISNUMBER(E515),ISNUMBER(F515)),E515*F515,"")</f>
        <v/>
      </c>
      <c r="I515" s="42" t="str">
        <f>IF(ISNUMBER(H515),ROUND(H515*IF(G515="挂单",'参数'!$C$11,'参数'!$C$12),4),"")</f>
        <v/>
      </c>
      <c r="J515" s="47" t="n"/>
      <c r="K515" s="47" t="n"/>
      <c r="L515" s="20" t="str">
        <f>IF(ISNUMBER(K515),K515+N(J515),IF(ISNUMBER(H515),I515+N(J515),""))</f>
        <v/>
      </c>
      <c r="M515" s="40" t="str">
        <f>IF(A515="","",IFERROR(T(INDEX('交易记录'!$C$5:$C$304,MATCH(A515,'交易记录'!$A$5:$A$304,0))),"编号没找到"))</f>
        <v/>
      </c>
      <c r="N515" s="30" t="n"/>
    </row>
    <row r="516">
      <c r="A516" s="24" t="n"/>
      <c r="B516" s="29" t="n"/>
      <c r="C516" s="27" t="n"/>
      <c r="D516" s="31" t="n"/>
      <c r="E516" s="32" t="n"/>
      <c r="F516" s="35" t="n"/>
      <c r="G516" s="31" t="n"/>
      <c r="H516" s="20" t="str">
        <f>IF(AND(ISNUMBER(E516),ISNUMBER(F516)),E516*F516,"")</f>
        <v/>
      </c>
      <c r="I516" s="42" t="str">
        <f>IF(ISNUMBER(H516),ROUND(H516*IF(G516="挂单",'参数'!$C$11,'参数'!$C$12),4),"")</f>
        <v/>
      </c>
      <c r="J516" s="47" t="n"/>
      <c r="K516" s="47" t="n"/>
      <c r="L516" s="20" t="str">
        <f>IF(ISNUMBER(K516),K516+N(J516),IF(ISNUMBER(H516),I516+N(J516),""))</f>
        <v/>
      </c>
      <c r="M516" s="40" t="str">
        <f>IF(A516="","",IFERROR(T(INDEX('交易记录'!$C$5:$C$304,MATCH(A516,'交易记录'!$A$5:$A$304,0))),"编号没找到"))</f>
        <v/>
      </c>
      <c r="N516" s="30" t="n"/>
    </row>
    <row r="517">
      <c r="A517" s="24" t="n"/>
      <c r="B517" s="29" t="n"/>
      <c r="C517" s="27" t="n"/>
      <c r="D517" s="31" t="n"/>
      <c r="E517" s="32" t="n"/>
      <c r="F517" s="35" t="n"/>
      <c r="G517" s="31" t="n"/>
      <c r="H517" s="20" t="str">
        <f>IF(AND(ISNUMBER(E517),ISNUMBER(F517)),E517*F517,"")</f>
        <v/>
      </c>
      <c r="I517" s="42" t="str">
        <f>IF(ISNUMBER(H517),ROUND(H517*IF(G517="挂单",'参数'!$C$11,'参数'!$C$12),4),"")</f>
        <v/>
      </c>
      <c r="J517" s="47" t="n"/>
      <c r="K517" s="47" t="n"/>
      <c r="L517" s="20" t="str">
        <f>IF(ISNUMBER(K517),K517+N(J517),IF(ISNUMBER(H517),I517+N(J517),""))</f>
        <v/>
      </c>
      <c r="M517" s="40" t="str">
        <f>IF(A517="","",IFERROR(T(INDEX('交易记录'!$C$5:$C$304,MATCH(A517,'交易记录'!$A$5:$A$304,0))),"编号没找到"))</f>
        <v/>
      </c>
      <c r="N517" s="30" t="n"/>
    </row>
    <row r="518">
      <c r="A518" s="24" t="n"/>
      <c r="B518" s="29" t="n"/>
      <c r="C518" s="27" t="n"/>
      <c r="D518" s="31" t="n"/>
      <c r="E518" s="32" t="n"/>
      <c r="F518" s="35" t="n"/>
      <c r="G518" s="31" t="n"/>
      <c r="H518" s="20" t="str">
        <f>IF(AND(ISNUMBER(E518),ISNUMBER(F518)),E518*F518,"")</f>
        <v/>
      </c>
      <c r="I518" s="42" t="str">
        <f>IF(ISNUMBER(H518),ROUND(H518*IF(G518="挂单",'参数'!$C$11,'参数'!$C$12),4),"")</f>
        <v/>
      </c>
      <c r="J518" s="47" t="n"/>
      <c r="K518" s="47" t="n"/>
      <c r="L518" s="20" t="str">
        <f>IF(ISNUMBER(K518),K518+N(J518),IF(ISNUMBER(H518),I518+N(J518),""))</f>
        <v/>
      </c>
      <c r="M518" s="40" t="str">
        <f>IF(A518="","",IFERROR(T(INDEX('交易记录'!$C$5:$C$304,MATCH(A518,'交易记录'!$A$5:$A$304,0))),"编号没找到"))</f>
        <v/>
      </c>
      <c r="N518" s="30" t="n"/>
    </row>
    <row r="519">
      <c r="A519" s="24" t="n"/>
      <c r="B519" s="29" t="n"/>
      <c r="C519" s="27" t="n"/>
      <c r="D519" s="31" t="n"/>
      <c r="E519" s="32" t="n"/>
      <c r="F519" s="35" t="n"/>
      <c r="G519" s="31" t="n"/>
      <c r="H519" s="20" t="str">
        <f>IF(AND(ISNUMBER(E519),ISNUMBER(F519)),E519*F519,"")</f>
        <v/>
      </c>
      <c r="I519" s="42" t="str">
        <f>IF(ISNUMBER(H519),ROUND(H519*IF(G519="挂单",'参数'!$C$11,'参数'!$C$12),4),"")</f>
        <v/>
      </c>
      <c r="J519" s="47" t="n"/>
      <c r="K519" s="47" t="n"/>
      <c r="L519" s="20" t="str">
        <f>IF(ISNUMBER(K519),K519+N(J519),IF(ISNUMBER(H519),I519+N(J519),""))</f>
        <v/>
      </c>
      <c r="M519" s="40" t="str">
        <f>IF(A519="","",IFERROR(T(INDEX('交易记录'!$C$5:$C$304,MATCH(A519,'交易记录'!$A$5:$A$304,0))),"编号没找到"))</f>
        <v/>
      </c>
      <c r="N519" s="30" t="n"/>
    </row>
    <row r="520">
      <c r="A520" s="24" t="n"/>
      <c r="B520" s="29" t="n"/>
      <c r="C520" s="27" t="n"/>
      <c r="D520" s="31" t="n"/>
      <c r="E520" s="32" t="n"/>
      <c r="F520" s="35" t="n"/>
      <c r="G520" s="31" t="n"/>
      <c r="H520" s="20" t="str">
        <f>IF(AND(ISNUMBER(E520),ISNUMBER(F520)),E520*F520,"")</f>
        <v/>
      </c>
      <c r="I520" s="42" t="str">
        <f>IF(ISNUMBER(H520),ROUND(H520*IF(G520="挂单",'参数'!$C$11,'参数'!$C$12),4),"")</f>
        <v/>
      </c>
      <c r="J520" s="47" t="n"/>
      <c r="K520" s="47" t="n"/>
      <c r="L520" s="20" t="str">
        <f>IF(ISNUMBER(K520),K520+N(J520),IF(ISNUMBER(H520),I520+N(J520),""))</f>
        <v/>
      </c>
      <c r="M520" s="40" t="str">
        <f>IF(A520="","",IFERROR(T(INDEX('交易记录'!$C$5:$C$304,MATCH(A520,'交易记录'!$A$5:$A$304,0))),"编号没找到"))</f>
        <v/>
      </c>
      <c r="N520" s="30" t="n"/>
    </row>
    <row r="521">
      <c r="A521" s="24" t="n"/>
      <c r="B521" s="29" t="n"/>
      <c r="C521" s="27" t="n"/>
      <c r="D521" s="31" t="n"/>
      <c r="E521" s="32" t="n"/>
      <c r="F521" s="35" t="n"/>
      <c r="G521" s="31" t="n"/>
      <c r="H521" s="20" t="str">
        <f>IF(AND(ISNUMBER(E521),ISNUMBER(F521)),E521*F521,"")</f>
        <v/>
      </c>
      <c r="I521" s="42" t="str">
        <f>IF(ISNUMBER(H521),ROUND(H521*IF(G521="挂单",'参数'!$C$11,'参数'!$C$12),4),"")</f>
        <v/>
      </c>
      <c r="J521" s="47" t="n"/>
      <c r="K521" s="47" t="n"/>
      <c r="L521" s="20" t="str">
        <f>IF(ISNUMBER(K521),K521+N(J521),IF(ISNUMBER(H521),I521+N(J521),""))</f>
        <v/>
      </c>
      <c r="M521" s="40" t="str">
        <f>IF(A521="","",IFERROR(T(INDEX('交易记录'!$C$5:$C$304,MATCH(A521,'交易记录'!$A$5:$A$304,0))),"编号没找到"))</f>
        <v/>
      </c>
      <c r="N521" s="30" t="n"/>
    </row>
    <row r="522">
      <c r="A522" s="24" t="n"/>
      <c r="B522" s="29" t="n"/>
      <c r="C522" s="27" t="n"/>
      <c r="D522" s="31" t="n"/>
      <c r="E522" s="32" t="n"/>
      <c r="F522" s="35" t="n"/>
      <c r="G522" s="31" t="n"/>
      <c r="H522" s="20" t="str">
        <f>IF(AND(ISNUMBER(E522),ISNUMBER(F522)),E522*F522,"")</f>
        <v/>
      </c>
      <c r="I522" s="42" t="str">
        <f>IF(ISNUMBER(H522),ROUND(H522*IF(G522="挂单",'参数'!$C$11,'参数'!$C$12),4),"")</f>
        <v/>
      </c>
      <c r="J522" s="47" t="n"/>
      <c r="K522" s="47" t="n"/>
      <c r="L522" s="20" t="str">
        <f>IF(ISNUMBER(K522),K522+N(J522),IF(ISNUMBER(H522),I522+N(J522),""))</f>
        <v/>
      </c>
      <c r="M522" s="40" t="str">
        <f>IF(A522="","",IFERROR(T(INDEX('交易记录'!$C$5:$C$304,MATCH(A522,'交易记录'!$A$5:$A$304,0))),"编号没找到"))</f>
        <v/>
      </c>
      <c r="N522" s="30" t="n"/>
    </row>
    <row r="523">
      <c r="A523" s="24" t="n"/>
      <c r="B523" s="29" t="n"/>
      <c r="C523" s="27" t="n"/>
      <c r="D523" s="31" t="n"/>
      <c r="E523" s="32" t="n"/>
      <c r="F523" s="35" t="n"/>
      <c r="G523" s="31" t="n"/>
      <c r="H523" s="20" t="str">
        <f>IF(AND(ISNUMBER(E523),ISNUMBER(F523)),E523*F523,"")</f>
        <v/>
      </c>
      <c r="I523" s="42" t="str">
        <f>IF(ISNUMBER(H523),ROUND(H523*IF(G523="挂单",'参数'!$C$11,'参数'!$C$12),4),"")</f>
        <v/>
      </c>
      <c r="J523" s="47" t="n"/>
      <c r="K523" s="47" t="n"/>
      <c r="L523" s="20" t="str">
        <f>IF(ISNUMBER(K523),K523+N(J523),IF(ISNUMBER(H523),I523+N(J523),""))</f>
        <v/>
      </c>
      <c r="M523" s="40" t="str">
        <f>IF(A523="","",IFERROR(T(INDEX('交易记录'!$C$5:$C$304,MATCH(A523,'交易记录'!$A$5:$A$304,0))),"编号没找到"))</f>
        <v/>
      </c>
      <c r="N523" s="30" t="n"/>
    </row>
    <row r="524">
      <c r="A524" s="24" t="n"/>
      <c r="B524" s="29" t="n"/>
      <c r="C524" s="27" t="n"/>
      <c r="D524" s="31" t="n"/>
      <c r="E524" s="32" t="n"/>
      <c r="F524" s="35" t="n"/>
      <c r="G524" s="31" t="n"/>
      <c r="H524" s="20" t="str">
        <f>IF(AND(ISNUMBER(E524),ISNUMBER(F524)),E524*F524,"")</f>
        <v/>
      </c>
      <c r="I524" s="42" t="str">
        <f>IF(ISNUMBER(H524),ROUND(H524*IF(G524="挂单",'参数'!$C$11,'参数'!$C$12),4),"")</f>
        <v/>
      </c>
      <c r="J524" s="47" t="n"/>
      <c r="K524" s="47" t="n"/>
      <c r="L524" s="20" t="str">
        <f>IF(ISNUMBER(K524),K524+N(J524),IF(ISNUMBER(H524),I524+N(J524),""))</f>
        <v/>
      </c>
      <c r="M524" s="40" t="str">
        <f>IF(A524="","",IFERROR(T(INDEX('交易记录'!$C$5:$C$304,MATCH(A524,'交易记录'!$A$5:$A$304,0))),"编号没找到"))</f>
        <v/>
      </c>
      <c r="N524" s="30" t="n"/>
    </row>
    <row r="525">
      <c r="A525" s="24" t="n"/>
      <c r="B525" s="29" t="n"/>
      <c r="C525" s="27" t="n"/>
      <c r="D525" s="31" t="n"/>
      <c r="E525" s="32" t="n"/>
      <c r="F525" s="35" t="n"/>
      <c r="G525" s="31" t="n"/>
      <c r="H525" s="20" t="str">
        <f>IF(AND(ISNUMBER(E525),ISNUMBER(F525)),E525*F525,"")</f>
        <v/>
      </c>
      <c r="I525" s="42" t="str">
        <f>IF(ISNUMBER(H525),ROUND(H525*IF(G525="挂单",'参数'!$C$11,'参数'!$C$12),4),"")</f>
        <v/>
      </c>
      <c r="J525" s="47" t="n"/>
      <c r="K525" s="47" t="n"/>
      <c r="L525" s="20" t="str">
        <f>IF(ISNUMBER(K525),K525+N(J525),IF(ISNUMBER(H525),I525+N(J525),""))</f>
        <v/>
      </c>
      <c r="M525" s="40" t="str">
        <f>IF(A525="","",IFERROR(T(INDEX('交易记录'!$C$5:$C$304,MATCH(A525,'交易记录'!$A$5:$A$304,0))),"编号没找到"))</f>
        <v/>
      </c>
      <c r="N525" s="30" t="n"/>
    </row>
    <row r="526">
      <c r="A526" s="24" t="n"/>
      <c r="B526" s="29" t="n"/>
      <c r="C526" s="27" t="n"/>
      <c r="D526" s="31" t="n"/>
      <c r="E526" s="32" t="n"/>
      <c r="F526" s="35" t="n"/>
      <c r="G526" s="31" t="n"/>
      <c r="H526" s="20" t="str">
        <f>IF(AND(ISNUMBER(E526),ISNUMBER(F526)),E526*F526,"")</f>
        <v/>
      </c>
      <c r="I526" s="42" t="str">
        <f>IF(ISNUMBER(H526),ROUND(H526*IF(G526="挂单",'参数'!$C$11,'参数'!$C$12),4),"")</f>
        <v/>
      </c>
      <c r="J526" s="47" t="n"/>
      <c r="K526" s="47" t="n"/>
      <c r="L526" s="20" t="str">
        <f>IF(ISNUMBER(K526),K526+N(J526),IF(ISNUMBER(H526),I526+N(J526),""))</f>
        <v/>
      </c>
      <c r="M526" s="40" t="str">
        <f>IF(A526="","",IFERROR(T(INDEX('交易记录'!$C$5:$C$304,MATCH(A526,'交易记录'!$A$5:$A$304,0))),"编号没找到"))</f>
        <v/>
      </c>
      <c r="N526" s="30" t="n"/>
    </row>
    <row r="527">
      <c r="A527" s="24" t="n"/>
      <c r="B527" s="29" t="n"/>
      <c r="C527" s="27" t="n"/>
      <c r="D527" s="31" t="n"/>
      <c r="E527" s="32" t="n"/>
      <c r="F527" s="35" t="n"/>
      <c r="G527" s="31" t="n"/>
      <c r="H527" s="20" t="str">
        <f>IF(AND(ISNUMBER(E527),ISNUMBER(F527)),E527*F527,"")</f>
        <v/>
      </c>
      <c r="I527" s="42" t="str">
        <f>IF(ISNUMBER(H527),ROUND(H527*IF(G527="挂单",'参数'!$C$11,'参数'!$C$12),4),"")</f>
        <v/>
      </c>
      <c r="J527" s="47" t="n"/>
      <c r="K527" s="47" t="n"/>
      <c r="L527" s="20" t="str">
        <f>IF(ISNUMBER(K527),K527+N(J527),IF(ISNUMBER(H527),I527+N(J527),""))</f>
        <v/>
      </c>
      <c r="M527" s="40" t="str">
        <f>IF(A527="","",IFERROR(T(INDEX('交易记录'!$C$5:$C$304,MATCH(A527,'交易记录'!$A$5:$A$304,0))),"编号没找到"))</f>
        <v/>
      </c>
      <c r="N527" s="30" t="n"/>
    </row>
    <row r="528">
      <c r="A528" s="24" t="n"/>
      <c r="B528" s="29" t="n"/>
      <c r="C528" s="27" t="n"/>
      <c r="D528" s="31" t="n"/>
      <c r="E528" s="32" t="n"/>
      <c r="F528" s="35" t="n"/>
      <c r="G528" s="31" t="n"/>
      <c r="H528" s="20" t="str">
        <f>IF(AND(ISNUMBER(E528),ISNUMBER(F528)),E528*F528,"")</f>
        <v/>
      </c>
      <c r="I528" s="42" t="str">
        <f>IF(ISNUMBER(H528),ROUND(H528*IF(G528="挂单",'参数'!$C$11,'参数'!$C$12),4),"")</f>
        <v/>
      </c>
      <c r="J528" s="47" t="n"/>
      <c r="K528" s="47" t="n"/>
      <c r="L528" s="20" t="str">
        <f>IF(ISNUMBER(K528),K528+N(J528),IF(ISNUMBER(H528),I528+N(J528),""))</f>
        <v/>
      </c>
      <c r="M528" s="40" t="str">
        <f>IF(A528="","",IFERROR(T(INDEX('交易记录'!$C$5:$C$304,MATCH(A528,'交易记录'!$A$5:$A$304,0))),"编号没找到"))</f>
        <v/>
      </c>
      <c r="N528" s="30" t="n"/>
    </row>
    <row r="529">
      <c r="A529" s="24" t="n"/>
      <c r="B529" s="29" t="n"/>
      <c r="C529" s="27" t="n"/>
      <c r="D529" s="31" t="n"/>
      <c r="E529" s="32" t="n"/>
      <c r="F529" s="35" t="n"/>
      <c r="G529" s="31" t="n"/>
      <c r="H529" s="20" t="str">
        <f>IF(AND(ISNUMBER(E529),ISNUMBER(F529)),E529*F529,"")</f>
        <v/>
      </c>
      <c r="I529" s="42" t="str">
        <f>IF(ISNUMBER(H529),ROUND(H529*IF(G529="挂单",'参数'!$C$11,'参数'!$C$12),4),"")</f>
        <v/>
      </c>
      <c r="J529" s="47" t="n"/>
      <c r="K529" s="47" t="n"/>
      <c r="L529" s="20" t="str">
        <f>IF(ISNUMBER(K529),K529+N(J529),IF(ISNUMBER(H529),I529+N(J529),""))</f>
        <v/>
      </c>
      <c r="M529" s="40" t="str">
        <f>IF(A529="","",IFERROR(T(INDEX('交易记录'!$C$5:$C$304,MATCH(A529,'交易记录'!$A$5:$A$304,0))),"编号没找到"))</f>
        <v/>
      </c>
      <c r="N529" s="30" t="n"/>
    </row>
    <row r="530">
      <c r="A530" s="24" t="n"/>
      <c r="B530" s="29" t="n"/>
      <c r="C530" s="27" t="n"/>
      <c r="D530" s="31" t="n"/>
      <c r="E530" s="32" t="n"/>
      <c r="F530" s="35" t="n"/>
      <c r="G530" s="31" t="n"/>
      <c r="H530" s="20" t="str">
        <f>IF(AND(ISNUMBER(E530),ISNUMBER(F530)),E530*F530,"")</f>
        <v/>
      </c>
      <c r="I530" s="42" t="str">
        <f>IF(ISNUMBER(H530),ROUND(H530*IF(G530="挂单",'参数'!$C$11,'参数'!$C$12),4),"")</f>
        <v/>
      </c>
      <c r="J530" s="47" t="n"/>
      <c r="K530" s="47" t="n"/>
      <c r="L530" s="20" t="str">
        <f>IF(ISNUMBER(K530),K530+N(J530),IF(ISNUMBER(H530),I530+N(J530),""))</f>
        <v/>
      </c>
      <c r="M530" s="40" t="str">
        <f>IF(A530="","",IFERROR(T(INDEX('交易记录'!$C$5:$C$304,MATCH(A530,'交易记录'!$A$5:$A$304,0))),"编号没找到"))</f>
        <v/>
      </c>
      <c r="N530" s="30" t="n"/>
    </row>
    <row r="531">
      <c r="A531" s="24" t="n"/>
      <c r="B531" s="29" t="n"/>
      <c r="C531" s="27" t="n"/>
      <c r="D531" s="31" t="n"/>
      <c r="E531" s="32" t="n"/>
      <c r="F531" s="35" t="n"/>
      <c r="G531" s="31" t="n"/>
      <c r="H531" s="20" t="str">
        <f>IF(AND(ISNUMBER(E531),ISNUMBER(F531)),E531*F531,"")</f>
        <v/>
      </c>
      <c r="I531" s="42" t="str">
        <f>IF(ISNUMBER(H531),ROUND(H531*IF(G531="挂单",'参数'!$C$11,'参数'!$C$12),4),"")</f>
        <v/>
      </c>
      <c r="J531" s="47" t="n"/>
      <c r="K531" s="47" t="n"/>
      <c r="L531" s="20" t="str">
        <f>IF(ISNUMBER(K531),K531+N(J531),IF(ISNUMBER(H531),I531+N(J531),""))</f>
        <v/>
      </c>
      <c r="M531" s="40" t="str">
        <f>IF(A531="","",IFERROR(T(INDEX('交易记录'!$C$5:$C$304,MATCH(A531,'交易记录'!$A$5:$A$304,0))),"编号没找到"))</f>
        <v/>
      </c>
      <c r="N531" s="30" t="n"/>
    </row>
    <row r="532">
      <c r="A532" s="24" t="n"/>
      <c r="B532" s="29" t="n"/>
      <c r="C532" s="27" t="n"/>
      <c r="D532" s="31" t="n"/>
      <c r="E532" s="32" t="n"/>
      <c r="F532" s="35" t="n"/>
      <c r="G532" s="31" t="n"/>
      <c r="H532" s="20" t="str">
        <f>IF(AND(ISNUMBER(E532),ISNUMBER(F532)),E532*F532,"")</f>
        <v/>
      </c>
      <c r="I532" s="42" t="str">
        <f>IF(ISNUMBER(H532),ROUND(H532*IF(G532="挂单",'参数'!$C$11,'参数'!$C$12),4),"")</f>
        <v/>
      </c>
      <c r="J532" s="47" t="n"/>
      <c r="K532" s="47" t="n"/>
      <c r="L532" s="20" t="str">
        <f>IF(ISNUMBER(K532),K532+N(J532),IF(ISNUMBER(H532),I532+N(J532),""))</f>
        <v/>
      </c>
      <c r="M532" s="40" t="str">
        <f>IF(A532="","",IFERROR(T(INDEX('交易记录'!$C$5:$C$304,MATCH(A532,'交易记录'!$A$5:$A$304,0))),"编号没找到"))</f>
        <v/>
      </c>
      <c r="N532" s="30" t="n"/>
    </row>
    <row r="533">
      <c r="A533" s="24" t="n"/>
      <c r="B533" s="29" t="n"/>
      <c r="C533" s="27" t="n"/>
      <c r="D533" s="31" t="n"/>
      <c r="E533" s="32" t="n"/>
      <c r="F533" s="35" t="n"/>
      <c r="G533" s="31" t="n"/>
      <c r="H533" s="20" t="str">
        <f>IF(AND(ISNUMBER(E533),ISNUMBER(F533)),E533*F533,"")</f>
        <v/>
      </c>
      <c r="I533" s="42" t="str">
        <f>IF(ISNUMBER(H533),ROUND(H533*IF(G533="挂单",'参数'!$C$11,'参数'!$C$12),4),"")</f>
        <v/>
      </c>
      <c r="J533" s="47" t="n"/>
      <c r="K533" s="47" t="n"/>
      <c r="L533" s="20" t="str">
        <f>IF(ISNUMBER(K533),K533+N(J533),IF(ISNUMBER(H533),I533+N(J533),""))</f>
        <v/>
      </c>
      <c r="M533" s="40" t="str">
        <f>IF(A533="","",IFERROR(T(INDEX('交易记录'!$C$5:$C$304,MATCH(A533,'交易记录'!$A$5:$A$304,0))),"编号没找到"))</f>
        <v/>
      </c>
      <c r="N533" s="30" t="n"/>
    </row>
    <row r="534">
      <c r="A534" s="24" t="n"/>
      <c r="B534" s="29" t="n"/>
      <c r="C534" s="27" t="n"/>
      <c r="D534" s="31" t="n"/>
      <c r="E534" s="32" t="n"/>
      <c r="F534" s="35" t="n"/>
      <c r="G534" s="31" t="n"/>
      <c r="H534" s="20" t="str">
        <f>IF(AND(ISNUMBER(E534),ISNUMBER(F534)),E534*F534,"")</f>
        <v/>
      </c>
      <c r="I534" s="42" t="str">
        <f>IF(ISNUMBER(H534),ROUND(H534*IF(G534="挂单",'参数'!$C$11,'参数'!$C$12),4),"")</f>
        <v/>
      </c>
      <c r="J534" s="47" t="n"/>
      <c r="K534" s="47" t="n"/>
      <c r="L534" s="20" t="str">
        <f>IF(ISNUMBER(K534),K534+N(J534),IF(ISNUMBER(H534),I534+N(J534),""))</f>
        <v/>
      </c>
      <c r="M534" s="40" t="str">
        <f>IF(A534="","",IFERROR(T(INDEX('交易记录'!$C$5:$C$304,MATCH(A534,'交易记录'!$A$5:$A$304,0))),"编号没找到"))</f>
        <v/>
      </c>
      <c r="N534" s="30" t="n"/>
    </row>
    <row r="535">
      <c r="A535" s="24" t="n"/>
      <c r="B535" s="29" t="n"/>
      <c r="C535" s="27" t="n"/>
      <c r="D535" s="31" t="n"/>
      <c r="E535" s="32" t="n"/>
      <c r="F535" s="35" t="n"/>
      <c r="G535" s="31" t="n"/>
      <c r="H535" s="20" t="str">
        <f>IF(AND(ISNUMBER(E535),ISNUMBER(F535)),E535*F535,"")</f>
        <v/>
      </c>
      <c r="I535" s="42" t="str">
        <f>IF(ISNUMBER(H535),ROUND(H535*IF(G535="挂单",'参数'!$C$11,'参数'!$C$12),4),"")</f>
        <v/>
      </c>
      <c r="J535" s="47" t="n"/>
      <c r="K535" s="47" t="n"/>
      <c r="L535" s="20" t="str">
        <f>IF(ISNUMBER(K535),K535+N(J535),IF(ISNUMBER(H535),I535+N(J535),""))</f>
        <v/>
      </c>
      <c r="M535" s="40" t="str">
        <f>IF(A535="","",IFERROR(T(INDEX('交易记录'!$C$5:$C$304,MATCH(A535,'交易记录'!$A$5:$A$304,0))),"编号没找到"))</f>
        <v/>
      </c>
      <c r="N535" s="30" t="n"/>
    </row>
    <row r="536">
      <c r="A536" s="24" t="n"/>
      <c r="B536" s="29" t="n"/>
      <c r="C536" s="27" t="n"/>
      <c r="D536" s="31" t="n"/>
      <c r="E536" s="32" t="n"/>
      <c r="F536" s="35" t="n"/>
      <c r="G536" s="31" t="n"/>
      <c r="H536" s="20" t="str">
        <f>IF(AND(ISNUMBER(E536),ISNUMBER(F536)),E536*F536,"")</f>
        <v/>
      </c>
      <c r="I536" s="42" t="str">
        <f>IF(ISNUMBER(H536),ROUND(H536*IF(G536="挂单",'参数'!$C$11,'参数'!$C$12),4),"")</f>
        <v/>
      </c>
      <c r="J536" s="47" t="n"/>
      <c r="K536" s="47" t="n"/>
      <c r="L536" s="20" t="str">
        <f>IF(ISNUMBER(K536),K536+N(J536),IF(ISNUMBER(H536),I536+N(J536),""))</f>
        <v/>
      </c>
      <c r="M536" s="40" t="str">
        <f>IF(A536="","",IFERROR(T(INDEX('交易记录'!$C$5:$C$304,MATCH(A536,'交易记录'!$A$5:$A$304,0))),"编号没找到"))</f>
        <v/>
      </c>
      <c r="N536" s="30" t="n"/>
    </row>
    <row r="537">
      <c r="A537" s="24" t="n"/>
      <c r="B537" s="29" t="n"/>
      <c r="C537" s="27" t="n"/>
      <c r="D537" s="31" t="n"/>
      <c r="E537" s="32" t="n"/>
      <c r="F537" s="35" t="n"/>
      <c r="G537" s="31" t="n"/>
      <c r="H537" s="20" t="str">
        <f>IF(AND(ISNUMBER(E537),ISNUMBER(F537)),E537*F537,"")</f>
        <v/>
      </c>
      <c r="I537" s="42" t="str">
        <f>IF(ISNUMBER(H537),ROUND(H537*IF(G537="挂单",'参数'!$C$11,'参数'!$C$12),4),"")</f>
        <v/>
      </c>
      <c r="J537" s="47" t="n"/>
      <c r="K537" s="47" t="n"/>
      <c r="L537" s="20" t="str">
        <f>IF(ISNUMBER(K537),K537+N(J537),IF(ISNUMBER(H537),I537+N(J537),""))</f>
        <v/>
      </c>
      <c r="M537" s="40" t="str">
        <f>IF(A537="","",IFERROR(T(INDEX('交易记录'!$C$5:$C$304,MATCH(A537,'交易记录'!$A$5:$A$304,0))),"编号没找到"))</f>
        <v/>
      </c>
      <c r="N537" s="30" t="n"/>
    </row>
    <row r="538">
      <c r="A538" s="24" t="n"/>
      <c r="B538" s="29" t="n"/>
      <c r="C538" s="27" t="n"/>
      <c r="D538" s="31" t="n"/>
      <c r="E538" s="32" t="n"/>
      <c r="F538" s="35" t="n"/>
      <c r="G538" s="31" t="n"/>
      <c r="H538" s="20" t="str">
        <f>IF(AND(ISNUMBER(E538),ISNUMBER(F538)),E538*F538,"")</f>
        <v/>
      </c>
      <c r="I538" s="42" t="str">
        <f>IF(ISNUMBER(H538),ROUND(H538*IF(G538="挂单",'参数'!$C$11,'参数'!$C$12),4),"")</f>
        <v/>
      </c>
      <c r="J538" s="47" t="n"/>
      <c r="K538" s="47" t="n"/>
      <c r="L538" s="20" t="str">
        <f>IF(ISNUMBER(K538),K538+N(J538),IF(ISNUMBER(H538),I538+N(J538),""))</f>
        <v/>
      </c>
      <c r="M538" s="40" t="str">
        <f>IF(A538="","",IFERROR(T(INDEX('交易记录'!$C$5:$C$304,MATCH(A538,'交易记录'!$A$5:$A$304,0))),"编号没找到"))</f>
        <v/>
      </c>
      <c r="N538" s="30" t="n"/>
    </row>
    <row r="539">
      <c r="A539" s="24" t="n"/>
      <c r="B539" s="29" t="n"/>
      <c r="C539" s="27" t="n"/>
      <c r="D539" s="31" t="n"/>
      <c r="E539" s="32" t="n"/>
      <c r="F539" s="35" t="n"/>
      <c r="G539" s="31" t="n"/>
      <c r="H539" s="20" t="str">
        <f>IF(AND(ISNUMBER(E539),ISNUMBER(F539)),E539*F539,"")</f>
        <v/>
      </c>
      <c r="I539" s="42" t="str">
        <f>IF(ISNUMBER(H539),ROUND(H539*IF(G539="挂单",'参数'!$C$11,'参数'!$C$12),4),"")</f>
        <v/>
      </c>
      <c r="J539" s="47" t="n"/>
      <c r="K539" s="47" t="n"/>
      <c r="L539" s="20" t="str">
        <f>IF(ISNUMBER(K539),K539+N(J539),IF(ISNUMBER(H539),I539+N(J539),""))</f>
        <v/>
      </c>
      <c r="M539" s="40" t="str">
        <f>IF(A539="","",IFERROR(T(INDEX('交易记录'!$C$5:$C$304,MATCH(A539,'交易记录'!$A$5:$A$304,0))),"编号没找到"))</f>
        <v/>
      </c>
      <c r="N539" s="30" t="n"/>
    </row>
    <row r="540">
      <c r="A540" s="24" t="n"/>
      <c r="B540" s="29" t="n"/>
      <c r="C540" s="27" t="n"/>
      <c r="D540" s="31" t="n"/>
      <c r="E540" s="32" t="n"/>
      <c r="F540" s="35" t="n"/>
      <c r="G540" s="31" t="n"/>
      <c r="H540" s="20" t="str">
        <f>IF(AND(ISNUMBER(E540),ISNUMBER(F540)),E540*F540,"")</f>
        <v/>
      </c>
      <c r="I540" s="42" t="str">
        <f>IF(ISNUMBER(H540),ROUND(H540*IF(G540="挂单",'参数'!$C$11,'参数'!$C$12),4),"")</f>
        <v/>
      </c>
      <c r="J540" s="47" t="n"/>
      <c r="K540" s="47" t="n"/>
      <c r="L540" s="20" t="str">
        <f>IF(ISNUMBER(K540),K540+N(J540),IF(ISNUMBER(H540),I540+N(J540),""))</f>
        <v/>
      </c>
      <c r="M540" s="40" t="str">
        <f>IF(A540="","",IFERROR(T(INDEX('交易记录'!$C$5:$C$304,MATCH(A540,'交易记录'!$A$5:$A$304,0))),"编号没找到"))</f>
        <v/>
      </c>
      <c r="N540" s="30" t="n"/>
    </row>
    <row r="541">
      <c r="A541" s="24" t="n"/>
      <c r="B541" s="29" t="n"/>
      <c r="C541" s="27" t="n"/>
      <c r="D541" s="31" t="n"/>
      <c r="E541" s="32" t="n"/>
      <c r="F541" s="35" t="n"/>
      <c r="G541" s="31" t="n"/>
      <c r="H541" s="20" t="str">
        <f>IF(AND(ISNUMBER(E541),ISNUMBER(F541)),E541*F541,"")</f>
        <v/>
      </c>
      <c r="I541" s="42" t="str">
        <f>IF(ISNUMBER(H541),ROUND(H541*IF(G541="挂单",'参数'!$C$11,'参数'!$C$12),4),"")</f>
        <v/>
      </c>
      <c r="J541" s="47" t="n"/>
      <c r="K541" s="47" t="n"/>
      <c r="L541" s="20" t="str">
        <f>IF(ISNUMBER(K541),K541+N(J541),IF(ISNUMBER(H541),I541+N(J541),""))</f>
        <v/>
      </c>
      <c r="M541" s="40" t="str">
        <f>IF(A541="","",IFERROR(T(INDEX('交易记录'!$C$5:$C$304,MATCH(A541,'交易记录'!$A$5:$A$304,0))),"编号没找到"))</f>
        <v/>
      </c>
      <c r="N541" s="30" t="n"/>
    </row>
    <row r="542">
      <c r="A542" s="24" t="n"/>
      <c r="B542" s="29" t="n"/>
      <c r="C542" s="27" t="n"/>
      <c r="D542" s="31" t="n"/>
      <c r="E542" s="32" t="n"/>
      <c r="F542" s="35" t="n"/>
      <c r="G542" s="31" t="n"/>
      <c r="H542" s="20" t="str">
        <f>IF(AND(ISNUMBER(E542),ISNUMBER(F542)),E542*F542,"")</f>
        <v/>
      </c>
      <c r="I542" s="42" t="str">
        <f>IF(ISNUMBER(H542),ROUND(H542*IF(G542="挂单",'参数'!$C$11,'参数'!$C$12),4),"")</f>
        <v/>
      </c>
      <c r="J542" s="47" t="n"/>
      <c r="K542" s="47" t="n"/>
      <c r="L542" s="20" t="str">
        <f>IF(ISNUMBER(K542),K542+N(J542),IF(ISNUMBER(H542),I542+N(J542),""))</f>
        <v/>
      </c>
      <c r="M542" s="40" t="str">
        <f>IF(A542="","",IFERROR(T(INDEX('交易记录'!$C$5:$C$304,MATCH(A542,'交易记录'!$A$5:$A$304,0))),"编号没找到"))</f>
        <v/>
      </c>
      <c r="N542" s="30" t="n"/>
    </row>
    <row r="543">
      <c r="A543" s="24" t="n"/>
      <c r="B543" s="29" t="n"/>
      <c r="C543" s="27" t="n"/>
      <c r="D543" s="31" t="n"/>
      <c r="E543" s="32" t="n"/>
      <c r="F543" s="35" t="n"/>
      <c r="G543" s="31" t="n"/>
      <c r="H543" s="20" t="str">
        <f>IF(AND(ISNUMBER(E543),ISNUMBER(F543)),E543*F543,"")</f>
        <v/>
      </c>
      <c r="I543" s="42" t="str">
        <f>IF(ISNUMBER(H543),ROUND(H543*IF(G543="挂单",'参数'!$C$11,'参数'!$C$12),4),"")</f>
        <v/>
      </c>
      <c r="J543" s="47" t="n"/>
      <c r="K543" s="47" t="n"/>
      <c r="L543" s="20" t="str">
        <f>IF(ISNUMBER(K543),K543+N(J543),IF(ISNUMBER(H543),I543+N(J543),""))</f>
        <v/>
      </c>
      <c r="M543" s="40" t="str">
        <f>IF(A543="","",IFERROR(T(INDEX('交易记录'!$C$5:$C$304,MATCH(A543,'交易记录'!$A$5:$A$304,0))),"编号没找到"))</f>
        <v/>
      </c>
      <c r="N543" s="30" t="n"/>
    </row>
    <row r="544">
      <c r="A544" s="24" t="n"/>
      <c r="B544" s="29" t="n"/>
      <c r="C544" s="27" t="n"/>
      <c r="D544" s="31" t="n"/>
      <c r="E544" s="32" t="n"/>
      <c r="F544" s="35" t="n"/>
      <c r="G544" s="31" t="n"/>
      <c r="H544" s="20" t="str">
        <f>IF(AND(ISNUMBER(E544),ISNUMBER(F544)),E544*F544,"")</f>
        <v/>
      </c>
      <c r="I544" s="42" t="str">
        <f>IF(ISNUMBER(H544),ROUND(H544*IF(G544="挂单",'参数'!$C$11,'参数'!$C$12),4),"")</f>
        <v/>
      </c>
      <c r="J544" s="47" t="n"/>
      <c r="K544" s="47" t="n"/>
      <c r="L544" s="20" t="str">
        <f>IF(ISNUMBER(K544),K544+N(J544),IF(ISNUMBER(H544),I544+N(J544),""))</f>
        <v/>
      </c>
      <c r="M544" s="40" t="str">
        <f>IF(A544="","",IFERROR(T(INDEX('交易记录'!$C$5:$C$304,MATCH(A544,'交易记录'!$A$5:$A$304,0))),"编号没找到"))</f>
        <v/>
      </c>
      <c r="N544" s="30" t="n"/>
    </row>
    <row r="545">
      <c r="A545" s="24" t="n"/>
      <c r="B545" s="29" t="n"/>
      <c r="C545" s="27" t="n"/>
      <c r="D545" s="31" t="n"/>
      <c r="E545" s="32" t="n"/>
      <c r="F545" s="35" t="n"/>
      <c r="G545" s="31" t="n"/>
      <c r="H545" s="20" t="str">
        <f>IF(AND(ISNUMBER(E545),ISNUMBER(F545)),E545*F545,"")</f>
        <v/>
      </c>
      <c r="I545" s="42" t="str">
        <f>IF(ISNUMBER(H545),ROUND(H545*IF(G545="挂单",'参数'!$C$11,'参数'!$C$12),4),"")</f>
        <v/>
      </c>
      <c r="J545" s="47" t="n"/>
      <c r="K545" s="47" t="n"/>
      <c r="L545" s="20" t="str">
        <f>IF(ISNUMBER(K545),K545+N(J545),IF(ISNUMBER(H545),I545+N(J545),""))</f>
        <v/>
      </c>
      <c r="M545" s="40" t="str">
        <f>IF(A545="","",IFERROR(T(INDEX('交易记录'!$C$5:$C$304,MATCH(A545,'交易记录'!$A$5:$A$304,0))),"编号没找到"))</f>
        <v/>
      </c>
      <c r="N545" s="30" t="n"/>
    </row>
    <row r="546">
      <c r="A546" s="24" t="n"/>
      <c r="B546" s="29" t="n"/>
      <c r="C546" s="27" t="n"/>
      <c r="D546" s="31" t="n"/>
      <c r="E546" s="32" t="n"/>
      <c r="F546" s="35" t="n"/>
      <c r="G546" s="31" t="n"/>
      <c r="H546" s="20" t="str">
        <f>IF(AND(ISNUMBER(E546),ISNUMBER(F546)),E546*F546,"")</f>
        <v/>
      </c>
      <c r="I546" s="42" t="str">
        <f>IF(ISNUMBER(H546),ROUND(H546*IF(G546="挂单",'参数'!$C$11,'参数'!$C$12),4),"")</f>
        <v/>
      </c>
      <c r="J546" s="47" t="n"/>
      <c r="K546" s="47" t="n"/>
      <c r="L546" s="20" t="str">
        <f>IF(ISNUMBER(K546),K546+N(J546),IF(ISNUMBER(H546),I546+N(J546),""))</f>
        <v/>
      </c>
      <c r="M546" s="40" t="str">
        <f>IF(A546="","",IFERROR(T(INDEX('交易记录'!$C$5:$C$304,MATCH(A546,'交易记录'!$A$5:$A$304,0))),"编号没找到"))</f>
        <v/>
      </c>
      <c r="N546" s="30" t="n"/>
    </row>
    <row r="547">
      <c r="A547" s="24" t="n"/>
      <c r="B547" s="29" t="n"/>
      <c r="C547" s="27" t="n"/>
      <c r="D547" s="31" t="n"/>
      <c r="E547" s="32" t="n"/>
      <c r="F547" s="35" t="n"/>
      <c r="G547" s="31" t="n"/>
      <c r="H547" s="20" t="str">
        <f>IF(AND(ISNUMBER(E547),ISNUMBER(F547)),E547*F547,"")</f>
        <v/>
      </c>
      <c r="I547" s="42" t="str">
        <f>IF(ISNUMBER(H547),ROUND(H547*IF(G547="挂单",'参数'!$C$11,'参数'!$C$12),4),"")</f>
        <v/>
      </c>
      <c r="J547" s="47" t="n"/>
      <c r="K547" s="47" t="n"/>
      <c r="L547" s="20" t="str">
        <f>IF(ISNUMBER(K547),K547+N(J547),IF(ISNUMBER(H547),I547+N(J547),""))</f>
        <v/>
      </c>
      <c r="M547" s="40" t="str">
        <f>IF(A547="","",IFERROR(T(INDEX('交易记录'!$C$5:$C$304,MATCH(A547,'交易记录'!$A$5:$A$304,0))),"编号没找到"))</f>
        <v/>
      </c>
      <c r="N547" s="30" t="n"/>
    </row>
    <row r="548">
      <c r="A548" s="24" t="n"/>
      <c r="B548" s="29" t="n"/>
      <c r="C548" s="27" t="n"/>
      <c r="D548" s="31" t="n"/>
      <c r="E548" s="32" t="n"/>
      <c r="F548" s="35" t="n"/>
      <c r="G548" s="31" t="n"/>
      <c r="H548" s="20" t="str">
        <f>IF(AND(ISNUMBER(E548),ISNUMBER(F548)),E548*F548,"")</f>
        <v/>
      </c>
      <c r="I548" s="42" t="str">
        <f>IF(ISNUMBER(H548),ROUND(H548*IF(G548="挂单",'参数'!$C$11,'参数'!$C$12),4),"")</f>
        <v/>
      </c>
      <c r="J548" s="47" t="n"/>
      <c r="K548" s="47" t="n"/>
      <c r="L548" s="20" t="str">
        <f>IF(ISNUMBER(K548),K548+N(J548),IF(ISNUMBER(H548),I548+N(J548),""))</f>
        <v/>
      </c>
      <c r="M548" s="40" t="str">
        <f>IF(A548="","",IFERROR(T(INDEX('交易记录'!$C$5:$C$304,MATCH(A548,'交易记录'!$A$5:$A$304,0))),"编号没找到"))</f>
        <v/>
      </c>
      <c r="N548" s="30" t="n"/>
    </row>
    <row r="549">
      <c r="A549" s="24" t="n"/>
      <c r="B549" s="29" t="n"/>
      <c r="C549" s="27" t="n"/>
      <c r="D549" s="31" t="n"/>
      <c r="E549" s="32" t="n"/>
      <c r="F549" s="35" t="n"/>
      <c r="G549" s="31" t="n"/>
      <c r="H549" s="20" t="str">
        <f>IF(AND(ISNUMBER(E549),ISNUMBER(F549)),E549*F549,"")</f>
        <v/>
      </c>
      <c r="I549" s="42" t="str">
        <f>IF(ISNUMBER(H549),ROUND(H549*IF(G549="挂单",'参数'!$C$11,'参数'!$C$12),4),"")</f>
        <v/>
      </c>
      <c r="J549" s="47" t="n"/>
      <c r="K549" s="47" t="n"/>
      <c r="L549" s="20" t="str">
        <f>IF(ISNUMBER(K549),K549+N(J549),IF(ISNUMBER(H549),I549+N(J549),""))</f>
        <v/>
      </c>
      <c r="M549" s="40" t="str">
        <f>IF(A549="","",IFERROR(T(INDEX('交易记录'!$C$5:$C$304,MATCH(A549,'交易记录'!$A$5:$A$304,0))),"编号没找到"))</f>
        <v/>
      </c>
      <c r="N549" s="30" t="n"/>
    </row>
    <row r="550">
      <c r="A550" s="24" t="n"/>
      <c r="B550" s="29" t="n"/>
      <c r="C550" s="27" t="n"/>
      <c r="D550" s="31" t="n"/>
      <c r="E550" s="32" t="n"/>
      <c r="F550" s="35" t="n"/>
      <c r="G550" s="31" t="n"/>
      <c r="H550" s="20" t="str">
        <f>IF(AND(ISNUMBER(E550),ISNUMBER(F550)),E550*F550,"")</f>
        <v/>
      </c>
      <c r="I550" s="42" t="str">
        <f>IF(ISNUMBER(H550),ROUND(H550*IF(G550="挂单",'参数'!$C$11,'参数'!$C$12),4),"")</f>
        <v/>
      </c>
      <c r="J550" s="47" t="n"/>
      <c r="K550" s="47" t="n"/>
      <c r="L550" s="20" t="str">
        <f>IF(ISNUMBER(K550),K550+N(J550),IF(ISNUMBER(H550),I550+N(J550),""))</f>
        <v/>
      </c>
      <c r="M550" s="40" t="str">
        <f>IF(A550="","",IFERROR(T(INDEX('交易记录'!$C$5:$C$304,MATCH(A550,'交易记录'!$A$5:$A$304,0))),"编号没找到"))</f>
        <v/>
      </c>
      <c r="N550" s="30" t="n"/>
    </row>
    <row r="551">
      <c r="A551" s="24" t="n"/>
      <c r="B551" s="29" t="n"/>
      <c r="C551" s="27" t="n"/>
      <c r="D551" s="31" t="n"/>
      <c r="E551" s="32" t="n"/>
      <c r="F551" s="35" t="n"/>
      <c r="G551" s="31" t="n"/>
      <c r="H551" s="20" t="str">
        <f>IF(AND(ISNUMBER(E551),ISNUMBER(F551)),E551*F551,"")</f>
        <v/>
      </c>
      <c r="I551" s="42" t="str">
        <f>IF(ISNUMBER(H551),ROUND(H551*IF(G551="挂单",'参数'!$C$11,'参数'!$C$12),4),"")</f>
        <v/>
      </c>
      <c r="J551" s="47" t="n"/>
      <c r="K551" s="47" t="n"/>
      <c r="L551" s="20" t="str">
        <f>IF(ISNUMBER(K551),K551+N(J551),IF(ISNUMBER(H551),I551+N(J551),""))</f>
        <v/>
      </c>
      <c r="M551" s="40" t="str">
        <f>IF(A551="","",IFERROR(T(INDEX('交易记录'!$C$5:$C$304,MATCH(A551,'交易记录'!$A$5:$A$304,0))),"编号没找到"))</f>
        <v/>
      </c>
      <c r="N551" s="30" t="n"/>
    </row>
    <row r="552">
      <c r="A552" s="24" t="n"/>
      <c r="B552" s="29" t="n"/>
      <c r="C552" s="27" t="n"/>
      <c r="D552" s="31" t="n"/>
      <c r="E552" s="32" t="n"/>
      <c r="F552" s="35" t="n"/>
      <c r="G552" s="31" t="n"/>
      <c r="H552" s="20" t="str">
        <f>IF(AND(ISNUMBER(E552),ISNUMBER(F552)),E552*F552,"")</f>
        <v/>
      </c>
      <c r="I552" s="42" t="str">
        <f>IF(ISNUMBER(H552),ROUND(H552*IF(G552="挂单",'参数'!$C$11,'参数'!$C$12),4),"")</f>
        <v/>
      </c>
      <c r="J552" s="47" t="n"/>
      <c r="K552" s="47" t="n"/>
      <c r="L552" s="20" t="str">
        <f>IF(ISNUMBER(K552),K552+N(J552),IF(ISNUMBER(H552),I552+N(J552),""))</f>
        <v/>
      </c>
      <c r="M552" s="40" t="str">
        <f>IF(A552="","",IFERROR(T(INDEX('交易记录'!$C$5:$C$304,MATCH(A552,'交易记录'!$A$5:$A$304,0))),"编号没找到"))</f>
        <v/>
      </c>
      <c r="N552" s="30" t="n"/>
    </row>
    <row r="553">
      <c r="A553" s="24" t="n"/>
      <c r="B553" s="29" t="n"/>
      <c r="C553" s="27" t="n"/>
      <c r="D553" s="31" t="n"/>
      <c r="E553" s="32" t="n"/>
      <c r="F553" s="35" t="n"/>
      <c r="G553" s="31" t="n"/>
      <c r="H553" s="20" t="str">
        <f>IF(AND(ISNUMBER(E553),ISNUMBER(F553)),E553*F553,"")</f>
        <v/>
      </c>
      <c r="I553" s="42" t="str">
        <f>IF(ISNUMBER(H553),ROUND(H553*IF(G553="挂单",'参数'!$C$11,'参数'!$C$12),4),"")</f>
        <v/>
      </c>
      <c r="J553" s="47" t="n"/>
      <c r="K553" s="47" t="n"/>
      <c r="L553" s="20" t="str">
        <f>IF(ISNUMBER(K553),K553+N(J553),IF(ISNUMBER(H553),I553+N(J553),""))</f>
        <v/>
      </c>
      <c r="M553" s="40" t="str">
        <f>IF(A553="","",IFERROR(T(INDEX('交易记录'!$C$5:$C$304,MATCH(A553,'交易记录'!$A$5:$A$304,0))),"编号没找到"))</f>
        <v/>
      </c>
      <c r="N553" s="30" t="n"/>
    </row>
    <row r="554">
      <c r="A554" s="24" t="n"/>
      <c r="B554" s="29" t="n"/>
      <c r="C554" s="27" t="n"/>
      <c r="D554" s="31" t="n"/>
      <c r="E554" s="32" t="n"/>
      <c r="F554" s="35" t="n"/>
      <c r="G554" s="31" t="n"/>
      <c r="H554" s="20" t="str">
        <f>IF(AND(ISNUMBER(E554),ISNUMBER(F554)),E554*F554,"")</f>
        <v/>
      </c>
      <c r="I554" s="42" t="str">
        <f>IF(ISNUMBER(H554),ROUND(H554*IF(G554="挂单",'参数'!$C$11,'参数'!$C$12),4),"")</f>
        <v/>
      </c>
      <c r="J554" s="47" t="n"/>
      <c r="K554" s="47" t="n"/>
      <c r="L554" s="20" t="str">
        <f>IF(ISNUMBER(K554),K554+N(J554),IF(ISNUMBER(H554),I554+N(J554),""))</f>
        <v/>
      </c>
      <c r="M554" s="40" t="str">
        <f>IF(A554="","",IFERROR(T(INDEX('交易记录'!$C$5:$C$304,MATCH(A554,'交易记录'!$A$5:$A$304,0))),"编号没找到"))</f>
        <v/>
      </c>
      <c r="N554" s="30" t="n"/>
    </row>
    <row r="555">
      <c r="A555" s="24" t="n"/>
      <c r="B555" s="29" t="n"/>
      <c r="C555" s="27" t="n"/>
      <c r="D555" s="31" t="n"/>
      <c r="E555" s="32" t="n"/>
      <c r="F555" s="35" t="n"/>
      <c r="G555" s="31" t="n"/>
      <c r="H555" s="20" t="str">
        <f>IF(AND(ISNUMBER(E555),ISNUMBER(F555)),E555*F555,"")</f>
        <v/>
      </c>
      <c r="I555" s="42" t="str">
        <f>IF(ISNUMBER(H555),ROUND(H555*IF(G555="挂单",'参数'!$C$11,'参数'!$C$12),4),"")</f>
        <v/>
      </c>
      <c r="J555" s="47" t="n"/>
      <c r="K555" s="47" t="n"/>
      <c r="L555" s="20" t="str">
        <f>IF(ISNUMBER(K555),K555+N(J555),IF(ISNUMBER(H555),I555+N(J555),""))</f>
        <v/>
      </c>
      <c r="M555" s="40" t="str">
        <f>IF(A555="","",IFERROR(T(INDEX('交易记录'!$C$5:$C$304,MATCH(A555,'交易记录'!$A$5:$A$304,0))),"编号没找到"))</f>
        <v/>
      </c>
      <c r="N555" s="30" t="n"/>
    </row>
    <row r="556">
      <c r="A556" s="24" t="n"/>
      <c r="B556" s="29" t="n"/>
      <c r="C556" s="27" t="n"/>
      <c r="D556" s="31" t="n"/>
      <c r="E556" s="32" t="n"/>
      <c r="F556" s="35" t="n"/>
      <c r="G556" s="31" t="n"/>
      <c r="H556" s="20" t="str">
        <f>IF(AND(ISNUMBER(E556),ISNUMBER(F556)),E556*F556,"")</f>
        <v/>
      </c>
      <c r="I556" s="42" t="str">
        <f>IF(ISNUMBER(H556),ROUND(H556*IF(G556="挂单",'参数'!$C$11,'参数'!$C$12),4),"")</f>
        <v/>
      </c>
      <c r="J556" s="47" t="n"/>
      <c r="K556" s="47" t="n"/>
      <c r="L556" s="20" t="str">
        <f>IF(ISNUMBER(K556),K556+N(J556),IF(ISNUMBER(H556),I556+N(J556),""))</f>
        <v/>
      </c>
      <c r="M556" s="40" t="str">
        <f>IF(A556="","",IFERROR(T(INDEX('交易记录'!$C$5:$C$304,MATCH(A556,'交易记录'!$A$5:$A$304,0))),"编号没找到"))</f>
        <v/>
      </c>
      <c r="N556" s="30" t="n"/>
    </row>
    <row r="557">
      <c r="A557" s="24" t="n"/>
      <c r="B557" s="29" t="n"/>
      <c r="C557" s="27" t="n"/>
      <c r="D557" s="31" t="n"/>
      <c r="E557" s="32" t="n"/>
      <c r="F557" s="35" t="n"/>
      <c r="G557" s="31" t="n"/>
      <c r="H557" s="20" t="str">
        <f>IF(AND(ISNUMBER(E557),ISNUMBER(F557)),E557*F557,"")</f>
        <v/>
      </c>
      <c r="I557" s="42" t="str">
        <f>IF(ISNUMBER(H557),ROUND(H557*IF(G557="挂单",'参数'!$C$11,'参数'!$C$12),4),"")</f>
        <v/>
      </c>
      <c r="J557" s="47" t="n"/>
      <c r="K557" s="47" t="n"/>
      <c r="L557" s="20" t="str">
        <f>IF(ISNUMBER(K557),K557+N(J557),IF(ISNUMBER(H557),I557+N(J557),""))</f>
        <v/>
      </c>
      <c r="M557" s="40" t="str">
        <f>IF(A557="","",IFERROR(T(INDEX('交易记录'!$C$5:$C$304,MATCH(A557,'交易记录'!$A$5:$A$304,0))),"编号没找到"))</f>
        <v/>
      </c>
      <c r="N557" s="30" t="n"/>
    </row>
    <row r="558">
      <c r="A558" s="24" t="n"/>
      <c r="B558" s="29" t="n"/>
      <c r="C558" s="27" t="n"/>
      <c r="D558" s="31" t="n"/>
      <c r="E558" s="32" t="n"/>
      <c r="F558" s="35" t="n"/>
      <c r="G558" s="31" t="n"/>
      <c r="H558" s="20" t="str">
        <f>IF(AND(ISNUMBER(E558),ISNUMBER(F558)),E558*F558,"")</f>
        <v/>
      </c>
      <c r="I558" s="42" t="str">
        <f>IF(ISNUMBER(H558),ROUND(H558*IF(G558="挂单",'参数'!$C$11,'参数'!$C$12),4),"")</f>
        <v/>
      </c>
      <c r="J558" s="47" t="n"/>
      <c r="K558" s="47" t="n"/>
      <c r="L558" s="20" t="str">
        <f>IF(ISNUMBER(K558),K558+N(J558),IF(ISNUMBER(H558),I558+N(J558),""))</f>
        <v/>
      </c>
      <c r="M558" s="40" t="str">
        <f>IF(A558="","",IFERROR(T(INDEX('交易记录'!$C$5:$C$304,MATCH(A558,'交易记录'!$A$5:$A$304,0))),"编号没找到"))</f>
        <v/>
      </c>
      <c r="N558" s="30" t="n"/>
    </row>
    <row r="559">
      <c r="A559" s="24" t="n"/>
      <c r="B559" s="29" t="n"/>
      <c r="C559" s="27" t="n"/>
      <c r="D559" s="31" t="n"/>
      <c r="E559" s="32" t="n"/>
      <c r="F559" s="35" t="n"/>
      <c r="G559" s="31" t="n"/>
      <c r="H559" s="20" t="str">
        <f>IF(AND(ISNUMBER(E559),ISNUMBER(F559)),E559*F559,"")</f>
        <v/>
      </c>
      <c r="I559" s="42" t="str">
        <f>IF(ISNUMBER(H559),ROUND(H559*IF(G559="挂单",'参数'!$C$11,'参数'!$C$12),4),"")</f>
        <v/>
      </c>
      <c r="J559" s="47" t="n"/>
      <c r="K559" s="47" t="n"/>
      <c r="L559" s="20" t="str">
        <f>IF(ISNUMBER(K559),K559+N(J559),IF(ISNUMBER(H559),I559+N(J559),""))</f>
        <v/>
      </c>
      <c r="M559" s="40" t="str">
        <f>IF(A559="","",IFERROR(T(INDEX('交易记录'!$C$5:$C$304,MATCH(A559,'交易记录'!$A$5:$A$304,0))),"编号没找到"))</f>
        <v/>
      </c>
      <c r="N559" s="30" t="n"/>
    </row>
    <row r="560">
      <c r="A560" s="24" t="n"/>
      <c r="B560" s="29" t="n"/>
      <c r="C560" s="27" t="n"/>
      <c r="D560" s="31" t="n"/>
      <c r="E560" s="32" t="n"/>
      <c r="F560" s="35" t="n"/>
      <c r="G560" s="31" t="n"/>
      <c r="H560" s="20" t="str">
        <f>IF(AND(ISNUMBER(E560),ISNUMBER(F560)),E560*F560,"")</f>
        <v/>
      </c>
      <c r="I560" s="42" t="str">
        <f>IF(ISNUMBER(H560),ROUND(H560*IF(G560="挂单",'参数'!$C$11,'参数'!$C$12),4),"")</f>
        <v/>
      </c>
      <c r="J560" s="47" t="n"/>
      <c r="K560" s="47" t="n"/>
      <c r="L560" s="20" t="str">
        <f>IF(ISNUMBER(K560),K560+N(J560),IF(ISNUMBER(H560),I560+N(J560),""))</f>
        <v/>
      </c>
      <c r="M560" s="40" t="str">
        <f>IF(A560="","",IFERROR(T(INDEX('交易记录'!$C$5:$C$304,MATCH(A560,'交易记录'!$A$5:$A$304,0))),"编号没找到"))</f>
        <v/>
      </c>
      <c r="N560" s="30" t="n"/>
    </row>
    <row r="561">
      <c r="A561" s="24" t="n"/>
      <c r="B561" s="29" t="n"/>
      <c r="C561" s="27" t="n"/>
      <c r="D561" s="31" t="n"/>
      <c r="E561" s="32" t="n"/>
      <c r="F561" s="35" t="n"/>
      <c r="G561" s="31" t="n"/>
      <c r="H561" s="20" t="str">
        <f>IF(AND(ISNUMBER(E561),ISNUMBER(F561)),E561*F561,"")</f>
        <v/>
      </c>
      <c r="I561" s="42" t="str">
        <f>IF(ISNUMBER(H561),ROUND(H561*IF(G561="挂单",'参数'!$C$11,'参数'!$C$12),4),"")</f>
        <v/>
      </c>
      <c r="J561" s="47" t="n"/>
      <c r="K561" s="47" t="n"/>
      <c r="L561" s="20" t="str">
        <f>IF(ISNUMBER(K561),K561+N(J561),IF(ISNUMBER(H561),I561+N(J561),""))</f>
        <v/>
      </c>
      <c r="M561" s="40" t="str">
        <f>IF(A561="","",IFERROR(T(INDEX('交易记录'!$C$5:$C$304,MATCH(A561,'交易记录'!$A$5:$A$304,0))),"编号没找到"))</f>
        <v/>
      </c>
      <c r="N561" s="30" t="n"/>
    </row>
    <row r="562">
      <c r="A562" s="24" t="n"/>
      <c r="B562" s="29" t="n"/>
      <c r="C562" s="27" t="n"/>
      <c r="D562" s="31" t="n"/>
      <c r="E562" s="32" t="n"/>
      <c r="F562" s="35" t="n"/>
      <c r="G562" s="31" t="n"/>
      <c r="H562" s="20" t="str">
        <f>IF(AND(ISNUMBER(E562),ISNUMBER(F562)),E562*F562,"")</f>
        <v/>
      </c>
      <c r="I562" s="42" t="str">
        <f>IF(ISNUMBER(H562),ROUND(H562*IF(G562="挂单",'参数'!$C$11,'参数'!$C$12),4),"")</f>
        <v/>
      </c>
      <c r="J562" s="47" t="n"/>
      <c r="K562" s="47" t="n"/>
      <c r="L562" s="20" t="str">
        <f>IF(ISNUMBER(K562),K562+N(J562),IF(ISNUMBER(H562),I562+N(J562),""))</f>
        <v/>
      </c>
      <c r="M562" s="40" t="str">
        <f>IF(A562="","",IFERROR(T(INDEX('交易记录'!$C$5:$C$304,MATCH(A562,'交易记录'!$A$5:$A$304,0))),"编号没找到"))</f>
        <v/>
      </c>
      <c r="N562" s="30" t="n"/>
    </row>
    <row r="563">
      <c r="A563" s="24" t="n"/>
      <c r="B563" s="29" t="n"/>
      <c r="C563" s="27" t="n"/>
      <c r="D563" s="31" t="n"/>
      <c r="E563" s="32" t="n"/>
      <c r="F563" s="35" t="n"/>
      <c r="G563" s="31" t="n"/>
      <c r="H563" s="20" t="str">
        <f>IF(AND(ISNUMBER(E563),ISNUMBER(F563)),E563*F563,"")</f>
        <v/>
      </c>
      <c r="I563" s="42" t="str">
        <f>IF(ISNUMBER(H563),ROUND(H563*IF(G563="挂单",'参数'!$C$11,'参数'!$C$12),4),"")</f>
        <v/>
      </c>
      <c r="J563" s="47" t="n"/>
      <c r="K563" s="47" t="n"/>
      <c r="L563" s="20" t="str">
        <f>IF(ISNUMBER(K563),K563+N(J563),IF(ISNUMBER(H563),I563+N(J563),""))</f>
        <v/>
      </c>
      <c r="M563" s="40" t="str">
        <f>IF(A563="","",IFERROR(T(INDEX('交易记录'!$C$5:$C$304,MATCH(A563,'交易记录'!$A$5:$A$304,0))),"编号没找到"))</f>
        <v/>
      </c>
      <c r="N563" s="30" t="n"/>
    </row>
    <row r="564">
      <c r="A564" s="24" t="n"/>
      <c r="B564" s="29" t="n"/>
      <c r="C564" s="27" t="n"/>
      <c r="D564" s="31" t="n"/>
      <c r="E564" s="32" t="n"/>
      <c r="F564" s="35" t="n"/>
      <c r="G564" s="31" t="n"/>
      <c r="H564" s="20" t="str">
        <f>IF(AND(ISNUMBER(E564),ISNUMBER(F564)),E564*F564,"")</f>
        <v/>
      </c>
      <c r="I564" s="42" t="str">
        <f>IF(ISNUMBER(H564),ROUND(H564*IF(G564="挂单",'参数'!$C$11,'参数'!$C$12),4),"")</f>
        <v/>
      </c>
      <c r="J564" s="47" t="n"/>
      <c r="K564" s="47" t="n"/>
      <c r="L564" s="20" t="str">
        <f>IF(ISNUMBER(K564),K564+N(J564),IF(ISNUMBER(H564),I564+N(J564),""))</f>
        <v/>
      </c>
      <c r="M564" s="40" t="str">
        <f>IF(A564="","",IFERROR(T(INDEX('交易记录'!$C$5:$C$304,MATCH(A564,'交易记录'!$A$5:$A$304,0))),"编号没找到"))</f>
        <v/>
      </c>
      <c r="N564" s="30" t="n"/>
    </row>
    <row r="565">
      <c r="A565" s="24" t="n"/>
      <c r="B565" s="29" t="n"/>
      <c r="C565" s="27" t="n"/>
      <c r="D565" s="31" t="n"/>
      <c r="E565" s="32" t="n"/>
      <c r="F565" s="35" t="n"/>
      <c r="G565" s="31" t="n"/>
      <c r="H565" s="20" t="str">
        <f>IF(AND(ISNUMBER(E565),ISNUMBER(F565)),E565*F565,"")</f>
        <v/>
      </c>
      <c r="I565" s="42" t="str">
        <f>IF(ISNUMBER(H565),ROUND(H565*IF(G565="挂单",'参数'!$C$11,'参数'!$C$12),4),"")</f>
        <v/>
      </c>
      <c r="J565" s="47" t="n"/>
      <c r="K565" s="47" t="n"/>
      <c r="L565" s="20" t="str">
        <f>IF(ISNUMBER(K565),K565+N(J565),IF(ISNUMBER(H565),I565+N(J565),""))</f>
        <v/>
      </c>
      <c r="M565" s="40" t="str">
        <f>IF(A565="","",IFERROR(T(INDEX('交易记录'!$C$5:$C$304,MATCH(A565,'交易记录'!$A$5:$A$304,0))),"编号没找到"))</f>
        <v/>
      </c>
      <c r="N565" s="30" t="n"/>
    </row>
    <row r="566">
      <c r="A566" s="24" t="n"/>
      <c r="B566" s="29" t="n"/>
      <c r="C566" s="27" t="n"/>
      <c r="D566" s="31" t="n"/>
      <c r="E566" s="32" t="n"/>
      <c r="F566" s="35" t="n"/>
      <c r="G566" s="31" t="n"/>
      <c r="H566" s="20" t="str">
        <f>IF(AND(ISNUMBER(E566),ISNUMBER(F566)),E566*F566,"")</f>
        <v/>
      </c>
      <c r="I566" s="42" t="str">
        <f>IF(ISNUMBER(H566),ROUND(H566*IF(G566="挂单",'参数'!$C$11,'参数'!$C$12),4),"")</f>
        <v/>
      </c>
      <c r="J566" s="47" t="n"/>
      <c r="K566" s="47" t="n"/>
      <c r="L566" s="20" t="str">
        <f>IF(ISNUMBER(K566),K566+N(J566),IF(ISNUMBER(H566),I566+N(J566),""))</f>
        <v/>
      </c>
      <c r="M566" s="40" t="str">
        <f>IF(A566="","",IFERROR(T(INDEX('交易记录'!$C$5:$C$304,MATCH(A566,'交易记录'!$A$5:$A$304,0))),"编号没找到"))</f>
        <v/>
      </c>
      <c r="N566" s="30" t="n"/>
    </row>
    <row r="567">
      <c r="A567" s="24" t="n"/>
      <c r="B567" s="29" t="n"/>
      <c r="C567" s="27" t="n"/>
      <c r="D567" s="31" t="n"/>
      <c r="E567" s="32" t="n"/>
      <c r="F567" s="35" t="n"/>
      <c r="G567" s="31" t="n"/>
      <c r="H567" s="20" t="str">
        <f>IF(AND(ISNUMBER(E567),ISNUMBER(F567)),E567*F567,"")</f>
        <v/>
      </c>
      <c r="I567" s="42" t="str">
        <f>IF(ISNUMBER(H567),ROUND(H567*IF(G567="挂单",'参数'!$C$11,'参数'!$C$12),4),"")</f>
        <v/>
      </c>
      <c r="J567" s="47" t="n"/>
      <c r="K567" s="47" t="n"/>
      <c r="L567" s="20" t="str">
        <f>IF(ISNUMBER(K567),K567+N(J567),IF(ISNUMBER(H567),I567+N(J567),""))</f>
        <v/>
      </c>
      <c r="M567" s="40" t="str">
        <f>IF(A567="","",IFERROR(T(INDEX('交易记录'!$C$5:$C$304,MATCH(A567,'交易记录'!$A$5:$A$304,0))),"编号没找到"))</f>
        <v/>
      </c>
      <c r="N567" s="30" t="n"/>
    </row>
    <row r="568">
      <c r="A568" s="24" t="n"/>
      <c r="B568" s="29" t="n"/>
      <c r="C568" s="27" t="n"/>
      <c r="D568" s="31" t="n"/>
      <c r="E568" s="32" t="n"/>
      <c r="F568" s="35" t="n"/>
      <c r="G568" s="31" t="n"/>
      <c r="H568" s="20" t="str">
        <f>IF(AND(ISNUMBER(E568),ISNUMBER(F568)),E568*F568,"")</f>
        <v/>
      </c>
      <c r="I568" s="42" t="str">
        <f>IF(ISNUMBER(H568),ROUND(H568*IF(G568="挂单",'参数'!$C$11,'参数'!$C$12),4),"")</f>
        <v/>
      </c>
      <c r="J568" s="47" t="n"/>
      <c r="K568" s="47" t="n"/>
      <c r="L568" s="20" t="str">
        <f>IF(ISNUMBER(K568),K568+N(J568),IF(ISNUMBER(H568),I568+N(J568),""))</f>
        <v/>
      </c>
      <c r="M568" s="40" t="str">
        <f>IF(A568="","",IFERROR(T(INDEX('交易记录'!$C$5:$C$304,MATCH(A568,'交易记录'!$A$5:$A$304,0))),"编号没找到"))</f>
        <v/>
      </c>
      <c r="N568" s="30" t="n"/>
    </row>
    <row r="569">
      <c r="A569" s="24" t="n"/>
      <c r="B569" s="29" t="n"/>
      <c r="C569" s="27" t="n"/>
      <c r="D569" s="31" t="n"/>
      <c r="E569" s="32" t="n"/>
      <c r="F569" s="35" t="n"/>
      <c r="G569" s="31" t="n"/>
      <c r="H569" s="20" t="str">
        <f>IF(AND(ISNUMBER(E569),ISNUMBER(F569)),E569*F569,"")</f>
        <v/>
      </c>
      <c r="I569" s="42" t="str">
        <f>IF(ISNUMBER(H569),ROUND(H569*IF(G569="挂单",'参数'!$C$11,'参数'!$C$12),4),"")</f>
        <v/>
      </c>
      <c r="J569" s="47" t="n"/>
      <c r="K569" s="47" t="n"/>
      <c r="L569" s="20" t="str">
        <f>IF(ISNUMBER(K569),K569+N(J569),IF(ISNUMBER(H569),I569+N(J569),""))</f>
        <v/>
      </c>
      <c r="M569" s="40" t="str">
        <f>IF(A569="","",IFERROR(T(INDEX('交易记录'!$C$5:$C$304,MATCH(A569,'交易记录'!$A$5:$A$304,0))),"编号没找到"))</f>
        <v/>
      </c>
      <c r="N569" s="30" t="n"/>
    </row>
    <row r="570">
      <c r="A570" s="24" t="n"/>
      <c r="B570" s="29" t="n"/>
      <c r="C570" s="27" t="n"/>
      <c r="D570" s="31" t="n"/>
      <c r="E570" s="32" t="n"/>
      <c r="F570" s="35" t="n"/>
      <c r="G570" s="31" t="n"/>
      <c r="H570" s="20" t="str">
        <f>IF(AND(ISNUMBER(E570),ISNUMBER(F570)),E570*F570,"")</f>
        <v/>
      </c>
      <c r="I570" s="42" t="str">
        <f>IF(ISNUMBER(H570),ROUND(H570*IF(G570="挂单",'参数'!$C$11,'参数'!$C$12),4),"")</f>
        <v/>
      </c>
      <c r="J570" s="47" t="n"/>
      <c r="K570" s="47" t="n"/>
      <c r="L570" s="20" t="str">
        <f>IF(ISNUMBER(K570),K570+N(J570),IF(ISNUMBER(H570),I570+N(J570),""))</f>
        <v/>
      </c>
      <c r="M570" s="40" t="str">
        <f>IF(A570="","",IFERROR(T(INDEX('交易记录'!$C$5:$C$304,MATCH(A570,'交易记录'!$A$5:$A$304,0))),"编号没找到"))</f>
        <v/>
      </c>
      <c r="N570" s="30" t="n"/>
    </row>
    <row r="571">
      <c r="A571" s="24" t="n"/>
      <c r="B571" s="29" t="n"/>
      <c r="C571" s="27" t="n"/>
      <c r="D571" s="31" t="n"/>
      <c r="E571" s="32" t="n"/>
      <c r="F571" s="35" t="n"/>
      <c r="G571" s="31" t="n"/>
      <c r="H571" s="20" t="str">
        <f>IF(AND(ISNUMBER(E571),ISNUMBER(F571)),E571*F571,"")</f>
        <v/>
      </c>
      <c r="I571" s="42" t="str">
        <f>IF(ISNUMBER(H571),ROUND(H571*IF(G571="挂单",'参数'!$C$11,'参数'!$C$12),4),"")</f>
        <v/>
      </c>
      <c r="J571" s="47" t="n"/>
      <c r="K571" s="47" t="n"/>
      <c r="L571" s="20" t="str">
        <f>IF(ISNUMBER(K571),K571+N(J571),IF(ISNUMBER(H571),I571+N(J571),""))</f>
        <v/>
      </c>
      <c r="M571" s="40" t="str">
        <f>IF(A571="","",IFERROR(T(INDEX('交易记录'!$C$5:$C$304,MATCH(A571,'交易记录'!$A$5:$A$304,0))),"编号没找到"))</f>
        <v/>
      </c>
      <c r="N571" s="30" t="n"/>
    </row>
    <row r="572">
      <c r="A572" s="24" t="n"/>
      <c r="B572" s="29" t="n"/>
      <c r="C572" s="27" t="n"/>
      <c r="D572" s="31" t="n"/>
      <c r="E572" s="32" t="n"/>
      <c r="F572" s="35" t="n"/>
      <c r="G572" s="31" t="n"/>
      <c r="H572" s="20" t="str">
        <f>IF(AND(ISNUMBER(E572),ISNUMBER(F572)),E572*F572,"")</f>
        <v/>
      </c>
      <c r="I572" s="42" t="str">
        <f>IF(ISNUMBER(H572),ROUND(H572*IF(G572="挂单",'参数'!$C$11,'参数'!$C$12),4),"")</f>
        <v/>
      </c>
      <c r="J572" s="47" t="n"/>
      <c r="K572" s="47" t="n"/>
      <c r="L572" s="20" t="str">
        <f>IF(ISNUMBER(K572),K572+N(J572),IF(ISNUMBER(H572),I572+N(J572),""))</f>
        <v/>
      </c>
      <c r="M572" s="40" t="str">
        <f>IF(A572="","",IFERROR(T(INDEX('交易记录'!$C$5:$C$304,MATCH(A572,'交易记录'!$A$5:$A$304,0))),"编号没找到"))</f>
        <v/>
      </c>
      <c r="N572" s="30" t="n"/>
    </row>
    <row r="573">
      <c r="A573" s="24" t="n"/>
      <c r="B573" s="29" t="n"/>
      <c r="C573" s="27" t="n"/>
      <c r="D573" s="31" t="n"/>
      <c r="E573" s="32" t="n"/>
      <c r="F573" s="35" t="n"/>
      <c r="G573" s="31" t="n"/>
      <c r="H573" s="20" t="str">
        <f>IF(AND(ISNUMBER(E573),ISNUMBER(F573)),E573*F573,"")</f>
        <v/>
      </c>
      <c r="I573" s="42" t="str">
        <f>IF(ISNUMBER(H573),ROUND(H573*IF(G573="挂单",'参数'!$C$11,'参数'!$C$12),4),"")</f>
        <v/>
      </c>
      <c r="J573" s="47" t="n"/>
      <c r="K573" s="47" t="n"/>
      <c r="L573" s="20" t="str">
        <f>IF(ISNUMBER(K573),K573+N(J573),IF(ISNUMBER(H573),I573+N(J573),""))</f>
        <v/>
      </c>
      <c r="M573" s="40" t="str">
        <f>IF(A573="","",IFERROR(T(INDEX('交易记录'!$C$5:$C$304,MATCH(A573,'交易记录'!$A$5:$A$304,0))),"编号没找到"))</f>
        <v/>
      </c>
      <c r="N573" s="30" t="n"/>
    </row>
    <row r="574">
      <c r="A574" s="24" t="n"/>
      <c r="B574" s="29" t="n"/>
      <c r="C574" s="27" t="n"/>
      <c r="D574" s="31" t="n"/>
      <c r="E574" s="32" t="n"/>
      <c r="F574" s="35" t="n"/>
      <c r="G574" s="31" t="n"/>
      <c r="H574" s="20" t="str">
        <f>IF(AND(ISNUMBER(E574),ISNUMBER(F574)),E574*F574,"")</f>
        <v/>
      </c>
      <c r="I574" s="42" t="str">
        <f>IF(ISNUMBER(H574),ROUND(H574*IF(G574="挂单",'参数'!$C$11,'参数'!$C$12),4),"")</f>
        <v/>
      </c>
      <c r="J574" s="47" t="n"/>
      <c r="K574" s="47" t="n"/>
      <c r="L574" s="20" t="str">
        <f>IF(ISNUMBER(K574),K574+N(J574),IF(ISNUMBER(H574),I574+N(J574),""))</f>
        <v/>
      </c>
      <c r="M574" s="40" t="str">
        <f>IF(A574="","",IFERROR(T(INDEX('交易记录'!$C$5:$C$304,MATCH(A574,'交易记录'!$A$5:$A$304,0))),"编号没找到"))</f>
        <v/>
      </c>
      <c r="N574" s="30" t="n"/>
    </row>
    <row r="575">
      <c r="A575" s="24" t="n"/>
      <c r="B575" s="29" t="n"/>
      <c r="C575" s="27" t="n"/>
      <c r="D575" s="31" t="n"/>
      <c r="E575" s="32" t="n"/>
      <c r="F575" s="35" t="n"/>
      <c r="G575" s="31" t="n"/>
      <c r="H575" s="20" t="str">
        <f>IF(AND(ISNUMBER(E575),ISNUMBER(F575)),E575*F575,"")</f>
        <v/>
      </c>
      <c r="I575" s="42" t="str">
        <f>IF(ISNUMBER(H575),ROUND(H575*IF(G575="挂单",'参数'!$C$11,'参数'!$C$12),4),"")</f>
        <v/>
      </c>
      <c r="J575" s="47" t="n"/>
      <c r="K575" s="47" t="n"/>
      <c r="L575" s="20" t="str">
        <f>IF(ISNUMBER(K575),K575+N(J575),IF(ISNUMBER(H575),I575+N(J575),""))</f>
        <v/>
      </c>
      <c r="M575" s="40" t="str">
        <f>IF(A575="","",IFERROR(T(INDEX('交易记录'!$C$5:$C$304,MATCH(A575,'交易记录'!$A$5:$A$304,0))),"编号没找到"))</f>
        <v/>
      </c>
      <c r="N575" s="30" t="n"/>
    </row>
    <row r="576">
      <c r="A576" s="24" t="n"/>
      <c r="B576" s="29" t="n"/>
      <c r="C576" s="27" t="n"/>
      <c r="D576" s="31" t="n"/>
      <c r="E576" s="32" t="n"/>
      <c r="F576" s="35" t="n"/>
      <c r="G576" s="31" t="n"/>
      <c r="H576" s="20" t="str">
        <f>IF(AND(ISNUMBER(E576),ISNUMBER(F576)),E576*F576,"")</f>
        <v/>
      </c>
      <c r="I576" s="42" t="str">
        <f>IF(ISNUMBER(H576),ROUND(H576*IF(G576="挂单",'参数'!$C$11,'参数'!$C$12),4),"")</f>
        <v/>
      </c>
      <c r="J576" s="47" t="n"/>
      <c r="K576" s="47" t="n"/>
      <c r="L576" s="20" t="str">
        <f>IF(ISNUMBER(K576),K576+N(J576),IF(ISNUMBER(H576),I576+N(J576),""))</f>
        <v/>
      </c>
      <c r="M576" s="40" t="str">
        <f>IF(A576="","",IFERROR(T(INDEX('交易记录'!$C$5:$C$304,MATCH(A576,'交易记录'!$A$5:$A$304,0))),"编号没找到"))</f>
        <v/>
      </c>
      <c r="N576" s="30" t="n"/>
    </row>
    <row r="577">
      <c r="A577" s="24" t="n"/>
      <c r="B577" s="29" t="n"/>
      <c r="C577" s="27" t="n"/>
      <c r="D577" s="31" t="n"/>
      <c r="E577" s="32" t="n"/>
      <c r="F577" s="35" t="n"/>
      <c r="G577" s="31" t="n"/>
      <c r="H577" s="20" t="str">
        <f>IF(AND(ISNUMBER(E577),ISNUMBER(F577)),E577*F577,"")</f>
        <v/>
      </c>
      <c r="I577" s="42" t="str">
        <f>IF(ISNUMBER(H577),ROUND(H577*IF(G577="挂单",'参数'!$C$11,'参数'!$C$12),4),"")</f>
        <v/>
      </c>
      <c r="J577" s="47" t="n"/>
      <c r="K577" s="47" t="n"/>
      <c r="L577" s="20" t="str">
        <f>IF(ISNUMBER(K577),K577+N(J577),IF(ISNUMBER(H577),I577+N(J577),""))</f>
        <v/>
      </c>
      <c r="M577" s="40" t="str">
        <f>IF(A577="","",IFERROR(T(INDEX('交易记录'!$C$5:$C$304,MATCH(A577,'交易记录'!$A$5:$A$304,0))),"编号没找到"))</f>
        <v/>
      </c>
      <c r="N577" s="30" t="n"/>
    </row>
    <row r="578">
      <c r="A578" s="24" t="n"/>
      <c r="B578" s="29" t="n"/>
      <c r="C578" s="27" t="n"/>
      <c r="D578" s="31" t="n"/>
      <c r="E578" s="32" t="n"/>
      <c r="F578" s="35" t="n"/>
      <c r="G578" s="31" t="n"/>
      <c r="H578" s="20" t="str">
        <f>IF(AND(ISNUMBER(E578),ISNUMBER(F578)),E578*F578,"")</f>
        <v/>
      </c>
      <c r="I578" s="42" t="str">
        <f>IF(ISNUMBER(H578),ROUND(H578*IF(G578="挂单",'参数'!$C$11,'参数'!$C$12),4),"")</f>
        <v/>
      </c>
      <c r="J578" s="47" t="n"/>
      <c r="K578" s="47" t="n"/>
      <c r="L578" s="20" t="str">
        <f>IF(ISNUMBER(K578),K578+N(J578),IF(ISNUMBER(H578),I578+N(J578),""))</f>
        <v/>
      </c>
      <c r="M578" s="40" t="str">
        <f>IF(A578="","",IFERROR(T(INDEX('交易记录'!$C$5:$C$304,MATCH(A578,'交易记录'!$A$5:$A$304,0))),"编号没找到"))</f>
        <v/>
      </c>
      <c r="N578" s="30" t="n"/>
    </row>
    <row r="579">
      <c r="A579" s="24" t="n"/>
      <c r="B579" s="29" t="n"/>
      <c r="C579" s="27" t="n"/>
      <c r="D579" s="31" t="n"/>
      <c r="E579" s="32" t="n"/>
      <c r="F579" s="35" t="n"/>
      <c r="G579" s="31" t="n"/>
      <c r="H579" s="20" t="str">
        <f>IF(AND(ISNUMBER(E579),ISNUMBER(F579)),E579*F579,"")</f>
        <v/>
      </c>
      <c r="I579" s="42" t="str">
        <f>IF(ISNUMBER(H579),ROUND(H579*IF(G579="挂单",'参数'!$C$11,'参数'!$C$12),4),"")</f>
        <v/>
      </c>
      <c r="J579" s="47" t="n"/>
      <c r="K579" s="47" t="n"/>
      <c r="L579" s="20" t="str">
        <f>IF(ISNUMBER(K579),K579+N(J579),IF(ISNUMBER(H579),I579+N(J579),""))</f>
        <v/>
      </c>
      <c r="M579" s="40" t="str">
        <f>IF(A579="","",IFERROR(T(INDEX('交易记录'!$C$5:$C$304,MATCH(A579,'交易记录'!$A$5:$A$304,0))),"编号没找到"))</f>
        <v/>
      </c>
      <c r="N579" s="30" t="n"/>
    </row>
    <row r="580">
      <c r="A580" s="24" t="n"/>
      <c r="B580" s="29" t="n"/>
      <c r="C580" s="27" t="n"/>
      <c r="D580" s="31" t="n"/>
      <c r="E580" s="32" t="n"/>
      <c r="F580" s="35" t="n"/>
      <c r="G580" s="31" t="n"/>
      <c r="H580" s="20" t="str">
        <f>IF(AND(ISNUMBER(E580),ISNUMBER(F580)),E580*F580,"")</f>
        <v/>
      </c>
      <c r="I580" s="42" t="str">
        <f>IF(ISNUMBER(H580),ROUND(H580*IF(G580="挂单",'参数'!$C$11,'参数'!$C$12),4),"")</f>
        <v/>
      </c>
      <c r="J580" s="47" t="n"/>
      <c r="K580" s="47" t="n"/>
      <c r="L580" s="20" t="str">
        <f>IF(ISNUMBER(K580),K580+N(J580),IF(ISNUMBER(H580),I580+N(J580),""))</f>
        <v/>
      </c>
      <c r="M580" s="40" t="str">
        <f>IF(A580="","",IFERROR(T(INDEX('交易记录'!$C$5:$C$304,MATCH(A580,'交易记录'!$A$5:$A$304,0))),"编号没找到"))</f>
        <v/>
      </c>
      <c r="N580" s="30" t="n"/>
    </row>
    <row r="581">
      <c r="A581" s="24" t="n"/>
      <c r="B581" s="29" t="n"/>
      <c r="C581" s="27" t="n"/>
      <c r="D581" s="31" t="n"/>
      <c r="E581" s="32" t="n"/>
      <c r="F581" s="35" t="n"/>
      <c r="G581" s="31" t="n"/>
      <c r="H581" s="20" t="str">
        <f>IF(AND(ISNUMBER(E581),ISNUMBER(F581)),E581*F581,"")</f>
        <v/>
      </c>
      <c r="I581" s="42" t="str">
        <f>IF(ISNUMBER(H581),ROUND(H581*IF(G581="挂单",'参数'!$C$11,'参数'!$C$12),4),"")</f>
        <v/>
      </c>
      <c r="J581" s="47" t="n"/>
      <c r="K581" s="47" t="n"/>
      <c r="L581" s="20" t="str">
        <f>IF(ISNUMBER(K581),K581+N(J581),IF(ISNUMBER(H581),I581+N(J581),""))</f>
        <v/>
      </c>
      <c r="M581" s="40" t="str">
        <f>IF(A581="","",IFERROR(T(INDEX('交易记录'!$C$5:$C$304,MATCH(A581,'交易记录'!$A$5:$A$304,0))),"编号没找到"))</f>
        <v/>
      </c>
      <c r="N581" s="30" t="n"/>
    </row>
    <row r="582">
      <c r="A582" s="24" t="n"/>
      <c r="B582" s="29" t="n"/>
      <c r="C582" s="27" t="n"/>
      <c r="D582" s="31" t="n"/>
      <c r="E582" s="32" t="n"/>
      <c r="F582" s="35" t="n"/>
      <c r="G582" s="31" t="n"/>
      <c r="H582" s="20" t="str">
        <f>IF(AND(ISNUMBER(E582),ISNUMBER(F582)),E582*F582,"")</f>
        <v/>
      </c>
      <c r="I582" s="42" t="str">
        <f>IF(ISNUMBER(H582),ROUND(H582*IF(G582="挂单",'参数'!$C$11,'参数'!$C$12),4),"")</f>
        <v/>
      </c>
      <c r="J582" s="47" t="n"/>
      <c r="K582" s="47" t="n"/>
      <c r="L582" s="20" t="str">
        <f>IF(ISNUMBER(K582),K582+N(J582),IF(ISNUMBER(H582),I582+N(J582),""))</f>
        <v/>
      </c>
      <c r="M582" s="40" t="str">
        <f>IF(A582="","",IFERROR(T(INDEX('交易记录'!$C$5:$C$304,MATCH(A582,'交易记录'!$A$5:$A$304,0))),"编号没找到"))</f>
        <v/>
      </c>
      <c r="N582" s="30" t="n"/>
    </row>
    <row r="583">
      <c r="A583" s="24" t="n"/>
      <c r="B583" s="29" t="n"/>
      <c r="C583" s="27" t="n"/>
      <c r="D583" s="31" t="n"/>
      <c r="E583" s="32" t="n"/>
      <c r="F583" s="35" t="n"/>
      <c r="G583" s="31" t="n"/>
      <c r="H583" s="20" t="str">
        <f>IF(AND(ISNUMBER(E583),ISNUMBER(F583)),E583*F583,"")</f>
        <v/>
      </c>
      <c r="I583" s="42" t="str">
        <f>IF(ISNUMBER(H583),ROUND(H583*IF(G583="挂单",'参数'!$C$11,'参数'!$C$12),4),"")</f>
        <v/>
      </c>
      <c r="J583" s="47" t="n"/>
      <c r="K583" s="47" t="n"/>
      <c r="L583" s="20" t="str">
        <f>IF(ISNUMBER(K583),K583+N(J583),IF(ISNUMBER(H583),I583+N(J583),""))</f>
        <v/>
      </c>
      <c r="M583" s="40" t="str">
        <f>IF(A583="","",IFERROR(T(INDEX('交易记录'!$C$5:$C$304,MATCH(A583,'交易记录'!$A$5:$A$304,0))),"编号没找到"))</f>
        <v/>
      </c>
      <c r="N583" s="30" t="n"/>
    </row>
    <row r="584">
      <c r="A584" s="24" t="n"/>
      <c r="B584" s="29" t="n"/>
      <c r="C584" s="27" t="n"/>
      <c r="D584" s="31" t="n"/>
      <c r="E584" s="32" t="n"/>
      <c r="F584" s="35" t="n"/>
      <c r="G584" s="31" t="n"/>
      <c r="H584" s="20" t="str">
        <f>IF(AND(ISNUMBER(E584),ISNUMBER(F584)),E584*F584,"")</f>
        <v/>
      </c>
      <c r="I584" s="42" t="str">
        <f>IF(ISNUMBER(H584),ROUND(H584*IF(G584="挂单",'参数'!$C$11,'参数'!$C$12),4),"")</f>
        <v/>
      </c>
      <c r="J584" s="47" t="n"/>
      <c r="K584" s="47" t="n"/>
      <c r="L584" s="20" t="str">
        <f>IF(ISNUMBER(K584),K584+N(J584),IF(ISNUMBER(H584),I584+N(J584),""))</f>
        <v/>
      </c>
      <c r="M584" s="40" t="str">
        <f>IF(A584="","",IFERROR(T(INDEX('交易记录'!$C$5:$C$304,MATCH(A584,'交易记录'!$A$5:$A$304,0))),"编号没找到"))</f>
        <v/>
      </c>
      <c r="N584" s="30" t="n"/>
    </row>
    <row r="585">
      <c r="A585" s="24" t="n"/>
      <c r="B585" s="29" t="n"/>
      <c r="C585" s="27" t="n"/>
      <c r="D585" s="31" t="n"/>
      <c r="E585" s="32" t="n"/>
      <c r="F585" s="35" t="n"/>
      <c r="G585" s="31" t="n"/>
      <c r="H585" s="20" t="str">
        <f>IF(AND(ISNUMBER(E585),ISNUMBER(F585)),E585*F585,"")</f>
        <v/>
      </c>
      <c r="I585" s="42" t="str">
        <f>IF(ISNUMBER(H585),ROUND(H585*IF(G585="挂单",'参数'!$C$11,'参数'!$C$12),4),"")</f>
        <v/>
      </c>
      <c r="J585" s="47" t="n"/>
      <c r="K585" s="47" t="n"/>
      <c r="L585" s="20" t="str">
        <f>IF(ISNUMBER(K585),K585+N(J585),IF(ISNUMBER(H585),I585+N(J585),""))</f>
        <v/>
      </c>
      <c r="M585" s="40" t="str">
        <f>IF(A585="","",IFERROR(T(INDEX('交易记录'!$C$5:$C$304,MATCH(A585,'交易记录'!$A$5:$A$304,0))),"编号没找到"))</f>
        <v/>
      </c>
      <c r="N585" s="30" t="n"/>
    </row>
    <row r="586">
      <c r="A586" s="24" t="n"/>
      <c r="B586" s="29" t="n"/>
      <c r="C586" s="27" t="n"/>
      <c r="D586" s="31" t="n"/>
      <c r="E586" s="32" t="n"/>
      <c r="F586" s="35" t="n"/>
      <c r="G586" s="31" t="n"/>
      <c r="H586" s="20" t="str">
        <f>IF(AND(ISNUMBER(E586),ISNUMBER(F586)),E586*F586,"")</f>
        <v/>
      </c>
      <c r="I586" s="42" t="str">
        <f>IF(ISNUMBER(H586),ROUND(H586*IF(G586="挂单",'参数'!$C$11,'参数'!$C$12),4),"")</f>
        <v/>
      </c>
      <c r="J586" s="47" t="n"/>
      <c r="K586" s="47" t="n"/>
      <c r="L586" s="20" t="str">
        <f>IF(ISNUMBER(K586),K586+N(J586),IF(ISNUMBER(H586),I586+N(J586),""))</f>
        <v/>
      </c>
      <c r="M586" s="40" t="str">
        <f>IF(A586="","",IFERROR(T(INDEX('交易记录'!$C$5:$C$304,MATCH(A586,'交易记录'!$A$5:$A$304,0))),"编号没找到"))</f>
        <v/>
      </c>
      <c r="N586" s="30" t="n"/>
    </row>
    <row r="587">
      <c r="A587" s="24" t="n"/>
      <c r="B587" s="29" t="n"/>
      <c r="C587" s="27" t="n"/>
      <c r="D587" s="31" t="n"/>
      <c r="E587" s="32" t="n"/>
      <c r="F587" s="35" t="n"/>
      <c r="G587" s="31" t="n"/>
      <c r="H587" s="20" t="str">
        <f>IF(AND(ISNUMBER(E587),ISNUMBER(F587)),E587*F587,"")</f>
        <v/>
      </c>
      <c r="I587" s="42" t="str">
        <f>IF(ISNUMBER(H587),ROUND(H587*IF(G587="挂单",'参数'!$C$11,'参数'!$C$12),4),"")</f>
        <v/>
      </c>
      <c r="J587" s="47" t="n"/>
      <c r="K587" s="47" t="n"/>
      <c r="L587" s="20" t="str">
        <f>IF(ISNUMBER(K587),K587+N(J587),IF(ISNUMBER(H587),I587+N(J587),""))</f>
        <v/>
      </c>
      <c r="M587" s="40" t="str">
        <f>IF(A587="","",IFERROR(T(INDEX('交易记录'!$C$5:$C$304,MATCH(A587,'交易记录'!$A$5:$A$304,0))),"编号没找到"))</f>
        <v/>
      </c>
      <c r="N587" s="30" t="n"/>
    </row>
    <row r="588">
      <c r="A588" s="24" t="n"/>
      <c r="B588" s="29" t="n"/>
      <c r="C588" s="27" t="n"/>
      <c r="D588" s="31" t="n"/>
      <c r="E588" s="32" t="n"/>
      <c r="F588" s="35" t="n"/>
      <c r="G588" s="31" t="n"/>
      <c r="H588" s="20" t="str">
        <f>IF(AND(ISNUMBER(E588),ISNUMBER(F588)),E588*F588,"")</f>
        <v/>
      </c>
      <c r="I588" s="42" t="str">
        <f>IF(ISNUMBER(H588),ROUND(H588*IF(G588="挂单",'参数'!$C$11,'参数'!$C$12),4),"")</f>
        <v/>
      </c>
      <c r="J588" s="47" t="n"/>
      <c r="K588" s="47" t="n"/>
      <c r="L588" s="20" t="str">
        <f>IF(ISNUMBER(K588),K588+N(J588),IF(ISNUMBER(H588),I588+N(J588),""))</f>
        <v/>
      </c>
      <c r="M588" s="40" t="str">
        <f>IF(A588="","",IFERROR(T(INDEX('交易记录'!$C$5:$C$304,MATCH(A588,'交易记录'!$A$5:$A$304,0))),"编号没找到"))</f>
        <v/>
      </c>
      <c r="N588" s="30" t="n"/>
    </row>
    <row r="589">
      <c r="A589" s="24" t="n"/>
      <c r="B589" s="29" t="n"/>
      <c r="C589" s="27" t="n"/>
      <c r="D589" s="31" t="n"/>
      <c r="E589" s="32" t="n"/>
      <c r="F589" s="35" t="n"/>
      <c r="G589" s="31" t="n"/>
      <c r="H589" s="20" t="str">
        <f>IF(AND(ISNUMBER(E589),ISNUMBER(F589)),E589*F589,"")</f>
        <v/>
      </c>
      <c r="I589" s="42" t="str">
        <f>IF(ISNUMBER(H589),ROUND(H589*IF(G589="挂单",'参数'!$C$11,'参数'!$C$12),4),"")</f>
        <v/>
      </c>
      <c r="J589" s="47" t="n"/>
      <c r="K589" s="47" t="n"/>
      <c r="L589" s="20" t="str">
        <f>IF(ISNUMBER(K589),K589+N(J589),IF(ISNUMBER(H589),I589+N(J589),""))</f>
        <v/>
      </c>
      <c r="M589" s="40" t="str">
        <f>IF(A589="","",IFERROR(T(INDEX('交易记录'!$C$5:$C$304,MATCH(A589,'交易记录'!$A$5:$A$304,0))),"编号没找到"))</f>
        <v/>
      </c>
      <c r="N589" s="30" t="n"/>
    </row>
    <row r="590">
      <c r="A590" s="24" t="n"/>
      <c r="B590" s="29" t="n"/>
      <c r="C590" s="27" t="n"/>
      <c r="D590" s="31" t="n"/>
      <c r="E590" s="32" t="n"/>
      <c r="F590" s="35" t="n"/>
      <c r="G590" s="31" t="n"/>
      <c r="H590" s="20" t="str">
        <f>IF(AND(ISNUMBER(E590),ISNUMBER(F590)),E590*F590,"")</f>
        <v/>
      </c>
      <c r="I590" s="42" t="str">
        <f>IF(ISNUMBER(H590),ROUND(H590*IF(G590="挂单",'参数'!$C$11,'参数'!$C$12),4),"")</f>
        <v/>
      </c>
      <c r="J590" s="47" t="n"/>
      <c r="K590" s="47" t="n"/>
      <c r="L590" s="20" t="str">
        <f>IF(ISNUMBER(K590),K590+N(J590),IF(ISNUMBER(H590),I590+N(J590),""))</f>
        <v/>
      </c>
      <c r="M590" s="40" t="str">
        <f>IF(A590="","",IFERROR(T(INDEX('交易记录'!$C$5:$C$304,MATCH(A590,'交易记录'!$A$5:$A$304,0))),"编号没找到"))</f>
        <v/>
      </c>
      <c r="N590" s="30" t="n"/>
    </row>
    <row r="591">
      <c r="A591" s="24" t="n"/>
      <c r="B591" s="29" t="n"/>
      <c r="C591" s="27" t="n"/>
      <c r="D591" s="31" t="n"/>
      <c r="E591" s="32" t="n"/>
      <c r="F591" s="35" t="n"/>
      <c r="G591" s="31" t="n"/>
      <c r="H591" s="20" t="str">
        <f>IF(AND(ISNUMBER(E591),ISNUMBER(F591)),E591*F591,"")</f>
        <v/>
      </c>
      <c r="I591" s="42" t="str">
        <f>IF(ISNUMBER(H591),ROUND(H591*IF(G591="挂单",'参数'!$C$11,'参数'!$C$12),4),"")</f>
        <v/>
      </c>
      <c r="J591" s="47" t="n"/>
      <c r="K591" s="47" t="n"/>
      <c r="L591" s="20" t="str">
        <f>IF(ISNUMBER(K591),K591+N(J591),IF(ISNUMBER(H591),I591+N(J591),""))</f>
        <v/>
      </c>
      <c r="M591" s="40" t="str">
        <f>IF(A591="","",IFERROR(T(INDEX('交易记录'!$C$5:$C$304,MATCH(A591,'交易记录'!$A$5:$A$304,0))),"编号没找到"))</f>
        <v/>
      </c>
      <c r="N591" s="30" t="n"/>
    </row>
    <row r="592">
      <c r="A592" s="24" t="n"/>
      <c r="B592" s="29" t="n"/>
      <c r="C592" s="27" t="n"/>
      <c r="D592" s="31" t="n"/>
      <c r="E592" s="32" t="n"/>
      <c r="F592" s="35" t="n"/>
      <c r="G592" s="31" t="n"/>
      <c r="H592" s="20" t="str">
        <f>IF(AND(ISNUMBER(E592),ISNUMBER(F592)),E592*F592,"")</f>
        <v/>
      </c>
      <c r="I592" s="42" t="str">
        <f>IF(ISNUMBER(H592),ROUND(H592*IF(G592="挂单",'参数'!$C$11,'参数'!$C$12),4),"")</f>
        <v/>
      </c>
      <c r="J592" s="47" t="n"/>
      <c r="K592" s="47" t="n"/>
      <c r="L592" s="20" t="str">
        <f>IF(ISNUMBER(K592),K592+N(J592),IF(ISNUMBER(H592),I592+N(J592),""))</f>
        <v/>
      </c>
      <c r="M592" s="40" t="str">
        <f>IF(A592="","",IFERROR(T(INDEX('交易记录'!$C$5:$C$304,MATCH(A592,'交易记录'!$A$5:$A$304,0))),"编号没找到"))</f>
        <v/>
      </c>
      <c r="N592" s="30" t="n"/>
    </row>
    <row r="593">
      <c r="A593" s="24" t="n"/>
      <c r="B593" s="29" t="n"/>
      <c r="C593" s="27" t="n"/>
      <c r="D593" s="31" t="n"/>
      <c r="E593" s="32" t="n"/>
      <c r="F593" s="35" t="n"/>
      <c r="G593" s="31" t="n"/>
      <c r="H593" s="20" t="str">
        <f>IF(AND(ISNUMBER(E593),ISNUMBER(F593)),E593*F593,"")</f>
        <v/>
      </c>
      <c r="I593" s="42" t="str">
        <f>IF(ISNUMBER(H593),ROUND(H593*IF(G593="挂单",'参数'!$C$11,'参数'!$C$12),4),"")</f>
        <v/>
      </c>
      <c r="J593" s="47" t="n"/>
      <c r="K593" s="47" t="n"/>
      <c r="L593" s="20" t="str">
        <f>IF(ISNUMBER(K593),K593+N(J593),IF(ISNUMBER(H593),I593+N(J593),""))</f>
        <v/>
      </c>
      <c r="M593" s="40" t="str">
        <f>IF(A593="","",IFERROR(T(INDEX('交易记录'!$C$5:$C$304,MATCH(A593,'交易记录'!$A$5:$A$304,0))),"编号没找到"))</f>
        <v/>
      </c>
      <c r="N593" s="30" t="n"/>
    </row>
    <row r="594">
      <c r="A594" s="24" t="n"/>
      <c r="B594" s="29" t="n"/>
      <c r="C594" s="27" t="n"/>
      <c r="D594" s="31" t="n"/>
      <c r="E594" s="32" t="n"/>
      <c r="F594" s="35" t="n"/>
      <c r="G594" s="31" t="n"/>
      <c r="H594" s="20" t="str">
        <f>IF(AND(ISNUMBER(E594),ISNUMBER(F594)),E594*F594,"")</f>
        <v/>
      </c>
      <c r="I594" s="42" t="str">
        <f>IF(ISNUMBER(H594),ROUND(H594*IF(G594="挂单",'参数'!$C$11,'参数'!$C$12),4),"")</f>
        <v/>
      </c>
      <c r="J594" s="47" t="n"/>
      <c r="K594" s="47" t="n"/>
      <c r="L594" s="20" t="str">
        <f>IF(ISNUMBER(K594),K594+N(J594),IF(ISNUMBER(H594),I594+N(J594),""))</f>
        <v/>
      </c>
      <c r="M594" s="40" t="str">
        <f>IF(A594="","",IFERROR(T(INDEX('交易记录'!$C$5:$C$304,MATCH(A594,'交易记录'!$A$5:$A$304,0))),"编号没找到"))</f>
        <v/>
      </c>
      <c r="N594" s="30" t="n"/>
    </row>
    <row r="595">
      <c r="A595" s="24" t="n"/>
      <c r="B595" s="29" t="n"/>
      <c r="C595" s="27" t="n"/>
      <c r="D595" s="31" t="n"/>
      <c r="E595" s="32" t="n"/>
      <c r="F595" s="35" t="n"/>
      <c r="G595" s="31" t="n"/>
      <c r="H595" s="20" t="str">
        <f>IF(AND(ISNUMBER(E595),ISNUMBER(F595)),E595*F595,"")</f>
        <v/>
      </c>
      <c r="I595" s="42" t="str">
        <f>IF(ISNUMBER(H595),ROUND(H595*IF(G595="挂单",'参数'!$C$11,'参数'!$C$12),4),"")</f>
        <v/>
      </c>
      <c r="J595" s="47" t="n"/>
      <c r="K595" s="47" t="n"/>
      <c r="L595" s="20" t="str">
        <f>IF(ISNUMBER(K595),K595+N(J595),IF(ISNUMBER(H595),I595+N(J595),""))</f>
        <v/>
      </c>
      <c r="M595" s="40" t="str">
        <f>IF(A595="","",IFERROR(T(INDEX('交易记录'!$C$5:$C$304,MATCH(A595,'交易记录'!$A$5:$A$304,0))),"编号没找到"))</f>
        <v/>
      </c>
      <c r="N595" s="30" t="n"/>
    </row>
    <row r="596">
      <c r="A596" s="24" t="n"/>
      <c r="B596" s="29" t="n"/>
      <c r="C596" s="27" t="n"/>
      <c r="D596" s="31" t="n"/>
      <c r="E596" s="32" t="n"/>
      <c r="F596" s="35" t="n"/>
      <c r="G596" s="31" t="n"/>
      <c r="H596" s="20" t="str">
        <f>IF(AND(ISNUMBER(E596),ISNUMBER(F596)),E596*F596,"")</f>
        <v/>
      </c>
      <c r="I596" s="42" t="str">
        <f>IF(ISNUMBER(H596),ROUND(H596*IF(G596="挂单",'参数'!$C$11,'参数'!$C$12),4),"")</f>
        <v/>
      </c>
      <c r="J596" s="47" t="n"/>
      <c r="K596" s="47" t="n"/>
      <c r="L596" s="20" t="str">
        <f>IF(ISNUMBER(K596),K596+N(J596),IF(ISNUMBER(H596),I596+N(J596),""))</f>
        <v/>
      </c>
      <c r="M596" s="40" t="str">
        <f>IF(A596="","",IFERROR(T(INDEX('交易记录'!$C$5:$C$304,MATCH(A596,'交易记录'!$A$5:$A$304,0))),"编号没找到"))</f>
        <v/>
      </c>
      <c r="N596" s="30" t="n"/>
    </row>
    <row r="597">
      <c r="A597" s="24" t="n"/>
      <c r="B597" s="29" t="n"/>
      <c r="C597" s="27" t="n"/>
      <c r="D597" s="31" t="n"/>
      <c r="E597" s="32" t="n"/>
      <c r="F597" s="35" t="n"/>
      <c r="G597" s="31" t="n"/>
      <c r="H597" s="20" t="str">
        <f>IF(AND(ISNUMBER(E597),ISNUMBER(F597)),E597*F597,"")</f>
        <v/>
      </c>
      <c r="I597" s="42" t="str">
        <f>IF(ISNUMBER(H597),ROUND(H597*IF(G597="挂单",'参数'!$C$11,'参数'!$C$12),4),"")</f>
        <v/>
      </c>
      <c r="J597" s="47" t="n"/>
      <c r="K597" s="47" t="n"/>
      <c r="L597" s="20" t="str">
        <f>IF(ISNUMBER(K597),K597+N(J597),IF(ISNUMBER(H597),I597+N(J597),""))</f>
        <v/>
      </c>
      <c r="M597" s="40" t="str">
        <f>IF(A597="","",IFERROR(T(INDEX('交易记录'!$C$5:$C$304,MATCH(A597,'交易记录'!$A$5:$A$304,0))),"编号没找到"))</f>
        <v/>
      </c>
      <c r="N597" s="30" t="n"/>
    </row>
    <row r="598">
      <c r="A598" s="24" t="n"/>
      <c r="B598" s="29" t="n"/>
      <c r="C598" s="27" t="n"/>
      <c r="D598" s="31" t="n"/>
      <c r="E598" s="32" t="n"/>
      <c r="F598" s="35" t="n"/>
      <c r="G598" s="31" t="n"/>
      <c r="H598" s="20" t="str">
        <f>IF(AND(ISNUMBER(E598),ISNUMBER(F598)),E598*F598,"")</f>
        <v/>
      </c>
      <c r="I598" s="42" t="str">
        <f>IF(ISNUMBER(H598),ROUND(H598*IF(G598="挂单",'参数'!$C$11,'参数'!$C$12),4),"")</f>
        <v/>
      </c>
      <c r="J598" s="47" t="n"/>
      <c r="K598" s="47" t="n"/>
      <c r="L598" s="20" t="str">
        <f>IF(ISNUMBER(K598),K598+N(J598),IF(ISNUMBER(H598),I598+N(J598),""))</f>
        <v/>
      </c>
      <c r="M598" s="40" t="str">
        <f>IF(A598="","",IFERROR(T(INDEX('交易记录'!$C$5:$C$304,MATCH(A598,'交易记录'!$A$5:$A$304,0))),"编号没找到"))</f>
        <v/>
      </c>
      <c r="N598" s="30" t="n"/>
    </row>
    <row r="599">
      <c r="A599" s="24" t="n"/>
      <c r="B599" s="29" t="n"/>
      <c r="C599" s="27" t="n"/>
      <c r="D599" s="31" t="n"/>
      <c r="E599" s="32" t="n"/>
      <c r="F599" s="35" t="n"/>
      <c r="G599" s="31" t="n"/>
      <c r="H599" s="20" t="str">
        <f>IF(AND(ISNUMBER(E599),ISNUMBER(F599)),E599*F599,"")</f>
        <v/>
      </c>
      <c r="I599" s="42" t="str">
        <f>IF(ISNUMBER(H599),ROUND(H599*IF(G599="挂单",'参数'!$C$11,'参数'!$C$12),4),"")</f>
        <v/>
      </c>
      <c r="J599" s="47" t="n"/>
      <c r="K599" s="47" t="n"/>
      <c r="L599" s="20" t="str">
        <f>IF(ISNUMBER(K599),K599+N(J599),IF(ISNUMBER(H599),I599+N(J599),""))</f>
        <v/>
      </c>
      <c r="M599" s="40" t="str">
        <f>IF(A599="","",IFERROR(T(INDEX('交易记录'!$C$5:$C$304,MATCH(A599,'交易记录'!$A$5:$A$304,0))),"编号没找到"))</f>
        <v/>
      </c>
      <c r="N599" s="30" t="n"/>
    </row>
    <row r="600">
      <c r="A600" s="24" t="n"/>
      <c r="B600" s="29" t="n"/>
      <c r="C600" s="27" t="n"/>
      <c r="D600" s="31" t="n"/>
      <c r="E600" s="32" t="n"/>
      <c r="F600" s="35" t="n"/>
      <c r="G600" s="31" t="n"/>
      <c r="H600" s="20" t="str">
        <f>IF(AND(ISNUMBER(E600),ISNUMBER(F600)),E600*F600,"")</f>
        <v/>
      </c>
      <c r="I600" s="42" t="str">
        <f>IF(ISNUMBER(H600),ROUND(H600*IF(G600="挂单",'参数'!$C$11,'参数'!$C$12),4),"")</f>
        <v/>
      </c>
      <c r="J600" s="47" t="n"/>
      <c r="K600" s="47" t="n"/>
      <c r="L600" s="20" t="str">
        <f>IF(ISNUMBER(K600),K600+N(J600),IF(ISNUMBER(H600),I600+N(J600),""))</f>
        <v/>
      </c>
      <c r="M600" s="40" t="str">
        <f>IF(A600="","",IFERROR(T(INDEX('交易记录'!$C$5:$C$304,MATCH(A600,'交易记录'!$A$5:$A$304,0))),"编号没找到"))</f>
        <v/>
      </c>
      <c r="N600" s="30" t="n"/>
    </row>
    <row r="601">
      <c r="A601" s="24" t="n"/>
      <c r="B601" s="29" t="n"/>
      <c r="C601" s="27" t="n"/>
      <c r="D601" s="31" t="n"/>
      <c r="E601" s="32" t="n"/>
      <c r="F601" s="35" t="n"/>
      <c r="G601" s="31" t="n"/>
      <c r="H601" s="20" t="str">
        <f>IF(AND(ISNUMBER(E601),ISNUMBER(F601)),E601*F601,"")</f>
        <v/>
      </c>
      <c r="I601" s="42" t="str">
        <f>IF(ISNUMBER(H601),ROUND(H601*IF(G601="挂单",'参数'!$C$11,'参数'!$C$12),4),"")</f>
        <v/>
      </c>
      <c r="J601" s="47" t="n"/>
      <c r="K601" s="47" t="n"/>
      <c r="L601" s="20" t="str">
        <f>IF(ISNUMBER(K601),K601+N(J601),IF(ISNUMBER(H601),I601+N(J601),""))</f>
        <v/>
      </c>
      <c r="M601" s="40" t="str">
        <f>IF(A601="","",IFERROR(T(INDEX('交易记录'!$C$5:$C$304,MATCH(A601,'交易记录'!$A$5:$A$304,0))),"编号没找到"))</f>
        <v/>
      </c>
      <c r="N601" s="30" t="n"/>
    </row>
    <row r="602">
      <c r="A602" s="24" t="n"/>
      <c r="B602" s="29" t="n"/>
      <c r="C602" s="27" t="n"/>
      <c r="D602" s="31" t="n"/>
      <c r="E602" s="32" t="n"/>
      <c r="F602" s="35" t="n"/>
      <c r="G602" s="31" t="n"/>
      <c r="H602" s="20" t="str">
        <f>IF(AND(ISNUMBER(E602),ISNUMBER(F602)),E602*F602,"")</f>
        <v/>
      </c>
      <c r="I602" s="42" t="str">
        <f>IF(ISNUMBER(H602),ROUND(H602*IF(G602="挂单",'参数'!$C$11,'参数'!$C$12),4),"")</f>
        <v/>
      </c>
      <c r="J602" s="47" t="n"/>
      <c r="K602" s="47" t="n"/>
      <c r="L602" s="20" t="str">
        <f>IF(ISNUMBER(K602),K602+N(J602),IF(ISNUMBER(H602),I602+N(J602),""))</f>
        <v/>
      </c>
      <c r="M602" s="40" t="str">
        <f>IF(A602="","",IFERROR(T(INDEX('交易记录'!$C$5:$C$304,MATCH(A602,'交易记录'!$A$5:$A$304,0))),"编号没找到"))</f>
        <v/>
      </c>
      <c r="N602" s="30" t="n"/>
    </row>
    <row r="603">
      <c r="A603" s="24" t="n"/>
      <c r="B603" s="29" t="n"/>
      <c r="C603" s="27" t="n"/>
      <c r="D603" s="31" t="n"/>
      <c r="E603" s="32" t="n"/>
      <c r="F603" s="35" t="n"/>
      <c r="G603" s="31" t="n"/>
      <c r="H603" s="20" t="str">
        <f>IF(AND(ISNUMBER(E603),ISNUMBER(F603)),E603*F603,"")</f>
        <v/>
      </c>
      <c r="I603" s="42" t="str">
        <f>IF(ISNUMBER(H603),ROUND(H603*IF(G603="挂单",'参数'!$C$11,'参数'!$C$12),4),"")</f>
        <v/>
      </c>
      <c r="J603" s="47" t="n"/>
      <c r="K603" s="47" t="n"/>
      <c r="L603" s="20" t="str">
        <f>IF(ISNUMBER(K603),K603+N(J603),IF(ISNUMBER(H603),I603+N(J603),""))</f>
        <v/>
      </c>
      <c r="M603" s="40" t="str">
        <f>IF(A603="","",IFERROR(T(INDEX('交易记录'!$C$5:$C$304,MATCH(A603,'交易记录'!$A$5:$A$304,0))),"编号没找到"))</f>
        <v/>
      </c>
      <c r="N603" s="30" t="n"/>
    </row>
    <row r="604">
      <c r="A604" s="24" t="n"/>
      <c r="B604" s="29" t="n"/>
      <c r="C604" s="27" t="n"/>
      <c r="D604" s="31" t="n"/>
      <c r="E604" s="32" t="n"/>
      <c r="F604" s="35" t="n"/>
      <c r="G604" s="31" t="n"/>
      <c r="H604" s="20" t="str">
        <f>IF(AND(ISNUMBER(E604),ISNUMBER(F604)),E604*F604,"")</f>
        <v/>
      </c>
      <c r="I604" s="42" t="str">
        <f>IF(ISNUMBER(H604),ROUND(H604*IF(G604="挂单",'参数'!$C$11,'参数'!$C$12),4),"")</f>
        <v/>
      </c>
      <c r="J604" s="47" t="n"/>
      <c r="K604" s="47" t="n"/>
      <c r="L604" s="20" t="str">
        <f>IF(ISNUMBER(K604),K604+N(J604),IF(ISNUMBER(H604),I604+N(J604),""))</f>
        <v/>
      </c>
      <c r="M604" s="40" t="str">
        <f>IF(A604="","",IFERROR(T(INDEX('交易记录'!$C$5:$C$304,MATCH(A604,'交易记录'!$A$5:$A$304,0))),"编号没找到"))</f>
        <v/>
      </c>
      <c r="N604" s="30" t="n"/>
    </row>
    <row r="605">
      <c r="A605" s="24" t="n"/>
      <c r="B605" s="29" t="n"/>
      <c r="C605" s="27" t="n"/>
      <c r="D605" s="31" t="n"/>
      <c r="E605" s="32" t="n"/>
      <c r="F605" s="35" t="n"/>
      <c r="G605" s="31" t="n"/>
      <c r="H605" s="20" t="str">
        <f>IF(AND(ISNUMBER(E605),ISNUMBER(F605)),E605*F605,"")</f>
        <v/>
      </c>
      <c r="I605" s="42" t="str">
        <f>IF(ISNUMBER(H605),ROUND(H605*IF(G605="挂单",'参数'!$C$11,'参数'!$C$12),4),"")</f>
        <v/>
      </c>
      <c r="J605" s="47" t="n"/>
      <c r="K605" s="47" t="n"/>
      <c r="L605" s="20" t="str">
        <f>IF(ISNUMBER(K605),K605+N(J605),IF(ISNUMBER(H605),I605+N(J605),""))</f>
        <v/>
      </c>
      <c r="M605" s="40" t="str">
        <f>IF(A605="","",IFERROR(T(INDEX('交易记录'!$C$5:$C$304,MATCH(A605,'交易记录'!$A$5:$A$304,0))),"编号没找到"))</f>
        <v/>
      </c>
      <c r="N605" s="30" t="n"/>
    </row>
    <row r="606">
      <c r="A606" s="24" t="n"/>
      <c r="B606" s="29" t="n"/>
      <c r="C606" s="27" t="n"/>
      <c r="D606" s="31" t="n"/>
      <c r="E606" s="32" t="n"/>
      <c r="F606" s="35" t="n"/>
      <c r="G606" s="31" t="n"/>
      <c r="H606" s="20" t="str">
        <f>IF(AND(ISNUMBER(E606),ISNUMBER(F606)),E606*F606,"")</f>
        <v/>
      </c>
      <c r="I606" s="42" t="str">
        <f>IF(ISNUMBER(H606),ROUND(H606*IF(G606="挂单",'参数'!$C$11,'参数'!$C$12),4),"")</f>
        <v/>
      </c>
      <c r="J606" s="47" t="n"/>
      <c r="K606" s="47" t="n"/>
      <c r="L606" s="20" t="str">
        <f>IF(ISNUMBER(K606),K606+N(J606),IF(ISNUMBER(H606),I606+N(J606),""))</f>
        <v/>
      </c>
      <c r="M606" s="40" t="str">
        <f>IF(A606="","",IFERROR(T(INDEX('交易记录'!$C$5:$C$304,MATCH(A606,'交易记录'!$A$5:$A$304,0))),"编号没找到"))</f>
        <v/>
      </c>
      <c r="N606" s="30" t="n"/>
    </row>
    <row r="607">
      <c r="A607" s="24" t="n"/>
      <c r="B607" s="29" t="n"/>
      <c r="C607" s="27" t="n"/>
      <c r="D607" s="31" t="n"/>
      <c r="E607" s="32" t="n"/>
      <c r="F607" s="35" t="n"/>
      <c r="G607" s="31" t="n"/>
      <c r="H607" s="20" t="str">
        <f>IF(AND(ISNUMBER(E607),ISNUMBER(F607)),E607*F607,"")</f>
        <v/>
      </c>
      <c r="I607" s="42" t="str">
        <f>IF(ISNUMBER(H607),ROUND(H607*IF(G607="挂单",'参数'!$C$11,'参数'!$C$12),4),"")</f>
        <v/>
      </c>
      <c r="J607" s="47" t="n"/>
      <c r="K607" s="47" t="n"/>
      <c r="L607" s="20" t="str">
        <f>IF(ISNUMBER(K607),K607+N(J607),IF(ISNUMBER(H607),I607+N(J607),""))</f>
        <v/>
      </c>
      <c r="M607" s="40" t="str">
        <f>IF(A607="","",IFERROR(T(INDEX('交易记录'!$C$5:$C$304,MATCH(A607,'交易记录'!$A$5:$A$304,0))),"编号没找到"))</f>
        <v/>
      </c>
      <c r="N607" s="30" t="n"/>
    </row>
    <row r="608">
      <c r="A608" s="24" t="n"/>
      <c r="B608" s="29" t="n"/>
      <c r="C608" s="27" t="n"/>
      <c r="D608" s="31" t="n"/>
      <c r="E608" s="32" t="n"/>
      <c r="F608" s="35" t="n"/>
      <c r="G608" s="31" t="n"/>
      <c r="H608" s="20" t="str">
        <f>IF(AND(ISNUMBER(E608),ISNUMBER(F608)),E608*F608,"")</f>
        <v/>
      </c>
      <c r="I608" s="42" t="str">
        <f>IF(ISNUMBER(H608),ROUND(H608*IF(G608="挂单",'参数'!$C$11,'参数'!$C$12),4),"")</f>
        <v/>
      </c>
      <c r="J608" s="47" t="n"/>
      <c r="K608" s="47" t="n"/>
      <c r="L608" s="20" t="str">
        <f>IF(ISNUMBER(K608),K608+N(J608),IF(ISNUMBER(H608),I608+N(J608),""))</f>
        <v/>
      </c>
      <c r="M608" s="40" t="str">
        <f>IF(A608="","",IFERROR(T(INDEX('交易记录'!$C$5:$C$304,MATCH(A608,'交易记录'!$A$5:$A$304,0))),"编号没找到"))</f>
        <v/>
      </c>
      <c r="N608" s="30" t="n"/>
    </row>
    <row r="609">
      <c r="A609" s="24" t="n"/>
      <c r="B609" s="29" t="n"/>
      <c r="C609" s="27" t="n"/>
      <c r="D609" s="31" t="n"/>
      <c r="E609" s="32" t="n"/>
      <c r="F609" s="35" t="n"/>
      <c r="G609" s="31" t="n"/>
      <c r="H609" s="20" t="str">
        <f>IF(AND(ISNUMBER(E609),ISNUMBER(F609)),E609*F609,"")</f>
        <v/>
      </c>
      <c r="I609" s="42" t="str">
        <f>IF(ISNUMBER(H609),ROUND(H609*IF(G609="挂单",'参数'!$C$11,'参数'!$C$12),4),"")</f>
        <v/>
      </c>
      <c r="J609" s="47" t="n"/>
      <c r="K609" s="47" t="n"/>
      <c r="L609" s="20" t="str">
        <f>IF(ISNUMBER(K609),K609+N(J609),IF(ISNUMBER(H609),I609+N(J609),""))</f>
        <v/>
      </c>
      <c r="M609" s="40" t="str">
        <f>IF(A609="","",IFERROR(T(INDEX('交易记录'!$C$5:$C$304,MATCH(A609,'交易记录'!$A$5:$A$304,0))),"编号没找到"))</f>
        <v/>
      </c>
      <c r="N609" s="30" t="n"/>
    </row>
    <row r="610">
      <c r="A610" s="24" t="n"/>
      <c r="B610" s="29" t="n"/>
      <c r="C610" s="27" t="n"/>
      <c r="D610" s="31" t="n"/>
      <c r="E610" s="32" t="n"/>
      <c r="F610" s="35" t="n"/>
      <c r="G610" s="31" t="n"/>
      <c r="H610" s="20" t="str">
        <f>IF(AND(ISNUMBER(E610),ISNUMBER(F610)),E610*F610,"")</f>
        <v/>
      </c>
      <c r="I610" s="42" t="str">
        <f>IF(ISNUMBER(H610),ROUND(H610*IF(G610="挂单",'参数'!$C$11,'参数'!$C$12),4),"")</f>
        <v/>
      </c>
      <c r="J610" s="47" t="n"/>
      <c r="K610" s="47" t="n"/>
      <c r="L610" s="20" t="str">
        <f>IF(ISNUMBER(K610),K610+N(J610),IF(ISNUMBER(H610),I610+N(J610),""))</f>
        <v/>
      </c>
      <c r="M610" s="40" t="str">
        <f>IF(A610="","",IFERROR(T(INDEX('交易记录'!$C$5:$C$304,MATCH(A610,'交易记录'!$A$5:$A$304,0))),"编号没找到"))</f>
        <v/>
      </c>
      <c r="N610" s="30" t="n"/>
    </row>
    <row r="611">
      <c r="A611" s="24" t="n"/>
      <c r="B611" s="29" t="n"/>
      <c r="C611" s="27" t="n"/>
      <c r="D611" s="31" t="n"/>
      <c r="E611" s="32" t="n"/>
      <c r="F611" s="35" t="n"/>
      <c r="G611" s="31" t="n"/>
      <c r="H611" s="20" t="str">
        <f>IF(AND(ISNUMBER(E611),ISNUMBER(F611)),E611*F611,"")</f>
        <v/>
      </c>
      <c r="I611" s="42" t="str">
        <f>IF(ISNUMBER(H611),ROUND(H611*IF(G611="挂单",'参数'!$C$11,'参数'!$C$12),4),"")</f>
        <v/>
      </c>
      <c r="J611" s="47" t="n"/>
      <c r="K611" s="47" t="n"/>
      <c r="L611" s="20" t="str">
        <f>IF(ISNUMBER(K611),K611+N(J611),IF(ISNUMBER(H611),I611+N(J611),""))</f>
        <v/>
      </c>
      <c r="M611" s="40" t="str">
        <f>IF(A611="","",IFERROR(T(INDEX('交易记录'!$C$5:$C$304,MATCH(A611,'交易记录'!$A$5:$A$304,0))),"编号没找到"))</f>
        <v/>
      </c>
      <c r="N611" s="30" t="n"/>
    </row>
    <row r="612">
      <c r="A612" s="24" t="n"/>
      <c r="B612" s="29" t="n"/>
      <c r="C612" s="27" t="n"/>
      <c r="D612" s="31" t="n"/>
      <c r="E612" s="32" t="n"/>
      <c r="F612" s="35" t="n"/>
      <c r="G612" s="31" t="n"/>
      <c r="H612" s="20" t="str">
        <f>IF(AND(ISNUMBER(E612),ISNUMBER(F612)),E612*F612,"")</f>
        <v/>
      </c>
      <c r="I612" s="42" t="str">
        <f>IF(ISNUMBER(H612),ROUND(H612*IF(G612="挂单",'参数'!$C$11,'参数'!$C$12),4),"")</f>
        <v/>
      </c>
      <c r="J612" s="47" t="n"/>
      <c r="K612" s="47" t="n"/>
      <c r="L612" s="20" t="str">
        <f>IF(ISNUMBER(K612),K612+N(J612),IF(ISNUMBER(H612),I612+N(J612),""))</f>
        <v/>
      </c>
      <c r="M612" s="40" t="str">
        <f>IF(A612="","",IFERROR(T(INDEX('交易记录'!$C$5:$C$304,MATCH(A612,'交易记录'!$A$5:$A$304,0))),"编号没找到"))</f>
        <v/>
      </c>
      <c r="N612" s="30" t="n"/>
    </row>
    <row r="613">
      <c r="A613" s="24" t="n"/>
      <c r="B613" s="29" t="n"/>
      <c r="C613" s="27" t="n"/>
      <c r="D613" s="31" t="n"/>
      <c r="E613" s="32" t="n"/>
      <c r="F613" s="35" t="n"/>
      <c r="G613" s="31" t="n"/>
      <c r="H613" s="20" t="str">
        <f>IF(AND(ISNUMBER(E613),ISNUMBER(F613)),E613*F613,"")</f>
        <v/>
      </c>
      <c r="I613" s="42" t="str">
        <f>IF(ISNUMBER(H613),ROUND(H613*IF(G613="挂单",'参数'!$C$11,'参数'!$C$12),4),"")</f>
        <v/>
      </c>
      <c r="J613" s="47" t="n"/>
      <c r="K613" s="47" t="n"/>
      <c r="L613" s="20" t="str">
        <f>IF(ISNUMBER(K613),K613+N(J613),IF(ISNUMBER(H613),I613+N(J613),""))</f>
        <v/>
      </c>
      <c r="M613" s="40" t="str">
        <f>IF(A613="","",IFERROR(T(INDEX('交易记录'!$C$5:$C$304,MATCH(A613,'交易记录'!$A$5:$A$304,0))),"编号没找到"))</f>
        <v/>
      </c>
      <c r="N613" s="30" t="n"/>
    </row>
    <row r="614">
      <c r="A614" s="24" t="n"/>
      <c r="B614" s="29" t="n"/>
      <c r="C614" s="27" t="n"/>
      <c r="D614" s="31" t="n"/>
      <c r="E614" s="32" t="n"/>
      <c r="F614" s="35" t="n"/>
      <c r="G614" s="31" t="n"/>
      <c r="H614" s="20" t="str">
        <f>IF(AND(ISNUMBER(E614),ISNUMBER(F614)),E614*F614,"")</f>
        <v/>
      </c>
      <c r="I614" s="42" t="str">
        <f>IF(ISNUMBER(H614),ROUND(H614*IF(G614="挂单",'参数'!$C$11,'参数'!$C$12),4),"")</f>
        <v/>
      </c>
      <c r="J614" s="47" t="n"/>
      <c r="K614" s="47" t="n"/>
      <c r="L614" s="20" t="str">
        <f>IF(ISNUMBER(K614),K614+N(J614),IF(ISNUMBER(H614),I614+N(J614),""))</f>
        <v/>
      </c>
      <c r="M614" s="40" t="str">
        <f>IF(A614="","",IFERROR(T(INDEX('交易记录'!$C$5:$C$304,MATCH(A614,'交易记录'!$A$5:$A$304,0))),"编号没找到"))</f>
        <v/>
      </c>
      <c r="N614" s="30" t="n"/>
    </row>
    <row r="615">
      <c r="A615" s="24" t="n"/>
      <c r="B615" s="29" t="n"/>
      <c r="C615" s="27" t="n"/>
      <c r="D615" s="31" t="n"/>
      <c r="E615" s="32" t="n"/>
      <c r="F615" s="35" t="n"/>
      <c r="G615" s="31" t="n"/>
      <c r="H615" s="20" t="str">
        <f>IF(AND(ISNUMBER(E615),ISNUMBER(F615)),E615*F615,"")</f>
        <v/>
      </c>
      <c r="I615" s="42" t="str">
        <f>IF(ISNUMBER(H615),ROUND(H615*IF(G615="挂单",'参数'!$C$11,'参数'!$C$12),4),"")</f>
        <v/>
      </c>
      <c r="J615" s="47" t="n"/>
      <c r="K615" s="47" t="n"/>
      <c r="L615" s="20" t="str">
        <f>IF(ISNUMBER(K615),K615+N(J615),IF(ISNUMBER(H615),I615+N(J615),""))</f>
        <v/>
      </c>
      <c r="M615" s="40" t="str">
        <f>IF(A615="","",IFERROR(T(INDEX('交易记录'!$C$5:$C$304,MATCH(A615,'交易记录'!$A$5:$A$304,0))),"编号没找到"))</f>
        <v/>
      </c>
      <c r="N615" s="30" t="n"/>
    </row>
    <row r="616">
      <c r="A616" s="24" t="n"/>
      <c r="B616" s="29" t="n"/>
      <c r="C616" s="27" t="n"/>
      <c r="D616" s="31" t="n"/>
      <c r="E616" s="32" t="n"/>
      <c r="F616" s="35" t="n"/>
      <c r="G616" s="31" t="n"/>
      <c r="H616" s="20" t="str">
        <f>IF(AND(ISNUMBER(E616),ISNUMBER(F616)),E616*F616,"")</f>
        <v/>
      </c>
      <c r="I616" s="42" t="str">
        <f>IF(ISNUMBER(H616),ROUND(H616*IF(G616="挂单",'参数'!$C$11,'参数'!$C$12),4),"")</f>
        <v/>
      </c>
      <c r="J616" s="47" t="n"/>
      <c r="K616" s="47" t="n"/>
      <c r="L616" s="20" t="str">
        <f>IF(ISNUMBER(K616),K616+N(J616),IF(ISNUMBER(H616),I616+N(J616),""))</f>
        <v/>
      </c>
      <c r="M616" s="40" t="str">
        <f>IF(A616="","",IFERROR(T(INDEX('交易记录'!$C$5:$C$304,MATCH(A616,'交易记录'!$A$5:$A$304,0))),"编号没找到"))</f>
        <v/>
      </c>
      <c r="N616" s="30" t="n"/>
    </row>
    <row r="617">
      <c r="A617" s="24" t="n"/>
      <c r="B617" s="29" t="n"/>
      <c r="C617" s="27" t="n"/>
      <c r="D617" s="31" t="n"/>
      <c r="E617" s="32" t="n"/>
      <c r="F617" s="35" t="n"/>
      <c r="G617" s="31" t="n"/>
      <c r="H617" s="20" t="str">
        <f>IF(AND(ISNUMBER(E617),ISNUMBER(F617)),E617*F617,"")</f>
        <v/>
      </c>
      <c r="I617" s="42" t="str">
        <f>IF(ISNUMBER(H617),ROUND(H617*IF(G617="挂单",'参数'!$C$11,'参数'!$C$12),4),"")</f>
        <v/>
      </c>
      <c r="J617" s="47" t="n"/>
      <c r="K617" s="47" t="n"/>
      <c r="L617" s="20" t="str">
        <f>IF(ISNUMBER(K617),K617+N(J617),IF(ISNUMBER(H617),I617+N(J617),""))</f>
        <v/>
      </c>
      <c r="M617" s="40" t="str">
        <f>IF(A617="","",IFERROR(T(INDEX('交易记录'!$C$5:$C$304,MATCH(A617,'交易记录'!$A$5:$A$304,0))),"编号没找到"))</f>
        <v/>
      </c>
      <c r="N617" s="30" t="n"/>
    </row>
    <row r="618">
      <c r="A618" s="24" t="n"/>
      <c r="B618" s="29" t="n"/>
      <c r="C618" s="27" t="n"/>
      <c r="D618" s="31" t="n"/>
      <c r="E618" s="32" t="n"/>
      <c r="F618" s="35" t="n"/>
      <c r="G618" s="31" t="n"/>
      <c r="H618" s="20" t="str">
        <f>IF(AND(ISNUMBER(E618),ISNUMBER(F618)),E618*F618,"")</f>
        <v/>
      </c>
      <c r="I618" s="42" t="str">
        <f>IF(ISNUMBER(H618),ROUND(H618*IF(G618="挂单",'参数'!$C$11,'参数'!$C$12),4),"")</f>
        <v/>
      </c>
      <c r="J618" s="47" t="n"/>
      <c r="K618" s="47" t="n"/>
      <c r="L618" s="20" t="str">
        <f>IF(ISNUMBER(K618),K618+N(J618),IF(ISNUMBER(H618),I618+N(J618),""))</f>
        <v/>
      </c>
      <c r="M618" s="40" t="str">
        <f>IF(A618="","",IFERROR(T(INDEX('交易记录'!$C$5:$C$304,MATCH(A618,'交易记录'!$A$5:$A$304,0))),"编号没找到"))</f>
        <v/>
      </c>
      <c r="N618" s="30" t="n"/>
    </row>
    <row r="619">
      <c r="A619" s="24" t="n"/>
      <c r="B619" s="29" t="n"/>
      <c r="C619" s="27" t="n"/>
      <c r="D619" s="31" t="n"/>
      <c r="E619" s="32" t="n"/>
      <c r="F619" s="35" t="n"/>
      <c r="G619" s="31" t="n"/>
      <c r="H619" s="20" t="str">
        <f>IF(AND(ISNUMBER(E619),ISNUMBER(F619)),E619*F619,"")</f>
        <v/>
      </c>
      <c r="I619" s="42" t="str">
        <f>IF(ISNUMBER(H619),ROUND(H619*IF(G619="挂单",'参数'!$C$11,'参数'!$C$12),4),"")</f>
        <v/>
      </c>
      <c r="J619" s="47" t="n"/>
      <c r="K619" s="47" t="n"/>
      <c r="L619" s="20" t="str">
        <f>IF(ISNUMBER(K619),K619+N(J619),IF(ISNUMBER(H619),I619+N(J619),""))</f>
        <v/>
      </c>
      <c r="M619" s="40" t="str">
        <f>IF(A619="","",IFERROR(T(INDEX('交易记录'!$C$5:$C$304,MATCH(A619,'交易记录'!$A$5:$A$304,0))),"编号没找到"))</f>
        <v/>
      </c>
      <c r="N619" s="30" t="n"/>
    </row>
    <row r="620">
      <c r="A620" s="24" t="n"/>
      <c r="B620" s="29" t="n"/>
      <c r="C620" s="27" t="n"/>
      <c r="D620" s="31" t="n"/>
      <c r="E620" s="32" t="n"/>
      <c r="F620" s="35" t="n"/>
      <c r="G620" s="31" t="n"/>
      <c r="H620" s="20" t="str">
        <f>IF(AND(ISNUMBER(E620),ISNUMBER(F620)),E620*F620,"")</f>
        <v/>
      </c>
      <c r="I620" s="42" t="str">
        <f>IF(ISNUMBER(H620),ROUND(H620*IF(G620="挂单",'参数'!$C$11,'参数'!$C$12),4),"")</f>
        <v/>
      </c>
      <c r="J620" s="47" t="n"/>
      <c r="K620" s="47" t="n"/>
      <c r="L620" s="20" t="str">
        <f>IF(ISNUMBER(K620),K620+N(J620),IF(ISNUMBER(H620),I620+N(J620),""))</f>
        <v/>
      </c>
      <c r="M620" s="40" t="str">
        <f>IF(A620="","",IFERROR(T(INDEX('交易记录'!$C$5:$C$304,MATCH(A620,'交易记录'!$A$5:$A$304,0))),"编号没找到"))</f>
        <v/>
      </c>
      <c r="N620" s="30" t="n"/>
    </row>
    <row r="621">
      <c r="A621" s="24" t="n"/>
      <c r="B621" s="29" t="n"/>
      <c r="C621" s="27" t="n"/>
      <c r="D621" s="31" t="n"/>
      <c r="E621" s="32" t="n"/>
      <c r="F621" s="35" t="n"/>
      <c r="G621" s="31" t="n"/>
      <c r="H621" s="20" t="str">
        <f>IF(AND(ISNUMBER(E621),ISNUMBER(F621)),E621*F621,"")</f>
        <v/>
      </c>
      <c r="I621" s="42" t="str">
        <f>IF(ISNUMBER(H621),ROUND(H621*IF(G621="挂单",'参数'!$C$11,'参数'!$C$12),4),"")</f>
        <v/>
      </c>
      <c r="J621" s="47" t="n"/>
      <c r="K621" s="47" t="n"/>
      <c r="L621" s="20" t="str">
        <f>IF(ISNUMBER(K621),K621+N(J621),IF(ISNUMBER(H621),I621+N(J621),""))</f>
        <v/>
      </c>
      <c r="M621" s="40" t="str">
        <f>IF(A621="","",IFERROR(T(INDEX('交易记录'!$C$5:$C$304,MATCH(A621,'交易记录'!$A$5:$A$304,0))),"编号没找到"))</f>
        <v/>
      </c>
      <c r="N621" s="30" t="n"/>
    </row>
    <row r="622">
      <c r="A622" s="24" t="n"/>
      <c r="B622" s="29" t="n"/>
      <c r="C622" s="27" t="n"/>
      <c r="D622" s="31" t="n"/>
      <c r="E622" s="32" t="n"/>
      <c r="F622" s="35" t="n"/>
      <c r="G622" s="31" t="n"/>
      <c r="H622" s="20" t="str">
        <f>IF(AND(ISNUMBER(E622),ISNUMBER(F622)),E622*F622,"")</f>
        <v/>
      </c>
      <c r="I622" s="42" t="str">
        <f>IF(ISNUMBER(H622),ROUND(H622*IF(G622="挂单",'参数'!$C$11,'参数'!$C$12),4),"")</f>
        <v/>
      </c>
      <c r="J622" s="47" t="n"/>
      <c r="K622" s="47" t="n"/>
      <c r="L622" s="20" t="str">
        <f>IF(ISNUMBER(K622),K622+N(J622),IF(ISNUMBER(H622),I622+N(J622),""))</f>
        <v/>
      </c>
      <c r="M622" s="40" t="str">
        <f>IF(A622="","",IFERROR(T(INDEX('交易记录'!$C$5:$C$304,MATCH(A622,'交易记录'!$A$5:$A$304,0))),"编号没找到"))</f>
        <v/>
      </c>
      <c r="N622" s="30" t="n"/>
    </row>
    <row r="623">
      <c r="A623" s="24" t="n"/>
      <c r="B623" s="29" t="n"/>
      <c r="C623" s="27" t="n"/>
      <c r="D623" s="31" t="n"/>
      <c r="E623" s="32" t="n"/>
      <c r="F623" s="35" t="n"/>
      <c r="G623" s="31" t="n"/>
      <c r="H623" s="20" t="str">
        <f>IF(AND(ISNUMBER(E623),ISNUMBER(F623)),E623*F623,"")</f>
        <v/>
      </c>
      <c r="I623" s="42" t="str">
        <f>IF(ISNUMBER(H623),ROUND(H623*IF(G623="挂单",'参数'!$C$11,'参数'!$C$12),4),"")</f>
        <v/>
      </c>
      <c r="J623" s="47" t="n"/>
      <c r="K623" s="47" t="n"/>
      <c r="L623" s="20" t="str">
        <f>IF(ISNUMBER(K623),K623+N(J623),IF(ISNUMBER(H623),I623+N(J623),""))</f>
        <v/>
      </c>
      <c r="M623" s="40" t="str">
        <f>IF(A623="","",IFERROR(T(INDEX('交易记录'!$C$5:$C$304,MATCH(A623,'交易记录'!$A$5:$A$304,0))),"编号没找到"))</f>
        <v/>
      </c>
      <c r="N623" s="30" t="n"/>
    </row>
    <row r="624">
      <c r="A624" s="24" t="n"/>
      <c r="B624" s="29" t="n"/>
      <c r="C624" s="27" t="n"/>
      <c r="D624" s="31" t="n"/>
      <c r="E624" s="32" t="n"/>
      <c r="F624" s="35" t="n"/>
      <c r="G624" s="31" t="n"/>
      <c r="H624" s="20" t="str">
        <f>IF(AND(ISNUMBER(E624),ISNUMBER(F624)),E624*F624,"")</f>
        <v/>
      </c>
      <c r="I624" s="42" t="str">
        <f>IF(ISNUMBER(H624),ROUND(H624*IF(G624="挂单",'参数'!$C$11,'参数'!$C$12),4),"")</f>
        <v/>
      </c>
      <c r="J624" s="47" t="n"/>
      <c r="K624" s="47" t="n"/>
      <c r="L624" s="20" t="str">
        <f>IF(ISNUMBER(K624),K624+N(J624),IF(ISNUMBER(H624),I624+N(J624),""))</f>
        <v/>
      </c>
      <c r="M624" s="40" t="str">
        <f>IF(A624="","",IFERROR(T(INDEX('交易记录'!$C$5:$C$304,MATCH(A624,'交易记录'!$A$5:$A$304,0))),"编号没找到"))</f>
        <v/>
      </c>
      <c r="N624" s="30" t="n"/>
    </row>
    <row r="625">
      <c r="A625" s="24" t="n"/>
      <c r="B625" s="29" t="n"/>
      <c r="C625" s="27" t="n"/>
      <c r="D625" s="31" t="n"/>
      <c r="E625" s="32" t="n"/>
      <c r="F625" s="35" t="n"/>
      <c r="G625" s="31" t="n"/>
      <c r="H625" s="20" t="str">
        <f>IF(AND(ISNUMBER(E625),ISNUMBER(F625)),E625*F625,"")</f>
        <v/>
      </c>
      <c r="I625" s="42" t="str">
        <f>IF(ISNUMBER(H625),ROUND(H625*IF(G625="挂单",'参数'!$C$11,'参数'!$C$12),4),"")</f>
        <v/>
      </c>
      <c r="J625" s="47" t="n"/>
      <c r="K625" s="47" t="n"/>
      <c r="L625" s="20" t="str">
        <f>IF(ISNUMBER(K625),K625+N(J625),IF(ISNUMBER(H625),I625+N(J625),""))</f>
        <v/>
      </c>
      <c r="M625" s="40" t="str">
        <f>IF(A625="","",IFERROR(T(INDEX('交易记录'!$C$5:$C$304,MATCH(A625,'交易记录'!$A$5:$A$304,0))),"编号没找到"))</f>
        <v/>
      </c>
      <c r="N625" s="30" t="n"/>
    </row>
    <row r="626">
      <c r="A626" s="24" t="n"/>
      <c r="B626" s="29" t="n"/>
      <c r="C626" s="27" t="n"/>
      <c r="D626" s="31" t="n"/>
      <c r="E626" s="32" t="n"/>
      <c r="F626" s="35" t="n"/>
      <c r="G626" s="31" t="n"/>
      <c r="H626" s="20" t="str">
        <f>IF(AND(ISNUMBER(E626),ISNUMBER(F626)),E626*F626,"")</f>
        <v/>
      </c>
      <c r="I626" s="42" t="str">
        <f>IF(ISNUMBER(H626),ROUND(H626*IF(G626="挂单",'参数'!$C$11,'参数'!$C$12),4),"")</f>
        <v/>
      </c>
      <c r="J626" s="47" t="n"/>
      <c r="K626" s="47" t="n"/>
      <c r="L626" s="20" t="str">
        <f>IF(ISNUMBER(K626),K626+N(J626),IF(ISNUMBER(H626),I626+N(J626),""))</f>
        <v/>
      </c>
      <c r="M626" s="40" t="str">
        <f>IF(A626="","",IFERROR(T(INDEX('交易记录'!$C$5:$C$304,MATCH(A626,'交易记录'!$A$5:$A$304,0))),"编号没找到"))</f>
        <v/>
      </c>
      <c r="N626" s="30" t="n"/>
    </row>
    <row r="627">
      <c r="A627" s="24" t="n"/>
      <c r="B627" s="29" t="n"/>
      <c r="C627" s="27" t="n"/>
      <c r="D627" s="31" t="n"/>
      <c r="E627" s="32" t="n"/>
      <c r="F627" s="35" t="n"/>
      <c r="G627" s="31" t="n"/>
      <c r="H627" s="20" t="str">
        <f>IF(AND(ISNUMBER(E627),ISNUMBER(F627)),E627*F627,"")</f>
        <v/>
      </c>
      <c r="I627" s="42" t="str">
        <f>IF(ISNUMBER(H627),ROUND(H627*IF(G627="挂单",'参数'!$C$11,'参数'!$C$12),4),"")</f>
        <v/>
      </c>
      <c r="J627" s="47" t="n"/>
      <c r="K627" s="47" t="n"/>
      <c r="L627" s="20" t="str">
        <f>IF(ISNUMBER(K627),K627+N(J627),IF(ISNUMBER(H627),I627+N(J627),""))</f>
        <v/>
      </c>
      <c r="M627" s="40" t="str">
        <f>IF(A627="","",IFERROR(T(INDEX('交易记录'!$C$5:$C$304,MATCH(A627,'交易记录'!$A$5:$A$304,0))),"编号没找到"))</f>
        <v/>
      </c>
      <c r="N627" s="30" t="n"/>
    </row>
    <row r="628">
      <c r="A628" s="24" t="n"/>
      <c r="B628" s="29" t="n"/>
      <c r="C628" s="27" t="n"/>
      <c r="D628" s="31" t="n"/>
      <c r="E628" s="32" t="n"/>
      <c r="F628" s="35" t="n"/>
      <c r="G628" s="31" t="n"/>
      <c r="H628" s="20" t="str">
        <f>IF(AND(ISNUMBER(E628),ISNUMBER(F628)),E628*F628,"")</f>
        <v/>
      </c>
      <c r="I628" s="42" t="str">
        <f>IF(ISNUMBER(H628),ROUND(H628*IF(G628="挂单",'参数'!$C$11,'参数'!$C$12),4),"")</f>
        <v/>
      </c>
      <c r="J628" s="47" t="n"/>
      <c r="K628" s="47" t="n"/>
      <c r="L628" s="20" t="str">
        <f>IF(ISNUMBER(K628),K628+N(J628),IF(ISNUMBER(H628),I628+N(J628),""))</f>
        <v/>
      </c>
      <c r="M628" s="40" t="str">
        <f>IF(A628="","",IFERROR(T(INDEX('交易记录'!$C$5:$C$304,MATCH(A628,'交易记录'!$A$5:$A$304,0))),"编号没找到"))</f>
        <v/>
      </c>
      <c r="N628" s="30" t="n"/>
    </row>
    <row r="629">
      <c r="A629" s="24" t="n"/>
      <c r="B629" s="29" t="n"/>
      <c r="C629" s="27" t="n"/>
      <c r="D629" s="31" t="n"/>
      <c r="E629" s="32" t="n"/>
      <c r="F629" s="35" t="n"/>
      <c r="G629" s="31" t="n"/>
      <c r="H629" s="20" t="str">
        <f>IF(AND(ISNUMBER(E629),ISNUMBER(F629)),E629*F629,"")</f>
        <v/>
      </c>
      <c r="I629" s="42" t="str">
        <f>IF(ISNUMBER(H629),ROUND(H629*IF(G629="挂单",'参数'!$C$11,'参数'!$C$12),4),"")</f>
        <v/>
      </c>
      <c r="J629" s="47" t="n"/>
      <c r="K629" s="47" t="n"/>
      <c r="L629" s="20" t="str">
        <f>IF(ISNUMBER(K629),K629+N(J629),IF(ISNUMBER(H629),I629+N(J629),""))</f>
        <v/>
      </c>
      <c r="M629" s="40" t="str">
        <f>IF(A629="","",IFERROR(T(INDEX('交易记录'!$C$5:$C$304,MATCH(A629,'交易记录'!$A$5:$A$304,0))),"编号没找到"))</f>
        <v/>
      </c>
      <c r="N629" s="30" t="n"/>
    </row>
    <row r="630">
      <c r="A630" s="24" t="n"/>
      <c r="B630" s="29" t="n"/>
      <c r="C630" s="27" t="n"/>
      <c r="D630" s="31" t="n"/>
      <c r="E630" s="32" t="n"/>
      <c r="F630" s="35" t="n"/>
      <c r="G630" s="31" t="n"/>
      <c r="H630" s="20" t="str">
        <f>IF(AND(ISNUMBER(E630),ISNUMBER(F630)),E630*F630,"")</f>
        <v/>
      </c>
      <c r="I630" s="42" t="str">
        <f>IF(ISNUMBER(H630),ROUND(H630*IF(G630="挂单",'参数'!$C$11,'参数'!$C$12),4),"")</f>
        <v/>
      </c>
      <c r="J630" s="47" t="n"/>
      <c r="K630" s="47" t="n"/>
      <c r="L630" s="20" t="str">
        <f>IF(ISNUMBER(K630),K630+N(J630),IF(ISNUMBER(H630),I630+N(J630),""))</f>
        <v/>
      </c>
      <c r="M630" s="40" t="str">
        <f>IF(A630="","",IFERROR(T(INDEX('交易记录'!$C$5:$C$304,MATCH(A630,'交易记录'!$A$5:$A$304,0))),"编号没找到"))</f>
        <v/>
      </c>
      <c r="N630" s="30" t="n"/>
    </row>
    <row r="631">
      <c r="A631" s="24" t="n"/>
      <c r="B631" s="29" t="n"/>
      <c r="C631" s="27" t="n"/>
      <c r="D631" s="31" t="n"/>
      <c r="E631" s="32" t="n"/>
      <c r="F631" s="35" t="n"/>
      <c r="G631" s="31" t="n"/>
      <c r="H631" s="20" t="str">
        <f>IF(AND(ISNUMBER(E631),ISNUMBER(F631)),E631*F631,"")</f>
        <v/>
      </c>
      <c r="I631" s="42" t="str">
        <f>IF(ISNUMBER(H631),ROUND(H631*IF(G631="挂单",'参数'!$C$11,'参数'!$C$12),4),"")</f>
        <v/>
      </c>
      <c r="J631" s="47" t="n"/>
      <c r="K631" s="47" t="n"/>
      <c r="L631" s="20" t="str">
        <f>IF(ISNUMBER(K631),K631+N(J631),IF(ISNUMBER(H631),I631+N(J631),""))</f>
        <v/>
      </c>
      <c r="M631" s="40" t="str">
        <f>IF(A631="","",IFERROR(T(INDEX('交易记录'!$C$5:$C$304,MATCH(A631,'交易记录'!$A$5:$A$304,0))),"编号没找到"))</f>
        <v/>
      </c>
      <c r="N631" s="30" t="n"/>
    </row>
    <row r="632">
      <c r="A632" s="24" t="n"/>
      <c r="B632" s="29" t="n"/>
      <c r="C632" s="27" t="n"/>
      <c r="D632" s="31" t="n"/>
      <c r="E632" s="32" t="n"/>
      <c r="F632" s="35" t="n"/>
      <c r="G632" s="31" t="n"/>
      <c r="H632" s="20" t="str">
        <f>IF(AND(ISNUMBER(E632),ISNUMBER(F632)),E632*F632,"")</f>
        <v/>
      </c>
      <c r="I632" s="42" t="str">
        <f>IF(ISNUMBER(H632),ROUND(H632*IF(G632="挂单",'参数'!$C$11,'参数'!$C$12),4),"")</f>
        <v/>
      </c>
      <c r="J632" s="47" t="n"/>
      <c r="K632" s="47" t="n"/>
      <c r="L632" s="20" t="str">
        <f>IF(ISNUMBER(K632),K632+N(J632),IF(ISNUMBER(H632),I632+N(J632),""))</f>
        <v/>
      </c>
      <c r="M632" s="40" t="str">
        <f>IF(A632="","",IFERROR(T(INDEX('交易记录'!$C$5:$C$304,MATCH(A632,'交易记录'!$A$5:$A$304,0))),"编号没找到"))</f>
        <v/>
      </c>
      <c r="N632" s="30" t="n"/>
    </row>
    <row r="633">
      <c r="A633" s="24" t="n"/>
      <c r="B633" s="29" t="n"/>
      <c r="C633" s="27" t="n"/>
      <c r="D633" s="31" t="n"/>
      <c r="E633" s="32" t="n"/>
      <c r="F633" s="35" t="n"/>
      <c r="G633" s="31" t="n"/>
      <c r="H633" s="20" t="str">
        <f>IF(AND(ISNUMBER(E633),ISNUMBER(F633)),E633*F633,"")</f>
        <v/>
      </c>
      <c r="I633" s="42" t="str">
        <f>IF(ISNUMBER(H633),ROUND(H633*IF(G633="挂单",'参数'!$C$11,'参数'!$C$12),4),"")</f>
        <v/>
      </c>
      <c r="J633" s="47" t="n"/>
      <c r="K633" s="47" t="n"/>
      <c r="L633" s="20" t="str">
        <f>IF(ISNUMBER(K633),K633+N(J633),IF(ISNUMBER(H633),I633+N(J633),""))</f>
        <v/>
      </c>
      <c r="M633" s="40" t="str">
        <f>IF(A633="","",IFERROR(T(INDEX('交易记录'!$C$5:$C$304,MATCH(A633,'交易记录'!$A$5:$A$304,0))),"编号没找到"))</f>
        <v/>
      </c>
      <c r="N633" s="30" t="n"/>
    </row>
    <row r="634">
      <c r="A634" s="24" t="n"/>
      <c r="B634" s="29" t="n"/>
      <c r="C634" s="27" t="n"/>
      <c r="D634" s="31" t="n"/>
      <c r="E634" s="32" t="n"/>
      <c r="F634" s="35" t="n"/>
      <c r="G634" s="31" t="n"/>
      <c r="H634" s="20" t="str">
        <f>IF(AND(ISNUMBER(E634),ISNUMBER(F634)),E634*F634,"")</f>
        <v/>
      </c>
      <c r="I634" s="42" t="str">
        <f>IF(ISNUMBER(H634),ROUND(H634*IF(G634="挂单",'参数'!$C$11,'参数'!$C$12),4),"")</f>
        <v/>
      </c>
      <c r="J634" s="47" t="n"/>
      <c r="K634" s="47" t="n"/>
      <c r="L634" s="20" t="str">
        <f>IF(ISNUMBER(K634),K634+N(J634),IF(ISNUMBER(H634),I634+N(J634),""))</f>
        <v/>
      </c>
      <c r="M634" s="40" t="str">
        <f>IF(A634="","",IFERROR(T(INDEX('交易记录'!$C$5:$C$304,MATCH(A634,'交易记录'!$A$5:$A$304,0))),"编号没找到"))</f>
        <v/>
      </c>
      <c r="N634" s="30" t="n"/>
    </row>
    <row r="635">
      <c r="A635" s="24" t="n"/>
      <c r="B635" s="29" t="n"/>
      <c r="C635" s="27" t="n"/>
      <c r="D635" s="31" t="n"/>
      <c r="E635" s="32" t="n"/>
      <c r="F635" s="35" t="n"/>
      <c r="G635" s="31" t="n"/>
      <c r="H635" s="20" t="str">
        <f>IF(AND(ISNUMBER(E635),ISNUMBER(F635)),E635*F635,"")</f>
        <v/>
      </c>
      <c r="I635" s="42" t="str">
        <f>IF(ISNUMBER(H635),ROUND(H635*IF(G635="挂单",'参数'!$C$11,'参数'!$C$12),4),"")</f>
        <v/>
      </c>
      <c r="J635" s="47" t="n"/>
      <c r="K635" s="47" t="n"/>
      <c r="L635" s="20" t="str">
        <f>IF(ISNUMBER(K635),K635+N(J635),IF(ISNUMBER(H635),I635+N(J635),""))</f>
        <v/>
      </c>
      <c r="M635" s="40" t="str">
        <f>IF(A635="","",IFERROR(T(INDEX('交易记录'!$C$5:$C$304,MATCH(A635,'交易记录'!$A$5:$A$304,0))),"编号没找到"))</f>
        <v/>
      </c>
      <c r="N635" s="30" t="n"/>
    </row>
    <row r="636">
      <c r="A636" s="24" t="n"/>
      <c r="B636" s="29" t="n"/>
      <c r="C636" s="27" t="n"/>
      <c r="D636" s="31" t="n"/>
      <c r="E636" s="32" t="n"/>
      <c r="F636" s="35" t="n"/>
      <c r="G636" s="31" t="n"/>
      <c r="H636" s="20" t="str">
        <f>IF(AND(ISNUMBER(E636),ISNUMBER(F636)),E636*F636,"")</f>
        <v/>
      </c>
      <c r="I636" s="42" t="str">
        <f>IF(ISNUMBER(H636),ROUND(H636*IF(G636="挂单",'参数'!$C$11,'参数'!$C$12),4),"")</f>
        <v/>
      </c>
      <c r="J636" s="47" t="n"/>
      <c r="K636" s="47" t="n"/>
      <c r="L636" s="20" t="str">
        <f>IF(ISNUMBER(K636),K636+N(J636),IF(ISNUMBER(H636),I636+N(J636),""))</f>
        <v/>
      </c>
      <c r="M636" s="40" t="str">
        <f>IF(A636="","",IFERROR(T(INDEX('交易记录'!$C$5:$C$304,MATCH(A636,'交易记录'!$A$5:$A$304,0))),"编号没找到"))</f>
        <v/>
      </c>
      <c r="N636" s="30" t="n"/>
    </row>
    <row r="637">
      <c r="A637" s="24" t="n"/>
      <c r="B637" s="29" t="n"/>
      <c r="C637" s="27" t="n"/>
      <c r="D637" s="31" t="n"/>
      <c r="E637" s="32" t="n"/>
      <c r="F637" s="35" t="n"/>
      <c r="G637" s="31" t="n"/>
      <c r="H637" s="20" t="str">
        <f>IF(AND(ISNUMBER(E637),ISNUMBER(F637)),E637*F637,"")</f>
        <v/>
      </c>
      <c r="I637" s="42" t="str">
        <f>IF(ISNUMBER(H637),ROUND(H637*IF(G637="挂单",'参数'!$C$11,'参数'!$C$12),4),"")</f>
        <v/>
      </c>
      <c r="J637" s="47" t="n"/>
      <c r="K637" s="47" t="n"/>
      <c r="L637" s="20" t="str">
        <f>IF(ISNUMBER(K637),K637+N(J637),IF(ISNUMBER(H637),I637+N(J637),""))</f>
        <v/>
      </c>
      <c r="M637" s="40" t="str">
        <f>IF(A637="","",IFERROR(T(INDEX('交易记录'!$C$5:$C$304,MATCH(A637,'交易记录'!$A$5:$A$304,0))),"编号没找到"))</f>
        <v/>
      </c>
      <c r="N637" s="30" t="n"/>
    </row>
    <row r="638">
      <c r="A638" s="24" t="n"/>
      <c r="B638" s="29" t="n"/>
      <c r="C638" s="27" t="n"/>
      <c r="D638" s="31" t="n"/>
      <c r="E638" s="32" t="n"/>
      <c r="F638" s="35" t="n"/>
      <c r="G638" s="31" t="n"/>
      <c r="H638" s="20" t="str">
        <f>IF(AND(ISNUMBER(E638),ISNUMBER(F638)),E638*F638,"")</f>
        <v/>
      </c>
      <c r="I638" s="42" t="str">
        <f>IF(ISNUMBER(H638),ROUND(H638*IF(G638="挂单",'参数'!$C$11,'参数'!$C$12),4),"")</f>
        <v/>
      </c>
      <c r="J638" s="47" t="n"/>
      <c r="K638" s="47" t="n"/>
      <c r="L638" s="20" t="str">
        <f>IF(ISNUMBER(K638),K638+N(J638),IF(ISNUMBER(H638),I638+N(J638),""))</f>
        <v/>
      </c>
      <c r="M638" s="40" t="str">
        <f>IF(A638="","",IFERROR(T(INDEX('交易记录'!$C$5:$C$304,MATCH(A638,'交易记录'!$A$5:$A$304,0))),"编号没找到"))</f>
        <v/>
      </c>
      <c r="N638" s="30" t="n"/>
    </row>
    <row r="639">
      <c r="A639" s="24" t="n"/>
      <c r="B639" s="29" t="n"/>
      <c r="C639" s="27" t="n"/>
      <c r="D639" s="31" t="n"/>
      <c r="E639" s="32" t="n"/>
      <c r="F639" s="35" t="n"/>
      <c r="G639" s="31" t="n"/>
      <c r="H639" s="20" t="str">
        <f>IF(AND(ISNUMBER(E639),ISNUMBER(F639)),E639*F639,"")</f>
        <v/>
      </c>
      <c r="I639" s="42" t="str">
        <f>IF(ISNUMBER(H639),ROUND(H639*IF(G639="挂单",'参数'!$C$11,'参数'!$C$12),4),"")</f>
        <v/>
      </c>
      <c r="J639" s="47" t="n"/>
      <c r="K639" s="47" t="n"/>
      <c r="L639" s="20" t="str">
        <f>IF(ISNUMBER(K639),K639+N(J639),IF(ISNUMBER(H639),I639+N(J639),""))</f>
        <v/>
      </c>
      <c r="M639" s="40" t="str">
        <f>IF(A639="","",IFERROR(T(INDEX('交易记录'!$C$5:$C$304,MATCH(A639,'交易记录'!$A$5:$A$304,0))),"编号没找到"))</f>
        <v/>
      </c>
      <c r="N639" s="30" t="n"/>
    </row>
    <row r="640">
      <c r="A640" s="24" t="n"/>
      <c r="B640" s="29" t="n"/>
      <c r="C640" s="27" t="n"/>
      <c r="D640" s="31" t="n"/>
      <c r="E640" s="32" t="n"/>
      <c r="F640" s="35" t="n"/>
      <c r="G640" s="31" t="n"/>
      <c r="H640" s="20" t="str">
        <f>IF(AND(ISNUMBER(E640),ISNUMBER(F640)),E640*F640,"")</f>
        <v/>
      </c>
      <c r="I640" s="42" t="str">
        <f>IF(ISNUMBER(H640),ROUND(H640*IF(G640="挂单",'参数'!$C$11,'参数'!$C$12),4),"")</f>
        <v/>
      </c>
      <c r="J640" s="47" t="n"/>
      <c r="K640" s="47" t="n"/>
      <c r="L640" s="20" t="str">
        <f>IF(ISNUMBER(K640),K640+N(J640),IF(ISNUMBER(H640),I640+N(J640),""))</f>
        <v/>
      </c>
      <c r="M640" s="40" t="str">
        <f>IF(A640="","",IFERROR(T(INDEX('交易记录'!$C$5:$C$304,MATCH(A640,'交易记录'!$A$5:$A$304,0))),"编号没找到"))</f>
        <v/>
      </c>
      <c r="N640" s="30" t="n"/>
    </row>
    <row r="641">
      <c r="A641" s="24" t="n"/>
      <c r="B641" s="29" t="n"/>
      <c r="C641" s="27" t="n"/>
      <c r="D641" s="31" t="n"/>
      <c r="E641" s="32" t="n"/>
      <c r="F641" s="35" t="n"/>
      <c r="G641" s="31" t="n"/>
      <c r="H641" s="20" t="str">
        <f>IF(AND(ISNUMBER(E641),ISNUMBER(F641)),E641*F641,"")</f>
        <v/>
      </c>
      <c r="I641" s="42" t="str">
        <f>IF(ISNUMBER(H641),ROUND(H641*IF(G641="挂单",'参数'!$C$11,'参数'!$C$12),4),"")</f>
        <v/>
      </c>
      <c r="J641" s="47" t="n"/>
      <c r="K641" s="47" t="n"/>
      <c r="L641" s="20" t="str">
        <f>IF(ISNUMBER(K641),K641+N(J641),IF(ISNUMBER(H641),I641+N(J641),""))</f>
        <v/>
      </c>
      <c r="M641" s="40" t="str">
        <f>IF(A641="","",IFERROR(T(INDEX('交易记录'!$C$5:$C$304,MATCH(A641,'交易记录'!$A$5:$A$304,0))),"编号没找到"))</f>
        <v/>
      </c>
      <c r="N641" s="30" t="n"/>
    </row>
    <row r="642">
      <c r="A642" s="24" t="n"/>
      <c r="B642" s="29" t="n"/>
      <c r="C642" s="27" t="n"/>
      <c r="D642" s="31" t="n"/>
      <c r="E642" s="32" t="n"/>
      <c r="F642" s="35" t="n"/>
      <c r="G642" s="31" t="n"/>
      <c r="H642" s="20" t="str">
        <f>IF(AND(ISNUMBER(E642),ISNUMBER(F642)),E642*F642,"")</f>
        <v/>
      </c>
      <c r="I642" s="42" t="str">
        <f>IF(ISNUMBER(H642),ROUND(H642*IF(G642="挂单",'参数'!$C$11,'参数'!$C$12),4),"")</f>
        <v/>
      </c>
      <c r="J642" s="47" t="n"/>
      <c r="K642" s="47" t="n"/>
      <c r="L642" s="20" t="str">
        <f>IF(ISNUMBER(K642),K642+N(J642),IF(ISNUMBER(H642),I642+N(J642),""))</f>
        <v/>
      </c>
      <c r="M642" s="40" t="str">
        <f>IF(A642="","",IFERROR(T(INDEX('交易记录'!$C$5:$C$304,MATCH(A642,'交易记录'!$A$5:$A$304,0))),"编号没找到"))</f>
        <v/>
      </c>
      <c r="N642" s="30" t="n"/>
    </row>
    <row r="643">
      <c r="A643" s="24" t="n"/>
      <c r="B643" s="29" t="n"/>
      <c r="C643" s="27" t="n"/>
      <c r="D643" s="31" t="n"/>
      <c r="E643" s="32" t="n"/>
      <c r="F643" s="35" t="n"/>
      <c r="G643" s="31" t="n"/>
      <c r="H643" s="20" t="str">
        <f>IF(AND(ISNUMBER(E643),ISNUMBER(F643)),E643*F643,"")</f>
        <v/>
      </c>
      <c r="I643" s="42" t="str">
        <f>IF(ISNUMBER(H643),ROUND(H643*IF(G643="挂单",'参数'!$C$11,'参数'!$C$12),4),"")</f>
        <v/>
      </c>
      <c r="J643" s="47" t="n"/>
      <c r="K643" s="47" t="n"/>
      <c r="L643" s="20" t="str">
        <f>IF(ISNUMBER(K643),K643+N(J643),IF(ISNUMBER(H643),I643+N(J643),""))</f>
        <v/>
      </c>
      <c r="M643" s="40" t="str">
        <f>IF(A643="","",IFERROR(T(INDEX('交易记录'!$C$5:$C$304,MATCH(A643,'交易记录'!$A$5:$A$304,0))),"编号没找到"))</f>
        <v/>
      </c>
      <c r="N643" s="30" t="n"/>
    </row>
    <row r="644">
      <c r="A644" s="24" t="n"/>
      <c r="B644" s="29" t="n"/>
      <c r="C644" s="27" t="n"/>
      <c r="D644" s="31" t="n"/>
      <c r="E644" s="32" t="n"/>
      <c r="F644" s="35" t="n"/>
      <c r="G644" s="31" t="n"/>
      <c r="H644" s="20" t="str">
        <f>IF(AND(ISNUMBER(E644),ISNUMBER(F644)),E644*F644,"")</f>
        <v/>
      </c>
      <c r="I644" s="42" t="str">
        <f>IF(ISNUMBER(H644),ROUND(H644*IF(G644="挂单",'参数'!$C$11,'参数'!$C$12),4),"")</f>
        <v/>
      </c>
      <c r="J644" s="47" t="n"/>
      <c r="K644" s="47" t="n"/>
      <c r="L644" s="20" t="str">
        <f>IF(ISNUMBER(K644),K644+N(J644),IF(ISNUMBER(H644),I644+N(J644),""))</f>
        <v/>
      </c>
      <c r="M644" s="40" t="str">
        <f>IF(A644="","",IFERROR(T(INDEX('交易记录'!$C$5:$C$304,MATCH(A644,'交易记录'!$A$5:$A$304,0))),"编号没找到"))</f>
        <v/>
      </c>
      <c r="N644" s="30" t="n"/>
    </row>
    <row r="645">
      <c r="A645" s="24" t="n"/>
      <c r="B645" s="29" t="n"/>
      <c r="C645" s="27" t="n"/>
      <c r="D645" s="31" t="n"/>
      <c r="E645" s="32" t="n"/>
      <c r="F645" s="35" t="n"/>
      <c r="G645" s="31" t="n"/>
      <c r="H645" s="20" t="str">
        <f>IF(AND(ISNUMBER(E645),ISNUMBER(F645)),E645*F645,"")</f>
        <v/>
      </c>
      <c r="I645" s="42" t="str">
        <f>IF(ISNUMBER(H645),ROUND(H645*IF(G645="挂单",'参数'!$C$11,'参数'!$C$12),4),"")</f>
        <v/>
      </c>
      <c r="J645" s="47" t="n"/>
      <c r="K645" s="47" t="n"/>
      <c r="L645" s="20" t="str">
        <f>IF(ISNUMBER(K645),K645+N(J645),IF(ISNUMBER(H645),I645+N(J645),""))</f>
        <v/>
      </c>
      <c r="M645" s="40" t="str">
        <f>IF(A645="","",IFERROR(T(INDEX('交易记录'!$C$5:$C$304,MATCH(A645,'交易记录'!$A$5:$A$304,0))),"编号没找到"))</f>
        <v/>
      </c>
      <c r="N645" s="30" t="n"/>
    </row>
    <row r="646">
      <c r="A646" s="24" t="n"/>
      <c r="B646" s="29" t="n"/>
      <c r="C646" s="27" t="n"/>
      <c r="D646" s="31" t="n"/>
      <c r="E646" s="32" t="n"/>
      <c r="F646" s="35" t="n"/>
      <c r="G646" s="31" t="n"/>
      <c r="H646" s="20" t="str">
        <f>IF(AND(ISNUMBER(E646),ISNUMBER(F646)),E646*F646,"")</f>
        <v/>
      </c>
      <c r="I646" s="42" t="str">
        <f>IF(ISNUMBER(H646),ROUND(H646*IF(G646="挂单",'参数'!$C$11,'参数'!$C$12),4),"")</f>
        <v/>
      </c>
      <c r="J646" s="47" t="n"/>
      <c r="K646" s="47" t="n"/>
      <c r="L646" s="20" t="str">
        <f>IF(ISNUMBER(K646),K646+N(J646),IF(ISNUMBER(H646),I646+N(J646),""))</f>
        <v/>
      </c>
      <c r="M646" s="40" t="str">
        <f>IF(A646="","",IFERROR(T(INDEX('交易记录'!$C$5:$C$304,MATCH(A646,'交易记录'!$A$5:$A$304,0))),"编号没找到"))</f>
        <v/>
      </c>
      <c r="N646" s="30" t="n"/>
    </row>
    <row r="647">
      <c r="A647" s="24" t="n"/>
      <c r="B647" s="29" t="n"/>
      <c r="C647" s="27" t="n"/>
      <c r="D647" s="31" t="n"/>
      <c r="E647" s="32" t="n"/>
      <c r="F647" s="35" t="n"/>
      <c r="G647" s="31" t="n"/>
      <c r="H647" s="20" t="str">
        <f>IF(AND(ISNUMBER(E647),ISNUMBER(F647)),E647*F647,"")</f>
        <v/>
      </c>
      <c r="I647" s="42" t="str">
        <f>IF(ISNUMBER(H647),ROUND(H647*IF(G647="挂单",'参数'!$C$11,'参数'!$C$12),4),"")</f>
        <v/>
      </c>
      <c r="J647" s="47" t="n"/>
      <c r="K647" s="47" t="n"/>
      <c r="L647" s="20" t="str">
        <f>IF(ISNUMBER(K647),K647+N(J647),IF(ISNUMBER(H647),I647+N(J647),""))</f>
        <v/>
      </c>
      <c r="M647" s="40" t="str">
        <f>IF(A647="","",IFERROR(T(INDEX('交易记录'!$C$5:$C$304,MATCH(A647,'交易记录'!$A$5:$A$304,0))),"编号没找到"))</f>
        <v/>
      </c>
      <c r="N647" s="30" t="n"/>
    </row>
    <row r="648">
      <c r="A648" s="24" t="n"/>
      <c r="B648" s="29" t="n"/>
      <c r="C648" s="27" t="n"/>
      <c r="D648" s="31" t="n"/>
      <c r="E648" s="32" t="n"/>
      <c r="F648" s="35" t="n"/>
      <c r="G648" s="31" t="n"/>
      <c r="H648" s="20" t="str">
        <f>IF(AND(ISNUMBER(E648),ISNUMBER(F648)),E648*F648,"")</f>
        <v/>
      </c>
      <c r="I648" s="42" t="str">
        <f>IF(ISNUMBER(H648),ROUND(H648*IF(G648="挂单",'参数'!$C$11,'参数'!$C$12),4),"")</f>
        <v/>
      </c>
      <c r="J648" s="47" t="n"/>
      <c r="K648" s="47" t="n"/>
      <c r="L648" s="20" t="str">
        <f>IF(ISNUMBER(K648),K648+N(J648),IF(ISNUMBER(H648),I648+N(J648),""))</f>
        <v/>
      </c>
      <c r="M648" s="40" t="str">
        <f>IF(A648="","",IFERROR(T(INDEX('交易记录'!$C$5:$C$304,MATCH(A648,'交易记录'!$A$5:$A$304,0))),"编号没找到"))</f>
        <v/>
      </c>
      <c r="N648" s="30" t="n"/>
    </row>
    <row r="649">
      <c r="A649" s="24" t="n"/>
      <c r="B649" s="29" t="n"/>
      <c r="C649" s="27" t="n"/>
      <c r="D649" s="31" t="n"/>
      <c r="E649" s="32" t="n"/>
      <c r="F649" s="35" t="n"/>
      <c r="G649" s="31" t="n"/>
      <c r="H649" s="20" t="str">
        <f>IF(AND(ISNUMBER(E649),ISNUMBER(F649)),E649*F649,"")</f>
        <v/>
      </c>
      <c r="I649" s="42" t="str">
        <f>IF(ISNUMBER(H649),ROUND(H649*IF(G649="挂单",'参数'!$C$11,'参数'!$C$12),4),"")</f>
        <v/>
      </c>
      <c r="J649" s="47" t="n"/>
      <c r="K649" s="47" t="n"/>
      <c r="L649" s="20" t="str">
        <f>IF(ISNUMBER(K649),K649+N(J649),IF(ISNUMBER(H649),I649+N(J649),""))</f>
        <v/>
      </c>
      <c r="M649" s="40" t="str">
        <f>IF(A649="","",IFERROR(T(INDEX('交易记录'!$C$5:$C$304,MATCH(A649,'交易记录'!$A$5:$A$304,0))),"编号没找到"))</f>
        <v/>
      </c>
      <c r="N649" s="30" t="n"/>
    </row>
    <row r="650">
      <c r="A650" s="24" t="n"/>
      <c r="B650" s="29" t="n"/>
      <c r="C650" s="27" t="n"/>
      <c r="D650" s="31" t="n"/>
      <c r="E650" s="32" t="n"/>
      <c r="F650" s="35" t="n"/>
      <c r="G650" s="31" t="n"/>
      <c r="H650" s="20" t="str">
        <f>IF(AND(ISNUMBER(E650),ISNUMBER(F650)),E650*F650,"")</f>
        <v/>
      </c>
      <c r="I650" s="42" t="str">
        <f>IF(ISNUMBER(H650),ROUND(H650*IF(G650="挂单",'参数'!$C$11,'参数'!$C$12),4),"")</f>
        <v/>
      </c>
      <c r="J650" s="47" t="n"/>
      <c r="K650" s="47" t="n"/>
      <c r="L650" s="20" t="str">
        <f>IF(ISNUMBER(K650),K650+N(J650),IF(ISNUMBER(H650),I650+N(J650),""))</f>
        <v/>
      </c>
      <c r="M650" s="40" t="str">
        <f>IF(A650="","",IFERROR(T(INDEX('交易记录'!$C$5:$C$304,MATCH(A650,'交易记录'!$A$5:$A$304,0))),"编号没找到"))</f>
        <v/>
      </c>
      <c r="N650" s="30" t="n"/>
    </row>
    <row r="651">
      <c r="A651" s="24" t="n"/>
      <c r="B651" s="29" t="n"/>
      <c r="C651" s="27" t="n"/>
      <c r="D651" s="31" t="n"/>
      <c r="E651" s="32" t="n"/>
      <c r="F651" s="35" t="n"/>
      <c r="G651" s="31" t="n"/>
      <c r="H651" s="20" t="str">
        <f>IF(AND(ISNUMBER(E651),ISNUMBER(F651)),E651*F651,"")</f>
        <v/>
      </c>
      <c r="I651" s="42" t="str">
        <f>IF(ISNUMBER(H651),ROUND(H651*IF(G651="挂单",'参数'!$C$11,'参数'!$C$12),4),"")</f>
        <v/>
      </c>
      <c r="J651" s="47" t="n"/>
      <c r="K651" s="47" t="n"/>
      <c r="L651" s="20" t="str">
        <f>IF(ISNUMBER(K651),K651+N(J651),IF(ISNUMBER(H651),I651+N(J651),""))</f>
        <v/>
      </c>
      <c r="M651" s="40" t="str">
        <f>IF(A651="","",IFERROR(T(INDEX('交易记录'!$C$5:$C$304,MATCH(A651,'交易记录'!$A$5:$A$304,0))),"编号没找到"))</f>
        <v/>
      </c>
      <c r="N651" s="30" t="n"/>
    </row>
    <row r="652">
      <c r="A652" s="24" t="n"/>
      <c r="B652" s="29" t="n"/>
      <c r="C652" s="27" t="n"/>
      <c r="D652" s="31" t="n"/>
      <c r="E652" s="32" t="n"/>
      <c r="F652" s="35" t="n"/>
      <c r="G652" s="31" t="n"/>
      <c r="H652" s="20" t="str">
        <f>IF(AND(ISNUMBER(E652),ISNUMBER(F652)),E652*F652,"")</f>
        <v/>
      </c>
      <c r="I652" s="42" t="str">
        <f>IF(ISNUMBER(H652),ROUND(H652*IF(G652="挂单",'参数'!$C$11,'参数'!$C$12),4),"")</f>
        <v/>
      </c>
      <c r="J652" s="47" t="n"/>
      <c r="K652" s="47" t="n"/>
      <c r="L652" s="20" t="str">
        <f>IF(ISNUMBER(K652),K652+N(J652),IF(ISNUMBER(H652),I652+N(J652),""))</f>
        <v/>
      </c>
      <c r="M652" s="40" t="str">
        <f>IF(A652="","",IFERROR(T(INDEX('交易记录'!$C$5:$C$304,MATCH(A652,'交易记录'!$A$5:$A$304,0))),"编号没找到"))</f>
        <v/>
      </c>
      <c r="N652" s="30" t="n"/>
    </row>
    <row r="653">
      <c r="A653" s="24" t="n"/>
      <c r="B653" s="29" t="n"/>
      <c r="C653" s="27" t="n"/>
      <c r="D653" s="31" t="n"/>
      <c r="E653" s="32" t="n"/>
      <c r="F653" s="35" t="n"/>
      <c r="G653" s="31" t="n"/>
      <c r="H653" s="20" t="str">
        <f>IF(AND(ISNUMBER(E653),ISNUMBER(F653)),E653*F653,"")</f>
        <v/>
      </c>
      <c r="I653" s="42" t="str">
        <f>IF(ISNUMBER(H653),ROUND(H653*IF(G653="挂单",'参数'!$C$11,'参数'!$C$12),4),"")</f>
        <v/>
      </c>
      <c r="J653" s="47" t="n"/>
      <c r="K653" s="47" t="n"/>
      <c r="L653" s="20" t="str">
        <f>IF(ISNUMBER(K653),K653+N(J653),IF(ISNUMBER(H653),I653+N(J653),""))</f>
        <v/>
      </c>
      <c r="M653" s="40" t="str">
        <f>IF(A653="","",IFERROR(T(INDEX('交易记录'!$C$5:$C$304,MATCH(A653,'交易记录'!$A$5:$A$304,0))),"编号没找到"))</f>
        <v/>
      </c>
      <c r="N653" s="30" t="n"/>
    </row>
    <row r="654">
      <c r="A654" s="24" t="n"/>
      <c r="B654" s="29" t="n"/>
      <c r="C654" s="27" t="n"/>
      <c r="D654" s="31" t="n"/>
      <c r="E654" s="32" t="n"/>
      <c r="F654" s="35" t="n"/>
      <c r="G654" s="31" t="n"/>
      <c r="H654" s="20" t="str">
        <f>IF(AND(ISNUMBER(E654),ISNUMBER(F654)),E654*F654,"")</f>
        <v/>
      </c>
      <c r="I654" s="42" t="str">
        <f>IF(ISNUMBER(H654),ROUND(H654*IF(G654="挂单",'参数'!$C$11,'参数'!$C$12),4),"")</f>
        <v/>
      </c>
      <c r="J654" s="47" t="n"/>
      <c r="K654" s="47" t="n"/>
      <c r="L654" s="20" t="str">
        <f>IF(ISNUMBER(K654),K654+N(J654),IF(ISNUMBER(H654),I654+N(J654),""))</f>
        <v/>
      </c>
      <c r="M654" s="40" t="str">
        <f>IF(A654="","",IFERROR(T(INDEX('交易记录'!$C$5:$C$304,MATCH(A654,'交易记录'!$A$5:$A$304,0))),"编号没找到"))</f>
        <v/>
      </c>
      <c r="N654" s="30" t="n"/>
    </row>
    <row r="655">
      <c r="A655" s="24" t="n"/>
      <c r="B655" s="29" t="n"/>
      <c r="C655" s="27" t="n"/>
      <c r="D655" s="31" t="n"/>
      <c r="E655" s="32" t="n"/>
      <c r="F655" s="35" t="n"/>
      <c r="G655" s="31" t="n"/>
      <c r="H655" s="20" t="str">
        <f>IF(AND(ISNUMBER(E655),ISNUMBER(F655)),E655*F655,"")</f>
        <v/>
      </c>
      <c r="I655" s="42" t="str">
        <f>IF(ISNUMBER(H655),ROUND(H655*IF(G655="挂单",'参数'!$C$11,'参数'!$C$12),4),"")</f>
        <v/>
      </c>
      <c r="J655" s="47" t="n"/>
      <c r="K655" s="47" t="n"/>
      <c r="L655" s="20" t="str">
        <f>IF(ISNUMBER(K655),K655+N(J655),IF(ISNUMBER(H655),I655+N(J655),""))</f>
        <v/>
      </c>
      <c r="M655" s="40" t="str">
        <f>IF(A655="","",IFERROR(T(INDEX('交易记录'!$C$5:$C$304,MATCH(A655,'交易记录'!$A$5:$A$304,0))),"编号没找到"))</f>
        <v/>
      </c>
      <c r="N655" s="30" t="n"/>
    </row>
    <row r="656">
      <c r="A656" s="24" t="n"/>
      <c r="B656" s="29" t="n"/>
      <c r="C656" s="27" t="n"/>
      <c r="D656" s="31" t="n"/>
      <c r="E656" s="32" t="n"/>
      <c r="F656" s="35" t="n"/>
      <c r="G656" s="31" t="n"/>
      <c r="H656" s="20" t="str">
        <f>IF(AND(ISNUMBER(E656),ISNUMBER(F656)),E656*F656,"")</f>
        <v/>
      </c>
      <c r="I656" s="42" t="str">
        <f>IF(ISNUMBER(H656),ROUND(H656*IF(G656="挂单",'参数'!$C$11,'参数'!$C$12),4),"")</f>
        <v/>
      </c>
      <c r="J656" s="47" t="n"/>
      <c r="K656" s="47" t="n"/>
      <c r="L656" s="20" t="str">
        <f>IF(ISNUMBER(K656),K656+N(J656),IF(ISNUMBER(H656),I656+N(J656),""))</f>
        <v/>
      </c>
      <c r="M656" s="40" t="str">
        <f>IF(A656="","",IFERROR(T(INDEX('交易记录'!$C$5:$C$304,MATCH(A656,'交易记录'!$A$5:$A$304,0))),"编号没找到"))</f>
        <v/>
      </c>
      <c r="N656" s="30" t="n"/>
    </row>
    <row r="657">
      <c r="A657" s="24" t="n"/>
      <c r="B657" s="29" t="n"/>
      <c r="C657" s="27" t="n"/>
      <c r="D657" s="31" t="n"/>
      <c r="E657" s="32" t="n"/>
      <c r="F657" s="35" t="n"/>
      <c r="G657" s="31" t="n"/>
      <c r="H657" s="20" t="str">
        <f>IF(AND(ISNUMBER(E657),ISNUMBER(F657)),E657*F657,"")</f>
        <v/>
      </c>
      <c r="I657" s="42" t="str">
        <f>IF(ISNUMBER(H657),ROUND(H657*IF(G657="挂单",'参数'!$C$11,'参数'!$C$12),4),"")</f>
        <v/>
      </c>
      <c r="J657" s="47" t="n"/>
      <c r="K657" s="47" t="n"/>
      <c r="L657" s="20" t="str">
        <f>IF(ISNUMBER(K657),K657+N(J657),IF(ISNUMBER(H657),I657+N(J657),""))</f>
        <v/>
      </c>
      <c r="M657" s="40" t="str">
        <f>IF(A657="","",IFERROR(T(INDEX('交易记录'!$C$5:$C$304,MATCH(A657,'交易记录'!$A$5:$A$304,0))),"编号没找到"))</f>
        <v/>
      </c>
      <c r="N657" s="30" t="n"/>
    </row>
    <row r="658">
      <c r="A658" s="24" t="n"/>
      <c r="B658" s="29" t="n"/>
      <c r="C658" s="27" t="n"/>
      <c r="D658" s="31" t="n"/>
      <c r="E658" s="32" t="n"/>
      <c r="F658" s="35" t="n"/>
      <c r="G658" s="31" t="n"/>
      <c r="H658" s="20" t="str">
        <f>IF(AND(ISNUMBER(E658),ISNUMBER(F658)),E658*F658,"")</f>
        <v/>
      </c>
      <c r="I658" s="42" t="str">
        <f>IF(ISNUMBER(H658),ROUND(H658*IF(G658="挂单",'参数'!$C$11,'参数'!$C$12),4),"")</f>
        <v/>
      </c>
      <c r="J658" s="47" t="n"/>
      <c r="K658" s="47" t="n"/>
      <c r="L658" s="20" t="str">
        <f>IF(ISNUMBER(K658),K658+N(J658),IF(ISNUMBER(H658),I658+N(J658),""))</f>
        <v/>
      </c>
      <c r="M658" s="40" t="str">
        <f>IF(A658="","",IFERROR(T(INDEX('交易记录'!$C$5:$C$304,MATCH(A658,'交易记录'!$A$5:$A$304,0))),"编号没找到"))</f>
        <v/>
      </c>
      <c r="N658" s="30" t="n"/>
    </row>
    <row r="659">
      <c r="A659" s="24" t="n"/>
      <c r="B659" s="29" t="n"/>
      <c r="C659" s="27" t="n"/>
      <c r="D659" s="31" t="n"/>
      <c r="E659" s="32" t="n"/>
      <c r="F659" s="35" t="n"/>
      <c r="G659" s="31" t="n"/>
      <c r="H659" s="20" t="str">
        <f>IF(AND(ISNUMBER(E659),ISNUMBER(F659)),E659*F659,"")</f>
        <v/>
      </c>
      <c r="I659" s="42" t="str">
        <f>IF(ISNUMBER(H659),ROUND(H659*IF(G659="挂单",'参数'!$C$11,'参数'!$C$12),4),"")</f>
        <v/>
      </c>
      <c r="J659" s="47" t="n"/>
      <c r="K659" s="47" t="n"/>
      <c r="L659" s="20" t="str">
        <f>IF(ISNUMBER(K659),K659+N(J659),IF(ISNUMBER(H659),I659+N(J659),""))</f>
        <v/>
      </c>
      <c r="M659" s="40" t="str">
        <f>IF(A659="","",IFERROR(T(INDEX('交易记录'!$C$5:$C$304,MATCH(A659,'交易记录'!$A$5:$A$304,0))),"编号没找到"))</f>
        <v/>
      </c>
      <c r="N659" s="30" t="n"/>
    </row>
    <row r="660">
      <c r="A660" s="24" t="n"/>
      <c r="B660" s="29" t="n"/>
      <c r="C660" s="27" t="n"/>
      <c r="D660" s="31" t="n"/>
      <c r="E660" s="32" t="n"/>
      <c r="F660" s="35" t="n"/>
      <c r="G660" s="31" t="n"/>
      <c r="H660" s="20" t="str">
        <f>IF(AND(ISNUMBER(E660),ISNUMBER(F660)),E660*F660,"")</f>
        <v/>
      </c>
      <c r="I660" s="42" t="str">
        <f>IF(ISNUMBER(H660),ROUND(H660*IF(G660="挂单",'参数'!$C$11,'参数'!$C$12),4),"")</f>
        <v/>
      </c>
      <c r="J660" s="47" t="n"/>
      <c r="K660" s="47" t="n"/>
      <c r="L660" s="20" t="str">
        <f>IF(ISNUMBER(K660),K660+N(J660),IF(ISNUMBER(H660),I660+N(J660),""))</f>
        <v/>
      </c>
      <c r="M660" s="40" t="str">
        <f>IF(A660="","",IFERROR(T(INDEX('交易记录'!$C$5:$C$304,MATCH(A660,'交易记录'!$A$5:$A$304,0))),"编号没找到"))</f>
        <v/>
      </c>
      <c r="N660" s="30" t="n"/>
    </row>
    <row r="661">
      <c r="A661" s="24" t="n"/>
      <c r="B661" s="29" t="n"/>
      <c r="C661" s="27" t="n"/>
      <c r="D661" s="31" t="n"/>
      <c r="E661" s="32" t="n"/>
      <c r="F661" s="35" t="n"/>
      <c r="G661" s="31" t="n"/>
      <c r="H661" s="20" t="str">
        <f>IF(AND(ISNUMBER(E661),ISNUMBER(F661)),E661*F661,"")</f>
        <v/>
      </c>
      <c r="I661" s="42" t="str">
        <f>IF(ISNUMBER(H661),ROUND(H661*IF(G661="挂单",'参数'!$C$11,'参数'!$C$12),4),"")</f>
        <v/>
      </c>
      <c r="J661" s="47" t="n"/>
      <c r="K661" s="47" t="n"/>
      <c r="L661" s="20" t="str">
        <f>IF(ISNUMBER(K661),K661+N(J661),IF(ISNUMBER(H661),I661+N(J661),""))</f>
        <v/>
      </c>
      <c r="M661" s="40" t="str">
        <f>IF(A661="","",IFERROR(T(INDEX('交易记录'!$C$5:$C$304,MATCH(A661,'交易记录'!$A$5:$A$304,0))),"编号没找到"))</f>
        <v/>
      </c>
      <c r="N661" s="30" t="n"/>
    </row>
    <row r="662">
      <c r="A662" s="24" t="n"/>
      <c r="B662" s="29" t="n"/>
      <c r="C662" s="27" t="n"/>
      <c r="D662" s="31" t="n"/>
      <c r="E662" s="32" t="n"/>
      <c r="F662" s="35" t="n"/>
      <c r="G662" s="31" t="n"/>
      <c r="H662" s="20" t="str">
        <f>IF(AND(ISNUMBER(E662),ISNUMBER(F662)),E662*F662,"")</f>
        <v/>
      </c>
      <c r="I662" s="42" t="str">
        <f>IF(ISNUMBER(H662),ROUND(H662*IF(G662="挂单",'参数'!$C$11,'参数'!$C$12),4),"")</f>
        <v/>
      </c>
      <c r="J662" s="47" t="n"/>
      <c r="K662" s="47" t="n"/>
      <c r="L662" s="20" t="str">
        <f>IF(ISNUMBER(K662),K662+N(J662),IF(ISNUMBER(H662),I662+N(J662),""))</f>
        <v/>
      </c>
      <c r="M662" s="40" t="str">
        <f>IF(A662="","",IFERROR(T(INDEX('交易记录'!$C$5:$C$304,MATCH(A662,'交易记录'!$A$5:$A$304,0))),"编号没找到"))</f>
        <v/>
      </c>
      <c r="N662" s="30" t="n"/>
    </row>
    <row r="663">
      <c r="A663" s="24" t="n"/>
      <c r="B663" s="29" t="n"/>
      <c r="C663" s="27" t="n"/>
      <c r="D663" s="31" t="n"/>
      <c r="E663" s="32" t="n"/>
      <c r="F663" s="35" t="n"/>
      <c r="G663" s="31" t="n"/>
      <c r="H663" s="20" t="str">
        <f>IF(AND(ISNUMBER(E663),ISNUMBER(F663)),E663*F663,"")</f>
        <v/>
      </c>
      <c r="I663" s="42" t="str">
        <f>IF(ISNUMBER(H663),ROUND(H663*IF(G663="挂单",'参数'!$C$11,'参数'!$C$12),4),"")</f>
        <v/>
      </c>
      <c r="J663" s="47" t="n"/>
      <c r="K663" s="47" t="n"/>
      <c r="L663" s="20" t="str">
        <f>IF(ISNUMBER(K663),K663+N(J663),IF(ISNUMBER(H663),I663+N(J663),""))</f>
        <v/>
      </c>
      <c r="M663" s="40" t="str">
        <f>IF(A663="","",IFERROR(T(INDEX('交易记录'!$C$5:$C$304,MATCH(A663,'交易记录'!$A$5:$A$304,0))),"编号没找到"))</f>
        <v/>
      </c>
      <c r="N663" s="30" t="n"/>
    </row>
    <row r="664">
      <c r="A664" s="24" t="n"/>
      <c r="B664" s="29" t="n"/>
      <c r="C664" s="27" t="n"/>
      <c r="D664" s="31" t="n"/>
      <c r="E664" s="32" t="n"/>
      <c r="F664" s="35" t="n"/>
      <c r="G664" s="31" t="n"/>
      <c r="H664" s="20" t="str">
        <f>IF(AND(ISNUMBER(E664),ISNUMBER(F664)),E664*F664,"")</f>
        <v/>
      </c>
      <c r="I664" s="42" t="str">
        <f>IF(ISNUMBER(H664),ROUND(H664*IF(G664="挂单",'参数'!$C$11,'参数'!$C$12),4),"")</f>
        <v/>
      </c>
      <c r="J664" s="47" t="n"/>
      <c r="K664" s="47" t="n"/>
      <c r="L664" s="20" t="str">
        <f>IF(ISNUMBER(K664),K664+N(J664),IF(ISNUMBER(H664),I664+N(J664),""))</f>
        <v/>
      </c>
      <c r="M664" s="40" t="str">
        <f>IF(A664="","",IFERROR(T(INDEX('交易记录'!$C$5:$C$304,MATCH(A664,'交易记录'!$A$5:$A$304,0))),"编号没找到"))</f>
        <v/>
      </c>
      <c r="N664" s="30" t="n"/>
    </row>
    <row r="665">
      <c r="A665" s="24" t="n"/>
      <c r="B665" s="29" t="n"/>
      <c r="C665" s="27" t="n"/>
      <c r="D665" s="31" t="n"/>
      <c r="E665" s="32" t="n"/>
      <c r="F665" s="35" t="n"/>
      <c r="G665" s="31" t="n"/>
      <c r="H665" s="20" t="str">
        <f>IF(AND(ISNUMBER(E665),ISNUMBER(F665)),E665*F665,"")</f>
        <v/>
      </c>
      <c r="I665" s="42" t="str">
        <f>IF(ISNUMBER(H665),ROUND(H665*IF(G665="挂单",'参数'!$C$11,'参数'!$C$12),4),"")</f>
        <v/>
      </c>
      <c r="J665" s="47" t="n"/>
      <c r="K665" s="47" t="n"/>
      <c r="L665" s="20" t="str">
        <f>IF(ISNUMBER(K665),K665+N(J665),IF(ISNUMBER(H665),I665+N(J665),""))</f>
        <v/>
      </c>
      <c r="M665" s="40" t="str">
        <f>IF(A665="","",IFERROR(T(INDEX('交易记录'!$C$5:$C$304,MATCH(A665,'交易记录'!$A$5:$A$304,0))),"编号没找到"))</f>
        <v/>
      </c>
      <c r="N665" s="30" t="n"/>
    </row>
    <row r="666">
      <c r="A666" s="24" t="n"/>
      <c r="B666" s="29" t="n"/>
      <c r="C666" s="27" t="n"/>
      <c r="D666" s="31" t="n"/>
      <c r="E666" s="32" t="n"/>
      <c r="F666" s="35" t="n"/>
      <c r="G666" s="31" t="n"/>
      <c r="H666" s="20" t="str">
        <f>IF(AND(ISNUMBER(E666),ISNUMBER(F666)),E666*F666,"")</f>
        <v/>
      </c>
      <c r="I666" s="42" t="str">
        <f>IF(ISNUMBER(H666),ROUND(H666*IF(G666="挂单",'参数'!$C$11,'参数'!$C$12),4),"")</f>
        <v/>
      </c>
      <c r="J666" s="47" t="n"/>
      <c r="K666" s="47" t="n"/>
      <c r="L666" s="20" t="str">
        <f>IF(ISNUMBER(K666),K666+N(J666),IF(ISNUMBER(H666),I666+N(J666),""))</f>
        <v/>
      </c>
      <c r="M666" s="40" t="str">
        <f>IF(A666="","",IFERROR(T(INDEX('交易记录'!$C$5:$C$304,MATCH(A666,'交易记录'!$A$5:$A$304,0))),"编号没找到"))</f>
        <v/>
      </c>
      <c r="N666" s="30" t="n"/>
    </row>
    <row r="667">
      <c r="A667" s="24" t="n"/>
      <c r="B667" s="29" t="n"/>
      <c r="C667" s="27" t="n"/>
      <c r="D667" s="31" t="n"/>
      <c r="E667" s="32" t="n"/>
      <c r="F667" s="35" t="n"/>
      <c r="G667" s="31" t="n"/>
      <c r="H667" s="20" t="str">
        <f>IF(AND(ISNUMBER(E667),ISNUMBER(F667)),E667*F667,"")</f>
        <v/>
      </c>
      <c r="I667" s="42" t="str">
        <f>IF(ISNUMBER(H667),ROUND(H667*IF(G667="挂单",'参数'!$C$11,'参数'!$C$12),4),"")</f>
        <v/>
      </c>
      <c r="J667" s="47" t="n"/>
      <c r="K667" s="47" t="n"/>
      <c r="L667" s="20" t="str">
        <f>IF(ISNUMBER(K667),K667+N(J667),IF(ISNUMBER(H667),I667+N(J667),""))</f>
        <v/>
      </c>
      <c r="M667" s="40" t="str">
        <f>IF(A667="","",IFERROR(T(INDEX('交易记录'!$C$5:$C$304,MATCH(A667,'交易记录'!$A$5:$A$304,0))),"编号没找到"))</f>
        <v/>
      </c>
      <c r="N667" s="30" t="n"/>
    </row>
    <row r="668">
      <c r="A668" s="24" t="n"/>
      <c r="B668" s="29" t="n"/>
      <c r="C668" s="27" t="n"/>
      <c r="D668" s="31" t="n"/>
      <c r="E668" s="32" t="n"/>
      <c r="F668" s="35" t="n"/>
      <c r="G668" s="31" t="n"/>
      <c r="H668" s="20" t="str">
        <f>IF(AND(ISNUMBER(E668),ISNUMBER(F668)),E668*F668,"")</f>
        <v/>
      </c>
      <c r="I668" s="42" t="str">
        <f>IF(ISNUMBER(H668),ROUND(H668*IF(G668="挂单",'参数'!$C$11,'参数'!$C$12),4),"")</f>
        <v/>
      </c>
      <c r="J668" s="47" t="n"/>
      <c r="K668" s="47" t="n"/>
      <c r="L668" s="20" t="str">
        <f>IF(ISNUMBER(K668),K668+N(J668),IF(ISNUMBER(H668),I668+N(J668),""))</f>
        <v/>
      </c>
      <c r="M668" s="40" t="str">
        <f>IF(A668="","",IFERROR(T(INDEX('交易记录'!$C$5:$C$304,MATCH(A668,'交易记录'!$A$5:$A$304,0))),"编号没找到"))</f>
        <v/>
      </c>
      <c r="N668" s="30" t="n"/>
    </row>
    <row r="669">
      <c r="A669" s="24" t="n"/>
      <c r="B669" s="29" t="n"/>
      <c r="C669" s="27" t="n"/>
      <c r="D669" s="31" t="n"/>
      <c r="E669" s="32" t="n"/>
      <c r="F669" s="35" t="n"/>
      <c r="G669" s="31" t="n"/>
      <c r="H669" s="20" t="str">
        <f>IF(AND(ISNUMBER(E669),ISNUMBER(F669)),E669*F669,"")</f>
        <v/>
      </c>
      <c r="I669" s="42" t="str">
        <f>IF(ISNUMBER(H669),ROUND(H669*IF(G669="挂单",'参数'!$C$11,'参数'!$C$12),4),"")</f>
        <v/>
      </c>
      <c r="J669" s="47" t="n"/>
      <c r="K669" s="47" t="n"/>
      <c r="L669" s="20" t="str">
        <f>IF(ISNUMBER(K669),K669+N(J669),IF(ISNUMBER(H669),I669+N(J669),""))</f>
        <v/>
      </c>
      <c r="M669" s="40" t="str">
        <f>IF(A669="","",IFERROR(T(INDEX('交易记录'!$C$5:$C$304,MATCH(A669,'交易记录'!$A$5:$A$304,0))),"编号没找到"))</f>
        <v/>
      </c>
      <c r="N669" s="30" t="n"/>
    </row>
    <row r="670">
      <c r="A670" s="24" t="n"/>
      <c r="B670" s="29" t="n"/>
      <c r="C670" s="27" t="n"/>
      <c r="D670" s="31" t="n"/>
      <c r="E670" s="32" t="n"/>
      <c r="F670" s="35" t="n"/>
      <c r="G670" s="31" t="n"/>
      <c r="H670" s="20" t="str">
        <f>IF(AND(ISNUMBER(E670),ISNUMBER(F670)),E670*F670,"")</f>
        <v/>
      </c>
      <c r="I670" s="42" t="str">
        <f>IF(ISNUMBER(H670),ROUND(H670*IF(G670="挂单",'参数'!$C$11,'参数'!$C$12),4),"")</f>
        <v/>
      </c>
      <c r="J670" s="47" t="n"/>
      <c r="K670" s="47" t="n"/>
      <c r="L670" s="20" t="str">
        <f>IF(ISNUMBER(K670),K670+N(J670),IF(ISNUMBER(H670),I670+N(J670),""))</f>
        <v/>
      </c>
      <c r="M670" s="40" t="str">
        <f>IF(A670="","",IFERROR(T(INDEX('交易记录'!$C$5:$C$304,MATCH(A670,'交易记录'!$A$5:$A$304,0))),"编号没找到"))</f>
        <v/>
      </c>
      <c r="N670" s="30" t="n"/>
    </row>
    <row r="671">
      <c r="A671" s="24" t="n"/>
      <c r="B671" s="29" t="n"/>
      <c r="C671" s="27" t="n"/>
      <c r="D671" s="31" t="n"/>
      <c r="E671" s="32" t="n"/>
      <c r="F671" s="35" t="n"/>
      <c r="G671" s="31" t="n"/>
      <c r="H671" s="20" t="str">
        <f>IF(AND(ISNUMBER(E671),ISNUMBER(F671)),E671*F671,"")</f>
        <v/>
      </c>
      <c r="I671" s="42" t="str">
        <f>IF(ISNUMBER(H671),ROUND(H671*IF(G671="挂单",'参数'!$C$11,'参数'!$C$12),4),"")</f>
        <v/>
      </c>
      <c r="J671" s="47" t="n"/>
      <c r="K671" s="47" t="n"/>
      <c r="L671" s="20" t="str">
        <f>IF(ISNUMBER(K671),K671+N(J671),IF(ISNUMBER(H671),I671+N(J671),""))</f>
        <v/>
      </c>
      <c r="M671" s="40" t="str">
        <f>IF(A671="","",IFERROR(T(INDEX('交易记录'!$C$5:$C$304,MATCH(A671,'交易记录'!$A$5:$A$304,0))),"编号没找到"))</f>
        <v/>
      </c>
      <c r="N671" s="30" t="n"/>
    </row>
    <row r="672">
      <c r="A672" s="24" t="n"/>
      <c r="B672" s="29" t="n"/>
      <c r="C672" s="27" t="n"/>
      <c r="D672" s="31" t="n"/>
      <c r="E672" s="32" t="n"/>
      <c r="F672" s="35" t="n"/>
      <c r="G672" s="31" t="n"/>
      <c r="H672" s="20" t="str">
        <f>IF(AND(ISNUMBER(E672),ISNUMBER(F672)),E672*F672,"")</f>
        <v/>
      </c>
      <c r="I672" s="42" t="str">
        <f>IF(ISNUMBER(H672),ROUND(H672*IF(G672="挂单",'参数'!$C$11,'参数'!$C$12),4),"")</f>
        <v/>
      </c>
      <c r="J672" s="47" t="n"/>
      <c r="K672" s="47" t="n"/>
      <c r="L672" s="20" t="str">
        <f>IF(ISNUMBER(K672),K672+N(J672),IF(ISNUMBER(H672),I672+N(J672),""))</f>
        <v/>
      </c>
      <c r="M672" s="40" t="str">
        <f>IF(A672="","",IFERROR(T(INDEX('交易记录'!$C$5:$C$304,MATCH(A672,'交易记录'!$A$5:$A$304,0))),"编号没找到"))</f>
        <v/>
      </c>
      <c r="N672" s="30" t="n"/>
    </row>
    <row r="673">
      <c r="A673" s="24" t="n"/>
      <c r="B673" s="29" t="n"/>
      <c r="C673" s="27" t="n"/>
      <c r="D673" s="31" t="n"/>
      <c r="E673" s="32" t="n"/>
      <c r="F673" s="35" t="n"/>
      <c r="G673" s="31" t="n"/>
      <c r="H673" s="20" t="str">
        <f>IF(AND(ISNUMBER(E673),ISNUMBER(F673)),E673*F673,"")</f>
        <v/>
      </c>
      <c r="I673" s="42" t="str">
        <f>IF(ISNUMBER(H673),ROUND(H673*IF(G673="挂单",'参数'!$C$11,'参数'!$C$12),4),"")</f>
        <v/>
      </c>
      <c r="J673" s="47" t="n"/>
      <c r="K673" s="47" t="n"/>
      <c r="L673" s="20" t="str">
        <f>IF(ISNUMBER(K673),K673+N(J673),IF(ISNUMBER(H673),I673+N(J673),""))</f>
        <v/>
      </c>
      <c r="M673" s="40" t="str">
        <f>IF(A673="","",IFERROR(T(INDEX('交易记录'!$C$5:$C$304,MATCH(A673,'交易记录'!$A$5:$A$304,0))),"编号没找到"))</f>
        <v/>
      </c>
      <c r="N673" s="30" t="n"/>
    </row>
    <row r="674">
      <c r="A674" s="24" t="n"/>
      <c r="B674" s="29" t="n"/>
      <c r="C674" s="27" t="n"/>
      <c r="D674" s="31" t="n"/>
      <c r="E674" s="32" t="n"/>
      <c r="F674" s="35" t="n"/>
      <c r="G674" s="31" t="n"/>
      <c r="H674" s="20" t="str">
        <f>IF(AND(ISNUMBER(E674),ISNUMBER(F674)),E674*F674,"")</f>
        <v/>
      </c>
      <c r="I674" s="42" t="str">
        <f>IF(ISNUMBER(H674),ROUND(H674*IF(G674="挂单",'参数'!$C$11,'参数'!$C$12),4),"")</f>
        <v/>
      </c>
      <c r="J674" s="47" t="n"/>
      <c r="K674" s="47" t="n"/>
      <c r="L674" s="20" t="str">
        <f>IF(ISNUMBER(K674),K674+N(J674),IF(ISNUMBER(H674),I674+N(J674),""))</f>
        <v/>
      </c>
      <c r="M674" s="40" t="str">
        <f>IF(A674="","",IFERROR(T(INDEX('交易记录'!$C$5:$C$304,MATCH(A674,'交易记录'!$A$5:$A$304,0))),"编号没找到"))</f>
        <v/>
      </c>
      <c r="N674" s="30" t="n"/>
    </row>
    <row r="675">
      <c r="A675" s="24" t="n"/>
      <c r="B675" s="29" t="n"/>
      <c r="C675" s="27" t="n"/>
      <c r="D675" s="31" t="n"/>
      <c r="E675" s="32" t="n"/>
      <c r="F675" s="35" t="n"/>
      <c r="G675" s="31" t="n"/>
      <c r="H675" s="20" t="str">
        <f>IF(AND(ISNUMBER(E675),ISNUMBER(F675)),E675*F675,"")</f>
        <v/>
      </c>
      <c r="I675" s="42" t="str">
        <f>IF(ISNUMBER(H675),ROUND(H675*IF(G675="挂单",'参数'!$C$11,'参数'!$C$12),4),"")</f>
        <v/>
      </c>
      <c r="J675" s="47" t="n"/>
      <c r="K675" s="47" t="n"/>
      <c r="L675" s="20" t="str">
        <f>IF(ISNUMBER(K675),K675+N(J675),IF(ISNUMBER(H675),I675+N(J675),""))</f>
        <v/>
      </c>
      <c r="M675" s="40" t="str">
        <f>IF(A675="","",IFERROR(T(INDEX('交易记录'!$C$5:$C$304,MATCH(A675,'交易记录'!$A$5:$A$304,0))),"编号没找到"))</f>
        <v/>
      </c>
      <c r="N675" s="30" t="n"/>
    </row>
    <row r="676">
      <c r="A676" s="24" t="n"/>
      <c r="B676" s="29" t="n"/>
      <c r="C676" s="27" t="n"/>
      <c r="D676" s="31" t="n"/>
      <c r="E676" s="32" t="n"/>
      <c r="F676" s="35" t="n"/>
      <c r="G676" s="31" t="n"/>
      <c r="H676" s="20" t="str">
        <f>IF(AND(ISNUMBER(E676),ISNUMBER(F676)),E676*F676,"")</f>
        <v/>
      </c>
      <c r="I676" s="42" t="str">
        <f>IF(ISNUMBER(H676),ROUND(H676*IF(G676="挂单",'参数'!$C$11,'参数'!$C$12),4),"")</f>
        <v/>
      </c>
      <c r="J676" s="47" t="n"/>
      <c r="K676" s="47" t="n"/>
      <c r="L676" s="20" t="str">
        <f>IF(ISNUMBER(K676),K676+N(J676),IF(ISNUMBER(H676),I676+N(J676),""))</f>
        <v/>
      </c>
      <c r="M676" s="40" t="str">
        <f>IF(A676="","",IFERROR(T(INDEX('交易记录'!$C$5:$C$304,MATCH(A676,'交易记录'!$A$5:$A$304,0))),"编号没找到"))</f>
        <v/>
      </c>
      <c r="N676" s="30" t="n"/>
    </row>
    <row r="677">
      <c r="A677" s="24" t="n"/>
      <c r="B677" s="29" t="n"/>
      <c r="C677" s="27" t="n"/>
      <c r="D677" s="31" t="n"/>
      <c r="E677" s="32" t="n"/>
      <c r="F677" s="35" t="n"/>
      <c r="G677" s="31" t="n"/>
      <c r="H677" s="20" t="str">
        <f>IF(AND(ISNUMBER(E677),ISNUMBER(F677)),E677*F677,"")</f>
        <v/>
      </c>
      <c r="I677" s="42" t="str">
        <f>IF(ISNUMBER(H677),ROUND(H677*IF(G677="挂单",'参数'!$C$11,'参数'!$C$12),4),"")</f>
        <v/>
      </c>
      <c r="J677" s="47" t="n"/>
      <c r="K677" s="47" t="n"/>
      <c r="L677" s="20" t="str">
        <f>IF(ISNUMBER(K677),K677+N(J677),IF(ISNUMBER(H677),I677+N(J677),""))</f>
        <v/>
      </c>
      <c r="M677" s="40" t="str">
        <f>IF(A677="","",IFERROR(T(INDEX('交易记录'!$C$5:$C$304,MATCH(A677,'交易记录'!$A$5:$A$304,0))),"编号没找到"))</f>
        <v/>
      </c>
      <c r="N677" s="30" t="n"/>
    </row>
    <row r="678">
      <c r="A678" s="24" t="n"/>
      <c r="B678" s="29" t="n"/>
      <c r="C678" s="27" t="n"/>
      <c r="D678" s="31" t="n"/>
      <c r="E678" s="32" t="n"/>
      <c r="F678" s="35" t="n"/>
      <c r="G678" s="31" t="n"/>
      <c r="H678" s="20" t="str">
        <f>IF(AND(ISNUMBER(E678),ISNUMBER(F678)),E678*F678,"")</f>
        <v/>
      </c>
      <c r="I678" s="42" t="str">
        <f>IF(ISNUMBER(H678),ROUND(H678*IF(G678="挂单",'参数'!$C$11,'参数'!$C$12),4),"")</f>
        <v/>
      </c>
      <c r="J678" s="47" t="n"/>
      <c r="K678" s="47" t="n"/>
      <c r="L678" s="20" t="str">
        <f>IF(ISNUMBER(K678),K678+N(J678),IF(ISNUMBER(H678),I678+N(J678),""))</f>
        <v/>
      </c>
      <c r="M678" s="40" t="str">
        <f>IF(A678="","",IFERROR(T(INDEX('交易记录'!$C$5:$C$304,MATCH(A678,'交易记录'!$A$5:$A$304,0))),"编号没找到"))</f>
        <v/>
      </c>
      <c r="N678" s="30" t="n"/>
    </row>
    <row r="679">
      <c r="A679" s="24" t="n"/>
      <c r="B679" s="29" t="n"/>
      <c r="C679" s="27" t="n"/>
      <c r="D679" s="31" t="n"/>
      <c r="E679" s="32" t="n"/>
      <c r="F679" s="35" t="n"/>
      <c r="G679" s="31" t="n"/>
      <c r="H679" s="20" t="str">
        <f>IF(AND(ISNUMBER(E679),ISNUMBER(F679)),E679*F679,"")</f>
        <v/>
      </c>
      <c r="I679" s="42" t="str">
        <f>IF(ISNUMBER(H679),ROUND(H679*IF(G679="挂单",'参数'!$C$11,'参数'!$C$12),4),"")</f>
        <v/>
      </c>
      <c r="J679" s="47" t="n"/>
      <c r="K679" s="47" t="n"/>
      <c r="L679" s="20" t="str">
        <f>IF(ISNUMBER(K679),K679+N(J679),IF(ISNUMBER(H679),I679+N(J679),""))</f>
        <v/>
      </c>
      <c r="M679" s="40" t="str">
        <f>IF(A679="","",IFERROR(T(INDEX('交易记录'!$C$5:$C$304,MATCH(A679,'交易记录'!$A$5:$A$304,0))),"编号没找到"))</f>
        <v/>
      </c>
      <c r="N679" s="30" t="n"/>
    </row>
    <row r="680">
      <c r="A680" s="24" t="n"/>
      <c r="B680" s="29" t="n"/>
      <c r="C680" s="27" t="n"/>
      <c r="D680" s="31" t="n"/>
      <c r="E680" s="32" t="n"/>
      <c r="F680" s="35" t="n"/>
      <c r="G680" s="31" t="n"/>
      <c r="H680" s="20" t="str">
        <f>IF(AND(ISNUMBER(E680),ISNUMBER(F680)),E680*F680,"")</f>
        <v/>
      </c>
      <c r="I680" s="42" t="str">
        <f>IF(ISNUMBER(H680),ROUND(H680*IF(G680="挂单",'参数'!$C$11,'参数'!$C$12),4),"")</f>
        <v/>
      </c>
      <c r="J680" s="47" t="n"/>
      <c r="K680" s="47" t="n"/>
      <c r="L680" s="20" t="str">
        <f>IF(ISNUMBER(K680),K680+N(J680),IF(ISNUMBER(H680),I680+N(J680),""))</f>
        <v/>
      </c>
      <c r="M680" s="40" t="str">
        <f>IF(A680="","",IFERROR(T(INDEX('交易记录'!$C$5:$C$304,MATCH(A680,'交易记录'!$A$5:$A$304,0))),"编号没找到"))</f>
        <v/>
      </c>
      <c r="N680" s="30" t="n"/>
    </row>
    <row r="681">
      <c r="A681" s="24" t="n"/>
      <c r="B681" s="29" t="n"/>
      <c r="C681" s="27" t="n"/>
      <c r="D681" s="31" t="n"/>
      <c r="E681" s="32" t="n"/>
      <c r="F681" s="35" t="n"/>
      <c r="G681" s="31" t="n"/>
      <c r="H681" s="20" t="str">
        <f>IF(AND(ISNUMBER(E681),ISNUMBER(F681)),E681*F681,"")</f>
        <v/>
      </c>
      <c r="I681" s="42" t="str">
        <f>IF(ISNUMBER(H681),ROUND(H681*IF(G681="挂单",'参数'!$C$11,'参数'!$C$12),4),"")</f>
        <v/>
      </c>
      <c r="J681" s="47" t="n"/>
      <c r="K681" s="47" t="n"/>
      <c r="L681" s="20" t="str">
        <f>IF(ISNUMBER(K681),K681+N(J681),IF(ISNUMBER(H681),I681+N(J681),""))</f>
        <v/>
      </c>
      <c r="M681" s="40" t="str">
        <f>IF(A681="","",IFERROR(T(INDEX('交易记录'!$C$5:$C$304,MATCH(A681,'交易记录'!$A$5:$A$304,0))),"编号没找到"))</f>
        <v/>
      </c>
      <c r="N681" s="30" t="n"/>
    </row>
    <row r="682">
      <c r="A682" s="24" t="n"/>
      <c r="B682" s="29" t="n"/>
      <c r="C682" s="27" t="n"/>
      <c r="D682" s="31" t="n"/>
      <c r="E682" s="32" t="n"/>
      <c r="F682" s="35" t="n"/>
      <c r="G682" s="31" t="n"/>
      <c r="H682" s="20" t="str">
        <f>IF(AND(ISNUMBER(E682),ISNUMBER(F682)),E682*F682,"")</f>
        <v/>
      </c>
      <c r="I682" s="42" t="str">
        <f>IF(ISNUMBER(H682),ROUND(H682*IF(G682="挂单",'参数'!$C$11,'参数'!$C$12),4),"")</f>
        <v/>
      </c>
      <c r="J682" s="47" t="n"/>
      <c r="K682" s="47" t="n"/>
      <c r="L682" s="20" t="str">
        <f>IF(ISNUMBER(K682),K682+N(J682),IF(ISNUMBER(H682),I682+N(J682),""))</f>
        <v/>
      </c>
      <c r="M682" s="40" t="str">
        <f>IF(A682="","",IFERROR(T(INDEX('交易记录'!$C$5:$C$304,MATCH(A682,'交易记录'!$A$5:$A$304,0))),"编号没找到"))</f>
        <v/>
      </c>
      <c r="N682" s="30" t="n"/>
    </row>
    <row r="683">
      <c r="A683" s="24" t="n"/>
      <c r="B683" s="29" t="n"/>
      <c r="C683" s="27" t="n"/>
      <c r="D683" s="31" t="n"/>
      <c r="E683" s="32" t="n"/>
      <c r="F683" s="35" t="n"/>
      <c r="G683" s="31" t="n"/>
      <c r="H683" s="20" t="str">
        <f>IF(AND(ISNUMBER(E683),ISNUMBER(F683)),E683*F683,"")</f>
        <v/>
      </c>
      <c r="I683" s="42" t="str">
        <f>IF(ISNUMBER(H683),ROUND(H683*IF(G683="挂单",'参数'!$C$11,'参数'!$C$12),4),"")</f>
        <v/>
      </c>
      <c r="J683" s="47" t="n"/>
      <c r="K683" s="47" t="n"/>
      <c r="L683" s="20" t="str">
        <f>IF(ISNUMBER(K683),K683+N(J683),IF(ISNUMBER(H683),I683+N(J683),""))</f>
        <v/>
      </c>
      <c r="M683" s="40" t="str">
        <f>IF(A683="","",IFERROR(T(INDEX('交易记录'!$C$5:$C$304,MATCH(A683,'交易记录'!$A$5:$A$304,0))),"编号没找到"))</f>
        <v/>
      </c>
      <c r="N683" s="30" t="n"/>
    </row>
    <row r="684">
      <c r="A684" s="24" t="n"/>
      <c r="B684" s="29" t="n"/>
      <c r="C684" s="27" t="n"/>
      <c r="D684" s="31" t="n"/>
      <c r="E684" s="32" t="n"/>
      <c r="F684" s="35" t="n"/>
      <c r="G684" s="31" t="n"/>
      <c r="H684" s="20" t="str">
        <f>IF(AND(ISNUMBER(E684),ISNUMBER(F684)),E684*F684,"")</f>
        <v/>
      </c>
      <c r="I684" s="42" t="str">
        <f>IF(ISNUMBER(H684),ROUND(H684*IF(G684="挂单",'参数'!$C$11,'参数'!$C$12),4),"")</f>
        <v/>
      </c>
      <c r="J684" s="47" t="n"/>
      <c r="K684" s="47" t="n"/>
      <c r="L684" s="20" t="str">
        <f>IF(ISNUMBER(K684),K684+N(J684),IF(ISNUMBER(H684),I684+N(J684),""))</f>
        <v/>
      </c>
      <c r="M684" s="40" t="str">
        <f>IF(A684="","",IFERROR(T(INDEX('交易记录'!$C$5:$C$304,MATCH(A684,'交易记录'!$A$5:$A$304,0))),"编号没找到"))</f>
        <v/>
      </c>
      <c r="N684" s="30" t="n"/>
    </row>
    <row r="685">
      <c r="A685" s="24" t="n"/>
      <c r="B685" s="29" t="n"/>
      <c r="C685" s="27" t="n"/>
      <c r="D685" s="31" t="n"/>
      <c r="E685" s="32" t="n"/>
      <c r="F685" s="35" t="n"/>
      <c r="G685" s="31" t="n"/>
      <c r="H685" s="20" t="str">
        <f>IF(AND(ISNUMBER(E685),ISNUMBER(F685)),E685*F685,"")</f>
        <v/>
      </c>
      <c r="I685" s="42" t="str">
        <f>IF(ISNUMBER(H685),ROUND(H685*IF(G685="挂单",'参数'!$C$11,'参数'!$C$12),4),"")</f>
        <v/>
      </c>
      <c r="J685" s="47" t="n"/>
      <c r="K685" s="47" t="n"/>
      <c r="L685" s="20" t="str">
        <f>IF(ISNUMBER(K685),K685+N(J685),IF(ISNUMBER(H685),I685+N(J685),""))</f>
        <v/>
      </c>
      <c r="M685" s="40" t="str">
        <f>IF(A685="","",IFERROR(T(INDEX('交易记录'!$C$5:$C$304,MATCH(A685,'交易记录'!$A$5:$A$304,0))),"编号没找到"))</f>
        <v/>
      </c>
      <c r="N685" s="30" t="n"/>
    </row>
    <row r="686">
      <c r="A686" s="24" t="n"/>
      <c r="B686" s="29" t="n"/>
      <c r="C686" s="27" t="n"/>
      <c r="D686" s="31" t="n"/>
      <c r="E686" s="32" t="n"/>
      <c r="F686" s="35" t="n"/>
      <c r="G686" s="31" t="n"/>
      <c r="H686" s="20" t="str">
        <f>IF(AND(ISNUMBER(E686),ISNUMBER(F686)),E686*F686,"")</f>
        <v/>
      </c>
      <c r="I686" s="42" t="str">
        <f>IF(ISNUMBER(H686),ROUND(H686*IF(G686="挂单",'参数'!$C$11,'参数'!$C$12),4),"")</f>
        <v/>
      </c>
      <c r="J686" s="47" t="n"/>
      <c r="K686" s="47" t="n"/>
      <c r="L686" s="20" t="str">
        <f>IF(ISNUMBER(K686),K686+N(J686),IF(ISNUMBER(H686),I686+N(J686),""))</f>
        <v/>
      </c>
      <c r="M686" s="40" t="str">
        <f>IF(A686="","",IFERROR(T(INDEX('交易记录'!$C$5:$C$304,MATCH(A686,'交易记录'!$A$5:$A$304,0))),"编号没找到"))</f>
        <v/>
      </c>
      <c r="N686" s="30" t="n"/>
    </row>
    <row r="687">
      <c r="A687" s="24" t="n"/>
      <c r="B687" s="29" t="n"/>
      <c r="C687" s="27" t="n"/>
      <c r="D687" s="31" t="n"/>
      <c r="E687" s="32" t="n"/>
      <c r="F687" s="35" t="n"/>
      <c r="G687" s="31" t="n"/>
      <c r="H687" s="20" t="str">
        <f>IF(AND(ISNUMBER(E687),ISNUMBER(F687)),E687*F687,"")</f>
        <v/>
      </c>
      <c r="I687" s="42" t="str">
        <f>IF(ISNUMBER(H687),ROUND(H687*IF(G687="挂单",'参数'!$C$11,'参数'!$C$12),4),"")</f>
        <v/>
      </c>
      <c r="J687" s="47" t="n"/>
      <c r="K687" s="47" t="n"/>
      <c r="L687" s="20" t="str">
        <f>IF(ISNUMBER(K687),K687+N(J687),IF(ISNUMBER(H687),I687+N(J687),""))</f>
        <v/>
      </c>
      <c r="M687" s="40" t="str">
        <f>IF(A687="","",IFERROR(T(INDEX('交易记录'!$C$5:$C$304,MATCH(A687,'交易记录'!$A$5:$A$304,0))),"编号没找到"))</f>
        <v/>
      </c>
      <c r="N687" s="30" t="n"/>
    </row>
    <row r="688">
      <c r="A688" s="24" t="n"/>
      <c r="B688" s="29" t="n"/>
      <c r="C688" s="27" t="n"/>
      <c r="D688" s="31" t="n"/>
      <c r="E688" s="32" t="n"/>
      <c r="F688" s="35" t="n"/>
      <c r="G688" s="31" t="n"/>
      <c r="H688" s="20" t="str">
        <f>IF(AND(ISNUMBER(E688),ISNUMBER(F688)),E688*F688,"")</f>
        <v/>
      </c>
      <c r="I688" s="42" t="str">
        <f>IF(ISNUMBER(H688),ROUND(H688*IF(G688="挂单",'参数'!$C$11,'参数'!$C$12),4),"")</f>
        <v/>
      </c>
      <c r="J688" s="47" t="n"/>
      <c r="K688" s="47" t="n"/>
      <c r="L688" s="20" t="str">
        <f>IF(ISNUMBER(K688),K688+N(J688),IF(ISNUMBER(H688),I688+N(J688),""))</f>
        <v/>
      </c>
      <c r="M688" s="40" t="str">
        <f>IF(A688="","",IFERROR(T(INDEX('交易记录'!$C$5:$C$304,MATCH(A688,'交易记录'!$A$5:$A$304,0))),"编号没找到"))</f>
        <v/>
      </c>
      <c r="N688" s="30" t="n"/>
    </row>
    <row r="689">
      <c r="A689" s="24" t="n"/>
      <c r="B689" s="29" t="n"/>
      <c r="C689" s="27" t="n"/>
      <c r="D689" s="31" t="n"/>
      <c r="E689" s="32" t="n"/>
      <c r="F689" s="35" t="n"/>
      <c r="G689" s="31" t="n"/>
      <c r="H689" s="20" t="str">
        <f>IF(AND(ISNUMBER(E689),ISNUMBER(F689)),E689*F689,"")</f>
        <v/>
      </c>
      <c r="I689" s="42" t="str">
        <f>IF(ISNUMBER(H689),ROUND(H689*IF(G689="挂单",'参数'!$C$11,'参数'!$C$12),4),"")</f>
        <v/>
      </c>
      <c r="J689" s="47" t="n"/>
      <c r="K689" s="47" t="n"/>
      <c r="L689" s="20" t="str">
        <f>IF(ISNUMBER(K689),K689+N(J689),IF(ISNUMBER(H689),I689+N(J689),""))</f>
        <v/>
      </c>
      <c r="M689" s="40" t="str">
        <f>IF(A689="","",IFERROR(T(INDEX('交易记录'!$C$5:$C$304,MATCH(A689,'交易记录'!$A$5:$A$304,0))),"编号没找到"))</f>
        <v/>
      </c>
      <c r="N689" s="30" t="n"/>
    </row>
    <row r="690">
      <c r="A690" s="24" t="n"/>
      <c r="B690" s="29" t="n"/>
      <c r="C690" s="27" t="n"/>
      <c r="D690" s="31" t="n"/>
      <c r="E690" s="32" t="n"/>
      <c r="F690" s="35" t="n"/>
      <c r="G690" s="31" t="n"/>
      <c r="H690" s="20" t="str">
        <f>IF(AND(ISNUMBER(E690),ISNUMBER(F690)),E690*F690,"")</f>
        <v/>
      </c>
      <c r="I690" s="42" t="str">
        <f>IF(ISNUMBER(H690),ROUND(H690*IF(G690="挂单",'参数'!$C$11,'参数'!$C$12),4),"")</f>
        <v/>
      </c>
      <c r="J690" s="47" t="n"/>
      <c r="K690" s="47" t="n"/>
      <c r="L690" s="20" t="str">
        <f>IF(ISNUMBER(K690),K690+N(J690),IF(ISNUMBER(H690),I690+N(J690),""))</f>
        <v/>
      </c>
      <c r="M690" s="40" t="str">
        <f>IF(A690="","",IFERROR(T(INDEX('交易记录'!$C$5:$C$304,MATCH(A690,'交易记录'!$A$5:$A$304,0))),"编号没找到"))</f>
        <v/>
      </c>
      <c r="N690" s="30" t="n"/>
    </row>
    <row r="691">
      <c r="A691" s="24" t="n"/>
      <c r="B691" s="29" t="n"/>
      <c r="C691" s="27" t="n"/>
      <c r="D691" s="31" t="n"/>
      <c r="E691" s="32" t="n"/>
      <c r="F691" s="35" t="n"/>
      <c r="G691" s="31" t="n"/>
      <c r="H691" s="20" t="str">
        <f>IF(AND(ISNUMBER(E691),ISNUMBER(F691)),E691*F691,"")</f>
        <v/>
      </c>
      <c r="I691" s="42" t="str">
        <f>IF(ISNUMBER(H691),ROUND(H691*IF(G691="挂单",'参数'!$C$11,'参数'!$C$12),4),"")</f>
        <v/>
      </c>
      <c r="J691" s="47" t="n"/>
      <c r="K691" s="47" t="n"/>
      <c r="L691" s="20" t="str">
        <f>IF(ISNUMBER(K691),K691+N(J691),IF(ISNUMBER(H691),I691+N(J691),""))</f>
        <v/>
      </c>
      <c r="M691" s="40" t="str">
        <f>IF(A691="","",IFERROR(T(INDEX('交易记录'!$C$5:$C$304,MATCH(A691,'交易记录'!$A$5:$A$304,0))),"编号没找到"))</f>
        <v/>
      </c>
      <c r="N691" s="30" t="n"/>
    </row>
    <row r="692">
      <c r="A692" s="24" t="n"/>
      <c r="B692" s="29" t="n"/>
      <c r="C692" s="27" t="n"/>
      <c r="D692" s="31" t="n"/>
      <c r="E692" s="32" t="n"/>
      <c r="F692" s="35" t="n"/>
      <c r="G692" s="31" t="n"/>
      <c r="H692" s="20" t="str">
        <f>IF(AND(ISNUMBER(E692),ISNUMBER(F692)),E692*F692,"")</f>
        <v/>
      </c>
      <c r="I692" s="42" t="str">
        <f>IF(ISNUMBER(H692),ROUND(H692*IF(G692="挂单",'参数'!$C$11,'参数'!$C$12),4),"")</f>
        <v/>
      </c>
      <c r="J692" s="47" t="n"/>
      <c r="K692" s="47" t="n"/>
      <c r="L692" s="20" t="str">
        <f>IF(ISNUMBER(K692),K692+N(J692),IF(ISNUMBER(H692),I692+N(J692),""))</f>
        <v/>
      </c>
      <c r="M692" s="40" t="str">
        <f>IF(A692="","",IFERROR(T(INDEX('交易记录'!$C$5:$C$304,MATCH(A692,'交易记录'!$A$5:$A$304,0))),"编号没找到"))</f>
        <v/>
      </c>
      <c r="N692" s="30" t="n"/>
    </row>
    <row r="693">
      <c r="A693" s="24" t="n"/>
      <c r="B693" s="29" t="n"/>
      <c r="C693" s="27" t="n"/>
      <c r="D693" s="31" t="n"/>
      <c r="E693" s="32" t="n"/>
      <c r="F693" s="35" t="n"/>
      <c r="G693" s="31" t="n"/>
      <c r="H693" s="20" t="str">
        <f>IF(AND(ISNUMBER(E693),ISNUMBER(F693)),E693*F693,"")</f>
        <v/>
      </c>
      <c r="I693" s="42" t="str">
        <f>IF(ISNUMBER(H693),ROUND(H693*IF(G693="挂单",'参数'!$C$11,'参数'!$C$12),4),"")</f>
        <v/>
      </c>
      <c r="J693" s="47" t="n"/>
      <c r="K693" s="47" t="n"/>
      <c r="L693" s="20" t="str">
        <f>IF(ISNUMBER(K693),K693+N(J693),IF(ISNUMBER(H693),I693+N(J693),""))</f>
        <v/>
      </c>
      <c r="M693" s="40" t="str">
        <f>IF(A693="","",IFERROR(T(INDEX('交易记录'!$C$5:$C$304,MATCH(A693,'交易记录'!$A$5:$A$304,0))),"编号没找到"))</f>
        <v/>
      </c>
      <c r="N693" s="30" t="n"/>
    </row>
    <row r="694">
      <c r="A694" s="24" t="n"/>
      <c r="B694" s="29" t="n"/>
      <c r="C694" s="27" t="n"/>
      <c r="D694" s="31" t="n"/>
      <c r="E694" s="32" t="n"/>
      <c r="F694" s="35" t="n"/>
      <c r="G694" s="31" t="n"/>
      <c r="H694" s="20" t="str">
        <f>IF(AND(ISNUMBER(E694),ISNUMBER(F694)),E694*F694,"")</f>
        <v/>
      </c>
      <c r="I694" s="42" t="str">
        <f>IF(ISNUMBER(H694),ROUND(H694*IF(G694="挂单",'参数'!$C$11,'参数'!$C$12),4),"")</f>
        <v/>
      </c>
      <c r="J694" s="47" t="n"/>
      <c r="K694" s="47" t="n"/>
      <c r="L694" s="20" t="str">
        <f>IF(ISNUMBER(K694),K694+N(J694),IF(ISNUMBER(H694),I694+N(J694),""))</f>
        <v/>
      </c>
      <c r="M694" s="40" t="str">
        <f>IF(A694="","",IFERROR(T(INDEX('交易记录'!$C$5:$C$304,MATCH(A694,'交易记录'!$A$5:$A$304,0))),"编号没找到"))</f>
        <v/>
      </c>
      <c r="N694" s="30" t="n"/>
    </row>
    <row r="695">
      <c r="A695" s="24" t="n"/>
      <c r="B695" s="29" t="n"/>
      <c r="C695" s="27" t="n"/>
      <c r="D695" s="31" t="n"/>
      <c r="E695" s="32" t="n"/>
      <c r="F695" s="35" t="n"/>
      <c r="G695" s="31" t="n"/>
      <c r="H695" s="20" t="str">
        <f>IF(AND(ISNUMBER(E695),ISNUMBER(F695)),E695*F695,"")</f>
        <v/>
      </c>
      <c r="I695" s="42" t="str">
        <f>IF(ISNUMBER(H695),ROUND(H695*IF(G695="挂单",'参数'!$C$11,'参数'!$C$12),4),"")</f>
        <v/>
      </c>
      <c r="J695" s="47" t="n"/>
      <c r="K695" s="47" t="n"/>
      <c r="L695" s="20" t="str">
        <f>IF(ISNUMBER(K695),K695+N(J695),IF(ISNUMBER(H695),I695+N(J695),""))</f>
        <v/>
      </c>
      <c r="M695" s="40" t="str">
        <f>IF(A695="","",IFERROR(T(INDEX('交易记录'!$C$5:$C$304,MATCH(A695,'交易记录'!$A$5:$A$304,0))),"编号没找到"))</f>
        <v/>
      </c>
      <c r="N695" s="30" t="n"/>
    </row>
    <row r="696">
      <c r="A696" s="24" t="n"/>
      <c r="B696" s="29" t="n"/>
      <c r="C696" s="27" t="n"/>
      <c r="D696" s="31" t="n"/>
      <c r="E696" s="32" t="n"/>
      <c r="F696" s="35" t="n"/>
      <c r="G696" s="31" t="n"/>
      <c r="H696" s="20" t="str">
        <f>IF(AND(ISNUMBER(E696),ISNUMBER(F696)),E696*F696,"")</f>
        <v/>
      </c>
      <c r="I696" s="42" t="str">
        <f>IF(ISNUMBER(H696),ROUND(H696*IF(G696="挂单",'参数'!$C$11,'参数'!$C$12),4),"")</f>
        <v/>
      </c>
      <c r="J696" s="47" t="n"/>
      <c r="K696" s="47" t="n"/>
      <c r="L696" s="20" t="str">
        <f>IF(ISNUMBER(K696),K696+N(J696),IF(ISNUMBER(H696),I696+N(J696),""))</f>
        <v/>
      </c>
      <c r="M696" s="40" t="str">
        <f>IF(A696="","",IFERROR(T(INDEX('交易记录'!$C$5:$C$304,MATCH(A696,'交易记录'!$A$5:$A$304,0))),"编号没找到"))</f>
        <v/>
      </c>
      <c r="N696" s="30" t="n"/>
    </row>
    <row r="697">
      <c r="A697" s="24" t="n"/>
      <c r="B697" s="29" t="n"/>
      <c r="C697" s="27" t="n"/>
      <c r="D697" s="31" t="n"/>
      <c r="E697" s="32" t="n"/>
      <c r="F697" s="35" t="n"/>
      <c r="G697" s="31" t="n"/>
      <c r="H697" s="20" t="str">
        <f>IF(AND(ISNUMBER(E697),ISNUMBER(F697)),E697*F697,"")</f>
        <v/>
      </c>
      <c r="I697" s="42" t="str">
        <f>IF(ISNUMBER(H697),ROUND(H697*IF(G697="挂单",'参数'!$C$11,'参数'!$C$12),4),"")</f>
        <v/>
      </c>
      <c r="J697" s="47" t="n"/>
      <c r="K697" s="47" t="n"/>
      <c r="L697" s="20" t="str">
        <f>IF(ISNUMBER(K697),K697+N(J697),IF(ISNUMBER(H697),I697+N(J697),""))</f>
        <v/>
      </c>
      <c r="M697" s="40" t="str">
        <f>IF(A697="","",IFERROR(T(INDEX('交易记录'!$C$5:$C$304,MATCH(A697,'交易记录'!$A$5:$A$304,0))),"编号没找到"))</f>
        <v/>
      </c>
      <c r="N697" s="30" t="n"/>
    </row>
    <row r="698">
      <c r="A698" s="24" t="n"/>
      <c r="B698" s="29" t="n"/>
      <c r="C698" s="27" t="n"/>
      <c r="D698" s="31" t="n"/>
      <c r="E698" s="32" t="n"/>
      <c r="F698" s="35" t="n"/>
      <c r="G698" s="31" t="n"/>
      <c r="H698" s="20" t="str">
        <f>IF(AND(ISNUMBER(E698),ISNUMBER(F698)),E698*F698,"")</f>
        <v/>
      </c>
      <c r="I698" s="42" t="str">
        <f>IF(ISNUMBER(H698),ROUND(H698*IF(G698="挂单",'参数'!$C$11,'参数'!$C$12),4),"")</f>
        <v/>
      </c>
      <c r="J698" s="47" t="n"/>
      <c r="K698" s="47" t="n"/>
      <c r="L698" s="20" t="str">
        <f>IF(ISNUMBER(K698),K698+N(J698),IF(ISNUMBER(H698),I698+N(J698),""))</f>
        <v/>
      </c>
      <c r="M698" s="40" t="str">
        <f>IF(A698="","",IFERROR(T(INDEX('交易记录'!$C$5:$C$304,MATCH(A698,'交易记录'!$A$5:$A$304,0))),"编号没找到"))</f>
        <v/>
      </c>
      <c r="N698" s="30" t="n"/>
    </row>
    <row r="699">
      <c r="A699" s="24" t="n"/>
      <c r="B699" s="29" t="n"/>
      <c r="C699" s="27" t="n"/>
      <c r="D699" s="31" t="n"/>
      <c r="E699" s="32" t="n"/>
      <c r="F699" s="35" t="n"/>
      <c r="G699" s="31" t="n"/>
      <c r="H699" s="20" t="str">
        <f>IF(AND(ISNUMBER(E699),ISNUMBER(F699)),E699*F699,"")</f>
        <v/>
      </c>
      <c r="I699" s="42" t="str">
        <f>IF(ISNUMBER(H699),ROUND(H699*IF(G699="挂单",'参数'!$C$11,'参数'!$C$12),4),"")</f>
        <v/>
      </c>
      <c r="J699" s="47" t="n"/>
      <c r="K699" s="47" t="n"/>
      <c r="L699" s="20" t="str">
        <f>IF(ISNUMBER(K699),K699+N(J699),IF(ISNUMBER(H699),I699+N(J699),""))</f>
        <v/>
      </c>
      <c r="M699" s="40" t="str">
        <f>IF(A699="","",IFERROR(T(INDEX('交易记录'!$C$5:$C$304,MATCH(A699,'交易记录'!$A$5:$A$304,0))),"编号没找到"))</f>
        <v/>
      </c>
      <c r="N699" s="30" t="n"/>
    </row>
    <row r="700">
      <c r="A700" s="24" t="n"/>
      <c r="B700" s="29" t="n"/>
      <c r="C700" s="27" t="n"/>
      <c r="D700" s="31" t="n"/>
      <c r="E700" s="32" t="n"/>
      <c r="F700" s="35" t="n"/>
      <c r="G700" s="31" t="n"/>
      <c r="H700" s="20" t="str">
        <f>IF(AND(ISNUMBER(E700),ISNUMBER(F700)),E700*F700,"")</f>
        <v/>
      </c>
      <c r="I700" s="42" t="str">
        <f>IF(ISNUMBER(H700),ROUND(H700*IF(G700="挂单",'参数'!$C$11,'参数'!$C$12),4),"")</f>
        <v/>
      </c>
      <c r="J700" s="47" t="n"/>
      <c r="K700" s="47" t="n"/>
      <c r="L700" s="20" t="str">
        <f>IF(ISNUMBER(K700),K700+N(J700),IF(ISNUMBER(H700),I700+N(J700),""))</f>
        <v/>
      </c>
      <c r="M700" s="40" t="str">
        <f>IF(A700="","",IFERROR(T(INDEX('交易记录'!$C$5:$C$304,MATCH(A700,'交易记录'!$A$5:$A$304,0))),"编号没找到"))</f>
        <v/>
      </c>
      <c r="N700" s="30" t="n"/>
    </row>
    <row r="701">
      <c r="A701" s="24" t="n"/>
      <c r="B701" s="29" t="n"/>
      <c r="C701" s="27" t="n"/>
      <c r="D701" s="31" t="n"/>
      <c r="E701" s="32" t="n"/>
      <c r="F701" s="35" t="n"/>
      <c r="G701" s="31" t="n"/>
      <c r="H701" s="20" t="str">
        <f>IF(AND(ISNUMBER(E701),ISNUMBER(F701)),E701*F701,"")</f>
        <v/>
      </c>
      <c r="I701" s="42" t="str">
        <f>IF(ISNUMBER(H701),ROUND(H701*IF(G701="挂单",'参数'!$C$11,'参数'!$C$12),4),"")</f>
        <v/>
      </c>
      <c r="J701" s="47" t="n"/>
      <c r="K701" s="47" t="n"/>
      <c r="L701" s="20" t="str">
        <f>IF(ISNUMBER(K701),K701+N(J701),IF(ISNUMBER(H701),I701+N(J701),""))</f>
        <v/>
      </c>
      <c r="M701" s="40" t="str">
        <f>IF(A701="","",IFERROR(T(INDEX('交易记录'!$C$5:$C$304,MATCH(A701,'交易记录'!$A$5:$A$304,0))),"编号没找到"))</f>
        <v/>
      </c>
      <c r="N701" s="30" t="n"/>
    </row>
    <row r="702">
      <c r="A702" s="24" t="n"/>
      <c r="B702" s="29" t="n"/>
      <c r="C702" s="27" t="n"/>
      <c r="D702" s="31" t="n"/>
      <c r="E702" s="32" t="n"/>
      <c r="F702" s="35" t="n"/>
      <c r="G702" s="31" t="n"/>
      <c r="H702" s="20" t="str">
        <f>IF(AND(ISNUMBER(E702),ISNUMBER(F702)),E702*F702,"")</f>
        <v/>
      </c>
      <c r="I702" s="42" t="str">
        <f>IF(ISNUMBER(H702),ROUND(H702*IF(G702="挂单",'参数'!$C$11,'参数'!$C$12),4),"")</f>
        <v/>
      </c>
      <c r="J702" s="47" t="n"/>
      <c r="K702" s="47" t="n"/>
      <c r="L702" s="20" t="str">
        <f>IF(ISNUMBER(K702),K702+N(J702),IF(ISNUMBER(H702),I702+N(J702),""))</f>
        <v/>
      </c>
      <c r="M702" s="40" t="str">
        <f>IF(A702="","",IFERROR(T(INDEX('交易记录'!$C$5:$C$304,MATCH(A702,'交易记录'!$A$5:$A$304,0))),"编号没找到"))</f>
        <v/>
      </c>
      <c r="N702" s="30" t="n"/>
    </row>
    <row r="703">
      <c r="A703" s="24" t="n"/>
      <c r="B703" s="29" t="n"/>
      <c r="C703" s="27" t="n"/>
      <c r="D703" s="31" t="n"/>
      <c r="E703" s="32" t="n"/>
      <c r="F703" s="35" t="n"/>
      <c r="G703" s="31" t="n"/>
      <c r="H703" s="20" t="str">
        <f>IF(AND(ISNUMBER(E703),ISNUMBER(F703)),E703*F703,"")</f>
        <v/>
      </c>
      <c r="I703" s="42" t="str">
        <f>IF(ISNUMBER(H703),ROUND(H703*IF(G703="挂单",'参数'!$C$11,'参数'!$C$12),4),"")</f>
        <v/>
      </c>
      <c r="J703" s="47" t="n"/>
      <c r="K703" s="47" t="n"/>
      <c r="L703" s="20" t="str">
        <f>IF(ISNUMBER(K703),K703+N(J703),IF(ISNUMBER(H703),I703+N(J703),""))</f>
        <v/>
      </c>
      <c r="M703" s="40" t="str">
        <f>IF(A703="","",IFERROR(T(INDEX('交易记录'!$C$5:$C$304,MATCH(A703,'交易记录'!$A$5:$A$304,0))),"编号没找到"))</f>
        <v/>
      </c>
      <c r="N703" s="30" t="n"/>
    </row>
    <row r="704">
      <c r="A704" s="24" t="n"/>
      <c r="B704" s="29" t="n"/>
      <c r="C704" s="27" t="n"/>
      <c r="D704" s="31" t="n"/>
      <c r="E704" s="32" t="n"/>
      <c r="F704" s="35" t="n"/>
      <c r="G704" s="31" t="n"/>
      <c r="H704" s="20" t="str">
        <f>IF(AND(ISNUMBER(E704),ISNUMBER(F704)),E704*F704,"")</f>
        <v/>
      </c>
      <c r="I704" s="42" t="str">
        <f>IF(ISNUMBER(H704),ROUND(H704*IF(G704="挂单",'参数'!$C$11,'参数'!$C$12),4),"")</f>
        <v/>
      </c>
      <c r="J704" s="47" t="n"/>
      <c r="K704" s="47" t="n"/>
      <c r="L704" s="20" t="str">
        <f>IF(ISNUMBER(K704),K704+N(J704),IF(ISNUMBER(H704),I704+N(J704),""))</f>
        <v/>
      </c>
      <c r="M704" s="40" t="str">
        <f>IF(A704="","",IFERROR(T(INDEX('交易记录'!$C$5:$C$304,MATCH(A704,'交易记录'!$A$5:$A$304,0))),"编号没找到"))</f>
        <v/>
      </c>
      <c r="N704" s="30" t="n"/>
    </row>
    <row r="705">
      <c r="A705" s="24" t="n"/>
      <c r="B705" s="29" t="n"/>
      <c r="C705" s="27" t="n"/>
      <c r="D705" s="31" t="n"/>
      <c r="E705" s="32" t="n"/>
      <c r="F705" s="35" t="n"/>
      <c r="G705" s="31" t="n"/>
      <c r="H705" s="20" t="str">
        <f>IF(AND(ISNUMBER(E705),ISNUMBER(F705)),E705*F705,"")</f>
        <v/>
      </c>
      <c r="I705" s="42" t="str">
        <f>IF(ISNUMBER(H705),ROUND(H705*IF(G705="挂单",'参数'!$C$11,'参数'!$C$12),4),"")</f>
        <v/>
      </c>
      <c r="J705" s="47" t="n"/>
      <c r="K705" s="47" t="n"/>
      <c r="L705" s="20" t="str">
        <f>IF(ISNUMBER(K705),K705+N(J705),IF(ISNUMBER(H705),I705+N(J705),""))</f>
        <v/>
      </c>
      <c r="M705" s="40" t="str">
        <f>IF(A705="","",IFERROR(T(INDEX('交易记录'!$C$5:$C$304,MATCH(A705,'交易记录'!$A$5:$A$304,0))),"编号没找到"))</f>
        <v/>
      </c>
      <c r="N705" s="30" t="n"/>
    </row>
    <row r="706">
      <c r="A706" s="24" t="n"/>
      <c r="B706" s="29" t="n"/>
      <c r="C706" s="27" t="n"/>
      <c r="D706" s="31" t="n"/>
      <c r="E706" s="32" t="n"/>
      <c r="F706" s="35" t="n"/>
      <c r="G706" s="31" t="n"/>
      <c r="H706" s="20" t="str">
        <f>IF(AND(ISNUMBER(E706),ISNUMBER(F706)),E706*F706,"")</f>
        <v/>
      </c>
      <c r="I706" s="42" t="str">
        <f>IF(ISNUMBER(H706),ROUND(H706*IF(G706="挂单",'参数'!$C$11,'参数'!$C$12),4),"")</f>
        <v/>
      </c>
      <c r="J706" s="47" t="n"/>
      <c r="K706" s="47" t="n"/>
      <c r="L706" s="20" t="str">
        <f>IF(ISNUMBER(K706),K706+N(J706),IF(ISNUMBER(H706),I706+N(J706),""))</f>
        <v/>
      </c>
      <c r="M706" s="40" t="str">
        <f>IF(A706="","",IFERROR(T(INDEX('交易记录'!$C$5:$C$304,MATCH(A706,'交易记录'!$A$5:$A$304,0))),"编号没找到"))</f>
        <v/>
      </c>
      <c r="N706" s="30" t="n"/>
    </row>
    <row r="707">
      <c r="A707" s="24" t="n"/>
      <c r="B707" s="29" t="n"/>
      <c r="C707" s="27" t="n"/>
      <c r="D707" s="31" t="n"/>
      <c r="E707" s="32" t="n"/>
      <c r="F707" s="35" t="n"/>
      <c r="G707" s="31" t="n"/>
      <c r="H707" s="20" t="str">
        <f>IF(AND(ISNUMBER(E707),ISNUMBER(F707)),E707*F707,"")</f>
        <v/>
      </c>
      <c r="I707" s="42" t="str">
        <f>IF(ISNUMBER(H707),ROUND(H707*IF(G707="挂单",'参数'!$C$11,'参数'!$C$12),4),"")</f>
        <v/>
      </c>
      <c r="J707" s="47" t="n"/>
      <c r="K707" s="47" t="n"/>
      <c r="L707" s="20" t="str">
        <f>IF(ISNUMBER(K707),K707+N(J707),IF(ISNUMBER(H707),I707+N(J707),""))</f>
        <v/>
      </c>
      <c r="M707" s="40" t="str">
        <f>IF(A707="","",IFERROR(T(INDEX('交易记录'!$C$5:$C$304,MATCH(A707,'交易记录'!$A$5:$A$304,0))),"编号没找到"))</f>
        <v/>
      </c>
      <c r="N707" s="30" t="n"/>
    </row>
    <row r="708">
      <c r="A708" s="24" t="n"/>
      <c r="B708" s="29" t="n"/>
      <c r="C708" s="27" t="n"/>
      <c r="D708" s="31" t="n"/>
      <c r="E708" s="32" t="n"/>
      <c r="F708" s="35" t="n"/>
      <c r="G708" s="31" t="n"/>
      <c r="H708" s="20" t="str">
        <f>IF(AND(ISNUMBER(E708),ISNUMBER(F708)),E708*F708,"")</f>
        <v/>
      </c>
      <c r="I708" s="42" t="str">
        <f>IF(ISNUMBER(H708),ROUND(H708*IF(G708="挂单",'参数'!$C$11,'参数'!$C$12),4),"")</f>
        <v/>
      </c>
      <c r="J708" s="47" t="n"/>
      <c r="K708" s="47" t="n"/>
      <c r="L708" s="20" t="str">
        <f>IF(ISNUMBER(K708),K708+N(J708),IF(ISNUMBER(H708),I708+N(J708),""))</f>
        <v/>
      </c>
      <c r="M708" s="40" t="str">
        <f>IF(A708="","",IFERROR(T(INDEX('交易记录'!$C$5:$C$304,MATCH(A708,'交易记录'!$A$5:$A$304,0))),"编号没找到"))</f>
        <v/>
      </c>
      <c r="N708" s="30" t="n"/>
    </row>
    <row r="709">
      <c r="A709" s="24" t="n"/>
      <c r="B709" s="29" t="n"/>
      <c r="C709" s="27" t="n"/>
      <c r="D709" s="31" t="n"/>
      <c r="E709" s="32" t="n"/>
      <c r="F709" s="35" t="n"/>
      <c r="G709" s="31" t="n"/>
      <c r="H709" s="20" t="str">
        <f>IF(AND(ISNUMBER(E709),ISNUMBER(F709)),E709*F709,"")</f>
        <v/>
      </c>
      <c r="I709" s="42" t="str">
        <f>IF(ISNUMBER(H709),ROUND(H709*IF(G709="挂单",'参数'!$C$11,'参数'!$C$12),4),"")</f>
        <v/>
      </c>
      <c r="J709" s="47" t="n"/>
      <c r="K709" s="47" t="n"/>
      <c r="L709" s="20" t="str">
        <f>IF(ISNUMBER(K709),K709+N(J709),IF(ISNUMBER(H709),I709+N(J709),""))</f>
        <v/>
      </c>
      <c r="M709" s="40" t="str">
        <f>IF(A709="","",IFERROR(T(INDEX('交易记录'!$C$5:$C$304,MATCH(A709,'交易记录'!$A$5:$A$304,0))),"编号没找到"))</f>
        <v/>
      </c>
      <c r="N709" s="30" t="n"/>
    </row>
    <row r="710">
      <c r="A710" s="24" t="n"/>
      <c r="B710" s="29" t="n"/>
      <c r="C710" s="27" t="n"/>
      <c r="D710" s="31" t="n"/>
      <c r="E710" s="32" t="n"/>
      <c r="F710" s="35" t="n"/>
      <c r="G710" s="31" t="n"/>
      <c r="H710" s="20" t="str">
        <f>IF(AND(ISNUMBER(E710),ISNUMBER(F710)),E710*F710,"")</f>
        <v/>
      </c>
      <c r="I710" s="42" t="str">
        <f>IF(ISNUMBER(H710),ROUND(H710*IF(G710="挂单",'参数'!$C$11,'参数'!$C$12),4),"")</f>
        <v/>
      </c>
      <c r="J710" s="47" t="n"/>
      <c r="K710" s="47" t="n"/>
      <c r="L710" s="20" t="str">
        <f>IF(ISNUMBER(K710),K710+N(J710),IF(ISNUMBER(H710),I710+N(J710),""))</f>
        <v/>
      </c>
      <c r="M710" s="40" t="str">
        <f>IF(A710="","",IFERROR(T(INDEX('交易记录'!$C$5:$C$304,MATCH(A710,'交易记录'!$A$5:$A$304,0))),"编号没找到"))</f>
        <v/>
      </c>
      <c r="N710" s="30" t="n"/>
    </row>
    <row r="711">
      <c r="A711" s="24" t="n"/>
      <c r="B711" s="29" t="n"/>
      <c r="C711" s="27" t="n"/>
      <c r="D711" s="31" t="n"/>
      <c r="E711" s="32" t="n"/>
      <c r="F711" s="35" t="n"/>
      <c r="G711" s="31" t="n"/>
      <c r="H711" s="20" t="str">
        <f>IF(AND(ISNUMBER(E711),ISNUMBER(F711)),E711*F711,"")</f>
        <v/>
      </c>
      <c r="I711" s="42" t="str">
        <f>IF(ISNUMBER(H711),ROUND(H711*IF(G711="挂单",'参数'!$C$11,'参数'!$C$12),4),"")</f>
        <v/>
      </c>
      <c r="J711" s="47" t="n"/>
      <c r="K711" s="47" t="n"/>
      <c r="L711" s="20" t="str">
        <f>IF(ISNUMBER(K711),K711+N(J711),IF(ISNUMBER(H711),I711+N(J711),""))</f>
        <v/>
      </c>
      <c r="M711" s="40" t="str">
        <f>IF(A711="","",IFERROR(T(INDEX('交易记录'!$C$5:$C$304,MATCH(A711,'交易记录'!$A$5:$A$304,0))),"编号没找到"))</f>
        <v/>
      </c>
      <c r="N711" s="30" t="n"/>
    </row>
    <row r="712">
      <c r="A712" s="24" t="n"/>
      <c r="B712" s="29" t="n"/>
      <c r="C712" s="27" t="n"/>
      <c r="D712" s="31" t="n"/>
      <c r="E712" s="32" t="n"/>
      <c r="F712" s="35" t="n"/>
      <c r="G712" s="31" t="n"/>
      <c r="H712" s="20" t="str">
        <f>IF(AND(ISNUMBER(E712),ISNUMBER(F712)),E712*F712,"")</f>
        <v/>
      </c>
      <c r="I712" s="42" t="str">
        <f>IF(ISNUMBER(H712),ROUND(H712*IF(G712="挂单",'参数'!$C$11,'参数'!$C$12),4),"")</f>
        <v/>
      </c>
      <c r="J712" s="47" t="n"/>
      <c r="K712" s="47" t="n"/>
      <c r="L712" s="20" t="str">
        <f>IF(ISNUMBER(K712),K712+N(J712),IF(ISNUMBER(H712),I712+N(J712),""))</f>
        <v/>
      </c>
      <c r="M712" s="40" t="str">
        <f>IF(A712="","",IFERROR(T(INDEX('交易记录'!$C$5:$C$304,MATCH(A712,'交易记录'!$A$5:$A$304,0))),"编号没找到"))</f>
        <v/>
      </c>
      <c r="N712" s="30" t="n"/>
    </row>
    <row r="713">
      <c r="A713" s="24" t="n"/>
      <c r="B713" s="29" t="n"/>
      <c r="C713" s="27" t="n"/>
      <c r="D713" s="31" t="n"/>
      <c r="E713" s="32" t="n"/>
      <c r="F713" s="35" t="n"/>
      <c r="G713" s="31" t="n"/>
      <c r="H713" s="20" t="str">
        <f>IF(AND(ISNUMBER(E713),ISNUMBER(F713)),E713*F713,"")</f>
        <v/>
      </c>
      <c r="I713" s="42" t="str">
        <f>IF(ISNUMBER(H713),ROUND(H713*IF(G713="挂单",'参数'!$C$11,'参数'!$C$12),4),"")</f>
        <v/>
      </c>
      <c r="J713" s="47" t="n"/>
      <c r="K713" s="47" t="n"/>
      <c r="L713" s="20" t="str">
        <f>IF(ISNUMBER(K713),K713+N(J713),IF(ISNUMBER(H713),I713+N(J713),""))</f>
        <v/>
      </c>
      <c r="M713" s="40" t="str">
        <f>IF(A713="","",IFERROR(T(INDEX('交易记录'!$C$5:$C$304,MATCH(A713,'交易记录'!$A$5:$A$304,0))),"编号没找到"))</f>
        <v/>
      </c>
      <c r="N713" s="30" t="n"/>
    </row>
    <row r="714">
      <c r="A714" s="24" t="n"/>
      <c r="B714" s="29" t="n"/>
      <c r="C714" s="27" t="n"/>
      <c r="D714" s="31" t="n"/>
      <c r="E714" s="32" t="n"/>
      <c r="F714" s="35" t="n"/>
      <c r="G714" s="31" t="n"/>
      <c r="H714" s="20" t="str">
        <f>IF(AND(ISNUMBER(E714),ISNUMBER(F714)),E714*F714,"")</f>
        <v/>
      </c>
      <c r="I714" s="42" t="str">
        <f>IF(ISNUMBER(H714),ROUND(H714*IF(G714="挂单",'参数'!$C$11,'参数'!$C$12),4),"")</f>
        <v/>
      </c>
      <c r="J714" s="47" t="n"/>
      <c r="K714" s="47" t="n"/>
      <c r="L714" s="20" t="str">
        <f>IF(ISNUMBER(K714),K714+N(J714),IF(ISNUMBER(H714),I714+N(J714),""))</f>
        <v/>
      </c>
      <c r="M714" s="40" t="str">
        <f>IF(A714="","",IFERROR(T(INDEX('交易记录'!$C$5:$C$304,MATCH(A714,'交易记录'!$A$5:$A$304,0))),"编号没找到"))</f>
        <v/>
      </c>
      <c r="N714" s="30" t="n"/>
    </row>
    <row r="715">
      <c r="A715" s="24" t="n"/>
      <c r="B715" s="29" t="n"/>
      <c r="C715" s="27" t="n"/>
      <c r="D715" s="31" t="n"/>
      <c r="E715" s="32" t="n"/>
      <c r="F715" s="35" t="n"/>
      <c r="G715" s="31" t="n"/>
      <c r="H715" s="20" t="str">
        <f>IF(AND(ISNUMBER(E715),ISNUMBER(F715)),E715*F715,"")</f>
        <v/>
      </c>
      <c r="I715" s="42" t="str">
        <f>IF(ISNUMBER(H715),ROUND(H715*IF(G715="挂单",'参数'!$C$11,'参数'!$C$12),4),"")</f>
        <v/>
      </c>
      <c r="J715" s="47" t="n"/>
      <c r="K715" s="47" t="n"/>
      <c r="L715" s="20" t="str">
        <f>IF(ISNUMBER(K715),K715+N(J715),IF(ISNUMBER(H715),I715+N(J715),""))</f>
        <v/>
      </c>
      <c r="M715" s="40" t="str">
        <f>IF(A715="","",IFERROR(T(INDEX('交易记录'!$C$5:$C$304,MATCH(A715,'交易记录'!$A$5:$A$304,0))),"编号没找到"))</f>
        <v/>
      </c>
      <c r="N715" s="30" t="n"/>
    </row>
    <row r="716">
      <c r="A716" s="24" t="n"/>
      <c r="B716" s="29" t="n"/>
      <c r="C716" s="27" t="n"/>
      <c r="D716" s="31" t="n"/>
      <c r="E716" s="32" t="n"/>
      <c r="F716" s="35" t="n"/>
      <c r="G716" s="31" t="n"/>
      <c r="H716" s="20" t="str">
        <f>IF(AND(ISNUMBER(E716),ISNUMBER(F716)),E716*F716,"")</f>
        <v/>
      </c>
      <c r="I716" s="42" t="str">
        <f>IF(ISNUMBER(H716),ROUND(H716*IF(G716="挂单",'参数'!$C$11,'参数'!$C$12),4),"")</f>
        <v/>
      </c>
      <c r="J716" s="47" t="n"/>
      <c r="K716" s="47" t="n"/>
      <c r="L716" s="20" t="str">
        <f>IF(ISNUMBER(K716),K716+N(J716),IF(ISNUMBER(H716),I716+N(J716),""))</f>
        <v/>
      </c>
      <c r="M716" s="40" t="str">
        <f>IF(A716="","",IFERROR(T(INDEX('交易记录'!$C$5:$C$304,MATCH(A716,'交易记录'!$A$5:$A$304,0))),"编号没找到"))</f>
        <v/>
      </c>
      <c r="N716" s="30" t="n"/>
    </row>
    <row r="717">
      <c r="A717" s="24" t="n"/>
      <c r="B717" s="29" t="n"/>
      <c r="C717" s="27" t="n"/>
      <c r="D717" s="31" t="n"/>
      <c r="E717" s="32" t="n"/>
      <c r="F717" s="35" t="n"/>
      <c r="G717" s="31" t="n"/>
      <c r="H717" s="20" t="str">
        <f>IF(AND(ISNUMBER(E717),ISNUMBER(F717)),E717*F717,"")</f>
        <v/>
      </c>
      <c r="I717" s="42" t="str">
        <f>IF(ISNUMBER(H717),ROUND(H717*IF(G717="挂单",'参数'!$C$11,'参数'!$C$12),4),"")</f>
        <v/>
      </c>
      <c r="J717" s="47" t="n"/>
      <c r="K717" s="47" t="n"/>
      <c r="L717" s="20" t="str">
        <f>IF(ISNUMBER(K717),K717+N(J717),IF(ISNUMBER(H717),I717+N(J717),""))</f>
        <v/>
      </c>
      <c r="M717" s="40" t="str">
        <f>IF(A717="","",IFERROR(T(INDEX('交易记录'!$C$5:$C$304,MATCH(A717,'交易记录'!$A$5:$A$304,0))),"编号没找到"))</f>
        <v/>
      </c>
      <c r="N717" s="30" t="n"/>
    </row>
    <row r="718">
      <c r="A718" s="24" t="n"/>
      <c r="B718" s="29" t="n"/>
      <c r="C718" s="27" t="n"/>
      <c r="D718" s="31" t="n"/>
      <c r="E718" s="32" t="n"/>
      <c r="F718" s="35" t="n"/>
      <c r="G718" s="31" t="n"/>
      <c r="H718" s="20" t="str">
        <f>IF(AND(ISNUMBER(E718),ISNUMBER(F718)),E718*F718,"")</f>
        <v/>
      </c>
      <c r="I718" s="42" t="str">
        <f>IF(ISNUMBER(H718),ROUND(H718*IF(G718="挂单",'参数'!$C$11,'参数'!$C$12),4),"")</f>
        <v/>
      </c>
      <c r="J718" s="47" t="n"/>
      <c r="K718" s="47" t="n"/>
      <c r="L718" s="20" t="str">
        <f>IF(ISNUMBER(K718),K718+N(J718),IF(ISNUMBER(H718),I718+N(J718),""))</f>
        <v/>
      </c>
      <c r="M718" s="40" t="str">
        <f>IF(A718="","",IFERROR(T(INDEX('交易记录'!$C$5:$C$304,MATCH(A718,'交易记录'!$A$5:$A$304,0))),"编号没找到"))</f>
        <v/>
      </c>
      <c r="N718" s="30" t="n"/>
    </row>
    <row r="719">
      <c r="A719" s="24" t="n"/>
      <c r="B719" s="29" t="n"/>
      <c r="C719" s="27" t="n"/>
      <c r="D719" s="31" t="n"/>
      <c r="E719" s="32" t="n"/>
      <c r="F719" s="35" t="n"/>
      <c r="G719" s="31" t="n"/>
      <c r="H719" s="20" t="str">
        <f>IF(AND(ISNUMBER(E719),ISNUMBER(F719)),E719*F719,"")</f>
        <v/>
      </c>
      <c r="I719" s="42" t="str">
        <f>IF(ISNUMBER(H719),ROUND(H719*IF(G719="挂单",'参数'!$C$11,'参数'!$C$12),4),"")</f>
        <v/>
      </c>
      <c r="J719" s="47" t="n"/>
      <c r="K719" s="47" t="n"/>
      <c r="L719" s="20" t="str">
        <f>IF(ISNUMBER(K719),K719+N(J719),IF(ISNUMBER(H719),I719+N(J719),""))</f>
        <v/>
      </c>
      <c r="M719" s="40" t="str">
        <f>IF(A719="","",IFERROR(T(INDEX('交易记录'!$C$5:$C$304,MATCH(A719,'交易记录'!$A$5:$A$304,0))),"编号没找到"))</f>
        <v/>
      </c>
      <c r="N719" s="30" t="n"/>
    </row>
    <row r="720">
      <c r="A720" s="24" t="n"/>
      <c r="B720" s="29" t="n"/>
      <c r="C720" s="27" t="n"/>
      <c r="D720" s="31" t="n"/>
      <c r="E720" s="32" t="n"/>
      <c r="F720" s="35" t="n"/>
      <c r="G720" s="31" t="n"/>
      <c r="H720" s="20" t="str">
        <f>IF(AND(ISNUMBER(E720),ISNUMBER(F720)),E720*F720,"")</f>
        <v/>
      </c>
      <c r="I720" s="42" t="str">
        <f>IF(ISNUMBER(H720),ROUND(H720*IF(G720="挂单",'参数'!$C$11,'参数'!$C$12),4),"")</f>
        <v/>
      </c>
      <c r="J720" s="47" t="n"/>
      <c r="K720" s="47" t="n"/>
      <c r="L720" s="20" t="str">
        <f>IF(ISNUMBER(K720),K720+N(J720),IF(ISNUMBER(H720),I720+N(J720),""))</f>
        <v/>
      </c>
      <c r="M720" s="40" t="str">
        <f>IF(A720="","",IFERROR(T(INDEX('交易记录'!$C$5:$C$304,MATCH(A720,'交易记录'!$A$5:$A$304,0))),"编号没找到"))</f>
        <v/>
      </c>
      <c r="N720" s="30" t="n"/>
    </row>
    <row r="721">
      <c r="A721" s="24" t="n"/>
      <c r="B721" s="29" t="n"/>
      <c r="C721" s="27" t="n"/>
      <c r="D721" s="31" t="n"/>
      <c r="E721" s="32" t="n"/>
      <c r="F721" s="35" t="n"/>
      <c r="G721" s="31" t="n"/>
      <c r="H721" s="20" t="str">
        <f>IF(AND(ISNUMBER(E721),ISNUMBER(F721)),E721*F721,"")</f>
        <v/>
      </c>
      <c r="I721" s="42" t="str">
        <f>IF(ISNUMBER(H721),ROUND(H721*IF(G721="挂单",'参数'!$C$11,'参数'!$C$12),4),"")</f>
        <v/>
      </c>
      <c r="J721" s="47" t="n"/>
      <c r="K721" s="47" t="n"/>
      <c r="L721" s="20" t="str">
        <f>IF(ISNUMBER(K721),K721+N(J721),IF(ISNUMBER(H721),I721+N(J721),""))</f>
        <v/>
      </c>
      <c r="M721" s="40" t="str">
        <f>IF(A721="","",IFERROR(T(INDEX('交易记录'!$C$5:$C$304,MATCH(A721,'交易记录'!$A$5:$A$304,0))),"编号没找到"))</f>
        <v/>
      </c>
      <c r="N721" s="30" t="n"/>
    </row>
    <row r="722">
      <c r="A722" s="24" t="n"/>
      <c r="B722" s="29" t="n"/>
      <c r="C722" s="27" t="n"/>
      <c r="D722" s="31" t="n"/>
      <c r="E722" s="32" t="n"/>
      <c r="F722" s="35" t="n"/>
      <c r="G722" s="31" t="n"/>
      <c r="H722" s="20" t="str">
        <f>IF(AND(ISNUMBER(E722),ISNUMBER(F722)),E722*F722,"")</f>
        <v/>
      </c>
      <c r="I722" s="42" t="str">
        <f>IF(ISNUMBER(H722),ROUND(H722*IF(G722="挂单",'参数'!$C$11,'参数'!$C$12),4),"")</f>
        <v/>
      </c>
      <c r="J722" s="47" t="n"/>
      <c r="K722" s="47" t="n"/>
      <c r="L722" s="20" t="str">
        <f>IF(ISNUMBER(K722),K722+N(J722),IF(ISNUMBER(H722),I722+N(J722),""))</f>
        <v/>
      </c>
      <c r="M722" s="40" t="str">
        <f>IF(A722="","",IFERROR(T(INDEX('交易记录'!$C$5:$C$304,MATCH(A722,'交易记录'!$A$5:$A$304,0))),"编号没找到"))</f>
        <v/>
      </c>
      <c r="N722" s="30" t="n"/>
    </row>
    <row r="723">
      <c r="A723" s="24" t="n"/>
      <c r="B723" s="29" t="n"/>
      <c r="C723" s="27" t="n"/>
      <c r="D723" s="31" t="n"/>
      <c r="E723" s="32" t="n"/>
      <c r="F723" s="35" t="n"/>
      <c r="G723" s="31" t="n"/>
      <c r="H723" s="20" t="str">
        <f>IF(AND(ISNUMBER(E723),ISNUMBER(F723)),E723*F723,"")</f>
        <v/>
      </c>
      <c r="I723" s="42" t="str">
        <f>IF(ISNUMBER(H723),ROUND(H723*IF(G723="挂单",'参数'!$C$11,'参数'!$C$12),4),"")</f>
        <v/>
      </c>
      <c r="J723" s="47" t="n"/>
      <c r="K723" s="47" t="n"/>
      <c r="L723" s="20" t="str">
        <f>IF(ISNUMBER(K723),K723+N(J723),IF(ISNUMBER(H723),I723+N(J723),""))</f>
        <v/>
      </c>
      <c r="M723" s="40" t="str">
        <f>IF(A723="","",IFERROR(T(INDEX('交易记录'!$C$5:$C$304,MATCH(A723,'交易记录'!$A$5:$A$304,0))),"编号没找到"))</f>
        <v/>
      </c>
      <c r="N723" s="30" t="n"/>
    </row>
    <row r="724">
      <c r="A724" s="24" t="n"/>
      <c r="B724" s="29" t="n"/>
      <c r="C724" s="27" t="n"/>
      <c r="D724" s="31" t="n"/>
      <c r="E724" s="32" t="n"/>
      <c r="F724" s="35" t="n"/>
      <c r="G724" s="31" t="n"/>
      <c r="H724" s="20" t="str">
        <f>IF(AND(ISNUMBER(E724),ISNUMBER(F724)),E724*F724,"")</f>
        <v/>
      </c>
      <c r="I724" s="42" t="str">
        <f>IF(ISNUMBER(H724),ROUND(H724*IF(G724="挂单",'参数'!$C$11,'参数'!$C$12),4),"")</f>
        <v/>
      </c>
      <c r="J724" s="47" t="n"/>
      <c r="K724" s="47" t="n"/>
      <c r="L724" s="20" t="str">
        <f>IF(ISNUMBER(K724),K724+N(J724),IF(ISNUMBER(H724),I724+N(J724),""))</f>
        <v/>
      </c>
      <c r="M724" s="40" t="str">
        <f>IF(A724="","",IFERROR(T(INDEX('交易记录'!$C$5:$C$304,MATCH(A724,'交易记录'!$A$5:$A$304,0))),"编号没找到"))</f>
        <v/>
      </c>
      <c r="N724" s="30" t="n"/>
    </row>
    <row r="725">
      <c r="A725" s="24" t="n"/>
      <c r="B725" s="29" t="n"/>
      <c r="C725" s="27" t="n"/>
      <c r="D725" s="31" t="n"/>
      <c r="E725" s="32" t="n"/>
      <c r="F725" s="35" t="n"/>
      <c r="G725" s="31" t="n"/>
      <c r="H725" s="20" t="str">
        <f>IF(AND(ISNUMBER(E725),ISNUMBER(F725)),E725*F725,"")</f>
        <v/>
      </c>
      <c r="I725" s="42" t="str">
        <f>IF(ISNUMBER(H725),ROUND(H725*IF(G725="挂单",'参数'!$C$11,'参数'!$C$12),4),"")</f>
        <v/>
      </c>
      <c r="J725" s="47" t="n"/>
      <c r="K725" s="47" t="n"/>
      <c r="L725" s="20" t="str">
        <f>IF(ISNUMBER(K725),K725+N(J725),IF(ISNUMBER(H725),I725+N(J725),""))</f>
        <v/>
      </c>
      <c r="M725" s="40" t="str">
        <f>IF(A725="","",IFERROR(T(INDEX('交易记录'!$C$5:$C$304,MATCH(A725,'交易记录'!$A$5:$A$304,0))),"编号没找到"))</f>
        <v/>
      </c>
      <c r="N725" s="30" t="n"/>
    </row>
    <row r="726">
      <c r="A726" s="24" t="n"/>
      <c r="B726" s="29" t="n"/>
      <c r="C726" s="27" t="n"/>
      <c r="D726" s="31" t="n"/>
      <c r="E726" s="32" t="n"/>
      <c r="F726" s="35" t="n"/>
      <c r="G726" s="31" t="n"/>
      <c r="H726" s="20" t="str">
        <f>IF(AND(ISNUMBER(E726),ISNUMBER(F726)),E726*F726,"")</f>
        <v/>
      </c>
      <c r="I726" s="42" t="str">
        <f>IF(ISNUMBER(H726),ROUND(H726*IF(G726="挂单",'参数'!$C$11,'参数'!$C$12),4),"")</f>
        <v/>
      </c>
      <c r="J726" s="47" t="n"/>
      <c r="K726" s="47" t="n"/>
      <c r="L726" s="20" t="str">
        <f>IF(ISNUMBER(K726),K726+N(J726),IF(ISNUMBER(H726),I726+N(J726),""))</f>
        <v/>
      </c>
      <c r="M726" s="40" t="str">
        <f>IF(A726="","",IFERROR(T(INDEX('交易记录'!$C$5:$C$304,MATCH(A726,'交易记录'!$A$5:$A$304,0))),"编号没找到"))</f>
        <v/>
      </c>
      <c r="N726" s="30" t="n"/>
    </row>
    <row r="727">
      <c r="A727" s="24" t="n"/>
      <c r="B727" s="29" t="n"/>
      <c r="C727" s="27" t="n"/>
      <c r="D727" s="31" t="n"/>
      <c r="E727" s="32" t="n"/>
      <c r="F727" s="35" t="n"/>
      <c r="G727" s="31" t="n"/>
      <c r="H727" s="20" t="str">
        <f>IF(AND(ISNUMBER(E727),ISNUMBER(F727)),E727*F727,"")</f>
        <v/>
      </c>
      <c r="I727" s="42" t="str">
        <f>IF(ISNUMBER(H727),ROUND(H727*IF(G727="挂单",'参数'!$C$11,'参数'!$C$12),4),"")</f>
        <v/>
      </c>
      <c r="J727" s="47" t="n"/>
      <c r="K727" s="47" t="n"/>
      <c r="L727" s="20" t="str">
        <f>IF(ISNUMBER(K727),K727+N(J727),IF(ISNUMBER(H727),I727+N(J727),""))</f>
        <v/>
      </c>
      <c r="M727" s="40" t="str">
        <f>IF(A727="","",IFERROR(T(INDEX('交易记录'!$C$5:$C$304,MATCH(A727,'交易记录'!$A$5:$A$304,0))),"编号没找到"))</f>
        <v/>
      </c>
      <c r="N727" s="30" t="n"/>
    </row>
    <row r="728">
      <c r="A728" s="24" t="n"/>
      <c r="B728" s="29" t="n"/>
      <c r="C728" s="27" t="n"/>
      <c r="D728" s="31" t="n"/>
      <c r="E728" s="32" t="n"/>
      <c r="F728" s="35" t="n"/>
      <c r="G728" s="31" t="n"/>
      <c r="H728" s="20" t="str">
        <f>IF(AND(ISNUMBER(E728),ISNUMBER(F728)),E728*F728,"")</f>
        <v/>
      </c>
      <c r="I728" s="42" t="str">
        <f>IF(ISNUMBER(H728),ROUND(H728*IF(G728="挂单",'参数'!$C$11,'参数'!$C$12),4),"")</f>
        <v/>
      </c>
      <c r="J728" s="47" t="n"/>
      <c r="K728" s="47" t="n"/>
      <c r="L728" s="20" t="str">
        <f>IF(ISNUMBER(K728),K728+N(J728),IF(ISNUMBER(H728),I728+N(J728),""))</f>
        <v/>
      </c>
      <c r="M728" s="40" t="str">
        <f>IF(A728="","",IFERROR(T(INDEX('交易记录'!$C$5:$C$304,MATCH(A728,'交易记录'!$A$5:$A$304,0))),"编号没找到"))</f>
        <v/>
      </c>
      <c r="N728" s="30" t="n"/>
    </row>
    <row r="729">
      <c r="A729" s="24" t="n"/>
      <c r="B729" s="29" t="n"/>
      <c r="C729" s="27" t="n"/>
      <c r="D729" s="31" t="n"/>
      <c r="E729" s="32" t="n"/>
      <c r="F729" s="35" t="n"/>
      <c r="G729" s="31" t="n"/>
      <c r="H729" s="20" t="str">
        <f>IF(AND(ISNUMBER(E729),ISNUMBER(F729)),E729*F729,"")</f>
        <v/>
      </c>
      <c r="I729" s="42" t="str">
        <f>IF(ISNUMBER(H729),ROUND(H729*IF(G729="挂单",'参数'!$C$11,'参数'!$C$12),4),"")</f>
        <v/>
      </c>
      <c r="J729" s="47" t="n"/>
      <c r="K729" s="47" t="n"/>
      <c r="L729" s="20" t="str">
        <f>IF(ISNUMBER(K729),K729+N(J729),IF(ISNUMBER(H729),I729+N(J729),""))</f>
        <v/>
      </c>
      <c r="M729" s="40" t="str">
        <f>IF(A729="","",IFERROR(T(INDEX('交易记录'!$C$5:$C$304,MATCH(A729,'交易记录'!$A$5:$A$304,0))),"编号没找到"))</f>
        <v/>
      </c>
      <c r="N729" s="30" t="n"/>
    </row>
    <row r="730">
      <c r="A730" s="24" t="n"/>
      <c r="B730" s="29" t="n"/>
      <c r="C730" s="27" t="n"/>
      <c r="D730" s="31" t="n"/>
      <c r="E730" s="32" t="n"/>
      <c r="F730" s="35" t="n"/>
      <c r="G730" s="31" t="n"/>
      <c r="H730" s="20" t="str">
        <f>IF(AND(ISNUMBER(E730),ISNUMBER(F730)),E730*F730,"")</f>
        <v/>
      </c>
      <c r="I730" s="42" t="str">
        <f>IF(ISNUMBER(H730),ROUND(H730*IF(G730="挂单",'参数'!$C$11,'参数'!$C$12),4),"")</f>
        <v/>
      </c>
      <c r="J730" s="47" t="n"/>
      <c r="K730" s="47" t="n"/>
      <c r="L730" s="20" t="str">
        <f>IF(ISNUMBER(K730),K730+N(J730),IF(ISNUMBER(H730),I730+N(J730),""))</f>
        <v/>
      </c>
      <c r="M730" s="40" t="str">
        <f>IF(A730="","",IFERROR(T(INDEX('交易记录'!$C$5:$C$304,MATCH(A730,'交易记录'!$A$5:$A$304,0))),"编号没找到"))</f>
        <v/>
      </c>
      <c r="N730" s="30" t="n"/>
    </row>
    <row r="731">
      <c r="A731" s="24" t="n"/>
      <c r="B731" s="29" t="n"/>
      <c r="C731" s="27" t="n"/>
      <c r="D731" s="31" t="n"/>
      <c r="E731" s="32" t="n"/>
      <c r="F731" s="35" t="n"/>
      <c r="G731" s="31" t="n"/>
      <c r="H731" s="20" t="str">
        <f>IF(AND(ISNUMBER(E731),ISNUMBER(F731)),E731*F731,"")</f>
        <v/>
      </c>
      <c r="I731" s="42" t="str">
        <f>IF(ISNUMBER(H731),ROUND(H731*IF(G731="挂单",'参数'!$C$11,'参数'!$C$12),4),"")</f>
        <v/>
      </c>
      <c r="J731" s="47" t="n"/>
      <c r="K731" s="47" t="n"/>
      <c r="L731" s="20" t="str">
        <f>IF(ISNUMBER(K731),K731+N(J731),IF(ISNUMBER(H731),I731+N(J731),""))</f>
        <v/>
      </c>
      <c r="M731" s="40" t="str">
        <f>IF(A731="","",IFERROR(T(INDEX('交易记录'!$C$5:$C$304,MATCH(A731,'交易记录'!$A$5:$A$304,0))),"编号没找到"))</f>
        <v/>
      </c>
      <c r="N731" s="30" t="n"/>
    </row>
    <row r="732">
      <c r="A732" s="24" t="n"/>
      <c r="B732" s="29" t="n"/>
      <c r="C732" s="27" t="n"/>
      <c r="D732" s="31" t="n"/>
      <c r="E732" s="32" t="n"/>
      <c r="F732" s="35" t="n"/>
      <c r="G732" s="31" t="n"/>
      <c r="H732" s="20" t="str">
        <f>IF(AND(ISNUMBER(E732),ISNUMBER(F732)),E732*F732,"")</f>
        <v/>
      </c>
      <c r="I732" s="42" t="str">
        <f>IF(ISNUMBER(H732),ROUND(H732*IF(G732="挂单",'参数'!$C$11,'参数'!$C$12),4),"")</f>
        <v/>
      </c>
      <c r="J732" s="47" t="n"/>
      <c r="K732" s="47" t="n"/>
      <c r="L732" s="20" t="str">
        <f>IF(ISNUMBER(K732),K732+N(J732),IF(ISNUMBER(H732),I732+N(J732),""))</f>
        <v/>
      </c>
      <c r="M732" s="40" t="str">
        <f>IF(A732="","",IFERROR(T(INDEX('交易记录'!$C$5:$C$304,MATCH(A732,'交易记录'!$A$5:$A$304,0))),"编号没找到"))</f>
        <v/>
      </c>
      <c r="N732" s="30" t="n"/>
    </row>
    <row r="733">
      <c r="A733" s="24" t="n"/>
      <c r="B733" s="29" t="n"/>
      <c r="C733" s="27" t="n"/>
      <c r="D733" s="31" t="n"/>
      <c r="E733" s="32" t="n"/>
      <c r="F733" s="35" t="n"/>
      <c r="G733" s="31" t="n"/>
      <c r="H733" s="20" t="str">
        <f>IF(AND(ISNUMBER(E733),ISNUMBER(F733)),E733*F733,"")</f>
        <v/>
      </c>
      <c r="I733" s="42" t="str">
        <f>IF(ISNUMBER(H733),ROUND(H733*IF(G733="挂单",'参数'!$C$11,'参数'!$C$12),4),"")</f>
        <v/>
      </c>
      <c r="J733" s="47" t="n"/>
      <c r="K733" s="47" t="n"/>
      <c r="L733" s="20" t="str">
        <f>IF(ISNUMBER(K733),K733+N(J733),IF(ISNUMBER(H733),I733+N(J733),""))</f>
        <v/>
      </c>
      <c r="M733" s="40" t="str">
        <f>IF(A733="","",IFERROR(T(INDEX('交易记录'!$C$5:$C$304,MATCH(A733,'交易记录'!$A$5:$A$304,0))),"编号没找到"))</f>
        <v/>
      </c>
      <c r="N733" s="30" t="n"/>
    </row>
    <row r="734">
      <c r="A734" s="24" t="n"/>
      <c r="B734" s="29" t="n"/>
      <c r="C734" s="27" t="n"/>
      <c r="D734" s="31" t="n"/>
      <c r="E734" s="32" t="n"/>
      <c r="F734" s="35" t="n"/>
      <c r="G734" s="31" t="n"/>
      <c r="H734" s="20" t="str">
        <f>IF(AND(ISNUMBER(E734),ISNUMBER(F734)),E734*F734,"")</f>
        <v/>
      </c>
      <c r="I734" s="42" t="str">
        <f>IF(ISNUMBER(H734),ROUND(H734*IF(G734="挂单",'参数'!$C$11,'参数'!$C$12),4),"")</f>
        <v/>
      </c>
      <c r="J734" s="47" t="n"/>
      <c r="K734" s="47" t="n"/>
      <c r="L734" s="20" t="str">
        <f>IF(ISNUMBER(K734),K734+N(J734),IF(ISNUMBER(H734),I734+N(J734),""))</f>
        <v/>
      </c>
      <c r="M734" s="40" t="str">
        <f>IF(A734="","",IFERROR(T(INDEX('交易记录'!$C$5:$C$304,MATCH(A734,'交易记录'!$A$5:$A$304,0))),"编号没找到"))</f>
        <v/>
      </c>
      <c r="N734" s="30" t="n"/>
    </row>
    <row r="735">
      <c r="A735" s="24" t="n"/>
      <c r="B735" s="29" t="n"/>
      <c r="C735" s="27" t="n"/>
      <c r="D735" s="31" t="n"/>
      <c r="E735" s="32" t="n"/>
      <c r="F735" s="35" t="n"/>
      <c r="G735" s="31" t="n"/>
      <c r="H735" s="20" t="str">
        <f>IF(AND(ISNUMBER(E735),ISNUMBER(F735)),E735*F735,"")</f>
        <v/>
      </c>
      <c r="I735" s="42" t="str">
        <f>IF(ISNUMBER(H735),ROUND(H735*IF(G735="挂单",'参数'!$C$11,'参数'!$C$12),4),"")</f>
        <v/>
      </c>
      <c r="J735" s="47" t="n"/>
      <c r="K735" s="47" t="n"/>
      <c r="L735" s="20" t="str">
        <f>IF(ISNUMBER(K735),K735+N(J735),IF(ISNUMBER(H735),I735+N(J735),""))</f>
        <v/>
      </c>
      <c r="M735" s="40" t="str">
        <f>IF(A735="","",IFERROR(T(INDEX('交易记录'!$C$5:$C$304,MATCH(A735,'交易记录'!$A$5:$A$304,0))),"编号没找到"))</f>
        <v/>
      </c>
      <c r="N735" s="30" t="n"/>
    </row>
    <row r="736">
      <c r="A736" s="24" t="n"/>
      <c r="B736" s="29" t="n"/>
      <c r="C736" s="27" t="n"/>
      <c r="D736" s="31" t="n"/>
      <c r="E736" s="32" t="n"/>
      <c r="F736" s="35" t="n"/>
      <c r="G736" s="31" t="n"/>
      <c r="H736" s="20" t="str">
        <f>IF(AND(ISNUMBER(E736),ISNUMBER(F736)),E736*F736,"")</f>
        <v/>
      </c>
      <c r="I736" s="42" t="str">
        <f>IF(ISNUMBER(H736),ROUND(H736*IF(G736="挂单",'参数'!$C$11,'参数'!$C$12),4),"")</f>
        <v/>
      </c>
      <c r="J736" s="47" t="n"/>
      <c r="K736" s="47" t="n"/>
      <c r="L736" s="20" t="str">
        <f>IF(ISNUMBER(K736),K736+N(J736),IF(ISNUMBER(H736),I736+N(J736),""))</f>
        <v/>
      </c>
      <c r="M736" s="40" t="str">
        <f>IF(A736="","",IFERROR(T(INDEX('交易记录'!$C$5:$C$304,MATCH(A736,'交易记录'!$A$5:$A$304,0))),"编号没找到"))</f>
        <v/>
      </c>
      <c r="N736" s="30" t="n"/>
    </row>
    <row r="737">
      <c r="A737" s="24" t="n"/>
      <c r="B737" s="29" t="n"/>
      <c r="C737" s="27" t="n"/>
      <c r="D737" s="31" t="n"/>
      <c r="E737" s="32" t="n"/>
      <c r="F737" s="35" t="n"/>
      <c r="G737" s="31" t="n"/>
      <c r="H737" s="20" t="str">
        <f>IF(AND(ISNUMBER(E737),ISNUMBER(F737)),E737*F737,"")</f>
        <v/>
      </c>
      <c r="I737" s="42" t="str">
        <f>IF(ISNUMBER(H737),ROUND(H737*IF(G737="挂单",'参数'!$C$11,'参数'!$C$12),4),"")</f>
        <v/>
      </c>
      <c r="J737" s="47" t="n"/>
      <c r="K737" s="47" t="n"/>
      <c r="L737" s="20" t="str">
        <f>IF(ISNUMBER(K737),K737+N(J737),IF(ISNUMBER(H737),I737+N(J737),""))</f>
        <v/>
      </c>
      <c r="M737" s="40" t="str">
        <f>IF(A737="","",IFERROR(T(INDEX('交易记录'!$C$5:$C$304,MATCH(A737,'交易记录'!$A$5:$A$304,0))),"编号没找到"))</f>
        <v/>
      </c>
      <c r="N737" s="30" t="n"/>
    </row>
    <row r="738">
      <c r="A738" s="24" t="n"/>
      <c r="B738" s="29" t="n"/>
      <c r="C738" s="27" t="n"/>
      <c r="D738" s="31" t="n"/>
      <c r="E738" s="32" t="n"/>
      <c r="F738" s="35" t="n"/>
      <c r="G738" s="31" t="n"/>
      <c r="H738" s="20" t="str">
        <f>IF(AND(ISNUMBER(E738),ISNUMBER(F738)),E738*F738,"")</f>
        <v/>
      </c>
      <c r="I738" s="42" t="str">
        <f>IF(ISNUMBER(H738),ROUND(H738*IF(G738="挂单",'参数'!$C$11,'参数'!$C$12),4),"")</f>
        <v/>
      </c>
      <c r="J738" s="47" t="n"/>
      <c r="K738" s="47" t="n"/>
      <c r="L738" s="20" t="str">
        <f>IF(ISNUMBER(K738),K738+N(J738),IF(ISNUMBER(H738),I738+N(J738),""))</f>
        <v/>
      </c>
      <c r="M738" s="40" t="str">
        <f>IF(A738="","",IFERROR(T(INDEX('交易记录'!$C$5:$C$304,MATCH(A738,'交易记录'!$A$5:$A$304,0))),"编号没找到"))</f>
        <v/>
      </c>
      <c r="N738" s="30" t="n"/>
    </row>
    <row r="739">
      <c r="A739" s="24" t="n"/>
      <c r="B739" s="29" t="n"/>
      <c r="C739" s="27" t="n"/>
      <c r="D739" s="31" t="n"/>
      <c r="E739" s="32" t="n"/>
      <c r="F739" s="35" t="n"/>
      <c r="G739" s="31" t="n"/>
      <c r="H739" s="20" t="str">
        <f>IF(AND(ISNUMBER(E739),ISNUMBER(F739)),E739*F739,"")</f>
        <v/>
      </c>
      <c r="I739" s="42" t="str">
        <f>IF(ISNUMBER(H739),ROUND(H739*IF(G739="挂单",'参数'!$C$11,'参数'!$C$12),4),"")</f>
        <v/>
      </c>
      <c r="J739" s="47" t="n"/>
      <c r="K739" s="47" t="n"/>
      <c r="L739" s="20" t="str">
        <f>IF(ISNUMBER(K739),K739+N(J739),IF(ISNUMBER(H739),I739+N(J739),""))</f>
        <v/>
      </c>
      <c r="M739" s="40" t="str">
        <f>IF(A739="","",IFERROR(T(INDEX('交易记录'!$C$5:$C$304,MATCH(A739,'交易记录'!$A$5:$A$304,0))),"编号没找到"))</f>
        <v/>
      </c>
      <c r="N739" s="30" t="n"/>
    </row>
    <row r="740">
      <c r="A740" s="24" t="n"/>
      <c r="B740" s="29" t="n"/>
      <c r="C740" s="27" t="n"/>
      <c r="D740" s="31" t="n"/>
      <c r="E740" s="32" t="n"/>
      <c r="F740" s="35" t="n"/>
      <c r="G740" s="31" t="n"/>
      <c r="H740" s="20" t="str">
        <f>IF(AND(ISNUMBER(E740),ISNUMBER(F740)),E740*F740,"")</f>
        <v/>
      </c>
      <c r="I740" s="42" t="str">
        <f>IF(ISNUMBER(H740),ROUND(H740*IF(G740="挂单",'参数'!$C$11,'参数'!$C$12),4),"")</f>
        <v/>
      </c>
      <c r="J740" s="47" t="n"/>
      <c r="K740" s="47" t="n"/>
      <c r="L740" s="20" t="str">
        <f>IF(ISNUMBER(K740),K740+N(J740),IF(ISNUMBER(H740),I740+N(J740),""))</f>
        <v/>
      </c>
      <c r="M740" s="40" t="str">
        <f>IF(A740="","",IFERROR(T(INDEX('交易记录'!$C$5:$C$304,MATCH(A740,'交易记录'!$A$5:$A$304,0))),"编号没找到"))</f>
        <v/>
      </c>
      <c r="N740" s="30" t="n"/>
    </row>
    <row r="741">
      <c r="A741" s="24" t="n"/>
      <c r="B741" s="29" t="n"/>
      <c r="C741" s="27" t="n"/>
      <c r="D741" s="31" t="n"/>
      <c r="E741" s="32" t="n"/>
      <c r="F741" s="35" t="n"/>
      <c r="G741" s="31" t="n"/>
      <c r="H741" s="20" t="str">
        <f>IF(AND(ISNUMBER(E741),ISNUMBER(F741)),E741*F741,"")</f>
        <v/>
      </c>
      <c r="I741" s="42" t="str">
        <f>IF(ISNUMBER(H741),ROUND(H741*IF(G741="挂单",'参数'!$C$11,'参数'!$C$12),4),"")</f>
        <v/>
      </c>
      <c r="J741" s="47" t="n"/>
      <c r="K741" s="47" t="n"/>
      <c r="L741" s="20" t="str">
        <f>IF(ISNUMBER(K741),K741+N(J741),IF(ISNUMBER(H741),I741+N(J741),""))</f>
        <v/>
      </c>
      <c r="M741" s="40" t="str">
        <f>IF(A741="","",IFERROR(T(INDEX('交易记录'!$C$5:$C$304,MATCH(A741,'交易记录'!$A$5:$A$304,0))),"编号没找到"))</f>
        <v/>
      </c>
      <c r="N741" s="30" t="n"/>
    </row>
    <row r="742">
      <c r="A742" s="24" t="n"/>
      <c r="B742" s="29" t="n"/>
      <c r="C742" s="27" t="n"/>
      <c r="D742" s="31" t="n"/>
      <c r="E742" s="32" t="n"/>
      <c r="F742" s="35" t="n"/>
      <c r="G742" s="31" t="n"/>
      <c r="H742" s="20" t="str">
        <f>IF(AND(ISNUMBER(E742),ISNUMBER(F742)),E742*F742,"")</f>
        <v/>
      </c>
      <c r="I742" s="42" t="str">
        <f>IF(ISNUMBER(H742),ROUND(H742*IF(G742="挂单",'参数'!$C$11,'参数'!$C$12),4),"")</f>
        <v/>
      </c>
      <c r="J742" s="47" t="n"/>
      <c r="K742" s="47" t="n"/>
      <c r="L742" s="20" t="str">
        <f>IF(ISNUMBER(K742),K742+N(J742),IF(ISNUMBER(H742),I742+N(J742),""))</f>
        <v/>
      </c>
      <c r="M742" s="40" t="str">
        <f>IF(A742="","",IFERROR(T(INDEX('交易记录'!$C$5:$C$304,MATCH(A742,'交易记录'!$A$5:$A$304,0))),"编号没找到"))</f>
        <v/>
      </c>
      <c r="N742" s="30" t="n"/>
    </row>
    <row r="743">
      <c r="A743" s="24" t="n"/>
      <c r="B743" s="29" t="n"/>
      <c r="C743" s="27" t="n"/>
      <c r="D743" s="31" t="n"/>
      <c r="E743" s="32" t="n"/>
      <c r="F743" s="35" t="n"/>
      <c r="G743" s="31" t="n"/>
      <c r="H743" s="20" t="str">
        <f>IF(AND(ISNUMBER(E743),ISNUMBER(F743)),E743*F743,"")</f>
        <v/>
      </c>
      <c r="I743" s="42" t="str">
        <f>IF(ISNUMBER(H743),ROUND(H743*IF(G743="挂单",'参数'!$C$11,'参数'!$C$12),4),"")</f>
        <v/>
      </c>
      <c r="J743" s="47" t="n"/>
      <c r="K743" s="47" t="n"/>
      <c r="L743" s="20" t="str">
        <f>IF(ISNUMBER(K743),K743+N(J743),IF(ISNUMBER(H743),I743+N(J743),""))</f>
        <v/>
      </c>
      <c r="M743" s="40" t="str">
        <f>IF(A743="","",IFERROR(T(INDEX('交易记录'!$C$5:$C$304,MATCH(A743,'交易记录'!$A$5:$A$304,0))),"编号没找到"))</f>
        <v/>
      </c>
      <c r="N743" s="30" t="n"/>
    </row>
    <row r="744">
      <c r="A744" s="24" t="n"/>
      <c r="B744" s="29" t="n"/>
      <c r="C744" s="27" t="n"/>
      <c r="D744" s="31" t="n"/>
      <c r="E744" s="32" t="n"/>
      <c r="F744" s="35" t="n"/>
      <c r="G744" s="31" t="n"/>
      <c r="H744" s="20" t="str">
        <f>IF(AND(ISNUMBER(E744),ISNUMBER(F744)),E744*F744,"")</f>
        <v/>
      </c>
      <c r="I744" s="42" t="str">
        <f>IF(ISNUMBER(H744),ROUND(H744*IF(G744="挂单",'参数'!$C$11,'参数'!$C$12),4),"")</f>
        <v/>
      </c>
      <c r="J744" s="47" t="n"/>
      <c r="K744" s="47" t="n"/>
      <c r="L744" s="20" t="str">
        <f>IF(ISNUMBER(K744),K744+N(J744),IF(ISNUMBER(H744),I744+N(J744),""))</f>
        <v/>
      </c>
      <c r="M744" s="40" t="str">
        <f>IF(A744="","",IFERROR(T(INDEX('交易记录'!$C$5:$C$304,MATCH(A744,'交易记录'!$A$5:$A$304,0))),"编号没找到"))</f>
        <v/>
      </c>
      <c r="N744" s="30" t="n"/>
    </row>
    <row r="745">
      <c r="A745" s="24" t="n"/>
      <c r="B745" s="29" t="n"/>
      <c r="C745" s="27" t="n"/>
      <c r="D745" s="31" t="n"/>
      <c r="E745" s="32" t="n"/>
      <c r="F745" s="35" t="n"/>
      <c r="G745" s="31" t="n"/>
      <c r="H745" s="20" t="str">
        <f>IF(AND(ISNUMBER(E745),ISNUMBER(F745)),E745*F745,"")</f>
        <v/>
      </c>
      <c r="I745" s="42" t="str">
        <f>IF(ISNUMBER(H745),ROUND(H745*IF(G745="挂单",'参数'!$C$11,'参数'!$C$12),4),"")</f>
        <v/>
      </c>
      <c r="J745" s="47" t="n"/>
      <c r="K745" s="47" t="n"/>
      <c r="L745" s="20" t="str">
        <f>IF(ISNUMBER(K745),K745+N(J745),IF(ISNUMBER(H745),I745+N(J745),""))</f>
        <v/>
      </c>
      <c r="M745" s="40" t="str">
        <f>IF(A745="","",IFERROR(T(INDEX('交易记录'!$C$5:$C$304,MATCH(A745,'交易记录'!$A$5:$A$304,0))),"编号没找到"))</f>
        <v/>
      </c>
      <c r="N745" s="30" t="n"/>
    </row>
    <row r="746">
      <c r="A746" s="24" t="n"/>
      <c r="B746" s="29" t="n"/>
      <c r="C746" s="27" t="n"/>
      <c r="D746" s="31" t="n"/>
      <c r="E746" s="32" t="n"/>
      <c r="F746" s="35" t="n"/>
      <c r="G746" s="31" t="n"/>
      <c r="H746" s="20" t="str">
        <f>IF(AND(ISNUMBER(E746),ISNUMBER(F746)),E746*F746,"")</f>
        <v/>
      </c>
      <c r="I746" s="42" t="str">
        <f>IF(ISNUMBER(H746),ROUND(H746*IF(G746="挂单",'参数'!$C$11,'参数'!$C$12),4),"")</f>
        <v/>
      </c>
      <c r="J746" s="47" t="n"/>
      <c r="K746" s="47" t="n"/>
      <c r="L746" s="20" t="str">
        <f>IF(ISNUMBER(K746),K746+N(J746),IF(ISNUMBER(H746),I746+N(J746),""))</f>
        <v/>
      </c>
      <c r="M746" s="40" t="str">
        <f>IF(A746="","",IFERROR(T(INDEX('交易记录'!$C$5:$C$304,MATCH(A746,'交易记录'!$A$5:$A$304,0))),"编号没找到"))</f>
        <v/>
      </c>
      <c r="N746" s="30" t="n"/>
    </row>
    <row r="747">
      <c r="A747" s="24" t="n"/>
      <c r="B747" s="29" t="n"/>
      <c r="C747" s="27" t="n"/>
      <c r="D747" s="31" t="n"/>
      <c r="E747" s="32" t="n"/>
      <c r="F747" s="35" t="n"/>
      <c r="G747" s="31" t="n"/>
      <c r="H747" s="20" t="str">
        <f>IF(AND(ISNUMBER(E747),ISNUMBER(F747)),E747*F747,"")</f>
        <v/>
      </c>
      <c r="I747" s="42" t="str">
        <f>IF(ISNUMBER(H747),ROUND(H747*IF(G747="挂单",'参数'!$C$11,'参数'!$C$12),4),"")</f>
        <v/>
      </c>
      <c r="J747" s="47" t="n"/>
      <c r="K747" s="47" t="n"/>
      <c r="L747" s="20" t="str">
        <f>IF(ISNUMBER(K747),K747+N(J747),IF(ISNUMBER(H747),I747+N(J747),""))</f>
        <v/>
      </c>
      <c r="M747" s="40" t="str">
        <f>IF(A747="","",IFERROR(T(INDEX('交易记录'!$C$5:$C$304,MATCH(A747,'交易记录'!$A$5:$A$304,0))),"编号没找到"))</f>
        <v/>
      </c>
      <c r="N747" s="30" t="n"/>
    </row>
    <row r="748">
      <c r="A748" s="24" t="n"/>
      <c r="B748" s="29" t="n"/>
      <c r="C748" s="27" t="n"/>
      <c r="D748" s="31" t="n"/>
      <c r="E748" s="32" t="n"/>
      <c r="F748" s="35" t="n"/>
      <c r="G748" s="31" t="n"/>
      <c r="H748" s="20" t="str">
        <f>IF(AND(ISNUMBER(E748),ISNUMBER(F748)),E748*F748,"")</f>
        <v/>
      </c>
      <c r="I748" s="42" t="str">
        <f>IF(ISNUMBER(H748),ROUND(H748*IF(G748="挂单",'参数'!$C$11,'参数'!$C$12),4),"")</f>
        <v/>
      </c>
      <c r="J748" s="47" t="n"/>
      <c r="K748" s="47" t="n"/>
      <c r="L748" s="20" t="str">
        <f>IF(ISNUMBER(K748),K748+N(J748),IF(ISNUMBER(H748),I748+N(J748),""))</f>
        <v/>
      </c>
      <c r="M748" s="40" t="str">
        <f>IF(A748="","",IFERROR(T(INDEX('交易记录'!$C$5:$C$304,MATCH(A748,'交易记录'!$A$5:$A$304,0))),"编号没找到"))</f>
        <v/>
      </c>
      <c r="N748" s="30" t="n"/>
    </row>
    <row r="749">
      <c r="A749" s="24" t="n"/>
      <c r="B749" s="29" t="n"/>
      <c r="C749" s="27" t="n"/>
      <c r="D749" s="31" t="n"/>
      <c r="E749" s="32" t="n"/>
      <c r="F749" s="35" t="n"/>
      <c r="G749" s="31" t="n"/>
      <c r="H749" s="20" t="str">
        <f>IF(AND(ISNUMBER(E749),ISNUMBER(F749)),E749*F749,"")</f>
        <v/>
      </c>
      <c r="I749" s="42" t="str">
        <f>IF(ISNUMBER(H749),ROUND(H749*IF(G749="挂单",'参数'!$C$11,'参数'!$C$12),4),"")</f>
        <v/>
      </c>
      <c r="J749" s="47" t="n"/>
      <c r="K749" s="47" t="n"/>
      <c r="L749" s="20" t="str">
        <f>IF(ISNUMBER(K749),K749+N(J749),IF(ISNUMBER(H749),I749+N(J749),""))</f>
        <v/>
      </c>
      <c r="M749" s="40" t="str">
        <f>IF(A749="","",IFERROR(T(INDEX('交易记录'!$C$5:$C$304,MATCH(A749,'交易记录'!$A$5:$A$304,0))),"编号没找到"))</f>
        <v/>
      </c>
      <c r="N749" s="30" t="n"/>
    </row>
    <row r="750">
      <c r="A750" s="24" t="n"/>
      <c r="B750" s="29" t="n"/>
      <c r="C750" s="27" t="n"/>
      <c r="D750" s="31" t="n"/>
      <c r="E750" s="32" t="n"/>
      <c r="F750" s="35" t="n"/>
      <c r="G750" s="31" t="n"/>
      <c r="H750" s="20" t="str">
        <f>IF(AND(ISNUMBER(E750),ISNUMBER(F750)),E750*F750,"")</f>
        <v/>
      </c>
      <c r="I750" s="42" t="str">
        <f>IF(ISNUMBER(H750),ROUND(H750*IF(G750="挂单",'参数'!$C$11,'参数'!$C$12),4),"")</f>
        <v/>
      </c>
      <c r="J750" s="47" t="n"/>
      <c r="K750" s="47" t="n"/>
      <c r="L750" s="20" t="str">
        <f>IF(ISNUMBER(K750),K750+N(J750),IF(ISNUMBER(H750),I750+N(J750),""))</f>
        <v/>
      </c>
      <c r="M750" s="40" t="str">
        <f>IF(A750="","",IFERROR(T(INDEX('交易记录'!$C$5:$C$304,MATCH(A750,'交易记录'!$A$5:$A$304,0))),"编号没找到"))</f>
        <v/>
      </c>
      <c r="N750" s="30" t="n"/>
    </row>
    <row r="751">
      <c r="A751" s="24" t="n"/>
      <c r="B751" s="29" t="n"/>
      <c r="C751" s="27" t="n"/>
      <c r="D751" s="31" t="n"/>
      <c r="E751" s="32" t="n"/>
      <c r="F751" s="35" t="n"/>
      <c r="G751" s="31" t="n"/>
      <c r="H751" s="20" t="str">
        <f>IF(AND(ISNUMBER(E751),ISNUMBER(F751)),E751*F751,"")</f>
        <v/>
      </c>
      <c r="I751" s="42" t="str">
        <f>IF(ISNUMBER(H751),ROUND(H751*IF(G751="挂单",'参数'!$C$11,'参数'!$C$12),4),"")</f>
        <v/>
      </c>
      <c r="J751" s="47" t="n"/>
      <c r="K751" s="47" t="n"/>
      <c r="L751" s="20" t="str">
        <f>IF(ISNUMBER(K751),K751+N(J751),IF(ISNUMBER(H751),I751+N(J751),""))</f>
        <v/>
      </c>
      <c r="M751" s="40" t="str">
        <f>IF(A751="","",IFERROR(T(INDEX('交易记录'!$C$5:$C$304,MATCH(A751,'交易记录'!$A$5:$A$304,0))),"编号没找到"))</f>
        <v/>
      </c>
      <c r="N751" s="30" t="n"/>
    </row>
    <row r="752">
      <c r="A752" s="24" t="n"/>
      <c r="B752" s="29" t="n"/>
      <c r="C752" s="27" t="n"/>
      <c r="D752" s="31" t="n"/>
      <c r="E752" s="32" t="n"/>
      <c r="F752" s="35" t="n"/>
      <c r="G752" s="31" t="n"/>
      <c r="H752" s="20" t="str">
        <f>IF(AND(ISNUMBER(E752),ISNUMBER(F752)),E752*F752,"")</f>
        <v/>
      </c>
      <c r="I752" s="42" t="str">
        <f>IF(ISNUMBER(H752),ROUND(H752*IF(G752="挂单",'参数'!$C$11,'参数'!$C$12),4),"")</f>
        <v/>
      </c>
      <c r="J752" s="47" t="n"/>
      <c r="K752" s="47" t="n"/>
      <c r="L752" s="20" t="str">
        <f>IF(ISNUMBER(K752),K752+N(J752),IF(ISNUMBER(H752),I752+N(J752),""))</f>
        <v/>
      </c>
      <c r="M752" s="40" t="str">
        <f>IF(A752="","",IFERROR(T(INDEX('交易记录'!$C$5:$C$304,MATCH(A752,'交易记录'!$A$5:$A$304,0))),"编号没找到"))</f>
        <v/>
      </c>
      <c r="N752" s="30" t="n"/>
    </row>
    <row r="753">
      <c r="A753" s="24" t="n"/>
      <c r="B753" s="29" t="n"/>
      <c r="C753" s="27" t="n"/>
      <c r="D753" s="31" t="n"/>
      <c r="E753" s="32" t="n"/>
      <c r="F753" s="35" t="n"/>
      <c r="G753" s="31" t="n"/>
      <c r="H753" s="20" t="str">
        <f>IF(AND(ISNUMBER(E753),ISNUMBER(F753)),E753*F753,"")</f>
        <v/>
      </c>
      <c r="I753" s="42" t="str">
        <f>IF(ISNUMBER(H753),ROUND(H753*IF(G753="挂单",'参数'!$C$11,'参数'!$C$12),4),"")</f>
        <v/>
      </c>
      <c r="J753" s="47" t="n"/>
      <c r="K753" s="47" t="n"/>
      <c r="L753" s="20" t="str">
        <f>IF(ISNUMBER(K753),K753+N(J753),IF(ISNUMBER(H753),I753+N(J753),""))</f>
        <v/>
      </c>
      <c r="M753" s="40" t="str">
        <f>IF(A753="","",IFERROR(T(INDEX('交易记录'!$C$5:$C$304,MATCH(A753,'交易记录'!$A$5:$A$304,0))),"编号没找到"))</f>
        <v/>
      </c>
      <c r="N753" s="30" t="n"/>
    </row>
    <row r="754">
      <c r="A754" s="24" t="n"/>
      <c r="B754" s="29" t="n"/>
      <c r="C754" s="27" t="n"/>
      <c r="D754" s="31" t="n"/>
      <c r="E754" s="32" t="n"/>
      <c r="F754" s="35" t="n"/>
      <c r="G754" s="31" t="n"/>
      <c r="H754" s="20" t="str">
        <f>IF(AND(ISNUMBER(E754),ISNUMBER(F754)),E754*F754,"")</f>
        <v/>
      </c>
      <c r="I754" s="42" t="str">
        <f>IF(ISNUMBER(H754),ROUND(H754*IF(G754="挂单",'参数'!$C$11,'参数'!$C$12),4),"")</f>
        <v/>
      </c>
      <c r="J754" s="47" t="n"/>
      <c r="K754" s="47" t="n"/>
      <c r="L754" s="20" t="str">
        <f>IF(ISNUMBER(K754),K754+N(J754),IF(ISNUMBER(H754),I754+N(J754),""))</f>
        <v/>
      </c>
      <c r="M754" s="40" t="str">
        <f>IF(A754="","",IFERROR(T(INDEX('交易记录'!$C$5:$C$304,MATCH(A754,'交易记录'!$A$5:$A$304,0))),"编号没找到"))</f>
        <v/>
      </c>
      <c r="N754" s="30" t="n"/>
    </row>
    <row r="755">
      <c r="A755" s="24" t="n"/>
      <c r="B755" s="29" t="n"/>
      <c r="C755" s="27" t="n"/>
      <c r="D755" s="31" t="n"/>
      <c r="E755" s="32" t="n"/>
      <c r="F755" s="35" t="n"/>
      <c r="G755" s="31" t="n"/>
      <c r="H755" s="20" t="str">
        <f>IF(AND(ISNUMBER(E755),ISNUMBER(F755)),E755*F755,"")</f>
        <v/>
      </c>
      <c r="I755" s="42" t="str">
        <f>IF(ISNUMBER(H755),ROUND(H755*IF(G755="挂单",'参数'!$C$11,'参数'!$C$12),4),"")</f>
        <v/>
      </c>
      <c r="J755" s="47" t="n"/>
      <c r="K755" s="47" t="n"/>
      <c r="L755" s="20" t="str">
        <f>IF(ISNUMBER(K755),K755+N(J755),IF(ISNUMBER(H755),I755+N(J755),""))</f>
        <v/>
      </c>
      <c r="M755" s="40" t="str">
        <f>IF(A755="","",IFERROR(T(INDEX('交易记录'!$C$5:$C$304,MATCH(A755,'交易记录'!$A$5:$A$304,0))),"编号没找到"))</f>
        <v/>
      </c>
      <c r="N755" s="30" t="n"/>
    </row>
    <row r="756">
      <c r="A756" s="24" t="n"/>
      <c r="B756" s="29" t="n"/>
      <c r="C756" s="27" t="n"/>
      <c r="D756" s="31" t="n"/>
      <c r="E756" s="32" t="n"/>
      <c r="F756" s="35" t="n"/>
      <c r="G756" s="31" t="n"/>
      <c r="H756" s="20" t="str">
        <f>IF(AND(ISNUMBER(E756),ISNUMBER(F756)),E756*F756,"")</f>
        <v/>
      </c>
      <c r="I756" s="42" t="str">
        <f>IF(ISNUMBER(H756),ROUND(H756*IF(G756="挂单",'参数'!$C$11,'参数'!$C$12),4),"")</f>
        <v/>
      </c>
      <c r="J756" s="47" t="n"/>
      <c r="K756" s="47" t="n"/>
      <c r="L756" s="20" t="str">
        <f>IF(ISNUMBER(K756),K756+N(J756),IF(ISNUMBER(H756),I756+N(J756),""))</f>
        <v/>
      </c>
      <c r="M756" s="40" t="str">
        <f>IF(A756="","",IFERROR(T(INDEX('交易记录'!$C$5:$C$304,MATCH(A756,'交易记录'!$A$5:$A$304,0))),"编号没找到"))</f>
        <v/>
      </c>
      <c r="N756" s="30" t="n"/>
    </row>
    <row r="757">
      <c r="A757" s="24" t="n"/>
      <c r="B757" s="29" t="n"/>
      <c r="C757" s="27" t="n"/>
      <c r="D757" s="31" t="n"/>
      <c r="E757" s="32" t="n"/>
      <c r="F757" s="35" t="n"/>
      <c r="G757" s="31" t="n"/>
      <c r="H757" s="20" t="str">
        <f>IF(AND(ISNUMBER(E757),ISNUMBER(F757)),E757*F757,"")</f>
        <v/>
      </c>
      <c r="I757" s="42" t="str">
        <f>IF(ISNUMBER(H757),ROUND(H757*IF(G757="挂单",'参数'!$C$11,'参数'!$C$12),4),"")</f>
        <v/>
      </c>
      <c r="J757" s="47" t="n"/>
      <c r="K757" s="47" t="n"/>
      <c r="L757" s="20" t="str">
        <f>IF(ISNUMBER(K757),K757+N(J757),IF(ISNUMBER(H757),I757+N(J757),""))</f>
        <v/>
      </c>
      <c r="M757" s="40" t="str">
        <f>IF(A757="","",IFERROR(T(INDEX('交易记录'!$C$5:$C$304,MATCH(A757,'交易记录'!$A$5:$A$304,0))),"编号没找到"))</f>
        <v/>
      </c>
      <c r="N757" s="30" t="n"/>
    </row>
    <row r="758">
      <c r="A758" s="24" t="n"/>
      <c r="B758" s="29" t="n"/>
      <c r="C758" s="27" t="n"/>
      <c r="D758" s="31" t="n"/>
      <c r="E758" s="32" t="n"/>
      <c r="F758" s="35" t="n"/>
      <c r="G758" s="31" t="n"/>
      <c r="H758" s="20" t="str">
        <f>IF(AND(ISNUMBER(E758),ISNUMBER(F758)),E758*F758,"")</f>
        <v/>
      </c>
      <c r="I758" s="42" t="str">
        <f>IF(ISNUMBER(H758),ROUND(H758*IF(G758="挂单",'参数'!$C$11,'参数'!$C$12),4),"")</f>
        <v/>
      </c>
      <c r="J758" s="47" t="n"/>
      <c r="K758" s="47" t="n"/>
      <c r="L758" s="20" t="str">
        <f>IF(ISNUMBER(K758),K758+N(J758),IF(ISNUMBER(H758),I758+N(J758),""))</f>
        <v/>
      </c>
      <c r="M758" s="40" t="str">
        <f>IF(A758="","",IFERROR(T(INDEX('交易记录'!$C$5:$C$304,MATCH(A758,'交易记录'!$A$5:$A$304,0))),"编号没找到"))</f>
        <v/>
      </c>
      <c r="N758" s="30" t="n"/>
    </row>
    <row r="759">
      <c r="A759" s="24" t="n"/>
      <c r="B759" s="29" t="n"/>
      <c r="C759" s="27" t="n"/>
      <c r="D759" s="31" t="n"/>
      <c r="E759" s="32" t="n"/>
      <c r="F759" s="35" t="n"/>
      <c r="G759" s="31" t="n"/>
      <c r="H759" s="20" t="str">
        <f>IF(AND(ISNUMBER(E759),ISNUMBER(F759)),E759*F759,"")</f>
        <v/>
      </c>
      <c r="I759" s="42" t="str">
        <f>IF(ISNUMBER(H759),ROUND(H759*IF(G759="挂单",'参数'!$C$11,'参数'!$C$12),4),"")</f>
        <v/>
      </c>
      <c r="J759" s="47" t="n"/>
      <c r="K759" s="47" t="n"/>
      <c r="L759" s="20" t="str">
        <f>IF(ISNUMBER(K759),K759+N(J759),IF(ISNUMBER(H759),I759+N(J759),""))</f>
        <v/>
      </c>
      <c r="M759" s="40" t="str">
        <f>IF(A759="","",IFERROR(T(INDEX('交易记录'!$C$5:$C$304,MATCH(A759,'交易记录'!$A$5:$A$304,0))),"编号没找到"))</f>
        <v/>
      </c>
      <c r="N759" s="30" t="n"/>
    </row>
    <row r="760">
      <c r="A760" s="24" t="n"/>
      <c r="B760" s="29" t="n"/>
      <c r="C760" s="27" t="n"/>
      <c r="D760" s="31" t="n"/>
      <c r="E760" s="32" t="n"/>
      <c r="F760" s="35" t="n"/>
      <c r="G760" s="31" t="n"/>
      <c r="H760" s="20" t="str">
        <f>IF(AND(ISNUMBER(E760),ISNUMBER(F760)),E760*F760,"")</f>
        <v/>
      </c>
      <c r="I760" s="42" t="str">
        <f>IF(ISNUMBER(H760),ROUND(H760*IF(G760="挂单",'参数'!$C$11,'参数'!$C$12),4),"")</f>
        <v/>
      </c>
      <c r="J760" s="47" t="n"/>
      <c r="K760" s="47" t="n"/>
      <c r="L760" s="20" t="str">
        <f>IF(ISNUMBER(K760),K760+N(J760),IF(ISNUMBER(H760),I760+N(J760),""))</f>
        <v/>
      </c>
      <c r="M760" s="40" t="str">
        <f>IF(A760="","",IFERROR(T(INDEX('交易记录'!$C$5:$C$304,MATCH(A760,'交易记录'!$A$5:$A$304,0))),"编号没找到"))</f>
        <v/>
      </c>
      <c r="N760" s="30" t="n"/>
    </row>
    <row r="761">
      <c r="A761" s="24" t="n"/>
      <c r="B761" s="29" t="n"/>
      <c r="C761" s="27" t="n"/>
      <c r="D761" s="31" t="n"/>
      <c r="E761" s="32" t="n"/>
      <c r="F761" s="35" t="n"/>
      <c r="G761" s="31" t="n"/>
      <c r="H761" s="20" t="str">
        <f>IF(AND(ISNUMBER(E761),ISNUMBER(F761)),E761*F761,"")</f>
        <v/>
      </c>
      <c r="I761" s="42" t="str">
        <f>IF(ISNUMBER(H761),ROUND(H761*IF(G761="挂单",'参数'!$C$11,'参数'!$C$12),4),"")</f>
        <v/>
      </c>
      <c r="J761" s="47" t="n"/>
      <c r="K761" s="47" t="n"/>
      <c r="L761" s="20" t="str">
        <f>IF(ISNUMBER(K761),K761+N(J761),IF(ISNUMBER(H761),I761+N(J761),""))</f>
        <v/>
      </c>
      <c r="M761" s="40" t="str">
        <f>IF(A761="","",IFERROR(T(INDEX('交易记录'!$C$5:$C$304,MATCH(A761,'交易记录'!$A$5:$A$304,0))),"编号没找到"))</f>
        <v/>
      </c>
      <c r="N761" s="30" t="n"/>
    </row>
    <row r="762">
      <c r="A762" s="24" t="n"/>
      <c r="B762" s="29" t="n"/>
      <c r="C762" s="27" t="n"/>
      <c r="D762" s="31" t="n"/>
      <c r="E762" s="32" t="n"/>
      <c r="F762" s="35" t="n"/>
      <c r="G762" s="31" t="n"/>
      <c r="H762" s="20" t="str">
        <f>IF(AND(ISNUMBER(E762),ISNUMBER(F762)),E762*F762,"")</f>
        <v/>
      </c>
      <c r="I762" s="42" t="str">
        <f>IF(ISNUMBER(H762),ROUND(H762*IF(G762="挂单",'参数'!$C$11,'参数'!$C$12),4),"")</f>
        <v/>
      </c>
      <c r="J762" s="47" t="n"/>
      <c r="K762" s="47" t="n"/>
      <c r="L762" s="20" t="str">
        <f>IF(ISNUMBER(K762),K762+N(J762),IF(ISNUMBER(H762),I762+N(J762),""))</f>
        <v/>
      </c>
      <c r="M762" s="40" t="str">
        <f>IF(A762="","",IFERROR(T(INDEX('交易记录'!$C$5:$C$304,MATCH(A762,'交易记录'!$A$5:$A$304,0))),"编号没找到"))</f>
        <v/>
      </c>
      <c r="N762" s="30" t="n"/>
    </row>
    <row r="763">
      <c r="A763" s="24" t="n"/>
      <c r="B763" s="29" t="n"/>
      <c r="C763" s="27" t="n"/>
      <c r="D763" s="31" t="n"/>
      <c r="E763" s="32" t="n"/>
      <c r="F763" s="35" t="n"/>
      <c r="G763" s="31" t="n"/>
      <c r="H763" s="20" t="str">
        <f>IF(AND(ISNUMBER(E763),ISNUMBER(F763)),E763*F763,"")</f>
        <v/>
      </c>
      <c r="I763" s="42" t="str">
        <f>IF(ISNUMBER(H763),ROUND(H763*IF(G763="挂单",'参数'!$C$11,'参数'!$C$12),4),"")</f>
        <v/>
      </c>
      <c r="J763" s="47" t="n"/>
      <c r="K763" s="47" t="n"/>
      <c r="L763" s="20" t="str">
        <f>IF(ISNUMBER(K763),K763+N(J763),IF(ISNUMBER(H763),I763+N(J763),""))</f>
        <v/>
      </c>
      <c r="M763" s="40" t="str">
        <f>IF(A763="","",IFERROR(T(INDEX('交易记录'!$C$5:$C$304,MATCH(A763,'交易记录'!$A$5:$A$304,0))),"编号没找到"))</f>
        <v/>
      </c>
      <c r="N763" s="30" t="n"/>
    </row>
    <row r="764">
      <c r="A764" s="24" t="n"/>
      <c r="B764" s="29" t="n"/>
      <c r="C764" s="27" t="n"/>
      <c r="D764" s="31" t="n"/>
      <c r="E764" s="32" t="n"/>
      <c r="F764" s="35" t="n"/>
      <c r="G764" s="31" t="n"/>
      <c r="H764" s="20" t="str">
        <f>IF(AND(ISNUMBER(E764),ISNUMBER(F764)),E764*F764,"")</f>
        <v/>
      </c>
      <c r="I764" s="42" t="str">
        <f>IF(ISNUMBER(H764),ROUND(H764*IF(G764="挂单",'参数'!$C$11,'参数'!$C$12),4),"")</f>
        <v/>
      </c>
      <c r="J764" s="47" t="n"/>
      <c r="K764" s="47" t="n"/>
      <c r="L764" s="20" t="str">
        <f>IF(ISNUMBER(K764),K764+N(J764),IF(ISNUMBER(H764),I764+N(J764),""))</f>
        <v/>
      </c>
      <c r="M764" s="40" t="str">
        <f>IF(A764="","",IFERROR(T(INDEX('交易记录'!$C$5:$C$304,MATCH(A764,'交易记录'!$A$5:$A$304,0))),"编号没找到"))</f>
        <v/>
      </c>
      <c r="N764" s="30" t="n"/>
    </row>
    <row r="765">
      <c r="A765" s="24" t="n"/>
      <c r="B765" s="29" t="n"/>
      <c r="C765" s="27" t="n"/>
      <c r="D765" s="31" t="n"/>
      <c r="E765" s="32" t="n"/>
      <c r="F765" s="35" t="n"/>
      <c r="G765" s="31" t="n"/>
      <c r="H765" s="20" t="str">
        <f>IF(AND(ISNUMBER(E765),ISNUMBER(F765)),E765*F765,"")</f>
        <v/>
      </c>
      <c r="I765" s="42" t="str">
        <f>IF(ISNUMBER(H765),ROUND(H765*IF(G765="挂单",'参数'!$C$11,'参数'!$C$12),4),"")</f>
        <v/>
      </c>
      <c r="J765" s="47" t="n"/>
      <c r="K765" s="47" t="n"/>
      <c r="L765" s="20" t="str">
        <f>IF(ISNUMBER(K765),K765+N(J765),IF(ISNUMBER(H765),I765+N(J765),""))</f>
        <v/>
      </c>
      <c r="M765" s="40" t="str">
        <f>IF(A765="","",IFERROR(T(INDEX('交易记录'!$C$5:$C$304,MATCH(A765,'交易记录'!$A$5:$A$304,0))),"编号没找到"))</f>
        <v/>
      </c>
      <c r="N765" s="30" t="n"/>
    </row>
    <row r="766">
      <c r="A766" s="24" t="n"/>
      <c r="B766" s="29" t="n"/>
      <c r="C766" s="27" t="n"/>
      <c r="D766" s="31" t="n"/>
      <c r="E766" s="32" t="n"/>
      <c r="F766" s="35" t="n"/>
      <c r="G766" s="31" t="n"/>
      <c r="H766" s="20" t="str">
        <f>IF(AND(ISNUMBER(E766),ISNUMBER(F766)),E766*F766,"")</f>
        <v/>
      </c>
      <c r="I766" s="42" t="str">
        <f>IF(ISNUMBER(H766),ROUND(H766*IF(G766="挂单",'参数'!$C$11,'参数'!$C$12),4),"")</f>
        <v/>
      </c>
      <c r="J766" s="47" t="n"/>
      <c r="K766" s="47" t="n"/>
      <c r="L766" s="20" t="str">
        <f>IF(ISNUMBER(K766),K766+N(J766),IF(ISNUMBER(H766),I766+N(J766),""))</f>
        <v/>
      </c>
      <c r="M766" s="40" t="str">
        <f>IF(A766="","",IFERROR(T(INDEX('交易记录'!$C$5:$C$304,MATCH(A766,'交易记录'!$A$5:$A$304,0))),"编号没找到"))</f>
        <v/>
      </c>
      <c r="N766" s="30" t="n"/>
    </row>
    <row r="767">
      <c r="A767" s="24" t="n"/>
      <c r="B767" s="29" t="n"/>
      <c r="C767" s="27" t="n"/>
      <c r="D767" s="31" t="n"/>
      <c r="E767" s="32" t="n"/>
      <c r="F767" s="35" t="n"/>
      <c r="G767" s="31" t="n"/>
      <c r="H767" s="20" t="str">
        <f>IF(AND(ISNUMBER(E767),ISNUMBER(F767)),E767*F767,"")</f>
        <v/>
      </c>
      <c r="I767" s="42" t="str">
        <f>IF(ISNUMBER(H767),ROUND(H767*IF(G767="挂单",'参数'!$C$11,'参数'!$C$12),4),"")</f>
        <v/>
      </c>
      <c r="J767" s="47" t="n"/>
      <c r="K767" s="47" t="n"/>
      <c r="L767" s="20" t="str">
        <f>IF(ISNUMBER(K767),K767+N(J767),IF(ISNUMBER(H767),I767+N(J767),""))</f>
        <v/>
      </c>
      <c r="M767" s="40" t="str">
        <f>IF(A767="","",IFERROR(T(INDEX('交易记录'!$C$5:$C$304,MATCH(A767,'交易记录'!$A$5:$A$304,0))),"编号没找到"))</f>
        <v/>
      </c>
      <c r="N767" s="30" t="n"/>
    </row>
    <row r="768">
      <c r="A768" s="24" t="n"/>
      <c r="B768" s="29" t="n"/>
      <c r="C768" s="27" t="n"/>
      <c r="D768" s="31" t="n"/>
      <c r="E768" s="32" t="n"/>
      <c r="F768" s="35" t="n"/>
      <c r="G768" s="31" t="n"/>
      <c r="H768" s="20" t="str">
        <f>IF(AND(ISNUMBER(E768),ISNUMBER(F768)),E768*F768,"")</f>
        <v/>
      </c>
      <c r="I768" s="42" t="str">
        <f>IF(ISNUMBER(H768),ROUND(H768*IF(G768="挂单",'参数'!$C$11,'参数'!$C$12),4),"")</f>
        <v/>
      </c>
      <c r="J768" s="47" t="n"/>
      <c r="K768" s="47" t="n"/>
      <c r="L768" s="20" t="str">
        <f>IF(ISNUMBER(K768),K768+N(J768),IF(ISNUMBER(H768),I768+N(J768),""))</f>
        <v/>
      </c>
      <c r="M768" s="40" t="str">
        <f>IF(A768="","",IFERROR(T(INDEX('交易记录'!$C$5:$C$304,MATCH(A768,'交易记录'!$A$5:$A$304,0))),"编号没找到"))</f>
        <v/>
      </c>
      <c r="N768" s="30" t="n"/>
    </row>
    <row r="769">
      <c r="A769" s="24" t="n"/>
      <c r="B769" s="29" t="n"/>
      <c r="C769" s="27" t="n"/>
      <c r="D769" s="31" t="n"/>
      <c r="E769" s="32" t="n"/>
      <c r="F769" s="35" t="n"/>
      <c r="G769" s="31" t="n"/>
      <c r="H769" s="20" t="str">
        <f>IF(AND(ISNUMBER(E769),ISNUMBER(F769)),E769*F769,"")</f>
        <v/>
      </c>
      <c r="I769" s="42" t="str">
        <f>IF(ISNUMBER(H769),ROUND(H769*IF(G769="挂单",'参数'!$C$11,'参数'!$C$12),4),"")</f>
        <v/>
      </c>
      <c r="J769" s="47" t="n"/>
      <c r="K769" s="47" t="n"/>
      <c r="L769" s="20" t="str">
        <f>IF(ISNUMBER(K769),K769+N(J769),IF(ISNUMBER(H769),I769+N(J769),""))</f>
        <v/>
      </c>
      <c r="M769" s="40" t="str">
        <f>IF(A769="","",IFERROR(T(INDEX('交易记录'!$C$5:$C$304,MATCH(A769,'交易记录'!$A$5:$A$304,0))),"编号没找到"))</f>
        <v/>
      </c>
      <c r="N769" s="30" t="n"/>
    </row>
    <row r="770">
      <c r="A770" s="24" t="n"/>
      <c r="B770" s="29" t="n"/>
      <c r="C770" s="27" t="n"/>
      <c r="D770" s="31" t="n"/>
      <c r="E770" s="32" t="n"/>
      <c r="F770" s="35" t="n"/>
      <c r="G770" s="31" t="n"/>
      <c r="H770" s="20" t="str">
        <f>IF(AND(ISNUMBER(E770),ISNUMBER(F770)),E770*F770,"")</f>
        <v/>
      </c>
      <c r="I770" s="42" t="str">
        <f>IF(ISNUMBER(H770),ROUND(H770*IF(G770="挂单",'参数'!$C$11,'参数'!$C$12),4),"")</f>
        <v/>
      </c>
      <c r="J770" s="47" t="n"/>
      <c r="K770" s="47" t="n"/>
      <c r="L770" s="20" t="str">
        <f>IF(ISNUMBER(K770),K770+N(J770),IF(ISNUMBER(H770),I770+N(J770),""))</f>
        <v/>
      </c>
      <c r="M770" s="40" t="str">
        <f>IF(A770="","",IFERROR(T(INDEX('交易记录'!$C$5:$C$304,MATCH(A770,'交易记录'!$A$5:$A$304,0))),"编号没找到"))</f>
        <v/>
      </c>
      <c r="N770" s="30" t="n"/>
    </row>
    <row r="771">
      <c r="A771" s="24" t="n"/>
      <c r="B771" s="29" t="n"/>
      <c r="C771" s="27" t="n"/>
      <c r="D771" s="31" t="n"/>
      <c r="E771" s="32" t="n"/>
      <c r="F771" s="35" t="n"/>
      <c r="G771" s="31" t="n"/>
      <c r="H771" s="20" t="str">
        <f>IF(AND(ISNUMBER(E771),ISNUMBER(F771)),E771*F771,"")</f>
        <v/>
      </c>
      <c r="I771" s="42" t="str">
        <f>IF(ISNUMBER(H771),ROUND(H771*IF(G771="挂单",'参数'!$C$11,'参数'!$C$12),4),"")</f>
        <v/>
      </c>
      <c r="J771" s="47" t="n"/>
      <c r="K771" s="47" t="n"/>
      <c r="L771" s="20" t="str">
        <f>IF(ISNUMBER(K771),K771+N(J771),IF(ISNUMBER(H771),I771+N(J771),""))</f>
        <v/>
      </c>
      <c r="M771" s="40" t="str">
        <f>IF(A771="","",IFERROR(T(INDEX('交易记录'!$C$5:$C$304,MATCH(A771,'交易记录'!$A$5:$A$304,0))),"编号没找到"))</f>
        <v/>
      </c>
      <c r="N771" s="30" t="n"/>
    </row>
    <row r="772">
      <c r="A772" s="24" t="n"/>
      <c r="B772" s="29" t="n"/>
      <c r="C772" s="27" t="n"/>
      <c r="D772" s="31" t="n"/>
      <c r="E772" s="32" t="n"/>
      <c r="F772" s="35" t="n"/>
      <c r="G772" s="31" t="n"/>
      <c r="H772" s="20" t="str">
        <f>IF(AND(ISNUMBER(E772),ISNUMBER(F772)),E772*F772,"")</f>
        <v/>
      </c>
      <c r="I772" s="42" t="str">
        <f>IF(ISNUMBER(H772),ROUND(H772*IF(G772="挂单",'参数'!$C$11,'参数'!$C$12),4),"")</f>
        <v/>
      </c>
      <c r="J772" s="47" t="n"/>
      <c r="K772" s="47" t="n"/>
      <c r="L772" s="20" t="str">
        <f>IF(ISNUMBER(K772),K772+N(J772),IF(ISNUMBER(H772),I772+N(J772),""))</f>
        <v/>
      </c>
      <c r="M772" s="40" t="str">
        <f>IF(A772="","",IFERROR(T(INDEX('交易记录'!$C$5:$C$304,MATCH(A772,'交易记录'!$A$5:$A$304,0))),"编号没找到"))</f>
        <v/>
      </c>
      <c r="N772" s="30" t="n"/>
    </row>
    <row r="773">
      <c r="A773" s="24" t="n"/>
      <c r="B773" s="29" t="n"/>
      <c r="C773" s="27" t="n"/>
      <c r="D773" s="31" t="n"/>
      <c r="E773" s="32" t="n"/>
      <c r="F773" s="35" t="n"/>
      <c r="G773" s="31" t="n"/>
      <c r="H773" s="20" t="str">
        <f>IF(AND(ISNUMBER(E773),ISNUMBER(F773)),E773*F773,"")</f>
        <v/>
      </c>
      <c r="I773" s="42" t="str">
        <f>IF(ISNUMBER(H773),ROUND(H773*IF(G773="挂单",'参数'!$C$11,'参数'!$C$12),4),"")</f>
        <v/>
      </c>
      <c r="J773" s="47" t="n"/>
      <c r="K773" s="47" t="n"/>
      <c r="L773" s="20" t="str">
        <f>IF(ISNUMBER(K773),K773+N(J773),IF(ISNUMBER(H773),I773+N(J773),""))</f>
        <v/>
      </c>
      <c r="M773" s="40" t="str">
        <f>IF(A773="","",IFERROR(T(INDEX('交易记录'!$C$5:$C$304,MATCH(A773,'交易记录'!$A$5:$A$304,0))),"编号没找到"))</f>
        <v/>
      </c>
      <c r="N773" s="30" t="n"/>
    </row>
    <row r="774">
      <c r="A774" s="24" t="n"/>
      <c r="B774" s="29" t="n"/>
      <c r="C774" s="27" t="n"/>
      <c r="D774" s="31" t="n"/>
      <c r="E774" s="32" t="n"/>
      <c r="F774" s="35" t="n"/>
      <c r="G774" s="31" t="n"/>
      <c r="H774" s="20" t="str">
        <f>IF(AND(ISNUMBER(E774),ISNUMBER(F774)),E774*F774,"")</f>
        <v/>
      </c>
      <c r="I774" s="42" t="str">
        <f>IF(ISNUMBER(H774),ROUND(H774*IF(G774="挂单",'参数'!$C$11,'参数'!$C$12),4),"")</f>
        <v/>
      </c>
      <c r="J774" s="47" t="n"/>
      <c r="K774" s="47" t="n"/>
      <c r="L774" s="20" t="str">
        <f>IF(ISNUMBER(K774),K774+N(J774),IF(ISNUMBER(H774),I774+N(J774),""))</f>
        <v/>
      </c>
      <c r="M774" s="40" t="str">
        <f>IF(A774="","",IFERROR(T(INDEX('交易记录'!$C$5:$C$304,MATCH(A774,'交易记录'!$A$5:$A$304,0))),"编号没找到"))</f>
        <v/>
      </c>
      <c r="N774" s="30" t="n"/>
    </row>
    <row r="775">
      <c r="A775" s="24" t="n"/>
      <c r="B775" s="29" t="n"/>
      <c r="C775" s="27" t="n"/>
      <c r="D775" s="31" t="n"/>
      <c r="E775" s="32" t="n"/>
      <c r="F775" s="35" t="n"/>
      <c r="G775" s="31" t="n"/>
      <c r="H775" s="20" t="str">
        <f>IF(AND(ISNUMBER(E775),ISNUMBER(F775)),E775*F775,"")</f>
        <v/>
      </c>
      <c r="I775" s="42" t="str">
        <f>IF(ISNUMBER(H775),ROUND(H775*IF(G775="挂单",'参数'!$C$11,'参数'!$C$12),4),"")</f>
        <v/>
      </c>
      <c r="J775" s="47" t="n"/>
      <c r="K775" s="47" t="n"/>
      <c r="L775" s="20" t="str">
        <f>IF(ISNUMBER(K775),K775+N(J775),IF(ISNUMBER(H775),I775+N(J775),""))</f>
        <v/>
      </c>
      <c r="M775" s="40" t="str">
        <f>IF(A775="","",IFERROR(T(INDEX('交易记录'!$C$5:$C$304,MATCH(A775,'交易记录'!$A$5:$A$304,0))),"编号没找到"))</f>
        <v/>
      </c>
      <c r="N775" s="30" t="n"/>
    </row>
    <row r="776">
      <c r="A776" s="24" t="n"/>
      <c r="B776" s="29" t="n"/>
      <c r="C776" s="27" t="n"/>
      <c r="D776" s="31" t="n"/>
      <c r="E776" s="32" t="n"/>
      <c r="F776" s="35" t="n"/>
      <c r="G776" s="31" t="n"/>
      <c r="H776" s="20" t="str">
        <f>IF(AND(ISNUMBER(E776),ISNUMBER(F776)),E776*F776,"")</f>
        <v/>
      </c>
      <c r="I776" s="42" t="str">
        <f>IF(ISNUMBER(H776),ROUND(H776*IF(G776="挂单",'参数'!$C$11,'参数'!$C$12),4),"")</f>
        <v/>
      </c>
      <c r="J776" s="47" t="n"/>
      <c r="K776" s="47" t="n"/>
      <c r="L776" s="20" t="str">
        <f>IF(ISNUMBER(K776),K776+N(J776),IF(ISNUMBER(H776),I776+N(J776),""))</f>
        <v/>
      </c>
      <c r="M776" s="40" t="str">
        <f>IF(A776="","",IFERROR(T(INDEX('交易记录'!$C$5:$C$304,MATCH(A776,'交易记录'!$A$5:$A$304,0))),"编号没找到"))</f>
        <v/>
      </c>
      <c r="N776" s="30" t="n"/>
    </row>
    <row r="777">
      <c r="A777" s="24" t="n"/>
      <c r="B777" s="29" t="n"/>
      <c r="C777" s="27" t="n"/>
      <c r="D777" s="31" t="n"/>
      <c r="E777" s="32" t="n"/>
      <c r="F777" s="35" t="n"/>
      <c r="G777" s="31" t="n"/>
      <c r="H777" s="20" t="str">
        <f>IF(AND(ISNUMBER(E777),ISNUMBER(F777)),E777*F777,"")</f>
        <v/>
      </c>
      <c r="I777" s="42" t="str">
        <f>IF(ISNUMBER(H777),ROUND(H777*IF(G777="挂单",'参数'!$C$11,'参数'!$C$12),4),"")</f>
        <v/>
      </c>
      <c r="J777" s="47" t="n"/>
      <c r="K777" s="47" t="n"/>
      <c r="L777" s="20" t="str">
        <f>IF(ISNUMBER(K777),K777+N(J777),IF(ISNUMBER(H777),I777+N(J777),""))</f>
        <v/>
      </c>
      <c r="M777" s="40" t="str">
        <f>IF(A777="","",IFERROR(T(INDEX('交易记录'!$C$5:$C$304,MATCH(A777,'交易记录'!$A$5:$A$304,0))),"编号没找到"))</f>
        <v/>
      </c>
      <c r="N777" s="30" t="n"/>
    </row>
    <row r="778">
      <c r="A778" s="24" t="n"/>
      <c r="B778" s="29" t="n"/>
      <c r="C778" s="27" t="n"/>
      <c r="D778" s="31" t="n"/>
      <c r="E778" s="32" t="n"/>
      <c r="F778" s="35" t="n"/>
      <c r="G778" s="31" t="n"/>
      <c r="H778" s="20" t="str">
        <f>IF(AND(ISNUMBER(E778),ISNUMBER(F778)),E778*F778,"")</f>
        <v/>
      </c>
      <c r="I778" s="42" t="str">
        <f>IF(ISNUMBER(H778),ROUND(H778*IF(G778="挂单",'参数'!$C$11,'参数'!$C$12),4),"")</f>
        <v/>
      </c>
      <c r="J778" s="47" t="n"/>
      <c r="K778" s="47" t="n"/>
      <c r="L778" s="20" t="str">
        <f>IF(ISNUMBER(K778),K778+N(J778),IF(ISNUMBER(H778),I778+N(J778),""))</f>
        <v/>
      </c>
      <c r="M778" s="40" t="str">
        <f>IF(A778="","",IFERROR(T(INDEX('交易记录'!$C$5:$C$304,MATCH(A778,'交易记录'!$A$5:$A$304,0))),"编号没找到"))</f>
        <v/>
      </c>
      <c r="N778" s="30" t="n"/>
    </row>
    <row r="779">
      <c r="A779" s="24" t="n"/>
      <c r="B779" s="29" t="n"/>
      <c r="C779" s="27" t="n"/>
      <c r="D779" s="31" t="n"/>
      <c r="E779" s="32" t="n"/>
      <c r="F779" s="35" t="n"/>
      <c r="G779" s="31" t="n"/>
      <c r="H779" s="20" t="str">
        <f>IF(AND(ISNUMBER(E779),ISNUMBER(F779)),E779*F779,"")</f>
        <v/>
      </c>
      <c r="I779" s="42" t="str">
        <f>IF(ISNUMBER(H779),ROUND(H779*IF(G779="挂单",'参数'!$C$11,'参数'!$C$12),4),"")</f>
        <v/>
      </c>
      <c r="J779" s="47" t="n"/>
      <c r="K779" s="47" t="n"/>
      <c r="L779" s="20" t="str">
        <f>IF(ISNUMBER(K779),K779+N(J779),IF(ISNUMBER(H779),I779+N(J779),""))</f>
        <v/>
      </c>
      <c r="M779" s="40" t="str">
        <f>IF(A779="","",IFERROR(T(INDEX('交易记录'!$C$5:$C$304,MATCH(A779,'交易记录'!$A$5:$A$304,0))),"编号没找到"))</f>
        <v/>
      </c>
      <c r="N779" s="30" t="n"/>
    </row>
    <row r="780">
      <c r="A780" s="24" t="n"/>
      <c r="B780" s="29" t="n"/>
      <c r="C780" s="27" t="n"/>
      <c r="D780" s="31" t="n"/>
      <c r="E780" s="32" t="n"/>
      <c r="F780" s="35" t="n"/>
      <c r="G780" s="31" t="n"/>
      <c r="H780" s="20" t="str">
        <f>IF(AND(ISNUMBER(E780),ISNUMBER(F780)),E780*F780,"")</f>
        <v/>
      </c>
      <c r="I780" s="42" t="str">
        <f>IF(ISNUMBER(H780),ROUND(H780*IF(G780="挂单",'参数'!$C$11,'参数'!$C$12),4),"")</f>
        <v/>
      </c>
      <c r="J780" s="47" t="n"/>
      <c r="K780" s="47" t="n"/>
      <c r="L780" s="20" t="str">
        <f>IF(ISNUMBER(K780),K780+N(J780),IF(ISNUMBER(H780),I780+N(J780),""))</f>
        <v/>
      </c>
      <c r="M780" s="40" t="str">
        <f>IF(A780="","",IFERROR(T(INDEX('交易记录'!$C$5:$C$304,MATCH(A780,'交易记录'!$A$5:$A$304,0))),"编号没找到"))</f>
        <v/>
      </c>
      <c r="N780" s="30" t="n"/>
    </row>
    <row r="781">
      <c r="A781" s="24" t="n"/>
      <c r="B781" s="29" t="n"/>
      <c r="C781" s="27" t="n"/>
      <c r="D781" s="31" t="n"/>
      <c r="E781" s="32" t="n"/>
      <c r="F781" s="35" t="n"/>
      <c r="G781" s="31" t="n"/>
      <c r="H781" s="20" t="str">
        <f>IF(AND(ISNUMBER(E781),ISNUMBER(F781)),E781*F781,"")</f>
        <v/>
      </c>
      <c r="I781" s="42" t="str">
        <f>IF(ISNUMBER(H781),ROUND(H781*IF(G781="挂单",'参数'!$C$11,'参数'!$C$12),4),"")</f>
        <v/>
      </c>
      <c r="J781" s="47" t="n"/>
      <c r="K781" s="47" t="n"/>
      <c r="L781" s="20" t="str">
        <f>IF(ISNUMBER(K781),K781+N(J781),IF(ISNUMBER(H781),I781+N(J781),""))</f>
        <v/>
      </c>
      <c r="M781" s="40" t="str">
        <f>IF(A781="","",IFERROR(T(INDEX('交易记录'!$C$5:$C$304,MATCH(A781,'交易记录'!$A$5:$A$304,0))),"编号没找到"))</f>
        <v/>
      </c>
      <c r="N781" s="30" t="n"/>
    </row>
    <row r="782">
      <c r="A782" s="24" t="n"/>
      <c r="B782" s="29" t="n"/>
      <c r="C782" s="27" t="n"/>
      <c r="D782" s="31" t="n"/>
      <c r="E782" s="32" t="n"/>
      <c r="F782" s="35" t="n"/>
      <c r="G782" s="31" t="n"/>
      <c r="H782" s="20" t="str">
        <f>IF(AND(ISNUMBER(E782),ISNUMBER(F782)),E782*F782,"")</f>
        <v/>
      </c>
      <c r="I782" s="42" t="str">
        <f>IF(ISNUMBER(H782),ROUND(H782*IF(G782="挂单",'参数'!$C$11,'参数'!$C$12),4),"")</f>
        <v/>
      </c>
      <c r="J782" s="47" t="n"/>
      <c r="K782" s="47" t="n"/>
      <c r="L782" s="20" t="str">
        <f>IF(ISNUMBER(K782),K782+N(J782),IF(ISNUMBER(H782),I782+N(J782),""))</f>
        <v/>
      </c>
      <c r="M782" s="40" t="str">
        <f>IF(A782="","",IFERROR(T(INDEX('交易记录'!$C$5:$C$304,MATCH(A782,'交易记录'!$A$5:$A$304,0))),"编号没找到"))</f>
        <v/>
      </c>
      <c r="N782" s="30" t="n"/>
    </row>
    <row r="783">
      <c r="A783" s="24" t="n"/>
      <c r="B783" s="29" t="n"/>
      <c r="C783" s="27" t="n"/>
      <c r="D783" s="31" t="n"/>
      <c r="E783" s="32" t="n"/>
      <c r="F783" s="35" t="n"/>
      <c r="G783" s="31" t="n"/>
      <c r="H783" s="20" t="str">
        <f>IF(AND(ISNUMBER(E783),ISNUMBER(F783)),E783*F783,"")</f>
        <v/>
      </c>
      <c r="I783" s="42" t="str">
        <f>IF(ISNUMBER(H783),ROUND(H783*IF(G783="挂单",'参数'!$C$11,'参数'!$C$12),4),"")</f>
        <v/>
      </c>
      <c r="J783" s="47" t="n"/>
      <c r="K783" s="47" t="n"/>
      <c r="L783" s="20" t="str">
        <f>IF(ISNUMBER(K783),K783+N(J783),IF(ISNUMBER(H783),I783+N(J783),""))</f>
        <v/>
      </c>
      <c r="M783" s="40" t="str">
        <f>IF(A783="","",IFERROR(T(INDEX('交易记录'!$C$5:$C$304,MATCH(A783,'交易记录'!$A$5:$A$304,0))),"编号没找到"))</f>
        <v/>
      </c>
      <c r="N783" s="30" t="n"/>
    </row>
    <row r="784">
      <c r="A784" s="24" t="n"/>
      <c r="B784" s="29" t="n"/>
      <c r="C784" s="27" t="n"/>
      <c r="D784" s="31" t="n"/>
      <c r="E784" s="32" t="n"/>
      <c r="F784" s="35" t="n"/>
      <c r="G784" s="31" t="n"/>
      <c r="H784" s="20" t="str">
        <f>IF(AND(ISNUMBER(E784),ISNUMBER(F784)),E784*F784,"")</f>
        <v/>
      </c>
      <c r="I784" s="42" t="str">
        <f>IF(ISNUMBER(H784),ROUND(H784*IF(G784="挂单",'参数'!$C$11,'参数'!$C$12),4),"")</f>
        <v/>
      </c>
      <c r="J784" s="47" t="n"/>
      <c r="K784" s="47" t="n"/>
      <c r="L784" s="20" t="str">
        <f>IF(ISNUMBER(K784),K784+N(J784),IF(ISNUMBER(H784),I784+N(J784),""))</f>
        <v/>
      </c>
      <c r="M784" s="40" t="str">
        <f>IF(A784="","",IFERROR(T(INDEX('交易记录'!$C$5:$C$304,MATCH(A784,'交易记录'!$A$5:$A$304,0))),"编号没找到"))</f>
        <v/>
      </c>
      <c r="N784" s="30" t="n"/>
    </row>
    <row r="785">
      <c r="A785" s="24" t="n"/>
      <c r="B785" s="29" t="n"/>
      <c r="C785" s="27" t="n"/>
      <c r="D785" s="31" t="n"/>
      <c r="E785" s="32" t="n"/>
      <c r="F785" s="35" t="n"/>
      <c r="G785" s="31" t="n"/>
      <c r="H785" s="20" t="str">
        <f>IF(AND(ISNUMBER(E785),ISNUMBER(F785)),E785*F785,"")</f>
        <v/>
      </c>
      <c r="I785" s="42" t="str">
        <f>IF(ISNUMBER(H785),ROUND(H785*IF(G785="挂单",'参数'!$C$11,'参数'!$C$12),4),"")</f>
        <v/>
      </c>
      <c r="J785" s="47" t="n"/>
      <c r="K785" s="47" t="n"/>
      <c r="L785" s="20" t="str">
        <f>IF(ISNUMBER(K785),K785+N(J785),IF(ISNUMBER(H785),I785+N(J785),""))</f>
        <v/>
      </c>
      <c r="M785" s="40" t="str">
        <f>IF(A785="","",IFERROR(T(INDEX('交易记录'!$C$5:$C$304,MATCH(A785,'交易记录'!$A$5:$A$304,0))),"编号没找到"))</f>
        <v/>
      </c>
      <c r="N785" s="30" t="n"/>
    </row>
    <row r="786">
      <c r="A786" s="24" t="n"/>
      <c r="B786" s="29" t="n"/>
      <c r="C786" s="27" t="n"/>
      <c r="D786" s="31" t="n"/>
      <c r="E786" s="32" t="n"/>
      <c r="F786" s="35" t="n"/>
      <c r="G786" s="31" t="n"/>
      <c r="H786" s="20" t="str">
        <f>IF(AND(ISNUMBER(E786),ISNUMBER(F786)),E786*F786,"")</f>
        <v/>
      </c>
      <c r="I786" s="42" t="str">
        <f>IF(ISNUMBER(H786),ROUND(H786*IF(G786="挂单",'参数'!$C$11,'参数'!$C$12),4),"")</f>
        <v/>
      </c>
      <c r="J786" s="47" t="n"/>
      <c r="K786" s="47" t="n"/>
      <c r="L786" s="20" t="str">
        <f>IF(ISNUMBER(K786),K786+N(J786),IF(ISNUMBER(H786),I786+N(J786),""))</f>
        <v/>
      </c>
      <c r="M786" s="40" t="str">
        <f>IF(A786="","",IFERROR(T(INDEX('交易记录'!$C$5:$C$304,MATCH(A786,'交易记录'!$A$5:$A$304,0))),"编号没找到"))</f>
        <v/>
      </c>
      <c r="N786" s="30" t="n"/>
    </row>
    <row r="787">
      <c r="A787" s="24" t="n"/>
      <c r="B787" s="29" t="n"/>
      <c r="C787" s="27" t="n"/>
      <c r="D787" s="31" t="n"/>
      <c r="E787" s="32" t="n"/>
      <c r="F787" s="35" t="n"/>
      <c r="G787" s="31" t="n"/>
      <c r="H787" s="20" t="str">
        <f>IF(AND(ISNUMBER(E787),ISNUMBER(F787)),E787*F787,"")</f>
        <v/>
      </c>
      <c r="I787" s="42" t="str">
        <f>IF(ISNUMBER(H787),ROUND(H787*IF(G787="挂单",'参数'!$C$11,'参数'!$C$12),4),"")</f>
        <v/>
      </c>
      <c r="J787" s="47" t="n"/>
      <c r="K787" s="47" t="n"/>
      <c r="L787" s="20" t="str">
        <f>IF(ISNUMBER(K787),K787+N(J787),IF(ISNUMBER(H787),I787+N(J787),""))</f>
        <v/>
      </c>
      <c r="M787" s="40" t="str">
        <f>IF(A787="","",IFERROR(T(INDEX('交易记录'!$C$5:$C$304,MATCH(A787,'交易记录'!$A$5:$A$304,0))),"编号没找到"))</f>
        <v/>
      </c>
      <c r="N787" s="30" t="n"/>
    </row>
    <row r="788">
      <c r="A788" s="24" t="n"/>
      <c r="B788" s="29" t="n"/>
      <c r="C788" s="27" t="n"/>
      <c r="D788" s="31" t="n"/>
      <c r="E788" s="32" t="n"/>
      <c r="F788" s="35" t="n"/>
      <c r="G788" s="31" t="n"/>
      <c r="H788" s="20" t="str">
        <f>IF(AND(ISNUMBER(E788),ISNUMBER(F788)),E788*F788,"")</f>
        <v/>
      </c>
      <c r="I788" s="42" t="str">
        <f>IF(ISNUMBER(H788),ROUND(H788*IF(G788="挂单",'参数'!$C$11,'参数'!$C$12),4),"")</f>
        <v/>
      </c>
      <c r="J788" s="47" t="n"/>
      <c r="K788" s="47" t="n"/>
      <c r="L788" s="20" t="str">
        <f>IF(ISNUMBER(K788),K788+N(J788),IF(ISNUMBER(H788),I788+N(J788),""))</f>
        <v/>
      </c>
      <c r="M788" s="40" t="str">
        <f>IF(A788="","",IFERROR(T(INDEX('交易记录'!$C$5:$C$304,MATCH(A788,'交易记录'!$A$5:$A$304,0))),"编号没找到"))</f>
        <v/>
      </c>
      <c r="N788" s="30" t="n"/>
    </row>
    <row r="789">
      <c r="A789" s="24" t="n"/>
      <c r="B789" s="29" t="n"/>
      <c r="C789" s="27" t="n"/>
      <c r="D789" s="31" t="n"/>
      <c r="E789" s="32" t="n"/>
      <c r="F789" s="35" t="n"/>
      <c r="G789" s="31" t="n"/>
      <c r="H789" s="20" t="str">
        <f>IF(AND(ISNUMBER(E789),ISNUMBER(F789)),E789*F789,"")</f>
        <v/>
      </c>
      <c r="I789" s="42" t="str">
        <f>IF(ISNUMBER(H789),ROUND(H789*IF(G789="挂单",'参数'!$C$11,'参数'!$C$12),4),"")</f>
        <v/>
      </c>
      <c r="J789" s="47" t="n"/>
      <c r="K789" s="47" t="n"/>
      <c r="L789" s="20" t="str">
        <f>IF(ISNUMBER(K789),K789+N(J789),IF(ISNUMBER(H789),I789+N(J789),""))</f>
        <v/>
      </c>
      <c r="M789" s="40" t="str">
        <f>IF(A789="","",IFERROR(T(INDEX('交易记录'!$C$5:$C$304,MATCH(A789,'交易记录'!$A$5:$A$304,0))),"编号没找到"))</f>
        <v/>
      </c>
      <c r="N789" s="30" t="n"/>
    </row>
    <row r="790">
      <c r="A790" s="24" t="n"/>
      <c r="B790" s="29" t="n"/>
      <c r="C790" s="27" t="n"/>
      <c r="D790" s="31" t="n"/>
      <c r="E790" s="32" t="n"/>
      <c r="F790" s="35" t="n"/>
      <c r="G790" s="31" t="n"/>
      <c r="H790" s="20" t="str">
        <f>IF(AND(ISNUMBER(E790),ISNUMBER(F790)),E790*F790,"")</f>
        <v/>
      </c>
      <c r="I790" s="42" t="str">
        <f>IF(ISNUMBER(H790),ROUND(H790*IF(G790="挂单",'参数'!$C$11,'参数'!$C$12),4),"")</f>
        <v/>
      </c>
      <c r="J790" s="47" t="n"/>
      <c r="K790" s="47" t="n"/>
      <c r="L790" s="20" t="str">
        <f>IF(ISNUMBER(K790),K790+N(J790),IF(ISNUMBER(H790),I790+N(J790),""))</f>
        <v/>
      </c>
      <c r="M790" s="40" t="str">
        <f>IF(A790="","",IFERROR(T(INDEX('交易记录'!$C$5:$C$304,MATCH(A790,'交易记录'!$A$5:$A$304,0))),"编号没找到"))</f>
        <v/>
      </c>
      <c r="N790" s="30" t="n"/>
    </row>
    <row r="791">
      <c r="A791" s="24" t="n"/>
      <c r="B791" s="29" t="n"/>
      <c r="C791" s="27" t="n"/>
      <c r="D791" s="31" t="n"/>
      <c r="E791" s="32" t="n"/>
      <c r="F791" s="35" t="n"/>
      <c r="G791" s="31" t="n"/>
      <c r="H791" s="20" t="str">
        <f>IF(AND(ISNUMBER(E791),ISNUMBER(F791)),E791*F791,"")</f>
        <v/>
      </c>
      <c r="I791" s="42" t="str">
        <f>IF(ISNUMBER(H791),ROUND(H791*IF(G791="挂单",'参数'!$C$11,'参数'!$C$12),4),"")</f>
        <v/>
      </c>
      <c r="J791" s="47" t="n"/>
      <c r="K791" s="47" t="n"/>
      <c r="L791" s="20" t="str">
        <f>IF(ISNUMBER(K791),K791+N(J791),IF(ISNUMBER(H791),I791+N(J791),""))</f>
        <v/>
      </c>
      <c r="M791" s="40" t="str">
        <f>IF(A791="","",IFERROR(T(INDEX('交易记录'!$C$5:$C$304,MATCH(A791,'交易记录'!$A$5:$A$304,0))),"编号没找到"))</f>
        <v/>
      </c>
      <c r="N791" s="30" t="n"/>
    </row>
    <row r="792">
      <c r="A792" s="24" t="n"/>
      <c r="B792" s="29" t="n"/>
      <c r="C792" s="27" t="n"/>
      <c r="D792" s="31" t="n"/>
      <c r="E792" s="32" t="n"/>
      <c r="F792" s="35" t="n"/>
      <c r="G792" s="31" t="n"/>
      <c r="H792" s="20" t="str">
        <f>IF(AND(ISNUMBER(E792),ISNUMBER(F792)),E792*F792,"")</f>
        <v/>
      </c>
      <c r="I792" s="42" t="str">
        <f>IF(ISNUMBER(H792),ROUND(H792*IF(G792="挂单",'参数'!$C$11,'参数'!$C$12),4),"")</f>
        <v/>
      </c>
      <c r="J792" s="47" t="n"/>
      <c r="K792" s="47" t="n"/>
      <c r="L792" s="20" t="str">
        <f>IF(ISNUMBER(K792),K792+N(J792),IF(ISNUMBER(H792),I792+N(J792),""))</f>
        <v/>
      </c>
      <c r="M792" s="40" t="str">
        <f>IF(A792="","",IFERROR(T(INDEX('交易记录'!$C$5:$C$304,MATCH(A792,'交易记录'!$A$5:$A$304,0))),"编号没找到"))</f>
        <v/>
      </c>
      <c r="N792" s="30" t="n"/>
    </row>
    <row r="793">
      <c r="A793" s="24" t="n"/>
      <c r="B793" s="29" t="n"/>
      <c r="C793" s="27" t="n"/>
      <c r="D793" s="31" t="n"/>
      <c r="E793" s="32" t="n"/>
      <c r="F793" s="35" t="n"/>
      <c r="G793" s="31" t="n"/>
      <c r="H793" s="20" t="str">
        <f>IF(AND(ISNUMBER(E793),ISNUMBER(F793)),E793*F793,"")</f>
        <v/>
      </c>
      <c r="I793" s="42" t="str">
        <f>IF(ISNUMBER(H793),ROUND(H793*IF(G793="挂单",'参数'!$C$11,'参数'!$C$12),4),"")</f>
        <v/>
      </c>
      <c r="J793" s="47" t="n"/>
      <c r="K793" s="47" t="n"/>
      <c r="L793" s="20" t="str">
        <f>IF(ISNUMBER(K793),K793+N(J793),IF(ISNUMBER(H793),I793+N(J793),""))</f>
        <v/>
      </c>
      <c r="M793" s="40" t="str">
        <f>IF(A793="","",IFERROR(T(INDEX('交易记录'!$C$5:$C$304,MATCH(A793,'交易记录'!$A$5:$A$304,0))),"编号没找到"))</f>
        <v/>
      </c>
      <c r="N793" s="30" t="n"/>
    </row>
    <row r="794">
      <c r="A794" s="24" t="n"/>
      <c r="B794" s="29" t="n"/>
      <c r="C794" s="27" t="n"/>
      <c r="D794" s="31" t="n"/>
      <c r="E794" s="32" t="n"/>
      <c r="F794" s="35" t="n"/>
      <c r="G794" s="31" t="n"/>
      <c r="H794" s="20" t="str">
        <f>IF(AND(ISNUMBER(E794),ISNUMBER(F794)),E794*F794,"")</f>
        <v/>
      </c>
      <c r="I794" s="42" t="str">
        <f>IF(ISNUMBER(H794),ROUND(H794*IF(G794="挂单",'参数'!$C$11,'参数'!$C$12),4),"")</f>
        <v/>
      </c>
      <c r="J794" s="47" t="n"/>
      <c r="K794" s="47" t="n"/>
      <c r="L794" s="20" t="str">
        <f>IF(ISNUMBER(K794),K794+N(J794),IF(ISNUMBER(H794),I794+N(J794),""))</f>
        <v/>
      </c>
      <c r="M794" s="40" t="str">
        <f>IF(A794="","",IFERROR(T(INDEX('交易记录'!$C$5:$C$304,MATCH(A794,'交易记录'!$A$5:$A$304,0))),"编号没找到"))</f>
        <v/>
      </c>
      <c r="N794" s="30" t="n"/>
    </row>
    <row r="795">
      <c r="A795" s="24" t="n"/>
      <c r="B795" s="29" t="n"/>
      <c r="C795" s="27" t="n"/>
      <c r="D795" s="31" t="n"/>
      <c r="E795" s="32" t="n"/>
      <c r="F795" s="35" t="n"/>
      <c r="G795" s="31" t="n"/>
      <c r="H795" s="20" t="str">
        <f>IF(AND(ISNUMBER(E795),ISNUMBER(F795)),E795*F795,"")</f>
        <v/>
      </c>
      <c r="I795" s="42" t="str">
        <f>IF(ISNUMBER(H795),ROUND(H795*IF(G795="挂单",'参数'!$C$11,'参数'!$C$12),4),"")</f>
        <v/>
      </c>
      <c r="J795" s="47" t="n"/>
      <c r="K795" s="47" t="n"/>
      <c r="L795" s="20" t="str">
        <f>IF(ISNUMBER(K795),K795+N(J795),IF(ISNUMBER(H795),I795+N(J795),""))</f>
        <v/>
      </c>
      <c r="M795" s="40" t="str">
        <f>IF(A795="","",IFERROR(T(INDEX('交易记录'!$C$5:$C$304,MATCH(A795,'交易记录'!$A$5:$A$304,0))),"编号没找到"))</f>
        <v/>
      </c>
      <c r="N795" s="30" t="n"/>
    </row>
    <row r="796">
      <c r="A796" s="24" t="n"/>
      <c r="B796" s="29" t="n"/>
      <c r="C796" s="27" t="n"/>
      <c r="D796" s="31" t="n"/>
      <c r="E796" s="32" t="n"/>
      <c r="F796" s="35" t="n"/>
      <c r="G796" s="31" t="n"/>
      <c r="H796" s="20" t="str">
        <f>IF(AND(ISNUMBER(E796),ISNUMBER(F796)),E796*F796,"")</f>
        <v/>
      </c>
      <c r="I796" s="42" t="str">
        <f>IF(ISNUMBER(H796),ROUND(H796*IF(G796="挂单",'参数'!$C$11,'参数'!$C$12),4),"")</f>
        <v/>
      </c>
      <c r="J796" s="47" t="n"/>
      <c r="K796" s="47" t="n"/>
      <c r="L796" s="20" t="str">
        <f>IF(ISNUMBER(K796),K796+N(J796),IF(ISNUMBER(H796),I796+N(J796),""))</f>
        <v/>
      </c>
      <c r="M796" s="40" t="str">
        <f>IF(A796="","",IFERROR(T(INDEX('交易记录'!$C$5:$C$304,MATCH(A796,'交易记录'!$A$5:$A$304,0))),"编号没找到"))</f>
        <v/>
      </c>
      <c r="N796" s="30" t="n"/>
    </row>
    <row r="797">
      <c r="A797" s="24" t="n"/>
      <c r="B797" s="29" t="n"/>
      <c r="C797" s="27" t="n"/>
      <c r="D797" s="31" t="n"/>
      <c r="E797" s="32" t="n"/>
      <c r="F797" s="35" t="n"/>
      <c r="G797" s="31" t="n"/>
      <c r="H797" s="20" t="str">
        <f>IF(AND(ISNUMBER(E797),ISNUMBER(F797)),E797*F797,"")</f>
        <v/>
      </c>
      <c r="I797" s="42" t="str">
        <f>IF(ISNUMBER(H797),ROUND(H797*IF(G797="挂单",'参数'!$C$11,'参数'!$C$12),4),"")</f>
        <v/>
      </c>
      <c r="J797" s="47" t="n"/>
      <c r="K797" s="47" t="n"/>
      <c r="L797" s="20" t="str">
        <f>IF(ISNUMBER(K797),K797+N(J797),IF(ISNUMBER(H797),I797+N(J797),""))</f>
        <v/>
      </c>
      <c r="M797" s="40" t="str">
        <f>IF(A797="","",IFERROR(T(INDEX('交易记录'!$C$5:$C$304,MATCH(A797,'交易记录'!$A$5:$A$304,0))),"编号没找到"))</f>
        <v/>
      </c>
      <c r="N797" s="30" t="n"/>
    </row>
    <row r="798">
      <c r="A798" s="24" t="n"/>
      <c r="B798" s="29" t="n"/>
      <c r="C798" s="27" t="n"/>
      <c r="D798" s="31" t="n"/>
      <c r="E798" s="32" t="n"/>
      <c r="F798" s="35" t="n"/>
      <c r="G798" s="31" t="n"/>
      <c r="H798" s="20" t="str">
        <f>IF(AND(ISNUMBER(E798),ISNUMBER(F798)),E798*F798,"")</f>
        <v/>
      </c>
      <c r="I798" s="42" t="str">
        <f>IF(ISNUMBER(H798),ROUND(H798*IF(G798="挂单",'参数'!$C$11,'参数'!$C$12),4),"")</f>
        <v/>
      </c>
      <c r="J798" s="47" t="n"/>
      <c r="K798" s="47" t="n"/>
      <c r="L798" s="20" t="str">
        <f>IF(ISNUMBER(K798),K798+N(J798),IF(ISNUMBER(H798),I798+N(J798),""))</f>
        <v/>
      </c>
      <c r="M798" s="40" t="str">
        <f>IF(A798="","",IFERROR(T(INDEX('交易记录'!$C$5:$C$304,MATCH(A798,'交易记录'!$A$5:$A$304,0))),"编号没找到"))</f>
        <v/>
      </c>
      <c r="N798" s="30" t="n"/>
    </row>
    <row r="799">
      <c r="A799" s="24" t="n"/>
      <c r="B799" s="29" t="n"/>
      <c r="C799" s="27" t="n"/>
      <c r="D799" s="31" t="n"/>
      <c r="E799" s="32" t="n"/>
      <c r="F799" s="35" t="n"/>
      <c r="G799" s="31" t="n"/>
      <c r="H799" s="20" t="str">
        <f>IF(AND(ISNUMBER(E799),ISNUMBER(F799)),E799*F799,"")</f>
        <v/>
      </c>
      <c r="I799" s="42" t="str">
        <f>IF(ISNUMBER(H799),ROUND(H799*IF(G799="挂单",'参数'!$C$11,'参数'!$C$12),4),"")</f>
        <v/>
      </c>
      <c r="J799" s="47" t="n"/>
      <c r="K799" s="47" t="n"/>
      <c r="L799" s="20" t="str">
        <f>IF(ISNUMBER(K799),K799+N(J799),IF(ISNUMBER(H799),I799+N(J799),""))</f>
        <v/>
      </c>
      <c r="M799" s="40" t="str">
        <f>IF(A799="","",IFERROR(T(INDEX('交易记录'!$C$5:$C$304,MATCH(A799,'交易记录'!$A$5:$A$304,0))),"编号没找到"))</f>
        <v/>
      </c>
      <c r="N799" s="30" t="n"/>
    </row>
    <row r="800">
      <c r="A800" s="24" t="n"/>
      <c r="B800" s="29" t="n"/>
      <c r="C800" s="27" t="n"/>
      <c r="D800" s="31" t="n"/>
      <c r="E800" s="32" t="n"/>
      <c r="F800" s="35" t="n"/>
      <c r="G800" s="31" t="n"/>
      <c r="H800" s="20" t="str">
        <f>IF(AND(ISNUMBER(E800),ISNUMBER(F800)),E800*F800,"")</f>
        <v/>
      </c>
      <c r="I800" s="42" t="str">
        <f>IF(ISNUMBER(H800),ROUND(H800*IF(G800="挂单",'参数'!$C$11,'参数'!$C$12),4),"")</f>
        <v/>
      </c>
      <c r="J800" s="47" t="n"/>
      <c r="K800" s="47" t="n"/>
      <c r="L800" s="20" t="str">
        <f>IF(ISNUMBER(K800),K800+N(J800),IF(ISNUMBER(H800),I800+N(J800),""))</f>
        <v/>
      </c>
      <c r="M800" s="40" t="str">
        <f>IF(A800="","",IFERROR(T(INDEX('交易记录'!$C$5:$C$304,MATCH(A800,'交易记录'!$A$5:$A$304,0))),"编号没找到"))</f>
        <v/>
      </c>
      <c r="N800" s="30" t="n"/>
    </row>
    <row r="801">
      <c r="A801" s="24" t="n"/>
      <c r="B801" s="29" t="n"/>
      <c r="C801" s="27" t="n"/>
      <c r="D801" s="31" t="n"/>
      <c r="E801" s="32" t="n"/>
      <c r="F801" s="35" t="n"/>
      <c r="G801" s="31" t="n"/>
      <c r="H801" s="20" t="str">
        <f>IF(AND(ISNUMBER(E801),ISNUMBER(F801)),E801*F801,"")</f>
        <v/>
      </c>
      <c r="I801" s="42" t="str">
        <f>IF(ISNUMBER(H801),ROUND(H801*IF(G801="挂单",'参数'!$C$11,'参数'!$C$12),4),"")</f>
        <v/>
      </c>
      <c r="J801" s="47" t="n"/>
      <c r="K801" s="47" t="n"/>
      <c r="L801" s="20" t="str">
        <f>IF(ISNUMBER(K801),K801+N(J801),IF(ISNUMBER(H801),I801+N(J801),""))</f>
        <v/>
      </c>
      <c r="M801" s="40" t="str">
        <f>IF(A801="","",IFERROR(T(INDEX('交易记录'!$C$5:$C$304,MATCH(A801,'交易记录'!$A$5:$A$304,0))),"编号没找到"))</f>
        <v/>
      </c>
      <c r="N801" s="30" t="n"/>
    </row>
    <row r="802">
      <c r="A802" s="24" t="n"/>
      <c r="B802" s="29" t="n"/>
      <c r="C802" s="27" t="n"/>
      <c r="D802" s="31" t="n"/>
      <c r="E802" s="32" t="n"/>
      <c r="F802" s="35" t="n"/>
      <c r="G802" s="31" t="n"/>
      <c r="H802" s="20" t="str">
        <f>IF(AND(ISNUMBER(E802),ISNUMBER(F802)),E802*F802,"")</f>
        <v/>
      </c>
      <c r="I802" s="42" t="str">
        <f>IF(ISNUMBER(H802),ROUND(H802*IF(G802="挂单",'参数'!$C$11,'参数'!$C$12),4),"")</f>
        <v/>
      </c>
      <c r="J802" s="47" t="n"/>
      <c r="K802" s="47" t="n"/>
      <c r="L802" s="20" t="str">
        <f>IF(ISNUMBER(K802),K802+N(J802),IF(ISNUMBER(H802),I802+N(J802),""))</f>
        <v/>
      </c>
      <c r="M802" s="40" t="str">
        <f>IF(A802="","",IFERROR(T(INDEX('交易记录'!$C$5:$C$304,MATCH(A802,'交易记录'!$A$5:$A$304,0))),"编号没找到"))</f>
        <v/>
      </c>
      <c r="N802" s="30" t="n"/>
    </row>
    <row r="803">
      <c r="A803" s="24" t="n"/>
      <c r="B803" s="29" t="n"/>
      <c r="C803" s="27" t="n"/>
      <c r="D803" s="31" t="n"/>
      <c r="E803" s="32" t="n"/>
      <c r="F803" s="35" t="n"/>
      <c r="G803" s="31" t="n"/>
      <c r="H803" s="20" t="str">
        <f>IF(AND(ISNUMBER(E803),ISNUMBER(F803)),E803*F803,"")</f>
        <v/>
      </c>
      <c r="I803" s="42" t="str">
        <f>IF(ISNUMBER(H803),ROUND(H803*IF(G803="挂单",'参数'!$C$11,'参数'!$C$12),4),"")</f>
        <v/>
      </c>
      <c r="J803" s="47" t="n"/>
      <c r="K803" s="47" t="n"/>
      <c r="L803" s="20" t="str">
        <f>IF(ISNUMBER(K803),K803+N(J803),IF(ISNUMBER(H803),I803+N(J803),""))</f>
        <v/>
      </c>
      <c r="M803" s="40" t="str">
        <f>IF(A803="","",IFERROR(T(INDEX('交易记录'!$C$5:$C$304,MATCH(A803,'交易记录'!$A$5:$A$304,0))),"编号没找到"))</f>
        <v/>
      </c>
      <c r="N803" s="30" t="n"/>
    </row>
    <row r="804">
      <c r="A804" s="24" t="n"/>
      <c r="B804" s="29" t="n"/>
      <c r="C804" s="27" t="n"/>
      <c r="D804" s="31" t="n"/>
      <c r="E804" s="32" t="n"/>
      <c r="F804" s="35" t="n"/>
      <c r="G804" s="31" t="n"/>
      <c r="H804" s="20" t="str">
        <f>IF(AND(ISNUMBER(E804),ISNUMBER(F804)),E804*F804,"")</f>
        <v/>
      </c>
      <c r="I804" s="42" t="str">
        <f>IF(ISNUMBER(H804),ROUND(H804*IF(G804="挂单",'参数'!$C$11,'参数'!$C$12),4),"")</f>
        <v/>
      </c>
      <c r="J804" s="47" t="n"/>
      <c r="K804" s="47" t="n"/>
      <c r="L804" s="20" t="str">
        <f>IF(ISNUMBER(K804),K804+N(J804),IF(ISNUMBER(H804),I804+N(J804),""))</f>
        <v/>
      </c>
      <c r="M804" s="40" t="str">
        <f>IF(A804="","",IFERROR(T(INDEX('交易记录'!$C$5:$C$304,MATCH(A804,'交易记录'!$A$5:$A$304,0))),"编号没找到"))</f>
        <v/>
      </c>
      <c r="N804" s="30" t="n"/>
    </row>
  </sheetData>
  <mergeCells count="6">
    <mergeCell ref="L1:N1"/>
    <mergeCell ref="H3:L3"/>
    <mergeCell ref="A3:G3"/>
    <mergeCell ref="A2:N2"/>
    <mergeCell ref="M3:N3"/>
    <mergeCell ref="A1:K1"/>
  </mergeCells>
  <conditionalFormatting sqref="M5:M804">
    <cfRule type="cellIs" priority="1" operator="equal" dxfId="3">
      <formula>"编号没找到"</formula>
    </cfRule>
  </conditionalFormatting>
  <dataValidations count="4">
    <dataValidation sqref="A5:A804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8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804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  <dataValidation sqref="G5:G804" showDropDown="0" showInputMessage="0" showErrorMessage="1" allowBlank="1" errorTitle="不在选项里" error="请从下拉里选；要加新选项，先去参数页的下拉选项里加。" type="list" errorStyle="stop">
      <formula1>'参数'!$K$22:$K$33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H6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7" customWidth="1" min="2" max="2"/>
    <col width="6" customWidth="1" min="3" max="3"/>
    <col width="11" customWidth="1" min="4" max="4"/>
    <col width="9" customWidth="1" min="5" max="5"/>
    <col width="11" customWidth="1" min="6" max="6"/>
    <col width="11" customWidth="1" min="7" max="7"/>
    <col width="22" customWidth="1" min="8" max="8"/>
  </cols>
  <sheetData>
    <row r="1" ht="30" customHeight="1">
      <c r="A1" s="13" t="inlineStr">
        <is>
          <t>资金费流水：每结算一次记一行</t>
        </is>
      </c>
      <c r="F1" s="14" t="inlineStr">
        <is>
          <t>TradeLearn · XtradingTime 交易内训</t>
        </is>
      </c>
    </row>
    <row r="2" ht="20" customHeight="1">
      <c r="A2" s="2" t="inlineStr">
        <is>
          <t>持有永续合约过结算点，按名义价值收付资金费：费率为正时多单付、空单收，为负时反过来。照账户的资金费记录抄，金额自动算，按编号汇总进交易记录。</t>
        </is>
      </c>
    </row>
    <row r="3" ht="18" customHeight="1">
      <c r="A3" s="28" t="inlineStr">
        <is>
          <t>结算</t>
        </is>
      </c>
      <c r="B3" s="28" t="n"/>
      <c r="C3" s="28" t="n"/>
      <c r="D3" s="28" t="n"/>
      <c r="E3" s="28" t="n"/>
      <c r="F3" s="28" t="inlineStr">
        <is>
          <t>金额</t>
        </is>
      </c>
      <c r="G3" s="28" t="n"/>
      <c r="H3" s="28" t="inlineStr">
        <is>
          <t>备注</t>
        </is>
      </c>
    </row>
    <row r="4" ht="41.8" customHeight="1">
      <c r="A4" s="25" t="inlineStr">
        <is>
          <t>结算时间</t>
        </is>
      </c>
      <c r="B4" s="25" t="inlineStr">
        <is>
          <t>交易编号</t>
        </is>
      </c>
      <c r="C4" s="25" t="inlineStr">
        <is>
          <t>方向</t>
        </is>
      </c>
      <c r="D4" s="25" t="inlineStr">
        <is>
          <t>名义价值（USDT）</t>
        </is>
      </c>
      <c r="E4" s="25" t="inlineStr">
        <is>
          <t>资金费率</t>
        </is>
      </c>
      <c r="F4" s="25" t="inlineStr">
        <is>
          <t>金额（收为正、付为负）</t>
        </is>
      </c>
      <c r="G4" s="25" t="inlineStr">
        <is>
          <t>实际金额（账户记录有就填）</t>
        </is>
      </c>
      <c r="H4" s="25" t="inlineStr">
        <is>
          <t>备注</t>
        </is>
      </c>
    </row>
    <row r="5">
      <c r="A5" s="48" t="n"/>
      <c r="B5" s="24" t="n"/>
      <c r="C5" s="40" t="str">
        <f>IF(B5="","",IFERROR(T(INDEX('交易记录'!$F$5:$F$304,MATCH(B5,'交易记录'!$A$5:$A$304,0))),"编号没找到"))</f>
        <v/>
      </c>
      <c r="D5" s="47" t="n"/>
      <c r="E5" s="49" t="n"/>
      <c r="F5" s="50" t="str">
        <f>IF(ISNUMBER(G5),G5,IF(AND(ISNUMBER(D5),ISNUMBER(E5),OR(C5="多",C5="空")),-IF(C5="空",-1,1)*D5*E5,""))</f>
        <v/>
      </c>
      <c r="G5" s="51" t="n"/>
      <c r="H5" s="30" t="n"/>
    </row>
    <row r="6">
      <c r="A6" s="48" t="n"/>
      <c r="B6" s="24" t="n"/>
      <c r="C6" s="40" t="str">
        <f>IF(B6="","",IFERROR(T(INDEX('交易记录'!$F$5:$F$304,MATCH(B6,'交易记录'!$A$5:$A$304,0))),"编号没找到"))</f>
        <v/>
      </c>
      <c r="D6" s="47" t="n"/>
      <c r="E6" s="49" t="n"/>
      <c r="F6" s="50" t="str">
        <f>IF(ISNUMBER(G6),G6,IF(AND(ISNUMBER(D6),ISNUMBER(E6),OR(C6="多",C6="空")),-IF(C6="空",-1,1)*D6*E6,""))</f>
        <v/>
      </c>
      <c r="G6" s="51" t="n"/>
      <c r="H6" s="30" t="n"/>
    </row>
    <row r="7">
      <c r="A7" s="48" t="n"/>
      <c r="B7" s="24" t="n"/>
      <c r="C7" s="40" t="str">
        <f>IF(B7="","",IFERROR(T(INDEX('交易记录'!$F$5:$F$304,MATCH(B7,'交易记录'!$A$5:$A$304,0))),"编号没找到"))</f>
        <v/>
      </c>
      <c r="D7" s="47" t="n"/>
      <c r="E7" s="49" t="n"/>
      <c r="F7" s="50" t="str">
        <f>IF(ISNUMBER(G7),G7,IF(AND(ISNUMBER(D7),ISNUMBER(E7),OR(C7="多",C7="空")),-IF(C7="空",-1,1)*D7*E7,""))</f>
        <v/>
      </c>
      <c r="G7" s="51" t="n"/>
      <c r="H7" s="30" t="n"/>
    </row>
    <row r="8">
      <c r="A8" s="48" t="n"/>
      <c r="B8" s="24" t="n"/>
      <c r="C8" s="40" t="str">
        <f>IF(B8="","",IFERROR(T(INDEX('交易记录'!$F$5:$F$304,MATCH(B8,'交易记录'!$A$5:$A$304,0))),"编号没找到"))</f>
        <v/>
      </c>
      <c r="D8" s="47" t="n"/>
      <c r="E8" s="49" t="n"/>
      <c r="F8" s="50" t="str">
        <f>IF(ISNUMBER(G8),G8,IF(AND(ISNUMBER(D8),ISNUMBER(E8),OR(C8="多",C8="空")),-IF(C8="空",-1,1)*D8*E8,""))</f>
        <v/>
      </c>
      <c r="G8" s="51" t="n"/>
      <c r="H8" s="30" t="n"/>
    </row>
    <row r="9">
      <c r="A9" s="48" t="n"/>
      <c r="B9" s="24" t="n"/>
      <c r="C9" s="40" t="str">
        <f>IF(B9="","",IFERROR(T(INDEX('交易记录'!$F$5:$F$304,MATCH(B9,'交易记录'!$A$5:$A$304,0))),"编号没找到"))</f>
        <v/>
      </c>
      <c r="D9" s="47" t="n"/>
      <c r="E9" s="49" t="n"/>
      <c r="F9" s="50" t="str">
        <f>IF(ISNUMBER(G9),G9,IF(AND(ISNUMBER(D9),ISNUMBER(E9),OR(C9="多",C9="空")),-IF(C9="空",-1,1)*D9*E9,""))</f>
        <v/>
      </c>
      <c r="G9" s="51" t="n"/>
      <c r="H9" s="30" t="n"/>
    </row>
    <row r="10">
      <c r="A10" s="48" t="n"/>
      <c r="B10" s="24" t="n"/>
      <c r="C10" s="40" t="str">
        <f>IF(B10="","",IFERROR(T(INDEX('交易记录'!$F$5:$F$304,MATCH(B10,'交易记录'!$A$5:$A$304,0))),"编号没找到"))</f>
        <v/>
      </c>
      <c r="D10" s="47" t="n"/>
      <c r="E10" s="49" t="n"/>
      <c r="F10" s="50" t="str">
        <f>IF(ISNUMBER(G10),G10,IF(AND(ISNUMBER(D10),ISNUMBER(E10),OR(C10="多",C10="空")),-IF(C10="空",-1,1)*D10*E10,""))</f>
        <v/>
      </c>
      <c r="G10" s="51" t="n"/>
      <c r="H10" s="30" t="n"/>
    </row>
    <row r="11">
      <c r="A11" s="48" t="n"/>
      <c r="B11" s="24" t="n"/>
      <c r="C11" s="40" t="str">
        <f>IF(B11="","",IFERROR(T(INDEX('交易记录'!$F$5:$F$304,MATCH(B11,'交易记录'!$A$5:$A$304,0))),"编号没找到"))</f>
        <v/>
      </c>
      <c r="D11" s="47" t="n"/>
      <c r="E11" s="49" t="n"/>
      <c r="F11" s="50" t="str">
        <f>IF(ISNUMBER(G11),G11,IF(AND(ISNUMBER(D11),ISNUMBER(E11),OR(C11="多",C11="空")),-IF(C11="空",-1,1)*D11*E11,""))</f>
        <v/>
      </c>
      <c r="G11" s="51" t="n"/>
      <c r="H11" s="30" t="n"/>
    </row>
    <row r="12">
      <c r="A12" s="48" t="n"/>
      <c r="B12" s="24" t="n"/>
      <c r="C12" s="40" t="str">
        <f>IF(B12="","",IFERROR(T(INDEX('交易记录'!$F$5:$F$304,MATCH(B12,'交易记录'!$A$5:$A$304,0))),"编号没找到"))</f>
        <v/>
      </c>
      <c r="D12" s="47" t="n"/>
      <c r="E12" s="49" t="n"/>
      <c r="F12" s="50" t="str">
        <f>IF(ISNUMBER(G12),G12,IF(AND(ISNUMBER(D12),ISNUMBER(E12),OR(C12="多",C12="空")),-IF(C12="空",-1,1)*D12*E12,""))</f>
        <v/>
      </c>
      <c r="G12" s="51" t="n"/>
      <c r="H12" s="30" t="n"/>
    </row>
    <row r="13">
      <c r="A13" s="48" t="n"/>
      <c r="B13" s="24" t="n"/>
      <c r="C13" s="40" t="str">
        <f>IF(B13="","",IFERROR(T(INDEX('交易记录'!$F$5:$F$304,MATCH(B13,'交易记录'!$A$5:$A$304,0))),"编号没找到"))</f>
        <v/>
      </c>
      <c r="D13" s="47" t="n"/>
      <c r="E13" s="49" t="n"/>
      <c r="F13" s="50" t="str">
        <f>IF(ISNUMBER(G13),G13,IF(AND(ISNUMBER(D13),ISNUMBER(E13),OR(C13="多",C13="空")),-IF(C13="空",-1,1)*D13*E13,""))</f>
        <v/>
      </c>
      <c r="G13" s="51" t="n"/>
      <c r="H13" s="30" t="n"/>
    </row>
    <row r="14">
      <c r="A14" s="48" t="n"/>
      <c r="B14" s="24" t="n"/>
      <c r="C14" s="40" t="str">
        <f>IF(B14="","",IFERROR(T(INDEX('交易记录'!$F$5:$F$304,MATCH(B14,'交易记录'!$A$5:$A$304,0))),"编号没找到"))</f>
        <v/>
      </c>
      <c r="D14" s="47" t="n"/>
      <c r="E14" s="49" t="n"/>
      <c r="F14" s="50" t="str">
        <f>IF(ISNUMBER(G14),G14,IF(AND(ISNUMBER(D14),ISNUMBER(E14),OR(C14="多",C14="空")),-IF(C14="空",-1,1)*D14*E14,""))</f>
        <v/>
      </c>
      <c r="G14" s="51" t="n"/>
      <c r="H14" s="30" t="n"/>
    </row>
    <row r="15">
      <c r="A15" s="48" t="n"/>
      <c r="B15" s="24" t="n"/>
      <c r="C15" s="40" t="str">
        <f>IF(B15="","",IFERROR(T(INDEX('交易记录'!$F$5:$F$304,MATCH(B15,'交易记录'!$A$5:$A$304,0))),"编号没找到"))</f>
        <v/>
      </c>
      <c r="D15" s="47" t="n"/>
      <c r="E15" s="49" t="n"/>
      <c r="F15" s="50" t="str">
        <f>IF(ISNUMBER(G15),G15,IF(AND(ISNUMBER(D15),ISNUMBER(E15),OR(C15="多",C15="空")),-IF(C15="空",-1,1)*D15*E15,""))</f>
        <v/>
      </c>
      <c r="G15" s="51" t="n"/>
      <c r="H15" s="30" t="n"/>
    </row>
    <row r="16">
      <c r="A16" s="48" t="n"/>
      <c r="B16" s="24" t="n"/>
      <c r="C16" s="40" t="str">
        <f>IF(B16="","",IFERROR(T(INDEX('交易记录'!$F$5:$F$304,MATCH(B16,'交易记录'!$A$5:$A$304,0))),"编号没找到"))</f>
        <v/>
      </c>
      <c r="D16" s="47" t="n"/>
      <c r="E16" s="49" t="n"/>
      <c r="F16" s="50" t="str">
        <f>IF(ISNUMBER(G16),G16,IF(AND(ISNUMBER(D16),ISNUMBER(E16),OR(C16="多",C16="空")),-IF(C16="空",-1,1)*D16*E16,""))</f>
        <v/>
      </c>
      <c r="G16" s="51" t="n"/>
      <c r="H16" s="30" t="n"/>
    </row>
    <row r="17">
      <c r="A17" s="48" t="n"/>
      <c r="B17" s="24" t="n"/>
      <c r="C17" s="40" t="str">
        <f>IF(B17="","",IFERROR(T(INDEX('交易记录'!$F$5:$F$304,MATCH(B17,'交易记录'!$A$5:$A$304,0))),"编号没找到"))</f>
        <v/>
      </c>
      <c r="D17" s="47" t="n"/>
      <c r="E17" s="49" t="n"/>
      <c r="F17" s="50" t="str">
        <f>IF(ISNUMBER(G17),G17,IF(AND(ISNUMBER(D17),ISNUMBER(E17),OR(C17="多",C17="空")),-IF(C17="空",-1,1)*D17*E17,""))</f>
        <v/>
      </c>
      <c r="G17" s="51" t="n"/>
      <c r="H17" s="30" t="n"/>
    </row>
    <row r="18">
      <c r="A18" s="48" t="n"/>
      <c r="B18" s="24" t="n"/>
      <c r="C18" s="40" t="str">
        <f>IF(B18="","",IFERROR(T(INDEX('交易记录'!$F$5:$F$304,MATCH(B18,'交易记录'!$A$5:$A$304,0))),"编号没找到"))</f>
        <v/>
      </c>
      <c r="D18" s="47" t="n"/>
      <c r="E18" s="49" t="n"/>
      <c r="F18" s="50" t="str">
        <f>IF(ISNUMBER(G18),G18,IF(AND(ISNUMBER(D18),ISNUMBER(E18),OR(C18="多",C18="空")),-IF(C18="空",-1,1)*D18*E18,""))</f>
        <v/>
      </c>
      <c r="G18" s="51" t="n"/>
      <c r="H18" s="30" t="n"/>
    </row>
    <row r="19">
      <c r="A19" s="48" t="n"/>
      <c r="B19" s="24" t="n"/>
      <c r="C19" s="40" t="str">
        <f>IF(B19="","",IFERROR(T(INDEX('交易记录'!$F$5:$F$304,MATCH(B19,'交易记录'!$A$5:$A$304,0))),"编号没找到"))</f>
        <v/>
      </c>
      <c r="D19" s="47" t="n"/>
      <c r="E19" s="49" t="n"/>
      <c r="F19" s="50" t="str">
        <f>IF(ISNUMBER(G19),G19,IF(AND(ISNUMBER(D19),ISNUMBER(E19),OR(C19="多",C19="空")),-IF(C19="空",-1,1)*D19*E19,""))</f>
        <v/>
      </c>
      <c r="G19" s="51" t="n"/>
      <c r="H19" s="30" t="n"/>
    </row>
    <row r="20">
      <c r="A20" s="48" t="n"/>
      <c r="B20" s="24" t="n"/>
      <c r="C20" s="40" t="str">
        <f>IF(B20="","",IFERROR(T(INDEX('交易记录'!$F$5:$F$304,MATCH(B20,'交易记录'!$A$5:$A$304,0))),"编号没找到"))</f>
        <v/>
      </c>
      <c r="D20" s="47" t="n"/>
      <c r="E20" s="49" t="n"/>
      <c r="F20" s="50" t="str">
        <f>IF(ISNUMBER(G20),G20,IF(AND(ISNUMBER(D20),ISNUMBER(E20),OR(C20="多",C20="空")),-IF(C20="空",-1,1)*D20*E20,""))</f>
        <v/>
      </c>
      <c r="G20" s="51" t="n"/>
      <c r="H20" s="30" t="n"/>
    </row>
    <row r="21">
      <c r="A21" s="48" t="n"/>
      <c r="B21" s="24" t="n"/>
      <c r="C21" s="40" t="str">
        <f>IF(B21="","",IFERROR(T(INDEX('交易记录'!$F$5:$F$304,MATCH(B21,'交易记录'!$A$5:$A$304,0))),"编号没找到"))</f>
        <v/>
      </c>
      <c r="D21" s="47" t="n"/>
      <c r="E21" s="49" t="n"/>
      <c r="F21" s="50" t="str">
        <f>IF(ISNUMBER(G21),G21,IF(AND(ISNUMBER(D21),ISNUMBER(E21),OR(C21="多",C21="空")),-IF(C21="空",-1,1)*D21*E21,""))</f>
        <v/>
      </c>
      <c r="G21" s="51" t="n"/>
      <c r="H21" s="30" t="n"/>
    </row>
    <row r="22">
      <c r="A22" s="48" t="n"/>
      <c r="B22" s="24" t="n"/>
      <c r="C22" s="40" t="str">
        <f>IF(B22="","",IFERROR(T(INDEX('交易记录'!$F$5:$F$304,MATCH(B22,'交易记录'!$A$5:$A$304,0))),"编号没找到"))</f>
        <v/>
      </c>
      <c r="D22" s="47" t="n"/>
      <c r="E22" s="49" t="n"/>
      <c r="F22" s="50" t="str">
        <f>IF(ISNUMBER(G22),G22,IF(AND(ISNUMBER(D22),ISNUMBER(E22),OR(C22="多",C22="空")),-IF(C22="空",-1,1)*D22*E22,""))</f>
        <v/>
      </c>
      <c r="G22" s="51" t="n"/>
      <c r="H22" s="30" t="n"/>
    </row>
    <row r="23">
      <c r="A23" s="48" t="n"/>
      <c r="B23" s="24" t="n"/>
      <c r="C23" s="40" t="str">
        <f>IF(B23="","",IFERROR(T(INDEX('交易记录'!$F$5:$F$304,MATCH(B23,'交易记录'!$A$5:$A$304,0))),"编号没找到"))</f>
        <v/>
      </c>
      <c r="D23" s="47" t="n"/>
      <c r="E23" s="49" t="n"/>
      <c r="F23" s="50" t="str">
        <f>IF(ISNUMBER(G23),G23,IF(AND(ISNUMBER(D23),ISNUMBER(E23),OR(C23="多",C23="空")),-IF(C23="空",-1,1)*D23*E23,""))</f>
        <v/>
      </c>
      <c r="G23" s="51" t="n"/>
      <c r="H23" s="30" t="n"/>
    </row>
    <row r="24">
      <c r="A24" s="48" t="n"/>
      <c r="B24" s="24" t="n"/>
      <c r="C24" s="40" t="str">
        <f>IF(B24="","",IFERROR(T(INDEX('交易记录'!$F$5:$F$304,MATCH(B24,'交易记录'!$A$5:$A$304,0))),"编号没找到"))</f>
        <v/>
      </c>
      <c r="D24" s="47" t="n"/>
      <c r="E24" s="49" t="n"/>
      <c r="F24" s="50" t="str">
        <f>IF(ISNUMBER(G24),G24,IF(AND(ISNUMBER(D24),ISNUMBER(E24),OR(C24="多",C24="空")),-IF(C24="空",-1,1)*D24*E24,""))</f>
        <v/>
      </c>
      <c r="G24" s="51" t="n"/>
      <c r="H24" s="30" t="n"/>
    </row>
    <row r="25">
      <c r="A25" s="48" t="n"/>
      <c r="B25" s="24" t="n"/>
      <c r="C25" s="40" t="str">
        <f>IF(B25="","",IFERROR(T(INDEX('交易记录'!$F$5:$F$304,MATCH(B25,'交易记录'!$A$5:$A$304,0))),"编号没找到"))</f>
        <v/>
      </c>
      <c r="D25" s="47" t="n"/>
      <c r="E25" s="49" t="n"/>
      <c r="F25" s="50" t="str">
        <f>IF(ISNUMBER(G25),G25,IF(AND(ISNUMBER(D25),ISNUMBER(E25),OR(C25="多",C25="空")),-IF(C25="空",-1,1)*D25*E25,""))</f>
        <v/>
      </c>
      <c r="G25" s="51" t="n"/>
      <c r="H25" s="30" t="n"/>
    </row>
    <row r="26">
      <c r="A26" s="48" t="n"/>
      <c r="B26" s="24" t="n"/>
      <c r="C26" s="40" t="str">
        <f>IF(B26="","",IFERROR(T(INDEX('交易记录'!$F$5:$F$304,MATCH(B26,'交易记录'!$A$5:$A$304,0))),"编号没找到"))</f>
        <v/>
      </c>
      <c r="D26" s="47" t="n"/>
      <c r="E26" s="49" t="n"/>
      <c r="F26" s="50" t="str">
        <f>IF(ISNUMBER(G26),G26,IF(AND(ISNUMBER(D26),ISNUMBER(E26),OR(C26="多",C26="空")),-IF(C26="空",-1,1)*D26*E26,""))</f>
        <v/>
      </c>
      <c r="G26" s="51" t="n"/>
      <c r="H26" s="30" t="n"/>
    </row>
    <row r="27">
      <c r="A27" s="48" t="n"/>
      <c r="B27" s="24" t="n"/>
      <c r="C27" s="40" t="str">
        <f>IF(B27="","",IFERROR(T(INDEX('交易记录'!$F$5:$F$304,MATCH(B27,'交易记录'!$A$5:$A$304,0))),"编号没找到"))</f>
        <v/>
      </c>
      <c r="D27" s="47" t="n"/>
      <c r="E27" s="49" t="n"/>
      <c r="F27" s="50" t="str">
        <f>IF(ISNUMBER(G27),G27,IF(AND(ISNUMBER(D27),ISNUMBER(E27),OR(C27="多",C27="空")),-IF(C27="空",-1,1)*D27*E27,""))</f>
        <v/>
      </c>
      <c r="G27" s="51" t="n"/>
      <c r="H27" s="30" t="n"/>
    </row>
    <row r="28">
      <c r="A28" s="48" t="n"/>
      <c r="B28" s="24" t="n"/>
      <c r="C28" s="40" t="str">
        <f>IF(B28="","",IFERROR(T(INDEX('交易记录'!$F$5:$F$304,MATCH(B28,'交易记录'!$A$5:$A$304,0))),"编号没找到"))</f>
        <v/>
      </c>
      <c r="D28" s="47" t="n"/>
      <c r="E28" s="49" t="n"/>
      <c r="F28" s="50" t="str">
        <f>IF(ISNUMBER(G28),G28,IF(AND(ISNUMBER(D28),ISNUMBER(E28),OR(C28="多",C28="空")),-IF(C28="空",-1,1)*D28*E28,""))</f>
        <v/>
      </c>
      <c r="G28" s="51" t="n"/>
      <c r="H28" s="30" t="n"/>
    </row>
    <row r="29">
      <c r="A29" s="48" t="n"/>
      <c r="B29" s="24" t="n"/>
      <c r="C29" s="40" t="str">
        <f>IF(B29="","",IFERROR(T(INDEX('交易记录'!$F$5:$F$304,MATCH(B29,'交易记录'!$A$5:$A$304,0))),"编号没找到"))</f>
        <v/>
      </c>
      <c r="D29" s="47" t="n"/>
      <c r="E29" s="49" t="n"/>
      <c r="F29" s="50" t="str">
        <f>IF(ISNUMBER(G29),G29,IF(AND(ISNUMBER(D29),ISNUMBER(E29),OR(C29="多",C29="空")),-IF(C29="空",-1,1)*D29*E29,""))</f>
        <v/>
      </c>
      <c r="G29" s="51" t="n"/>
      <c r="H29" s="30" t="n"/>
    </row>
    <row r="30">
      <c r="A30" s="48" t="n"/>
      <c r="B30" s="24" t="n"/>
      <c r="C30" s="40" t="str">
        <f>IF(B30="","",IFERROR(T(INDEX('交易记录'!$F$5:$F$304,MATCH(B30,'交易记录'!$A$5:$A$304,0))),"编号没找到"))</f>
        <v/>
      </c>
      <c r="D30" s="47" t="n"/>
      <c r="E30" s="49" t="n"/>
      <c r="F30" s="50" t="str">
        <f>IF(ISNUMBER(G30),G30,IF(AND(ISNUMBER(D30),ISNUMBER(E30),OR(C30="多",C30="空")),-IF(C30="空",-1,1)*D30*E30,""))</f>
        <v/>
      </c>
      <c r="G30" s="51" t="n"/>
      <c r="H30" s="30" t="n"/>
    </row>
    <row r="31">
      <c r="A31" s="48" t="n"/>
      <c r="B31" s="24" t="n"/>
      <c r="C31" s="40" t="str">
        <f>IF(B31="","",IFERROR(T(INDEX('交易记录'!$F$5:$F$304,MATCH(B31,'交易记录'!$A$5:$A$304,0))),"编号没找到"))</f>
        <v/>
      </c>
      <c r="D31" s="47" t="n"/>
      <c r="E31" s="49" t="n"/>
      <c r="F31" s="50" t="str">
        <f>IF(ISNUMBER(G31),G31,IF(AND(ISNUMBER(D31),ISNUMBER(E31),OR(C31="多",C31="空")),-IF(C31="空",-1,1)*D31*E31,""))</f>
        <v/>
      </c>
      <c r="G31" s="51" t="n"/>
      <c r="H31" s="30" t="n"/>
    </row>
    <row r="32">
      <c r="A32" s="48" t="n"/>
      <c r="B32" s="24" t="n"/>
      <c r="C32" s="40" t="str">
        <f>IF(B32="","",IFERROR(T(INDEX('交易记录'!$F$5:$F$304,MATCH(B32,'交易记录'!$A$5:$A$304,0))),"编号没找到"))</f>
        <v/>
      </c>
      <c r="D32" s="47" t="n"/>
      <c r="E32" s="49" t="n"/>
      <c r="F32" s="50" t="str">
        <f>IF(ISNUMBER(G32),G32,IF(AND(ISNUMBER(D32),ISNUMBER(E32),OR(C32="多",C32="空")),-IF(C32="空",-1,1)*D32*E32,""))</f>
        <v/>
      </c>
      <c r="G32" s="51" t="n"/>
      <c r="H32" s="30" t="n"/>
    </row>
    <row r="33">
      <c r="A33" s="48" t="n"/>
      <c r="B33" s="24" t="n"/>
      <c r="C33" s="40" t="str">
        <f>IF(B33="","",IFERROR(T(INDEX('交易记录'!$F$5:$F$304,MATCH(B33,'交易记录'!$A$5:$A$304,0))),"编号没找到"))</f>
        <v/>
      </c>
      <c r="D33" s="47" t="n"/>
      <c r="E33" s="49" t="n"/>
      <c r="F33" s="50" t="str">
        <f>IF(ISNUMBER(G33),G33,IF(AND(ISNUMBER(D33),ISNUMBER(E33),OR(C33="多",C33="空")),-IF(C33="空",-1,1)*D33*E33,""))</f>
        <v/>
      </c>
      <c r="G33" s="51" t="n"/>
      <c r="H33" s="30" t="n"/>
    </row>
    <row r="34">
      <c r="A34" s="48" t="n"/>
      <c r="B34" s="24" t="n"/>
      <c r="C34" s="40" t="str">
        <f>IF(B34="","",IFERROR(T(INDEX('交易记录'!$F$5:$F$304,MATCH(B34,'交易记录'!$A$5:$A$304,0))),"编号没找到"))</f>
        <v/>
      </c>
      <c r="D34" s="47" t="n"/>
      <c r="E34" s="49" t="n"/>
      <c r="F34" s="50" t="str">
        <f>IF(ISNUMBER(G34),G34,IF(AND(ISNUMBER(D34),ISNUMBER(E34),OR(C34="多",C34="空")),-IF(C34="空",-1,1)*D34*E34,""))</f>
        <v/>
      </c>
      <c r="G34" s="51" t="n"/>
      <c r="H34" s="30" t="n"/>
    </row>
    <row r="35">
      <c r="A35" s="48" t="n"/>
      <c r="B35" s="24" t="n"/>
      <c r="C35" s="40" t="str">
        <f>IF(B35="","",IFERROR(T(INDEX('交易记录'!$F$5:$F$304,MATCH(B35,'交易记录'!$A$5:$A$304,0))),"编号没找到"))</f>
        <v/>
      </c>
      <c r="D35" s="47" t="n"/>
      <c r="E35" s="49" t="n"/>
      <c r="F35" s="50" t="str">
        <f>IF(ISNUMBER(G35),G35,IF(AND(ISNUMBER(D35),ISNUMBER(E35),OR(C35="多",C35="空")),-IF(C35="空",-1,1)*D35*E35,""))</f>
        <v/>
      </c>
      <c r="G35" s="51" t="n"/>
      <c r="H35" s="30" t="n"/>
    </row>
    <row r="36">
      <c r="A36" s="48" t="n"/>
      <c r="B36" s="24" t="n"/>
      <c r="C36" s="40" t="str">
        <f>IF(B36="","",IFERROR(T(INDEX('交易记录'!$F$5:$F$304,MATCH(B36,'交易记录'!$A$5:$A$304,0))),"编号没找到"))</f>
        <v/>
      </c>
      <c r="D36" s="47" t="n"/>
      <c r="E36" s="49" t="n"/>
      <c r="F36" s="50" t="str">
        <f>IF(ISNUMBER(G36),G36,IF(AND(ISNUMBER(D36),ISNUMBER(E36),OR(C36="多",C36="空")),-IF(C36="空",-1,1)*D36*E36,""))</f>
        <v/>
      </c>
      <c r="G36" s="51" t="n"/>
      <c r="H36" s="30" t="n"/>
    </row>
    <row r="37">
      <c r="A37" s="48" t="n"/>
      <c r="B37" s="24" t="n"/>
      <c r="C37" s="40" t="str">
        <f>IF(B37="","",IFERROR(T(INDEX('交易记录'!$F$5:$F$304,MATCH(B37,'交易记录'!$A$5:$A$304,0))),"编号没找到"))</f>
        <v/>
      </c>
      <c r="D37" s="47" t="n"/>
      <c r="E37" s="49" t="n"/>
      <c r="F37" s="50" t="str">
        <f>IF(ISNUMBER(G37),G37,IF(AND(ISNUMBER(D37),ISNUMBER(E37),OR(C37="多",C37="空")),-IF(C37="空",-1,1)*D37*E37,""))</f>
        <v/>
      </c>
      <c r="G37" s="51" t="n"/>
      <c r="H37" s="30" t="n"/>
    </row>
    <row r="38">
      <c r="A38" s="48" t="n"/>
      <c r="B38" s="24" t="n"/>
      <c r="C38" s="40" t="str">
        <f>IF(B38="","",IFERROR(T(INDEX('交易记录'!$F$5:$F$304,MATCH(B38,'交易记录'!$A$5:$A$304,0))),"编号没找到"))</f>
        <v/>
      </c>
      <c r="D38" s="47" t="n"/>
      <c r="E38" s="49" t="n"/>
      <c r="F38" s="50" t="str">
        <f>IF(ISNUMBER(G38),G38,IF(AND(ISNUMBER(D38),ISNUMBER(E38),OR(C38="多",C38="空")),-IF(C38="空",-1,1)*D38*E38,""))</f>
        <v/>
      </c>
      <c r="G38" s="51" t="n"/>
      <c r="H38" s="30" t="n"/>
    </row>
    <row r="39">
      <c r="A39" s="48" t="n"/>
      <c r="B39" s="24" t="n"/>
      <c r="C39" s="40" t="str">
        <f>IF(B39="","",IFERROR(T(INDEX('交易记录'!$F$5:$F$304,MATCH(B39,'交易记录'!$A$5:$A$304,0))),"编号没找到"))</f>
        <v/>
      </c>
      <c r="D39" s="47" t="n"/>
      <c r="E39" s="49" t="n"/>
      <c r="F39" s="50" t="str">
        <f>IF(ISNUMBER(G39),G39,IF(AND(ISNUMBER(D39),ISNUMBER(E39),OR(C39="多",C39="空")),-IF(C39="空",-1,1)*D39*E39,""))</f>
        <v/>
      </c>
      <c r="G39" s="51" t="n"/>
      <c r="H39" s="30" t="n"/>
    </row>
    <row r="40">
      <c r="A40" s="48" t="n"/>
      <c r="B40" s="24" t="n"/>
      <c r="C40" s="40" t="str">
        <f>IF(B40="","",IFERROR(T(INDEX('交易记录'!$F$5:$F$304,MATCH(B40,'交易记录'!$A$5:$A$304,0))),"编号没找到"))</f>
        <v/>
      </c>
      <c r="D40" s="47" t="n"/>
      <c r="E40" s="49" t="n"/>
      <c r="F40" s="50" t="str">
        <f>IF(ISNUMBER(G40),G40,IF(AND(ISNUMBER(D40),ISNUMBER(E40),OR(C40="多",C40="空")),-IF(C40="空",-1,1)*D40*E40,""))</f>
        <v/>
      </c>
      <c r="G40" s="51" t="n"/>
      <c r="H40" s="30" t="n"/>
    </row>
    <row r="41">
      <c r="A41" s="48" t="n"/>
      <c r="B41" s="24" t="n"/>
      <c r="C41" s="40" t="str">
        <f>IF(B41="","",IFERROR(T(INDEX('交易记录'!$F$5:$F$304,MATCH(B41,'交易记录'!$A$5:$A$304,0))),"编号没找到"))</f>
        <v/>
      </c>
      <c r="D41" s="47" t="n"/>
      <c r="E41" s="49" t="n"/>
      <c r="F41" s="50" t="str">
        <f>IF(ISNUMBER(G41),G41,IF(AND(ISNUMBER(D41),ISNUMBER(E41),OR(C41="多",C41="空")),-IF(C41="空",-1,1)*D41*E41,""))</f>
        <v/>
      </c>
      <c r="G41" s="51" t="n"/>
      <c r="H41" s="30" t="n"/>
    </row>
    <row r="42">
      <c r="A42" s="48" t="n"/>
      <c r="B42" s="24" t="n"/>
      <c r="C42" s="40" t="str">
        <f>IF(B42="","",IFERROR(T(INDEX('交易记录'!$F$5:$F$304,MATCH(B42,'交易记录'!$A$5:$A$304,0))),"编号没找到"))</f>
        <v/>
      </c>
      <c r="D42" s="47" t="n"/>
      <c r="E42" s="49" t="n"/>
      <c r="F42" s="50" t="str">
        <f>IF(ISNUMBER(G42),G42,IF(AND(ISNUMBER(D42),ISNUMBER(E42),OR(C42="多",C42="空")),-IF(C42="空",-1,1)*D42*E42,""))</f>
        <v/>
      </c>
      <c r="G42" s="51" t="n"/>
      <c r="H42" s="30" t="n"/>
    </row>
    <row r="43">
      <c r="A43" s="48" t="n"/>
      <c r="B43" s="24" t="n"/>
      <c r="C43" s="40" t="str">
        <f>IF(B43="","",IFERROR(T(INDEX('交易记录'!$F$5:$F$304,MATCH(B43,'交易记录'!$A$5:$A$304,0))),"编号没找到"))</f>
        <v/>
      </c>
      <c r="D43" s="47" t="n"/>
      <c r="E43" s="49" t="n"/>
      <c r="F43" s="50" t="str">
        <f>IF(ISNUMBER(G43),G43,IF(AND(ISNUMBER(D43),ISNUMBER(E43),OR(C43="多",C43="空")),-IF(C43="空",-1,1)*D43*E43,""))</f>
        <v/>
      </c>
      <c r="G43" s="51" t="n"/>
      <c r="H43" s="30" t="n"/>
    </row>
    <row r="44">
      <c r="A44" s="48" t="n"/>
      <c r="B44" s="24" t="n"/>
      <c r="C44" s="40" t="str">
        <f>IF(B44="","",IFERROR(T(INDEX('交易记录'!$F$5:$F$304,MATCH(B44,'交易记录'!$A$5:$A$304,0))),"编号没找到"))</f>
        <v/>
      </c>
      <c r="D44" s="47" t="n"/>
      <c r="E44" s="49" t="n"/>
      <c r="F44" s="50" t="str">
        <f>IF(ISNUMBER(G44),G44,IF(AND(ISNUMBER(D44),ISNUMBER(E44),OR(C44="多",C44="空")),-IF(C44="空",-1,1)*D44*E44,""))</f>
        <v/>
      </c>
      <c r="G44" s="51" t="n"/>
      <c r="H44" s="30" t="n"/>
    </row>
    <row r="45">
      <c r="A45" s="48" t="n"/>
      <c r="B45" s="24" t="n"/>
      <c r="C45" s="40" t="str">
        <f>IF(B45="","",IFERROR(T(INDEX('交易记录'!$F$5:$F$304,MATCH(B45,'交易记录'!$A$5:$A$304,0))),"编号没找到"))</f>
        <v/>
      </c>
      <c r="D45" s="47" t="n"/>
      <c r="E45" s="49" t="n"/>
      <c r="F45" s="50" t="str">
        <f>IF(ISNUMBER(G45),G45,IF(AND(ISNUMBER(D45),ISNUMBER(E45),OR(C45="多",C45="空")),-IF(C45="空",-1,1)*D45*E45,""))</f>
        <v/>
      </c>
      <c r="G45" s="51" t="n"/>
      <c r="H45" s="30" t="n"/>
    </row>
    <row r="46">
      <c r="A46" s="48" t="n"/>
      <c r="B46" s="24" t="n"/>
      <c r="C46" s="40" t="str">
        <f>IF(B46="","",IFERROR(T(INDEX('交易记录'!$F$5:$F$304,MATCH(B46,'交易记录'!$A$5:$A$304,0))),"编号没找到"))</f>
        <v/>
      </c>
      <c r="D46" s="47" t="n"/>
      <c r="E46" s="49" t="n"/>
      <c r="F46" s="50" t="str">
        <f>IF(ISNUMBER(G46),G46,IF(AND(ISNUMBER(D46),ISNUMBER(E46),OR(C46="多",C46="空")),-IF(C46="空",-1,1)*D46*E46,""))</f>
        <v/>
      </c>
      <c r="G46" s="51" t="n"/>
      <c r="H46" s="30" t="n"/>
    </row>
    <row r="47">
      <c r="A47" s="48" t="n"/>
      <c r="B47" s="24" t="n"/>
      <c r="C47" s="40" t="str">
        <f>IF(B47="","",IFERROR(T(INDEX('交易记录'!$F$5:$F$304,MATCH(B47,'交易记录'!$A$5:$A$304,0))),"编号没找到"))</f>
        <v/>
      </c>
      <c r="D47" s="47" t="n"/>
      <c r="E47" s="49" t="n"/>
      <c r="F47" s="50" t="str">
        <f>IF(ISNUMBER(G47),G47,IF(AND(ISNUMBER(D47),ISNUMBER(E47),OR(C47="多",C47="空")),-IF(C47="空",-1,1)*D47*E47,""))</f>
        <v/>
      </c>
      <c r="G47" s="51" t="n"/>
      <c r="H47" s="30" t="n"/>
    </row>
    <row r="48">
      <c r="A48" s="48" t="n"/>
      <c r="B48" s="24" t="n"/>
      <c r="C48" s="40" t="str">
        <f>IF(B48="","",IFERROR(T(INDEX('交易记录'!$F$5:$F$304,MATCH(B48,'交易记录'!$A$5:$A$304,0))),"编号没找到"))</f>
        <v/>
      </c>
      <c r="D48" s="47" t="n"/>
      <c r="E48" s="49" t="n"/>
      <c r="F48" s="50" t="str">
        <f>IF(ISNUMBER(G48),G48,IF(AND(ISNUMBER(D48),ISNUMBER(E48),OR(C48="多",C48="空")),-IF(C48="空",-1,1)*D48*E48,""))</f>
        <v/>
      </c>
      <c r="G48" s="51" t="n"/>
      <c r="H48" s="30" t="n"/>
    </row>
    <row r="49">
      <c r="A49" s="48" t="n"/>
      <c r="B49" s="24" t="n"/>
      <c r="C49" s="40" t="str">
        <f>IF(B49="","",IFERROR(T(INDEX('交易记录'!$F$5:$F$304,MATCH(B49,'交易记录'!$A$5:$A$304,0))),"编号没找到"))</f>
        <v/>
      </c>
      <c r="D49" s="47" t="n"/>
      <c r="E49" s="49" t="n"/>
      <c r="F49" s="50" t="str">
        <f>IF(ISNUMBER(G49),G49,IF(AND(ISNUMBER(D49),ISNUMBER(E49),OR(C49="多",C49="空")),-IF(C49="空",-1,1)*D49*E49,""))</f>
        <v/>
      </c>
      <c r="G49" s="51" t="n"/>
      <c r="H49" s="30" t="n"/>
    </row>
    <row r="50">
      <c r="A50" s="48" t="n"/>
      <c r="B50" s="24" t="n"/>
      <c r="C50" s="40" t="str">
        <f>IF(B50="","",IFERROR(T(INDEX('交易记录'!$F$5:$F$304,MATCH(B50,'交易记录'!$A$5:$A$304,0))),"编号没找到"))</f>
        <v/>
      </c>
      <c r="D50" s="47" t="n"/>
      <c r="E50" s="49" t="n"/>
      <c r="F50" s="50" t="str">
        <f>IF(ISNUMBER(G50),G50,IF(AND(ISNUMBER(D50),ISNUMBER(E50),OR(C50="多",C50="空")),-IF(C50="空",-1,1)*D50*E50,""))</f>
        <v/>
      </c>
      <c r="G50" s="51" t="n"/>
      <c r="H50" s="30" t="n"/>
    </row>
    <row r="51">
      <c r="A51" s="48" t="n"/>
      <c r="B51" s="24" t="n"/>
      <c r="C51" s="40" t="str">
        <f>IF(B51="","",IFERROR(T(INDEX('交易记录'!$F$5:$F$304,MATCH(B51,'交易记录'!$A$5:$A$304,0))),"编号没找到"))</f>
        <v/>
      </c>
      <c r="D51" s="47" t="n"/>
      <c r="E51" s="49" t="n"/>
      <c r="F51" s="50" t="str">
        <f>IF(ISNUMBER(G51),G51,IF(AND(ISNUMBER(D51),ISNUMBER(E51),OR(C51="多",C51="空")),-IF(C51="空",-1,1)*D51*E51,""))</f>
        <v/>
      </c>
      <c r="G51" s="51" t="n"/>
      <c r="H51" s="30" t="n"/>
    </row>
    <row r="52">
      <c r="A52" s="48" t="n"/>
      <c r="B52" s="24" t="n"/>
      <c r="C52" s="40" t="str">
        <f>IF(B52="","",IFERROR(T(INDEX('交易记录'!$F$5:$F$304,MATCH(B52,'交易记录'!$A$5:$A$304,0))),"编号没找到"))</f>
        <v/>
      </c>
      <c r="D52" s="47" t="n"/>
      <c r="E52" s="49" t="n"/>
      <c r="F52" s="50" t="str">
        <f>IF(ISNUMBER(G52),G52,IF(AND(ISNUMBER(D52),ISNUMBER(E52),OR(C52="多",C52="空")),-IF(C52="空",-1,1)*D52*E52,""))</f>
        <v/>
      </c>
      <c r="G52" s="51" t="n"/>
      <c r="H52" s="30" t="n"/>
    </row>
    <row r="53">
      <c r="A53" s="48" t="n"/>
      <c r="B53" s="24" t="n"/>
      <c r="C53" s="40" t="str">
        <f>IF(B53="","",IFERROR(T(INDEX('交易记录'!$F$5:$F$304,MATCH(B53,'交易记录'!$A$5:$A$304,0))),"编号没找到"))</f>
        <v/>
      </c>
      <c r="D53" s="47" t="n"/>
      <c r="E53" s="49" t="n"/>
      <c r="F53" s="50" t="str">
        <f>IF(ISNUMBER(G53),G53,IF(AND(ISNUMBER(D53),ISNUMBER(E53),OR(C53="多",C53="空")),-IF(C53="空",-1,1)*D53*E53,""))</f>
        <v/>
      </c>
      <c r="G53" s="51" t="n"/>
      <c r="H53" s="30" t="n"/>
    </row>
    <row r="54">
      <c r="A54" s="48" t="n"/>
      <c r="B54" s="24" t="n"/>
      <c r="C54" s="40" t="str">
        <f>IF(B54="","",IFERROR(T(INDEX('交易记录'!$F$5:$F$304,MATCH(B54,'交易记录'!$A$5:$A$304,0))),"编号没找到"))</f>
        <v/>
      </c>
      <c r="D54" s="47" t="n"/>
      <c r="E54" s="49" t="n"/>
      <c r="F54" s="50" t="str">
        <f>IF(ISNUMBER(G54),G54,IF(AND(ISNUMBER(D54),ISNUMBER(E54),OR(C54="多",C54="空")),-IF(C54="空",-1,1)*D54*E54,""))</f>
        <v/>
      </c>
      <c r="G54" s="51" t="n"/>
      <c r="H54" s="30" t="n"/>
    </row>
    <row r="55">
      <c r="A55" s="48" t="n"/>
      <c r="B55" s="24" t="n"/>
      <c r="C55" s="40" t="str">
        <f>IF(B55="","",IFERROR(T(INDEX('交易记录'!$F$5:$F$304,MATCH(B55,'交易记录'!$A$5:$A$304,0))),"编号没找到"))</f>
        <v/>
      </c>
      <c r="D55" s="47" t="n"/>
      <c r="E55" s="49" t="n"/>
      <c r="F55" s="50" t="str">
        <f>IF(ISNUMBER(G55),G55,IF(AND(ISNUMBER(D55),ISNUMBER(E55),OR(C55="多",C55="空")),-IF(C55="空",-1,1)*D55*E55,""))</f>
        <v/>
      </c>
      <c r="G55" s="51" t="n"/>
      <c r="H55" s="30" t="n"/>
    </row>
    <row r="56">
      <c r="A56" s="48" t="n"/>
      <c r="B56" s="24" t="n"/>
      <c r="C56" s="40" t="str">
        <f>IF(B56="","",IFERROR(T(INDEX('交易记录'!$F$5:$F$304,MATCH(B56,'交易记录'!$A$5:$A$304,0))),"编号没找到"))</f>
        <v/>
      </c>
      <c r="D56" s="47" t="n"/>
      <c r="E56" s="49" t="n"/>
      <c r="F56" s="50" t="str">
        <f>IF(ISNUMBER(G56),G56,IF(AND(ISNUMBER(D56),ISNUMBER(E56),OR(C56="多",C56="空")),-IF(C56="空",-1,1)*D56*E56,""))</f>
        <v/>
      </c>
      <c r="G56" s="51" t="n"/>
      <c r="H56" s="30" t="n"/>
    </row>
    <row r="57">
      <c r="A57" s="48" t="n"/>
      <c r="B57" s="24" t="n"/>
      <c r="C57" s="40" t="str">
        <f>IF(B57="","",IFERROR(T(INDEX('交易记录'!$F$5:$F$304,MATCH(B57,'交易记录'!$A$5:$A$304,0))),"编号没找到"))</f>
        <v/>
      </c>
      <c r="D57" s="47" t="n"/>
      <c r="E57" s="49" t="n"/>
      <c r="F57" s="50" t="str">
        <f>IF(ISNUMBER(G57),G57,IF(AND(ISNUMBER(D57),ISNUMBER(E57),OR(C57="多",C57="空")),-IF(C57="空",-1,1)*D57*E57,""))</f>
        <v/>
      </c>
      <c r="G57" s="51" t="n"/>
      <c r="H57" s="30" t="n"/>
    </row>
    <row r="58">
      <c r="A58" s="48" t="n"/>
      <c r="B58" s="24" t="n"/>
      <c r="C58" s="40" t="str">
        <f>IF(B58="","",IFERROR(T(INDEX('交易记录'!$F$5:$F$304,MATCH(B58,'交易记录'!$A$5:$A$304,0))),"编号没找到"))</f>
        <v/>
      </c>
      <c r="D58" s="47" t="n"/>
      <c r="E58" s="49" t="n"/>
      <c r="F58" s="50" t="str">
        <f>IF(ISNUMBER(G58),G58,IF(AND(ISNUMBER(D58),ISNUMBER(E58),OR(C58="多",C58="空")),-IF(C58="空",-1,1)*D58*E58,""))</f>
        <v/>
      </c>
      <c r="G58" s="51" t="n"/>
      <c r="H58" s="30" t="n"/>
    </row>
    <row r="59">
      <c r="A59" s="48" t="n"/>
      <c r="B59" s="24" t="n"/>
      <c r="C59" s="40" t="str">
        <f>IF(B59="","",IFERROR(T(INDEX('交易记录'!$F$5:$F$304,MATCH(B59,'交易记录'!$A$5:$A$304,0))),"编号没找到"))</f>
        <v/>
      </c>
      <c r="D59" s="47" t="n"/>
      <c r="E59" s="49" t="n"/>
      <c r="F59" s="50" t="str">
        <f>IF(ISNUMBER(G59),G59,IF(AND(ISNUMBER(D59),ISNUMBER(E59),OR(C59="多",C59="空")),-IF(C59="空",-1,1)*D59*E59,""))</f>
        <v/>
      </c>
      <c r="G59" s="51" t="n"/>
      <c r="H59" s="30" t="n"/>
    </row>
    <row r="60">
      <c r="A60" s="48" t="n"/>
      <c r="B60" s="24" t="n"/>
      <c r="C60" s="40" t="str">
        <f>IF(B60="","",IFERROR(T(INDEX('交易记录'!$F$5:$F$304,MATCH(B60,'交易记录'!$A$5:$A$304,0))),"编号没找到"))</f>
        <v/>
      </c>
      <c r="D60" s="47" t="n"/>
      <c r="E60" s="49" t="n"/>
      <c r="F60" s="50" t="str">
        <f>IF(ISNUMBER(G60),G60,IF(AND(ISNUMBER(D60),ISNUMBER(E60),OR(C60="多",C60="空")),-IF(C60="空",-1,1)*D60*E60,""))</f>
        <v/>
      </c>
      <c r="G60" s="51" t="n"/>
      <c r="H60" s="30" t="n"/>
    </row>
    <row r="61">
      <c r="A61" s="48" t="n"/>
      <c r="B61" s="24" t="n"/>
      <c r="C61" s="40" t="str">
        <f>IF(B61="","",IFERROR(T(INDEX('交易记录'!$F$5:$F$304,MATCH(B61,'交易记录'!$A$5:$A$304,0))),"编号没找到"))</f>
        <v/>
      </c>
      <c r="D61" s="47" t="n"/>
      <c r="E61" s="49" t="n"/>
      <c r="F61" s="50" t="str">
        <f>IF(ISNUMBER(G61),G61,IF(AND(ISNUMBER(D61),ISNUMBER(E61),OR(C61="多",C61="空")),-IF(C61="空",-1,1)*D61*E61,""))</f>
        <v/>
      </c>
      <c r="G61" s="51" t="n"/>
      <c r="H61" s="30" t="n"/>
    </row>
    <row r="62">
      <c r="A62" s="48" t="n"/>
      <c r="B62" s="24" t="n"/>
      <c r="C62" s="40" t="str">
        <f>IF(B62="","",IFERROR(T(INDEX('交易记录'!$F$5:$F$304,MATCH(B62,'交易记录'!$A$5:$A$304,0))),"编号没找到"))</f>
        <v/>
      </c>
      <c r="D62" s="47" t="n"/>
      <c r="E62" s="49" t="n"/>
      <c r="F62" s="50" t="str">
        <f>IF(ISNUMBER(G62),G62,IF(AND(ISNUMBER(D62),ISNUMBER(E62),OR(C62="多",C62="空")),-IF(C62="空",-1,1)*D62*E62,""))</f>
        <v/>
      </c>
      <c r="G62" s="51" t="n"/>
      <c r="H62" s="30" t="n"/>
    </row>
    <row r="63">
      <c r="A63" s="48" t="n"/>
      <c r="B63" s="24" t="n"/>
      <c r="C63" s="40" t="str">
        <f>IF(B63="","",IFERROR(T(INDEX('交易记录'!$F$5:$F$304,MATCH(B63,'交易记录'!$A$5:$A$304,0))),"编号没找到"))</f>
        <v/>
      </c>
      <c r="D63" s="47" t="n"/>
      <c r="E63" s="49" t="n"/>
      <c r="F63" s="50" t="str">
        <f>IF(ISNUMBER(G63),G63,IF(AND(ISNUMBER(D63),ISNUMBER(E63),OR(C63="多",C63="空")),-IF(C63="空",-1,1)*D63*E63,""))</f>
        <v/>
      </c>
      <c r="G63" s="51" t="n"/>
      <c r="H63" s="30" t="n"/>
    </row>
    <row r="64">
      <c r="A64" s="48" t="n"/>
      <c r="B64" s="24" t="n"/>
      <c r="C64" s="40" t="str">
        <f>IF(B64="","",IFERROR(T(INDEX('交易记录'!$F$5:$F$304,MATCH(B64,'交易记录'!$A$5:$A$304,0))),"编号没找到"))</f>
        <v/>
      </c>
      <c r="D64" s="47" t="n"/>
      <c r="E64" s="49" t="n"/>
      <c r="F64" s="50" t="str">
        <f>IF(ISNUMBER(G64),G64,IF(AND(ISNUMBER(D64),ISNUMBER(E64),OR(C64="多",C64="空")),-IF(C64="空",-1,1)*D64*E64,""))</f>
        <v/>
      </c>
      <c r="G64" s="51" t="n"/>
      <c r="H64" s="30" t="n"/>
    </row>
    <row r="65">
      <c r="A65" s="48" t="n"/>
      <c r="B65" s="24" t="n"/>
      <c r="C65" s="40" t="str">
        <f>IF(B65="","",IFERROR(T(INDEX('交易记录'!$F$5:$F$304,MATCH(B65,'交易记录'!$A$5:$A$304,0))),"编号没找到"))</f>
        <v/>
      </c>
      <c r="D65" s="47" t="n"/>
      <c r="E65" s="49" t="n"/>
      <c r="F65" s="50" t="str">
        <f>IF(ISNUMBER(G65),G65,IF(AND(ISNUMBER(D65),ISNUMBER(E65),OR(C65="多",C65="空")),-IF(C65="空",-1,1)*D65*E65,""))</f>
        <v/>
      </c>
      <c r="G65" s="51" t="n"/>
      <c r="H65" s="30" t="n"/>
    </row>
    <row r="66">
      <c r="A66" s="48" t="n"/>
      <c r="B66" s="24" t="n"/>
      <c r="C66" s="40" t="str">
        <f>IF(B66="","",IFERROR(T(INDEX('交易记录'!$F$5:$F$304,MATCH(B66,'交易记录'!$A$5:$A$304,0))),"编号没找到"))</f>
        <v/>
      </c>
      <c r="D66" s="47" t="n"/>
      <c r="E66" s="49" t="n"/>
      <c r="F66" s="50" t="str">
        <f>IF(ISNUMBER(G66),G66,IF(AND(ISNUMBER(D66),ISNUMBER(E66),OR(C66="多",C66="空")),-IF(C66="空",-1,1)*D66*E66,""))</f>
        <v/>
      </c>
      <c r="G66" s="51" t="n"/>
      <c r="H66" s="30" t="n"/>
    </row>
    <row r="67">
      <c r="A67" s="48" t="n"/>
      <c r="B67" s="24" t="n"/>
      <c r="C67" s="40" t="str">
        <f>IF(B67="","",IFERROR(T(INDEX('交易记录'!$F$5:$F$304,MATCH(B67,'交易记录'!$A$5:$A$304,0))),"编号没找到"))</f>
        <v/>
      </c>
      <c r="D67" s="47" t="n"/>
      <c r="E67" s="49" t="n"/>
      <c r="F67" s="50" t="str">
        <f>IF(ISNUMBER(G67),G67,IF(AND(ISNUMBER(D67),ISNUMBER(E67),OR(C67="多",C67="空")),-IF(C67="空",-1,1)*D67*E67,""))</f>
        <v/>
      </c>
      <c r="G67" s="51" t="n"/>
      <c r="H67" s="30" t="n"/>
    </row>
    <row r="68">
      <c r="A68" s="48" t="n"/>
      <c r="B68" s="24" t="n"/>
      <c r="C68" s="40" t="str">
        <f>IF(B68="","",IFERROR(T(INDEX('交易记录'!$F$5:$F$304,MATCH(B68,'交易记录'!$A$5:$A$304,0))),"编号没找到"))</f>
        <v/>
      </c>
      <c r="D68" s="47" t="n"/>
      <c r="E68" s="49" t="n"/>
      <c r="F68" s="50" t="str">
        <f>IF(ISNUMBER(G68),G68,IF(AND(ISNUMBER(D68),ISNUMBER(E68),OR(C68="多",C68="空")),-IF(C68="空",-1,1)*D68*E68,""))</f>
        <v/>
      </c>
      <c r="G68" s="51" t="n"/>
      <c r="H68" s="30" t="n"/>
    </row>
    <row r="69">
      <c r="A69" s="48" t="n"/>
      <c r="B69" s="24" t="n"/>
      <c r="C69" s="40" t="str">
        <f>IF(B69="","",IFERROR(T(INDEX('交易记录'!$F$5:$F$304,MATCH(B69,'交易记录'!$A$5:$A$304,0))),"编号没找到"))</f>
        <v/>
      </c>
      <c r="D69" s="47" t="n"/>
      <c r="E69" s="49" t="n"/>
      <c r="F69" s="50" t="str">
        <f>IF(ISNUMBER(G69),G69,IF(AND(ISNUMBER(D69),ISNUMBER(E69),OR(C69="多",C69="空")),-IF(C69="空",-1,1)*D69*E69,""))</f>
        <v/>
      </c>
      <c r="G69" s="51" t="n"/>
      <c r="H69" s="30" t="n"/>
    </row>
    <row r="70">
      <c r="A70" s="48" t="n"/>
      <c r="B70" s="24" t="n"/>
      <c r="C70" s="40" t="str">
        <f>IF(B70="","",IFERROR(T(INDEX('交易记录'!$F$5:$F$304,MATCH(B70,'交易记录'!$A$5:$A$304,0))),"编号没找到"))</f>
        <v/>
      </c>
      <c r="D70" s="47" t="n"/>
      <c r="E70" s="49" t="n"/>
      <c r="F70" s="50" t="str">
        <f>IF(ISNUMBER(G70),G70,IF(AND(ISNUMBER(D70),ISNUMBER(E70),OR(C70="多",C70="空")),-IF(C70="空",-1,1)*D70*E70,""))</f>
        <v/>
      </c>
      <c r="G70" s="51" t="n"/>
      <c r="H70" s="30" t="n"/>
    </row>
    <row r="71">
      <c r="A71" s="48" t="n"/>
      <c r="B71" s="24" t="n"/>
      <c r="C71" s="40" t="str">
        <f>IF(B71="","",IFERROR(T(INDEX('交易记录'!$F$5:$F$304,MATCH(B71,'交易记录'!$A$5:$A$304,0))),"编号没找到"))</f>
        <v/>
      </c>
      <c r="D71" s="47" t="n"/>
      <c r="E71" s="49" t="n"/>
      <c r="F71" s="50" t="str">
        <f>IF(ISNUMBER(G71),G71,IF(AND(ISNUMBER(D71),ISNUMBER(E71),OR(C71="多",C71="空")),-IF(C71="空",-1,1)*D71*E71,""))</f>
        <v/>
      </c>
      <c r="G71" s="51" t="n"/>
      <c r="H71" s="30" t="n"/>
    </row>
    <row r="72">
      <c r="A72" s="48" t="n"/>
      <c r="B72" s="24" t="n"/>
      <c r="C72" s="40" t="str">
        <f>IF(B72="","",IFERROR(T(INDEX('交易记录'!$F$5:$F$304,MATCH(B72,'交易记录'!$A$5:$A$304,0))),"编号没找到"))</f>
        <v/>
      </c>
      <c r="D72" s="47" t="n"/>
      <c r="E72" s="49" t="n"/>
      <c r="F72" s="50" t="str">
        <f>IF(ISNUMBER(G72),G72,IF(AND(ISNUMBER(D72),ISNUMBER(E72),OR(C72="多",C72="空")),-IF(C72="空",-1,1)*D72*E72,""))</f>
        <v/>
      </c>
      <c r="G72" s="51" t="n"/>
      <c r="H72" s="30" t="n"/>
    </row>
    <row r="73">
      <c r="A73" s="48" t="n"/>
      <c r="B73" s="24" t="n"/>
      <c r="C73" s="40" t="str">
        <f>IF(B73="","",IFERROR(T(INDEX('交易记录'!$F$5:$F$304,MATCH(B73,'交易记录'!$A$5:$A$304,0))),"编号没找到"))</f>
        <v/>
      </c>
      <c r="D73" s="47" t="n"/>
      <c r="E73" s="49" t="n"/>
      <c r="F73" s="50" t="str">
        <f>IF(ISNUMBER(G73),G73,IF(AND(ISNUMBER(D73),ISNUMBER(E73),OR(C73="多",C73="空")),-IF(C73="空",-1,1)*D73*E73,""))</f>
        <v/>
      </c>
      <c r="G73" s="51" t="n"/>
      <c r="H73" s="30" t="n"/>
    </row>
    <row r="74">
      <c r="A74" s="48" t="n"/>
      <c r="B74" s="24" t="n"/>
      <c r="C74" s="40" t="str">
        <f>IF(B74="","",IFERROR(T(INDEX('交易记录'!$F$5:$F$304,MATCH(B74,'交易记录'!$A$5:$A$304,0))),"编号没找到"))</f>
        <v/>
      </c>
      <c r="D74" s="47" t="n"/>
      <c r="E74" s="49" t="n"/>
      <c r="F74" s="50" t="str">
        <f>IF(ISNUMBER(G74),G74,IF(AND(ISNUMBER(D74),ISNUMBER(E74),OR(C74="多",C74="空")),-IF(C74="空",-1,1)*D74*E74,""))</f>
        <v/>
      </c>
      <c r="G74" s="51" t="n"/>
      <c r="H74" s="30" t="n"/>
    </row>
    <row r="75">
      <c r="A75" s="48" t="n"/>
      <c r="B75" s="24" t="n"/>
      <c r="C75" s="40" t="str">
        <f>IF(B75="","",IFERROR(T(INDEX('交易记录'!$F$5:$F$304,MATCH(B75,'交易记录'!$A$5:$A$304,0))),"编号没找到"))</f>
        <v/>
      </c>
      <c r="D75" s="47" t="n"/>
      <c r="E75" s="49" t="n"/>
      <c r="F75" s="50" t="str">
        <f>IF(ISNUMBER(G75),G75,IF(AND(ISNUMBER(D75),ISNUMBER(E75),OR(C75="多",C75="空")),-IF(C75="空",-1,1)*D75*E75,""))</f>
        <v/>
      </c>
      <c r="G75" s="51" t="n"/>
      <c r="H75" s="30" t="n"/>
    </row>
    <row r="76">
      <c r="A76" s="48" t="n"/>
      <c r="B76" s="24" t="n"/>
      <c r="C76" s="40" t="str">
        <f>IF(B76="","",IFERROR(T(INDEX('交易记录'!$F$5:$F$304,MATCH(B76,'交易记录'!$A$5:$A$304,0))),"编号没找到"))</f>
        <v/>
      </c>
      <c r="D76" s="47" t="n"/>
      <c r="E76" s="49" t="n"/>
      <c r="F76" s="50" t="str">
        <f>IF(ISNUMBER(G76),G76,IF(AND(ISNUMBER(D76),ISNUMBER(E76),OR(C76="多",C76="空")),-IF(C76="空",-1,1)*D76*E76,""))</f>
        <v/>
      </c>
      <c r="G76" s="51" t="n"/>
      <c r="H76" s="30" t="n"/>
    </row>
    <row r="77">
      <c r="A77" s="48" t="n"/>
      <c r="B77" s="24" t="n"/>
      <c r="C77" s="40" t="str">
        <f>IF(B77="","",IFERROR(T(INDEX('交易记录'!$F$5:$F$304,MATCH(B77,'交易记录'!$A$5:$A$304,0))),"编号没找到"))</f>
        <v/>
      </c>
      <c r="D77" s="47" t="n"/>
      <c r="E77" s="49" t="n"/>
      <c r="F77" s="50" t="str">
        <f>IF(ISNUMBER(G77),G77,IF(AND(ISNUMBER(D77),ISNUMBER(E77),OR(C77="多",C77="空")),-IF(C77="空",-1,1)*D77*E77,""))</f>
        <v/>
      </c>
      <c r="G77" s="51" t="n"/>
      <c r="H77" s="30" t="n"/>
    </row>
    <row r="78">
      <c r="A78" s="48" t="n"/>
      <c r="B78" s="24" t="n"/>
      <c r="C78" s="40" t="str">
        <f>IF(B78="","",IFERROR(T(INDEX('交易记录'!$F$5:$F$304,MATCH(B78,'交易记录'!$A$5:$A$304,0))),"编号没找到"))</f>
        <v/>
      </c>
      <c r="D78" s="47" t="n"/>
      <c r="E78" s="49" t="n"/>
      <c r="F78" s="50" t="str">
        <f>IF(ISNUMBER(G78),G78,IF(AND(ISNUMBER(D78),ISNUMBER(E78),OR(C78="多",C78="空")),-IF(C78="空",-1,1)*D78*E78,""))</f>
        <v/>
      </c>
      <c r="G78" s="51" t="n"/>
      <c r="H78" s="30" t="n"/>
    </row>
    <row r="79">
      <c r="A79" s="48" t="n"/>
      <c r="B79" s="24" t="n"/>
      <c r="C79" s="40" t="str">
        <f>IF(B79="","",IFERROR(T(INDEX('交易记录'!$F$5:$F$304,MATCH(B79,'交易记录'!$A$5:$A$304,0))),"编号没找到"))</f>
        <v/>
      </c>
      <c r="D79" s="47" t="n"/>
      <c r="E79" s="49" t="n"/>
      <c r="F79" s="50" t="str">
        <f>IF(ISNUMBER(G79),G79,IF(AND(ISNUMBER(D79),ISNUMBER(E79),OR(C79="多",C79="空")),-IF(C79="空",-1,1)*D79*E79,""))</f>
        <v/>
      </c>
      <c r="G79" s="51" t="n"/>
      <c r="H79" s="30" t="n"/>
    </row>
    <row r="80">
      <c r="A80" s="48" t="n"/>
      <c r="B80" s="24" t="n"/>
      <c r="C80" s="40" t="str">
        <f>IF(B80="","",IFERROR(T(INDEX('交易记录'!$F$5:$F$304,MATCH(B80,'交易记录'!$A$5:$A$304,0))),"编号没找到"))</f>
        <v/>
      </c>
      <c r="D80" s="47" t="n"/>
      <c r="E80" s="49" t="n"/>
      <c r="F80" s="50" t="str">
        <f>IF(ISNUMBER(G80),G80,IF(AND(ISNUMBER(D80),ISNUMBER(E80),OR(C80="多",C80="空")),-IF(C80="空",-1,1)*D80*E80,""))</f>
        <v/>
      </c>
      <c r="G80" s="51" t="n"/>
      <c r="H80" s="30" t="n"/>
    </row>
    <row r="81">
      <c r="A81" s="48" t="n"/>
      <c r="B81" s="24" t="n"/>
      <c r="C81" s="40" t="str">
        <f>IF(B81="","",IFERROR(T(INDEX('交易记录'!$F$5:$F$304,MATCH(B81,'交易记录'!$A$5:$A$304,0))),"编号没找到"))</f>
        <v/>
      </c>
      <c r="D81" s="47" t="n"/>
      <c r="E81" s="49" t="n"/>
      <c r="F81" s="50" t="str">
        <f>IF(ISNUMBER(G81),G81,IF(AND(ISNUMBER(D81),ISNUMBER(E81),OR(C81="多",C81="空")),-IF(C81="空",-1,1)*D81*E81,""))</f>
        <v/>
      </c>
      <c r="G81" s="51" t="n"/>
      <c r="H81" s="30" t="n"/>
    </row>
    <row r="82">
      <c r="A82" s="48" t="n"/>
      <c r="B82" s="24" t="n"/>
      <c r="C82" s="40" t="str">
        <f>IF(B82="","",IFERROR(T(INDEX('交易记录'!$F$5:$F$304,MATCH(B82,'交易记录'!$A$5:$A$304,0))),"编号没找到"))</f>
        <v/>
      </c>
      <c r="D82" s="47" t="n"/>
      <c r="E82" s="49" t="n"/>
      <c r="F82" s="50" t="str">
        <f>IF(ISNUMBER(G82),G82,IF(AND(ISNUMBER(D82),ISNUMBER(E82),OR(C82="多",C82="空")),-IF(C82="空",-1,1)*D82*E82,""))</f>
        <v/>
      </c>
      <c r="G82" s="51" t="n"/>
      <c r="H82" s="30" t="n"/>
    </row>
    <row r="83">
      <c r="A83" s="48" t="n"/>
      <c r="B83" s="24" t="n"/>
      <c r="C83" s="40" t="str">
        <f>IF(B83="","",IFERROR(T(INDEX('交易记录'!$F$5:$F$304,MATCH(B83,'交易记录'!$A$5:$A$304,0))),"编号没找到"))</f>
        <v/>
      </c>
      <c r="D83" s="47" t="n"/>
      <c r="E83" s="49" t="n"/>
      <c r="F83" s="50" t="str">
        <f>IF(ISNUMBER(G83),G83,IF(AND(ISNUMBER(D83),ISNUMBER(E83),OR(C83="多",C83="空")),-IF(C83="空",-1,1)*D83*E83,""))</f>
        <v/>
      </c>
      <c r="G83" s="51" t="n"/>
      <c r="H83" s="30" t="n"/>
    </row>
    <row r="84">
      <c r="A84" s="48" t="n"/>
      <c r="B84" s="24" t="n"/>
      <c r="C84" s="40" t="str">
        <f>IF(B84="","",IFERROR(T(INDEX('交易记录'!$F$5:$F$304,MATCH(B84,'交易记录'!$A$5:$A$304,0))),"编号没找到"))</f>
        <v/>
      </c>
      <c r="D84" s="47" t="n"/>
      <c r="E84" s="49" t="n"/>
      <c r="F84" s="50" t="str">
        <f>IF(ISNUMBER(G84),G84,IF(AND(ISNUMBER(D84),ISNUMBER(E84),OR(C84="多",C84="空")),-IF(C84="空",-1,1)*D84*E84,""))</f>
        <v/>
      </c>
      <c r="G84" s="51" t="n"/>
      <c r="H84" s="30" t="n"/>
    </row>
    <row r="85">
      <c r="A85" s="48" t="n"/>
      <c r="B85" s="24" t="n"/>
      <c r="C85" s="40" t="str">
        <f>IF(B85="","",IFERROR(T(INDEX('交易记录'!$F$5:$F$304,MATCH(B85,'交易记录'!$A$5:$A$304,0))),"编号没找到"))</f>
        <v/>
      </c>
      <c r="D85" s="47" t="n"/>
      <c r="E85" s="49" t="n"/>
      <c r="F85" s="50" t="str">
        <f>IF(ISNUMBER(G85),G85,IF(AND(ISNUMBER(D85),ISNUMBER(E85),OR(C85="多",C85="空")),-IF(C85="空",-1,1)*D85*E85,""))</f>
        <v/>
      </c>
      <c r="G85" s="51" t="n"/>
      <c r="H85" s="30" t="n"/>
    </row>
    <row r="86">
      <c r="A86" s="48" t="n"/>
      <c r="B86" s="24" t="n"/>
      <c r="C86" s="40" t="str">
        <f>IF(B86="","",IFERROR(T(INDEX('交易记录'!$F$5:$F$304,MATCH(B86,'交易记录'!$A$5:$A$304,0))),"编号没找到"))</f>
        <v/>
      </c>
      <c r="D86" s="47" t="n"/>
      <c r="E86" s="49" t="n"/>
      <c r="F86" s="50" t="str">
        <f>IF(ISNUMBER(G86),G86,IF(AND(ISNUMBER(D86),ISNUMBER(E86),OR(C86="多",C86="空")),-IF(C86="空",-1,1)*D86*E86,""))</f>
        <v/>
      </c>
      <c r="G86" s="51" t="n"/>
      <c r="H86" s="30" t="n"/>
    </row>
    <row r="87">
      <c r="A87" s="48" t="n"/>
      <c r="B87" s="24" t="n"/>
      <c r="C87" s="40" t="str">
        <f>IF(B87="","",IFERROR(T(INDEX('交易记录'!$F$5:$F$304,MATCH(B87,'交易记录'!$A$5:$A$304,0))),"编号没找到"))</f>
        <v/>
      </c>
      <c r="D87" s="47" t="n"/>
      <c r="E87" s="49" t="n"/>
      <c r="F87" s="50" t="str">
        <f>IF(ISNUMBER(G87),G87,IF(AND(ISNUMBER(D87),ISNUMBER(E87),OR(C87="多",C87="空")),-IF(C87="空",-1,1)*D87*E87,""))</f>
        <v/>
      </c>
      <c r="G87" s="51" t="n"/>
      <c r="H87" s="30" t="n"/>
    </row>
    <row r="88">
      <c r="A88" s="48" t="n"/>
      <c r="B88" s="24" t="n"/>
      <c r="C88" s="40" t="str">
        <f>IF(B88="","",IFERROR(T(INDEX('交易记录'!$F$5:$F$304,MATCH(B88,'交易记录'!$A$5:$A$304,0))),"编号没找到"))</f>
        <v/>
      </c>
      <c r="D88" s="47" t="n"/>
      <c r="E88" s="49" t="n"/>
      <c r="F88" s="50" t="str">
        <f>IF(ISNUMBER(G88),G88,IF(AND(ISNUMBER(D88),ISNUMBER(E88),OR(C88="多",C88="空")),-IF(C88="空",-1,1)*D88*E88,""))</f>
        <v/>
      </c>
      <c r="G88" s="51" t="n"/>
      <c r="H88" s="30" t="n"/>
    </row>
    <row r="89">
      <c r="A89" s="48" t="n"/>
      <c r="B89" s="24" t="n"/>
      <c r="C89" s="40" t="str">
        <f>IF(B89="","",IFERROR(T(INDEX('交易记录'!$F$5:$F$304,MATCH(B89,'交易记录'!$A$5:$A$304,0))),"编号没找到"))</f>
        <v/>
      </c>
      <c r="D89" s="47" t="n"/>
      <c r="E89" s="49" t="n"/>
      <c r="F89" s="50" t="str">
        <f>IF(ISNUMBER(G89),G89,IF(AND(ISNUMBER(D89),ISNUMBER(E89),OR(C89="多",C89="空")),-IF(C89="空",-1,1)*D89*E89,""))</f>
        <v/>
      </c>
      <c r="G89" s="51" t="n"/>
      <c r="H89" s="30" t="n"/>
    </row>
    <row r="90">
      <c r="A90" s="48" t="n"/>
      <c r="B90" s="24" t="n"/>
      <c r="C90" s="40" t="str">
        <f>IF(B90="","",IFERROR(T(INDEX('交易记录'!$F$5:$F$304,MATCH(B90,'交易记录'!$A$5:$A$304,0))),"编号没找到"))</f>
        <v/>
      </c>
      <c r="D90" s="47" t="n"/>
      <c r="E90" s="49" t="n"/>
      <c r="F90" s="50" t="str">
        <f>IF(ISNUMBER(G90),G90,IF(AND(ISNUMBER(D90),ISNUMBER(E90),OR(C90="多",C90="空")),-IF(C90="空",-1,1)*D90*E90,""))</f>
        <v/>
      </c>
      <c r="G90" s="51" t="n"/>
      <c r="H90" s="30" t="n"/>
    </row>
    <row r="91">
      <c r="A91" s="48" t="n"/>
      <c r="B91" s="24" t="n"/>
      <c r="C91" s="40" t="str">
        <f>IF(B91="","",IFERROR(T(INDEX('交易记录'!$F$5:$F$304,MATCH(B91,'交易记录'!$A$5:$A$304,0))),"编号没找到"))</f>
        <v/>
      </c>
      <c r="D91" s="47" t="n"/>
      <c r="E91" s="49" t="n"/>
      <c r="F91" s="50" t="str">
        <f>IF(ISNUMBER(G91),G91,IF(AND(ISNUMBER(D91),ISNUMBER(E91),OR(C91="多",C91="空")),-IF(C91="空",-1,1)*D91*E91,""))</f>
        <v/>
      </c>
      <c r="G91" s="51" t="n"/>
      <c r="H91" s="30" t="n"/>
    </row>
    <row r="92">
      <c r="A92" s="48" t="n"/>
      <c r="B92" s="24" t="n"/>
      <c r="C92" s="40" t="str">
        <f>IF(B92="","",IFERROR(T(INDEX('交易记录'!$F$5:$F$304,MATCH(B92,'交易记录'!$A$5:$A$304,0))),"编号没找到"))</f>
        <v/>
      </c>
      <c r="D92" s="47" t="n"/>
      <c r="E92" s="49" t="n"/>
      <c r="F92" s="50" t="str">
        <f>IF(ISNUMBER(G92),G92,IF(AND(ISNUMBER(D92),ISNUMBER(E92),OR(C92="多",C92="空")),-IF(C92="空",-1,1)*D92*E92,""))</f>
        <v/>
      </c>
      <c r="G92" s="51" t="n"/>
      <c r="H92" s="30" t="n"/>
    </row>
    <row r="93">
      <c r="A93" s="48" t="n"/>
      <c r="B93" s="24" t="n"/>
      <c r="C93" s="40" t="str">
        <f>IF(B93="","",IFERROR(T(INDEX('交易记录'!$F$5:$F$304,MATCH(B93,'交易记录'!$A$5:$A$304,0))),"编号没找到"))</f>
        <v/>
      </c>
      <c r="D93" s="47" t="n"/>
      <c r="E93" s="49" t="n"/>
      <c r="F93" s="50" t="str">
        <f>IF(ISNUMBER(G93),G93,IF(AND(ISNUMBER(D93),ISNUMBER(E93),OR(C93="多",C93="空")),-IF(C93="空",-1,1)*D93*E93,""))</f>
        <v/>
      </c>
      <c r="G93" s="51" t="n"/>
      <c r="H93" s="30" t="n"/>
    </row>
    <row r="94">
      <c r="A94" s="48" t="n"/>
      <c r="B94" s="24" t="n"/>
      <c r="C94" s="40" t="str">
        <f>IF(B94="","",IFERROR(T(INDEX('交易记录'!$F$5:$F$304,MATCH(B94,'交易记录'!$A$5:$A$304,0))),"编号没找到"))</f>
        <v/>
      </c>
      <c r="D94" s="47" t="n"/>
      <c r="E94" s="49" t="n"/>
      <c r="F94" s="50" t="str">
        <f>IF(ISNUMBER(G94),G94,IF(AND(ISNUMBER(D94),ISNUMBER(E94),OR(C94="多",C94="空")),-IF(C94="空",-1,1)*D94*E94,""))</f>
        <v/>
      </c>
      <c r="G94" s="51" t="n"/>
      <c r="H94" s="30" t="n"/>
    </row>
    <row r="95">
      <c r="A95" s="48" t="n"/>
      <c r="B95" s="24" t="n"/>
      <c r="C95" s="40" t="str">
        <f>IF(B95="","",IFERROR(T(INDEX('交易记录'!$F$5:$F$304,MATCH(B95,'交易记录'!$A$5:$A$304,0))),"编号没找到"))</f>
        <v/>
      </c>
      <c r="D95" s="47" t="n"/>
      <c r="E95" s="49" t="n"/>
      <c r="F95" s="50" t="str">
        <f>IF(ISNUMBER(G95),G95,IF(AND(ISNUMBER(D95),ISNUMBER(E95),OR(C95="多",C95="空")),-IF(C95="空",-1,1)*D95*E95,""))</f>
        <v/>
      </c>
      <c r="G95" s="51" t="n"/>
      <c r="H95" s="30" t="n"/>
    </row>
    <row r="96">
      <c r="A96" s="48" t="n"/>
      <c r="B96" s="24" t="n"/>
      <c r="C96" s="40" t="str">
        <f>IF(B96="","",IFERROR(T(INDEX('交易记录'!$F$5:$F$304,MATCH(B96,'交易记录'!$A$5:$A$304,0))),"编号没找到"))</f>
        <v/>
      </c>
      <c r="D96" s="47" t="n"/>
      <c r="E96" s="49" t="n"/>
      <c r="F96" s="50" t="str">
        <f>IF(ISNUMBER(G96),G96,IF(AND(ISNUMBER(D96),ISNUMBER(E96),OR(C96="多",C96="空")),-IF(C96="空",-1,1)*D96*E96,""))</f>
        <v/>
      </c>
      <c r="G96" s="51" t="n"/>
      <c r="H96" s="30" t="n"/>
    </row>
    <row r="97">
      <c r="A97" s="48" t="n"/>
      <c r="B97" s="24" t="n"/>
      <c r="C97" s="40" t="str">
        <f>IF(B97="","",IFERROR(T(INDEX('交易记录'!$F$5:$F$304,MATCH(B97,'交易记录'!$A$5:$A$304,0))),"编号没找到"))</f>
        <v/>
      </c>
      <c r="D97" s="47" t="n"/>
      <c r="E97" s="49" t="n"/>
      <c r="F97" s="50" t="str">
        <f>IF(ISNUMBER(G97),G97,IF(AND(ISNUMBER(D97),ISNUMBER(E97),OR(C97="多",C97="空")),-IF(C97="空",-1,1)*D97*E97,""))</f>
        <v/>
      </c>
      <c r="G97" s="51" t="n"/>
      <c r="H97" s="30" t="n"/>
    </row>
    <row r="98">
      <c r="A98" s="48" t="n"/>
      <c r="B98" s="24" t="n"/>
      <c r="C98" s="40" t="str">
        <f>IF(B98="","",IFERROR(T(INDEX('交易记录'!$F$5:$F$304,MATCH(B98,'交易记录'!$A$5:$A$304,0))),"编号没找到"))</f>
        <v/>
      </c>
      <c r="D98" s="47" t="n"/>
      <c r="E98" s="49" t="n"/>
      <c r="F98" s="50" t="str">
        <f>IF(ISNUMBER(G98),G98,IF(AND(ISNUMBER(D98),ISNUMBER(E98),OR(C98="多",C98="空")),-IF(C98="空",-1,1)*D98*E98,""))</f>
        <v/>
      </c>
      <c r="G98" s="51" t="n"/>
      <c r="H98" s="30" t="n"/>
    </row>
    <row r="99">
      <c r="A99" s="48" t="n"/>
      <c r="B99" s="24" t="n"/>
      <c r="C99" s="40" t="str">
        <f>IF(B99="","",IFERROR(T(INDEX('交易记录'!$F$5:$F$304,MATCH(B99,'交易记录'!$A$5:$A$304,0))),"编号没找到"))</f>
        <v/>
      </c>
      <c r="D99" s="47" t="n"/>
      <c r="E99" s="49" t="n"/>
      <c r="F99" s="50" t="str">
        <f>IF(ISNUMBER(G99),G99,IF(AND(ISNUMBER(D99),ISNUMBER(E99),OR(C99="多",C99="空")),-IF(C99="空",-1,1)*D99*E99,""))</f>
        <v/>
      </c>
      <c r="G99" s="51" t="n"/>
      <c r="H99" s="30" t="n"/>
    </row>
    <row r="100">
      <c r="A100" s="48" t="n"/>
      <c r="B100" s="24" t="n"/>
      <c r="C100" s="40" t="str">
        <f>IF(B100="","",IFERROR(T(INDEX('交易记录'!$F$5:$F$304,MATCH(B100,'交易记录'!$A$5:$A$304,0))),"编号没找到"))</f>
        <v/>
      </c>
      <c r="D100" s="47" t="n"/>
      <c r="E100" s="49" t="n"/>
      <c r="F100" s="50" t="str">
        <f>IF(ISNUMBER(G100),G100,IF(AND(ISNUMBER(D100),ISNUMBER(E100),OR(C100="多",C100="空")),-IF(C100="空",-1,1)*D100*E100,""))</f>
        <v/>
      </c>
      <c r="G100" s="51" t="n"/>
      <c r="H100" s="30" t="n"/>
    </row>
    <row r="101">
      <c r="A101" s="48" t="n"/>
      <c r="B101" s="24" t="n"/>
      <c r="C101" s="40" t="str">
        <f>IF(B101="","",IFERROR(T(INDEX('交易记录'!$F$5:$F$304,MATCH(B101,'交易记录'!$A$5:$A$304,0))),"编号没找到"))</f>
        <v/>
      </c>
      <c r="D101" s="47" t="n"/>
      <c r="E101" s="49" t="n"/>
      <c r="F101" s="50" t="str">
        <f>IF(ISNUMBER(G101),G101,IF(AND(ISNUMBER(D101),ISNUMBER(E101),OR(C101="多",C101="空")),-IF(C101="空",-1,1)*D101*E101,""))</f>
        <v/>
      </c>
      <c r="G101" s="51" t="n"/>
      <c r="H101" s="30" t="n"/>
    </row>
    <row r="102">
      <c r="A102" s="48" t="n"/>
      <c r="B102" s="24" t="n"/>
      <c r="C102" s="40" t="str">
        <f>IF(B102="","",IFERROR(T(INDEX('交易记录'!$F$5:$F$304,MATCH(B102,'交易记录'!$A$5:$A$304,0))),"编号没找到"))</f>
        <v/>
      </c>
      <c r="D102" s="47" t="n"/>
      <c r="E102" s="49" t="n"/>
      <c r="F102" s="50" t="str">
        <f>IF(ISNUMBER(G102),G102,IF(AND(ISNUMBER(D102),ISNUMBER(E102),OR(C102="多",C102="空")),-IF(C102="空",-1,1)*D102*E102,""))</f>
        <v/>
      </c>
      <c r="G102" s="51" t="n"/>
      <c r="H102" s="30" t="n"/>
    </row>
    <row r="103">
      <c r="A103" s="48" t="n"/>
      <c r="B103" s="24" t="n"/>
      <c r="C103" s="40" t="str">
        <f>IF(B103="","",IFERROR(T(INDEX('交易记录'!$F$5:$F$304,MATCH(B103,'交易记录'!$A$5:$A$304,0))),"编号没找到"))</f>
        <v/>
      </c>
      <c r="D103" s="47" t="n"/>
      <c r="E103" s="49" t="n"/>
      <c r="F103" s="50" t="str">
        <f>IF(ISNUMBER(G103),G103,IF(AND(ISNUMBER(D103),ISNUMBER(E103),OR(C103="多",C103="空")),-IF(C103="空",-1,1)*D103*E103,""))</f>
        <v/>
      </c>
      <c r="G103" s="51" t="n"/>
      <c r="H103" s="30" t="n"/>
    </row>
    <row r="104">
      <c r="A104" s="48" t="n"/>
      <c r="B104" s="24" t="n"/>
      <c r="C104" s="40" t="str">
        <f>IF(B104="","",IFERROR(T(INDEX('交易记录'!$F$5:$F$304,MATCH(B104,'交易记录'!$A$5:$A$304,0))),"编号没找到"))</f>
        <v/>
      </c>
      <c r="D104" s="47" t="n"/>
      <c r="E104" s="49" t="n"/>
      <c r="F104" s="50" t="str">
        <f>IF(ISNUMBER(G104),G104,IF(AND(ISNUMBER(D104),ISNUMBER(E104),OR(C104="多",C104="空")),-IF(C104="空",-1,1)*D104*E104,""))</f>
        <v/>
      </c>
      <c r="G104" s="51" t="n"/>
      <c r="H104" s="30" t="n"/>
    </row>
    <row r="105">
      <c r="A105" s="48" t="n"/>
      <c r="B105" s="24" t="n"/>
      <c r="C105" s="40" t="str">
        <f>IF(B105="","",IFERROR(T(INDEX('交易记录'!$F$5:$F$304,MATCH(B105,'交易记录'!$A$5:$A$304,0))),"编号没找到"))</f>
        <v/>
      </c>
      <c r="D105" s="47" t="n"/>
      <c r="E105" s="49" t="n"/>
      <c r="F105" s="50" t="str">
        <f>IF(ISNUMBER(G105),G105,IF(AND(ISNUMBER(D105),ISNUMBER(E105),OR(C105="多",C105="空")),-IF(C105="空",-1,1)*D105*E105,""))</f>
        <v/>
      </c>
      <c r="G105" s="51" t="n"/>
      <c r="H105" s="30" t="n"/>
    </row>
    <row r="106">
      <c r="A106" s="48" t="n"/>
      <c r="B106" s="24" t="n"/>
      <c r="C106" s="40" t="str">
        <f>IF(B106="","",IFERROR(T(INDEX('交易记录'!$F$5:$F$304,MATCH(B106,'交易记录'!$A$5:$A$304,0))),"编号没找到"))</f>
        <v/>
      </c>
      <c r="D106" s="47" t="n"/>
      <c r="E106" s="49" t="n"/>
      <c r="F106" s="50" t="str">
        <f>IF(ISNUMBER(G106),G106,IF(AND(ISNUMBER(D106),ISNUMBER(E106),OR(C106="多",C106="空")),-IF(C106="空",-1,1)*D106*E106,""))</f>
        <v/>
      </c>
      <c r="G106" s="51" t="n"/>
      <c r="H106" s="30" t="n"/>
    </row>
    <row r="107">
      <c r="A107" s="48" t="n"/>
      <c r="B107" s="24" t="n"/>
      <c r="C107" s="40" t="str">
        <f>IF(B107="","",IFERROR(T(INDEX('交易记录'!$F$5:$F$304,MATCH(B107,'交易记录'!$A$5:$A$304,0))),"编号没找到"))</f>
        <v/>
      </c>
      <c r="D107" s="47" t="n"/>
      <c r="E107" s="49" t="n"/>
      <c r="F107" s="50" t="str">
        <f>IF(ISNUMBER(G107),G107,IF(AND(ISNUMBER(D107),ISNUMBER(E107),OR(C107="多",C107="空")),-IF(C107="空",-1,1)*D107*E107,""))</f>
        <v/>
      </c>
      <c r="G107" s="51" t="n"/>
      <c r="H107" s="30" t="n"/>
    </row>
    <row r="108">
      <c r="A108" s="48" t="n"/>
      <c r="B108" s="24" t="n"/>
      <c r="C108" s="40" t="str">
        <f>IF(B108="","",IFERROR(T(INDEX('交易记录'!$F$5:$F$304,MATCH(B108,'交易记录'!$A$5:$A$304,0))),"编号没找到"))</f>
        <v/>
      </c>
      <c r="D108" s="47" t="n"/>
      <c r="E108" s="49" t="n"/>
      <c r="F108" s="50" t="str">
        <f>IF(ISNUMBER(G108),G108,IF(AND(ISNUMBER(D108),ISNUMBER(E108),OR(C108="多",C108="空")),-IF(C108="空",-1,1)*D108*E108,""))</f>
        <v/>
      </c>
      <c r="G108" s="51" t="n"/>
      <c r="H108" s="30" t="n"/>
    </row>
    <row r="109">
      <c r="A109" s="48" t="n"/>
      <c r="B109" s="24" t="n"/>
      <c r="C109" s="40" t="str">
        <f>IF(B109="","",IFERROR(T(INDEX('交易记录'!$F$5:$F$304,MATCH(B109,'交易记录'!$A$5:$A$304,0))),"编号没找到"))</f>
        <v/>
      </c>
      <c r="D109" s="47" t="n"/>
      <c r="E109" s="49" t="n"/>
      <c r="F109" s="50" t="str">
        <f>IF(ISNUMBER(G109),G109,IF(AND(ISNUMBER(D109),ISNUMBER(E109),OR(C109="多",C109="空")),-IF(C109="空",-1,1)*D109*E109,""))</f>
        <v/>
      </c>
      <c r="G109" s="51" t="n"/>
      <c r="H109" s="30" t="n"/>
    </row>
    <row r="110">
      <c r="A110" s="48" t="n"/>
      <c r="B110" s="24" t="n"/>
      <c r="C110" s="40" t="str">
        <f>IF(B110="","",IFERROR(T(INDEX('交易记录'!$F$5:$F$304,MATCH(B110,'交易记录'!$A$5:$A$304,0))),"编号没找到"))</f>
        <v/>
      </c>
      <c r="D110" s="47" t="n"/>
      <c r="E110" s="49" t="n"/>
      <c r="F110" s="50" t="str">
        <f>IF(ISNUMBER(G110),G110,IF(AND(ISNUMBER(D110),ISNUMBER(E110),OR(C110="多",C110="空")),-IF(C110="空",-1,1)*D110*E110,""))</f>
        <v/>
      </c>
      <c r="G110" s="51" t="n"/>
      <c r="H110" s="30" t="n"/>
    </row>
    <row r="111">
      <c r="A111" s="48" t="n"/>
      <c r="B111" s="24" t="n"/>
      <c r="C111" s="40" t="str">
        <f>IF(B111="","",IFERROR(T(INDEX('交易记录'!$F$5:$F$304,MATCH(B111,'交易记录'!$A$5:$A$304,0))),"编号没找到"))</f>
        <v/>
      </c>
      <c r="D111" s="47" t="n"/>
      <c r="E111" s="49" t="n"/>
      <c r="F111" s="50" t="str">
        <f>IF(ISNUMBER(G111),G111,IF(AND(ISNUMBER(D111),ISNUMBER(E111),OR(C111="多",C111="空")),-IF(C111="空",-1,1)*D111*E111,""))</f>
        <v/>
      </c>
      <c r="G111" s="51" t="n"/>
      <c r="H111" s="30" t="n"/>
    </row>
    <row r="112">
      <c r="A112" s="48" t="n"/>
      <c r="B112" s="24" t="n"/>
      <c r="C112" s="40" t="str">
        <f>IF(B112="","",IFERROR(T(INDEX('交易记录'!$F$5:$F$304,MATCH(B112,'交易记录'!$A$5:$A$304,0))),"编号没找到"))</f>
        <v/>
      </c>
      <c r="D112" s="47" t="n"/>
      <c r="E112" s="49" t="n"/>
      <c r="F112" s="50" t="str">
        <f>IF(ISNUMBER(G112),G112,IF(AND(ISNUMBER(D112),ISNUMBER(E112),OR(C112="多",C112="空")),-IF(C112="空",-1,1)*D112*E112,""))</f>
        <v/>
      </c>
      <c r="G112" s="51" t="n"/>
      <c r="H112" s="30" t="n"/>
    </row>
    <row r="113">
      <c r="A113" s="48" t="n"/>
      <c r="B113" s="24" t="n"/>
      <c r="C113" s="40" t="str">
        <f>IF(B113="","",IFERROR(T(INDEX('交易记录'!$F$5:$F$304,MATCH(B113,'交易记录'!$A$5:$A$304,0))),"编号没找到"))</f>
        <v/>
      </c>
      <c r="D113" s="47" t="n"/>
      <c r="E113" s="49" t="n"/>
      <c r="F113" s="50" t="str">
        <f>IF(ISNUMBER(G113),G113,IF(AND(ISNUMBER(D113),ISNUMBER(E113),OR(C113="多",C113="空")),-IF(C113="空",-1,1)*D113*E113,""))</f>
        <v/>
      </c>
      <c r="G113" s="51" t="n"/>
      <c r="H113" s="30" t="n"/>
    </row>
    <row r="114">
      <c r="A114" s="48" t="n"/>
      <c r="B114" s="24" t="n"/>
      <c r="C114" s="40" t="str">
        <f>IF(B114="","",IFERROR(T(INDEX('交易记录'!$F$5:$F$304,MATCH(B114,'交易记录'!$A$5:$A$304,0))),"编号没找到"))</f>
        <v/>
      </c>
      <c r="D114" s="47" t="n"/>
      <c r="E114" s="49" t="n"/>
      <c r="F114" s="50" t="str">
        <f>IF(ISNUMBER(G114),G114,IF(AND(ISNUMBER(D114),ISNUMBER(E114),OR(C114="多",C114="空")),-IF(C114="空",-1,1)*D114*E114,""))</f>
        <v/>
      </c>
      <c r="G114" s="51" t="n"/>
      <c r="H114" s="30" t="n"/>
    </row>
    <row r="115">
      <c r="A115" s="48" t="n"/>
      <c r="B115" s="24" t="n"/>
      <c r="C115" s="40" t="str">
        <f>IF(B115="","",IFERROR(T(INDEX('交易记录'!$F$5:$F$304,MATCH(B115,'交易记录'!$A$5:$A$304,0))),"编号没找到"))</f>
        <v/>
      </c>
      <c r="D115" s="47" t="n"/>
      <c r="E115" s="49" t="n"/>
      <c r="F115" s="50" t="str">
        <f>IF(ISNUMBER(G115),G115,IF(AND(ISNUMBER(D115),ISNUMBER(E115),OR(C115="多",C115="空")),-IF(C115="空",-1,1)*D115*E115,""))</f>
        <v/>
      </c>
      <c r="G115" s="51" t="n"/>
      <c r="H115" s="30" t="n"/>
    </row>
    <row r="116">
      <c r="A116" s="48" t="n"/>
      <c r="B116" s="24" t="n"/>
      <c r="C116" s="40" t="str">
        <f>IF(B116="","",IFERROR(T(INDEX('交易记录'!$F$5:$F$304,MATCH(B116,'交易记录'!$A$5:$A$304,0))),"编号没找到"))</f>
        <v/>
      </c>
      <c r="D116" s="47" t="n"/>
      <c r="E116" s="49" t="n"/>
      <c r="F116" s="50" t="str">
        <f>IF(ISNUMBER(G116),G116,IF(AND(ISNUMBER(D116),ISNUMBER(E116),OR(C116="多",C116="空")),-IF(C116="空",-1,1)*D116*E116,""))</f>
        <v/>
      </c>
      <c r="G116" s="51" t="n"/>
      <c r="H116" s="30" t="n"/>
    </row>
    <row r="117">
      <c r="A117" s="48" t="n"/>
      <c r="B117" s="24" t="n"/>
      <c r="C117" s="40" t="str">
        <f>IF(B117="","",IFERROR(T(INDEX('交易记录'!$F$5:$F$304,MATCH(B117,'交易记录'!$A$5:$A$304,0))),"编号没找到"))</f>
        <v/>
      </c>
      <c r="D117" s="47" t="n"/>
      <c r="E117" s="49" t="n"/>
      <c r="F117" s="50" t="str">
        <f>IF(ISNUMBER(G117),G117,IF(AND(ISNUMBER(D117),ISNUMBER(E117),OR(C117="多",C117="空")),-IF(C117="空",-1,1)*D117*E117,""))</f>
        <v/>
      </c>
      <c r="G117" s="51" t="n"/>
      <c r="H117" s="30" t="n"/>
    </row>
    <row r="118">
      <c r="A118" s="48" t="n"/>
      <c r="B118" s="24" t="n"/>
      <c r="C118" s="40" t="str">
        <f>IF(B118="","",IFERROR(T(INDEX('交易记录'!$F$5:$F$304,MATCH(B118,'交易记录'!$A$5:$A$304,0))),"编号没找到"))</f>
        <v/>
      </c>
      <c r="D118" s="47" t="n"/>
      <c r="E118" s="49" t="n"/>
      <c r="F118" s="50" t="str">
        <f>IF(ISNUMBER(G118),G118,IF(AND(ISNUMBER(D118),ISNUMBER(E118),OR(C118="多",C118="空")),-IF(C118="空",-1,1)*D118*E118,""))</f>
        <v/>
      </c>
      <c r="G118" s="51" t="n"/>
      <c r="H118" s="30" t="n"/>
    </row>
    <row r="119">
      <c r="A119" s="48" t="n"/>
      <c r="B119" s="24" t="n"/>
      <c r="C119" s="40" t="str">
        <f>IF(B119="","",IFERROR(T(INDEX('交易记录'!$F$5:$F$304,MATCH(B119,'交易记录'!$A$5:$A$304,0))),"编号没找到"))</f>
        <v/>
      </c>
      <c r="D119" s="47" t="n"/>
      <c r="E119" s="49" t="n"/>
      <c r="F119" s="50" t="str">
        <f>IF(ISNUMBER(G119),G119,IF(AND(ISNUMBER(D119),ISNUMBER(E119),OR(C119="多",C119="空")),-IF(C119="空",-1,1)*D119*E119,""))</f>
        <v/>
      </c>
      <c r="G119" s="51" t="n"/>
      <c r="H119" s="30" t="n"/>
    </row>
    <row r="120">
      <c r="A120" s="48" t="n"/>
      <c r="B120" s="24" t="n"/>
      <c r="C120" s="40" t="str">
        <f>IF(B120="","",IFERROR(T(INDEX('交易记录'!$F$5:$F$304,MATCH(B120,'交易记录'!$A$5:$A$304,0))),"编号没找到"))</f>
        <v/>
      </c>
      <c r="D120" s="47" t="n"/>
      <c r="E120" s="49" t="n"/>
      <c r="F120" s="50" t="str">
        <f>IF(ISNUMBER(G120),G120,IF(AND(ISNUMBER(D120),ISNUMBER(E120),OR(C120="多",C120="空")),-IF(C120="空",-1,1)*D120*E120,""))</f>
        <v/>
      </c>
      <c r="G120" s="51" t="n"/>
      <c r="H120" s="30" t="n"/>
    </row>
    <row r="121">
      <c r="A121" s="48" t="n"/>
      <c r="B121" s="24" t="n"/>
      <c r="C121" s="40" t="str">
        <f>IF(B121="","",IFERROR(T(INDEX('交易记录'!$F$5:$F$304,MATCH(B121,'交易记录'!$A$5:$A$304,0))),"编号没找到"))</f>
        <v/>
      </c>
      <c r="D121" s="47" t="n"/>
      <c r="E121" s="49" t="n"/>
      <c r="F121" s="50" t="str">
        <f>IF(ISNUMBER(G121),G121,IF(AND(ISNUMBER(D121),ISNUMBER(E121),OR(C121="多",C121="空")),-IF(C121="空",-1,1)*D121*E121,""))</f>
        <v/>
      </c>
      <c r="G121" s="51" t="n"/>
      <c r="H121" s="30" t="n"/>
    </row>
    <row r="122">
      <c r="A122" s="48" t="n"/>
      <c r="B122" s="24" t="n"/>
      <c r="C122" s="40" t="str">
        <f>IF(B122="","",IFERROR(T(INDEX('交易记录'!$F$5:$F$304,MATCH(B122,'交易记录'!$A$5:$A$304,0))),"编号没找到"))</f>
        <v/>
      </c>
      <c r="D122" s="47" t="n"/>
      <c r="E122" s="49" t="n"/>
      <c r="F122" s="50" t="str">
        <f>IF(ISNUMBER(G122),G122,IF(AND(ISNUMBER(D122),ISNUMBER(E122),OR(C122="多",C122="空")),-IF(C122="空",-1,1)*D122*E122,""))</f>
        <v/>
      </c>
      <c r="G122" s="51" t="n"/>
      <c r="H122" s="30" t="n"/>
    </row>
    <row r="123">
      <c r="A123" s="48" t="n"/>
      <c r="B123" s="24" t="n"/>
      <c r="C123" s="40" t="str">
        <f>IF(B123="","",IFERROR(T(INDEX('交易记录'!$F$5:$F$304,MATCH(B123,'交易记录'!$A$5:$A$304,0))),"编号没找到"))</f>
        <v/>
      </c>
      <c r="D123" s="47" t="n"/>
      <c r="E123" s="49" t="n"/>
      <c r="F123" s="50" t="str">
        <f>IF(ISNUMBER(G123),G123,IF(AND(ISNUMBER(D123),ISNUMBER(E123),OR(C123="多",C123="空")),-IF(C123="空",-1,1)*D123*E123,""))</f>
        <v/>
      </c>
      <c r="G123" s="51" t="n"/>
      <c r="H123" s="30" t="n"/>
    </row>
    <row r="124">
      <c r="A124" s="48" t="n"/>
      <c r="B124" s="24" t="n"/>
      <c r="C124" s="40" t="str">
        <f>IF(B124="","",IFERROR(T(INDEX('交易记录'!$F$5:$F$304,MATCH(B124,'交易记录'!$A$5:$A$304,0))),"编号没找到"))</f>
        <v/>
      </c>
      <c r="D124" s="47" t="n"/>
      <c r="E124" s="49" t="n"/>
      <c r="F124" s="50" t="str">
        <f>IF(ISNUMBER(G124),G124,IF(AND(ISNUMBER(D124),ISNUMBER(E124),OR(C124="多",C124="空")),-IF(C124="空",-1,1)*D124*E124,""))</f>
        <v/>
      </c>
      <c r="G124" s="51" t="n"/>
      <c r="H124" s="30" t="n"/>
    </row>
    <row r="125">
      <c r="A125" s="48" t="n"/>
      <c r="B125" s="24" t="n"/>
      <c r="C125" s="40" t="str">
        <f>IF(B125="","",IFERROR(T(INDEX('交易记录'!$F$5:$F$304,MATCH(B125,'交易记录'!$A$5:$A$304,0))),"编号没找到"))</f>
        <v/>
      </c>
      <c r="D125" s="47" t="n"/>
      <c r="E125" s="49" t="n"/>
      <c r="F125" s="50" t="str">
        <f>IF(ISNUMBER(G125),G125,IF(AND(ISNUMBER(D125),ISNUMBER(E125),OR(C125="多",C125="空")),-IF(C125="空",-1,1)*D125*E125,""))</f>
        <v/>
      </c>
      <c r="G125" s="51" t="n"/>
      <c r="H125" s="30" t="n"/>
    </row>
    <row r="126">
      <c r="A126" s="48" t="n"/>
      <c r="B126" s="24" t="n"/>
      <c r="C126" s="40" t="str">
        <f>IF(B126="","",IFERROR(T(INDEX('交易记录'!$F$5:$F$304,MATCH(B126,'交易记录'!$A$5:$A$304,0))),"编号没找到"))</f>
        <v/>
      </c>
      <c r="D126" s="47" t="n"/>
      <c r="E126" s="49" t="n"/>
      <c r="F126" s="50" t="str">
        <f>IF(ISNUMBER(G126),G126,IF(AND(ISNUMBER(D126),ISNUMBER(E126),OR(C126="多",C126="空")),-IF(C126="空",-1,1)*D126*E126,""))</f>
        <v/>
      </c>
      <c r="G126" s="51" t="n"/>
      <c r="H126" s="30" t="n"/>
    </row>
    <row r="127">
      <c r="A127" s="48" t="n"/>
      <c r="B127" s="24" t="n"/>
      <c r="C127" s="40" t="str">
        <f>IF(B127="","",IFERROR(T(INDEX('交易记录'!$F$5:$F$304,MATCH(B127,'交易记录'!$A$5:$A$304,0))),"编号没找到"))</f>
        <v/>
      </c>
      <c r="D127" s="47" t="n"/>
      <c r="E127" s="49" t="n"/>
      <c r="F127" s="50" t="str">
        <f>IF(ISNUMBER(G127),G127,IF(AND(ISNUMBER(D127),ISNUMBER(E127),OR(C127="多",C127="空")),-IF(C127="空",-1,1)*D127*E127,""))</f>
        <v/>
      </c>
      <c r="G127" s="51" t="n"/>
      <c r="H127" s="30" t="n"/>
    </row>
    <row r="128">
      <c r="A128" s="48" t="n"/>
      <c r="B128" s="24" t="n"/>
      <c r="C128" s="40" t="str">
        <f>IF(B128="","",IFERROR(T(INDEX('交易记录'!$F$5:$F$304,MATCH(B128,'交易记录'!$A$5:$A$304,0))),"编号没找到"))</f>
        <v/>
      </c>
      <c r="D128" s="47" t="n"/>
      <c r="E128" s="49" t="n"/>
      <c r="F128" s="50" t="str">
        <f>IF(ISNUMBER(G128),G128,IF(AND(ISNUMBER(D128),ISNUMBER(E128),OR(C128="多",C128="空")),-IF(C128="空",-1,1)*D128*E128,""))</f>
        <v/>
      </c>
      <c r="G128" s="51" t="n"/>
      <c r="H128" s="30" t="n"/>
    </row>
    <row r="129">
      <c r="A129" s="48" t="n"/>
      <c r="B129" s="24" t="n"/>
      <c r="C129" s="40" t="str">
        <f>IF(B129="","",IFERROR(T(INDEX('交易记录'!$F$5:$F$304,MATCH(B129,'交易记录'!$A$5:$A$304,0))),"编号没找到"))</f>
        <v/>
      </c>
      <c r="D129" s="47" t="n"/>
      <c r="E129" s="49" t="n"/>
      <c r="F129" s="50" t="str">
        <f>IF(ISNUMBER(G129),G129,IF(AND(ISNUMBER(D129),ISNUMBER(E129),OR(C129="多",C129="空")),-IF(C129="空",-1,1)*D129*E129,""))</f>
        <v/>
      </c>
      <c r="G129" s="51" t="n"/>
      <c r="H129" s="30" t="n"/>
    </row>
    <row r="130">
      <c r="A130" s="48" t="n"/>
      <c r="B130" s="24" t="n"/>
      <c r="C130" s="40" t="str">
        <f>IF(B130="","",IFERROR(T(INDEX('交易记录'!$F$5:$F$304,MATCH(B130,'交易记录'!$A$5:$A$304,0))),"编号没找到"))</f>
        <v/>
      </c>
      <c r="D130" s="47" t="n"/>
      <c r="E130" s="49" t="n"/>
      <c r="F130" s="50" t="str">
        <f>IF(ISNUMBER(G130),G130,IF(AND(ISNUMBER(D130),ISNUMBER(E130),OR(C130="多",C130="空")),-IF(C130="空",-1,1)*D130*E130,""))</f>
        <v/>
      </c>
      <c r="G130" s="51" t="n"/>
      <c r="H130" s="30" t="n"/>
    </row>
    <row r="131">
      <c r="A131" s="48" t="n"/>
      <c r="B131" s="24" t="n"/>
      <c r="C131" s="40" t="str">
        <f>IF(B131="","",IFERROR(T(INDEX('交易记录'!$F$5:$F$304,MATCH(B131,'交易记录'!$A$5:$A$304,0))),"编号没找到"))</f>
        <v/>
      </c>
      <c r="D131" s="47" t="n"/>
      <c r="E131" s="49" t="n"/>
      <c r="F131" s="50" t="str">
        <f>IF(ISNUMBER(G131),G131,IF(AND(ISNUMBER(D131),ISNUMBER(E131),OR(C131="多",C131="空")),-IF(C131="空",-1,1)*D131*E131,""))</f>
        <v/>
      </c>
      <c r="G131" s="51" t="n"/>
      <c r="H131" s="30" t="n"/>
    </row>
    <row r="132">
      <c r="A132" s="48" t="n"/>
      <c r="B132" s="24" t="n"/>
      <c r="C132" s="40" t="str">
        <f>IF(B132="","",IFERROR(T(INDEX('交易记录'!$F$5:$F$304,MATCH(B132,'交易记录'!$A$5:$A$304,0))),"编号没找到"))</f>
        <v/>
      </c>
      <c r="D132" s="47" t="n"/>
      <c r="E132" s="49" t="n"/>
      <c r="F132" s="50" t="str">
        <f>IF(ISNUMBER(G132),G132,IF(AND(ISNUMBER(D132),ISNUMBER(E132),OR(C132="多",C132="空")),-IF(C132="空",-1,1)*D132*E132,""))</f>
        <v/>
      </c>
      <c r="G132" s="51" t="n"/>
      <c r="H132" s="30" t="n"/>
    </row>
    <row r="133">
      <c r="A133" s="48" t="n"/>
      <c r="B133" s="24" t="n"/>
      <c r="C133" s="40" t="str">
        <f>IF(B133="","",IFERROR(T(INDEX('交易记录'!$F$5:$F$304,MATCH(B133,'交易记录'!$A$5:$A$304,0))),"编号没找到"))</f>
        <v/>
      </c>
      <c r="D133" s="47" t="n"/>
      <c r="E133" s="49" t="n"/>
      <c r="F133" s="50" t="str">
        <f>IF(ISNUMBER(G133),G133,IF(AND(ISNUMBER(D133),ISNUMBER(E133),OR(C133="多",C133="空")),-IF(C133="空",-1,1)*D133*E133,""))</f>
        <v/>
      </c>
      <c r="G133" s="51" t="n"/>
      <c r="H133" s="30" t="n"/>
    </row>
    <row r="134">
      <c r="A134" s="48" t="n"/>
      <c r="B134" s="24" t="n"/>
      <c r="C134" s="40" t="str">
        <f>IF(B134="","",IFERROR(T(INDEX('交易记录'!$F$5:$F$304,MATCH(B134,'交易记录'!$A$5:$A$304,0))),"编号没找到"))</f>
        <v/>
      </c>
      <c r="D134" s="47" t="n"/>
      <c r="E134" s="49" t="n"/>
      <c r="F134" s="50" t="str">
        <f>IF(ISNUMBER(G134),G134,IF(AND(ISNUMBER(D134),ISNUMBER(E134),OR(C134="多",C134="空")),-IF(C134="空",-1,1)*D134*E134,""))</f>
        <v/>
      </c>
      <c r="G134" s="51" t="n"/>
      <c r="H134" s="30" t="n"/>
    </row>
    <row r="135">
      <c r="A135" s="48" t="n"/>
      <c r="B135" s="24" t="n"/>
      <c r="C135" s="40" t="str">
        <f>IF(B135="","",IFERROR(T(INDEX('交易记录'!$F$5:$F$304,MATCH(B135,'交易记录'!$A$5:$A$304,0))),"编号没找到"))</f>
        <v/>
      </c>
      <c r="D135" s="47" t="n"/>
      <c r="E135" s="49" t="n"/>
      <c r="F135" s="50" t="str">
        <f>IF(ISNUMBER(G135),G135,IF(AND(ISNUMBER(D135),ISNUMBER(E135),OR(C135="多",C135="空")),-IF(C135="空",-1,1)*D135*E135,""))</f>
        <v/>
      </c>
      <c r="G135" s="51" t="n"/>
      <c r="H135" s="30" t="n"/>
    </row>
    <row r="136">
      <c r="A136" s="48" t="n"/>
      <c r="B136" s="24" t="n"/>
      <c r="C136" s="40" t="str">
        <f>IF(B136="","",IFERROR(T(INDEX('交易记录'!$F$5:$F$304,MATCH(B136,'交易记录'!$A$5:$A$304,0))),"编号没找到"))</f>
        <v/>
      </c>
      <c r="D136" s="47" t="n"/>
      <c r="E136" s="49" t="n"/>
      <c r="F136" s="50" t="str">
        <f>IF(ISNUMBER(G136),G136,IF(AND(ISNUMBER(D136),ISNUMBER(E136),OR(C136="多",C136="空")),-IF(C136="空",-1,1)*D136*E136,""))</f>
        <v/>
      </c>
      <c r="G136" s="51" t="n"/>
      <c r="H136" s="30" t="n"/>
    </row>
    <row r="137">
      <c r="A137" s="48" t="n"/>
      <c r="B137" s="24" t="n"/>
      <c r="C137" s="40" t="str">
        <f>IF(B137="","",IFERROR(T(INDEX('交易记录'!$F$5:$F$304,MATCH(B137,'交易记录'!$A$5:$A$304,0))),"编号没找到"))</f>
        <v/>
      </c>
      <c r="D137" s="47" t="n"/>
      <c r="E137" s="49" t="n"/>
      <c r="F137" s="50" t="str">
        <f>IF(ISNUMBER(G137),G137,IF(AND(ISNUMBER(D137),ISNUMBER(E137),OR(C137="多",C137="空")),-IF(C137="空",-1,1)*D137*E137,""))</f>
        <v/>
      </c>
      <c r="G137" s="51" t="n"/>
      <c r="H137" s="30" t="n"/>
    </row>
    <row r="138">
      <c r="A138" s="48" t="n"/>
      <c r="B138" s="24" t="n"/>
      <c r="C138" s="40" t="str">
        <f>IF(B138="","",IFERROR(T(INDEX('交易记录'!$F$5:$F$304,MATCH(B138,'交易记录'!$A$5:$A$304,0))),"编号没找到"))</f>
        <v/>
      </c>
      <c r="D138" s="47" t="n"/>
      <c r="E138" s="49" t="n"/>
      <c r="F138" s="50" t="str">
        <f>IF(ISNUMBER(G138),G138,IF(AND(ISNUMBER(D138),ISNUMBER(E138),OR(C138="多",C138="空")),-IF(C138="空",-1,1)*D138*E138,""))</f>
        <v/>
      </c>
      <c r="G138" s="51" t="n"/>
      <c r="H138" s="30" t="n"/>
    </row>
    <row r="139">
      <c r="A139" s="48" t="n"/>
      <c r="B139" s="24" t="n"/>
      <c r="C139" s="40" t="str">
        <f>IF(B139="","",IFERROR(T(INDEX('交易记录'!$F$5:$F$304,MATCH(B139,'交易记录'!$A$5:$A$304,0))),"编号没找到"))</f>
        <v/>
      </c>
      <c r="D139" s="47" t="n"/>
      <c r="E139" s="49" t="n"/>
      <c r="F139" s="50" t="str">
        <f>IF(ISNUMBER(G139),G139,IF(AND(ISNUMBER(D139),ISNUMBER(E139),OR(C139="多",C139="空")),-IF(C139="空",-1,1)*D139*E139,""))</f>
        <v/>
      </c>
      <c r="G139" s="51" t="n"/>
      <c r="H139" s="30" t="n"/>
    </row>
    <row r="140">
      <c r="A140" s="48" t="n"/>
      <c r="B140" s="24" t="n"/>
      <c r="C140" s="40" t="str">
        <f>IF(B140="","",IFERROR(T(INDEX('交易记录'!$F$5:$F$304,MATCH(B140,'交易记录'!$A$5:$A$304,0))),"编号没找到"))</f>
        <v/>
      </c>
      <c r="D140" s="47" t="n"/>
      <c r="E140" s="49" t="n"/>
      <c r="F140" s="50" t="str">
        <f>IF(ISNUMBER(G140),G140,IF(AND(ISNUMBER(D140),ISNUMBER(E140),OR(C140="多",C140="空")),-IF(C140="空",-1,1)*D140*E140,""))</f>
        <v/>
      </c>
      <c r="G140" s="51" t="n"/>
      <c r="H140" s="30" t="n"/>
    </row>
    <row r="141">
      <c r="A141" s="48" t="n"/>
      <c r="B141" s="24" t="n"/>
      <c r="C141" s="40" t="str">
        <f>IF(B141="","",IFERROR(T(INDEX('交易记录'!$F$5:$F$304,MATCH(B141,'交易记录'!$A$5:$A$304,0))),"编号没找到"))</f>
        <v/>
      </c>
      <c r="D141" s="47" t="n"/>
      <c r="E141" s="49" t="n"/>
      <c r="F141" s="50" t="str">
        <f>IF(ISNUMBER(G141),G141,IF(AND(ISNUMBER(D141),ISNUMBER(E141),OR(C141="多",C141="空")),-IF(C141="空",-1,1)*D141*E141,""))</f>
        <v/>
      </c>
      <c r="G141" s="51" t="n"/>
      <c r="H141" s="30" t="n"/>
    </row>
    <row r="142">
      <c r="A142" s="48" t="n"/>
      <c r="B142" s="24" t="n"/>
      <c r="C142" s="40" t="str">
        <f>IF(B142="","",IFERROR(T(INDEX('交易记录'!$F$5:$F$304,MATCH(B142,'交易记录'!$A$5:$A$304,0))),"编号没找到"))</f>
        <v/>
      </c>
      <c r="D142" s="47" t="n"/>
      <c r="E142" s="49" t="n"/>
      <c r="F142" s="50" t="str">
        <f>IF(ISNUMBER(G142),G142,IF(AND(ISNUMBER(D142),ISNUMBER(E142),OR(C142="多",C142="空")),-IF(C142="空",-1,1)*D142*E142,""))</f>
        <v/>
      </c>
      <c r="G142" s="51" t="n"/>
      <c r="H142" s="30" t="n"/>
    </row>
    <row r="143">
      <c r="A143" s="48" t="n"/>
      <c r="B143" s="24" t="n"/>
      <c r="C143" s="40" t="str">
        <f>IF(B143="","",IFERROR(T(INDEX('交易记录'!$F$5:$F$304,MATCH(B143,'交易记录'!$A$5:$A$304,0))),"编号没找到"))</f>
        <v/>
      </c>
      <c r="D143" s="47" t="n"/>
      <c r="E143" s="49" t="n"/>
      <c r="F143" s="50" t="str">
        <f>IF(ISNUMBER(G143),G143,IF(AND(ISNUMBER(D143),ISNUMBER(E143),OR(C143="多",C143="空")),-IF(C143="空",-1,1)*D143*E143,""))</f>
        <v/>
      </c>
      <c r="G143" s="51" t="n"/>
      <c r="H143" s="30" t="n"/>
    </row>
    <row r="144">
      <c r="A144" s="48" t="n"/>
      <c r="B144" s="24" t="n"/>
      <c r="C144" s="40" t="str">
        <f>IF(B144="","",IFERROR(T(INDEX('交易记录'!$F$5:$F$304,MATCH(B144,'交易记录'!$A$5:$A$304,0))),"编号没找到"))</f>
        <v/>
      </c>
      <c r="D144" s="47" t="n"/>
      <c r="E144" s="49" t="n"/>
      <c r="F144" s="50" t="str">
        <f>IF(ISNUMBER(G144),G144,IF(AND(ISNUMBER(D144),ISNUMBER(E144),OR(C144="多",C144="空")),-IF(C144="空",-1,1)*D144*E144,""))</f>
        <v/>
      </c>
      <c r="G144" s="51" t="n"/>
      <c r="H144" s="30" t="n"/>
    </row>
    <row r="145">
      <c r="A145" s="48" t="n"/>
      <c r="B145" s="24" t="n"/>
      <c r="C145" s="40" t="str">
        <f>IF(B145="","",IFERROR(T(INDEX('交易记录'!$F$5:$F$304,MATCH(B145,'交易记录'!$A$5:$A$304,0))),"编号没找到"))</f>
        <v/>
      </c>
      <c r="D145" s="47" t="n"/>
      <c r="E145" s="49" t="n"/>
      <c r="F145" s="50" t="str">
        <f>IF(ISNUMBER(G145),G145,IF(AND(ISNUMBER(D145),ISNUMBER(E145),OR(C145="多",C145="空")),-IF(C145="空",-1,1)*D145*E145,""))</f>
        <v/>
      </c>
      <c r="G145" s="51" t="n"/>
      <c r="H145" s="30" t="n"/>
    </row>
    <row r="146">
      <c r="A146" s="48" t="n"/>
      <c r="B146" s="24" t="n"/>
      <c r="C146" s="40" t="str">
        <f>IF(B146="","",IFERROR(T(INDEX('交易记录'!$F$5:$F$304,MATCH(B146,'交易记录'!$A$5:$A$304,0))),"编号没找到"))</f>
        <v/>
      </c>
      <c r="D146" s="47" t="n"/>
      <c r="E146" s="49" t="n"/>
      <c r="F146" s="50" t="str">
        <f>IF(ISNUMBER(G146),G146,IF(AND(ISNUMBER(D146),ISNUMBER(E146),OR(C146="多",C146="空")),-IF(C146="空",-1,1)*D146*E146,""))</f>
        <v/>
      </c>
      <c r="G146" s="51" t="n"/>
      <c r="H146" s="30" t="n"/>
    </row>
    <row r="147">
      <c r="A147" s="48" t="n"/>
      <c r="B147" s="24" t="n"/>
      <c r="C147" s="40" t="str">
        <f>IF(B147="","",IFERROR(T(INDEX('交易记录'!$F$5:$F$304,MATCH(B147,'交易记录'!$A$5:$A$304,0))),"编号没找到"))</f>
        <v/>
      </c>
      <c r="D147" s="47" t="n"/>
      <c r="E147" s="49" t="n"/>
      <c r="F147" s="50" t="str">
        <f>IF(ISNUMBER(G147),G147,IF(AND(ISNUMBER(D147),ISNUMBER(E147),OR(C147="多",C147="空")),-IF(C147="空",-1,1)*D147*E147,""))</f>
        <v/>
      </c>
      <c r="G147" s="51" t="n"/>
      <c r="H147" s="30" t="n"/>
    </row>
    <row r="148">
      <c r="A148" s="48" t="n"/>
      <c r="B148" s="24" t="n"/>
      <c r="C148" s="40" t="str">
        <f>IF(B148="","",IFERROR(T(INDEX('交易记录'!$F$5:$F$304,MATCH(B148,'交易记录'!$A$5:$A$304,0))),"编号没找到"))</f>
        <v/>
      </c>
      <c r="D148" s="47" t="n"/>
      <c r="E148" s="49" t="n"/>
      <c r="F148" s="50" t="str">
        <f>IF(ISNUMBER(G148),G148,IF(AND(ISNUMBER(D148),ISNUMBER(E148),OR(C148="多",C148="空")),-IF(C148="空",-1,1)*D148*E148,""))</f>
        <v/>
      </c>
      <c r="G148" s="51" t="n"/>
      <c r="H148" s="30" t="n"/>
    </row>
    <row r="149">
      <c r="A149" s="48" t="n"/>
      <c r="B149" s="24" t="n"/>
      <c r="C149" s="40" t="str">
        <f>IF(B149="","",IFERROR(T(INDEX('交易记录'!$F$5:$F$304,MATCH(B149,'交易记录'!$A$5:$A$304,0))),"编号没找到"))</f>
        <v/>
      </c>
      <c r="D149" s="47" t="n"/>
      <c r="E149" s="49" t="n"/>
      <c r="F149" s="50" t="str">
        <f>IF(ISNUMBER(G149),G149,IF(AND(ISNUMBER(D149),ISNUMBER(E149),OR(C149="多",C149="空")),-IF(C149="空",-1,1)*D149*E149,""))</f>
        <v/>
      </c>
      <c r="G149" s="51" t="n"/>
      <c r="H149" s="30" t="n"/>
    </row>
    <row r="150">
      <c r="A150" s="48" t="n"/>
      <c r="B150" s="24" t="n"/>
      <c r="C150" s="40" t="str">
        <f>IF(B150="","",IFERROR(T(INDEX('交易记录'!$F$5:$F$304,MATCH(B150,'交易记录'!$A$5:$A$304,0))),"编号没找到"))</f>
        <v/>
      </c>
      <c r="D150" s="47" t="n"/>
      <c r="E150" s="49" t="n"/>
      <c r="F150" s="50" t="str">
        <f>IF(ISNUMBER(G150),G150,IF(AND(ISNUMBER(D150),ISNUMBER(E150),OR(C150="多",C150="空")),-IF(C150="空",-1,1)*D150*E150,""))</f>
        <v/>
      </c>
      <c r="G150" s="51" t="n"/>
      <c r="H150" s="30" t="n"/>
    </row>
    <row r="151">
      <c r="A151" s="48" t="n"/>
      <c r="B151" s="24" t="n"/>
      <c r="C151" s="40" t="str">
        <f>IF(B151="","",IFERROR(T(INDEX('交易记录'!$F$5:$F$304,MATCH(B151,'交易记录'!$A$5:$A$304,0))),"编号没找到"))</f>
        <v/>
      </c>
      <c r="D151" s="47" t="n"/>
      <c r="E151" s="49" t="n"/>
      <c r="F151" s="50" t="str">
        <f>IF(ISNUMBER(G151),G151,IF(AND(ISNUMBER(D151),ISNUMBER(E151),OR(C151="多",C151="空")),-IF(C151="空",-1,1)*D151*E151,""))</f>
        <v/>
      </c>
      <c r="G151" s="51" t="n"/>
      <c r="H151" s="30" t="n"/>
    </row>
    <row r="152">
      <c r="A152" s="48" t="n"/>
      <c r="B152" s="24" t="n"/>
      <c r="C152" s="40" t="str">
        <f>IF(B152="","",IFERROR(T(INDEX('交易记录'!$F$5:$F$304,MATCH(B152,'交易记录'!$A$5:$A$304,0))),"编号没找到"))</f>
        <v/>
      </c>
      <c r="D152" s="47" t="n"/>
      <c r="E152" s="49" t="n"/>
      <c r="F152" s="50" t="str">
        <f>IF(ISNUMBER(G152),G152,IF(AND(ISNUMBER(D152),ISNUMBER(E152),OR(C152="多",C152="空")),-IF(C152="空",-1,1)*D152*E152,""))</f>
        <v/>
      </c>
      <c r="G152" s="51" t="n"/>
      <c r="H152" s="30" t="n"/>
    </row>
    <row r="153">
      <c r="A153" s="48" t="n"/>
      <c r="B153" s="24" t="n"/>
      <c r="C153" s="40" t="str">
        <f>IF(B153="","",IFERROR(T(INDEX('交易记录'!$F$5:$F$304,MATCH(B153,'交易记录'!$A$5:$A$304,0))),"编号没找到"))</f>
        <v/>
      </c>
      <c r="D153" s="47" t="n"/>
      <c r="E153" s="49" t="n"/>
      <c r="F153" s="50" t="str">
        <f>IF(ISNUMBER(G153),G153,IF(AND(ISNUMBER(D153),ISNUMBER(E153),OR(C153="多",C153="空")),-IF(C153="空",-1,1)*D153*E153,""))</f>
        <v/>
      </c>
      <c r="G153" s="51" t="n"/>
      <c r="H153" s="30" t="n"/>
    </row>
    <row r="154">
      <c r="A154" s="48" t="n"/>
      <c r="B154" s="24" t="n"/>
      <c r="C154" s="40" t="str">
        <f>IF(B154="","",IFERROR(T(INDEX('交易记录'!$F$5:$F$304,MATCH(B154,'交易记录'!$A$5:$A$304,0))),"编号没找到"))</f>
        <v/>
      </c>
      <c r="D154" s="47" t="n"/>
      <c r="E154" s="49" t="n"/>
      <c r="F154" s="50" t="str">
        <f>IF(ISNUMBER(G154),G154,IF(AND(ISNUMBER(D154),ISNUMBER(E154),OR(C154="多",C154="空")),-IF(C154="空",-1,1)*D154*E154,""))</f>
        <v/>
      </c>
      <c r="G154" s="51" t="n"/>
      <c r="H154" s="30" t="n"/>
    </row>
    <row r="155">
      <c r="A155" s="48" t="n"/>
      <c r="B155" s="24" t="n"/>
      <c r="C155" s="40" t="str">
        <f>IF(B155="","",IFERROR(T(INDEX('交易记录'!$F$5:$F$304,MATCH(B155,'交易记录'!$A$5:$A$304,0))),"编号没找到"))</f>
        <v/>
      </c>
      <c r="D155" s="47" t="n"/>
      <c r="E155" s="49" t="n"/>
      <c r="F155" s="50" t="str">
        <f>IF(ISNUMBER(G155),G155,IF(AND(ISNUMBER(D155),ISNUMBER(E155),OR(C155="多",C155="空")),-IF(C155="空",-1,1)*D155*E155,""))</f>
        <v/>
      </c>
      <c r="G155" s="51" t="n"/>
      <c r="H155" s="30" t="n"/>
    </row>
    <row r="156">
      <c r="A156" s="48" t="n"/>
      <c r="B156" s="24" t="n"/>
      <c r="C156" s="40" t="str">
        <f>IF(B156="","",IFERROR(T(INDEX('交易记录'!$F$5:$F$304,MATCH(B156,'交易记录'!$A$5:$A$304,0))),"编号没找到"))</f>
        <v/>
      </c>
      <c r="D156" s="47" t="n"/>
      <c r="E156" s="49" t="n"/>
      <c r="F156" s="50" t="str">
        <f>IF(ISNUMBER(G156),G156,IF(AND(ISNUMBER(D156),ISNUMBER(E156),OR(C156="多",C156="空")),-IF(C156="空",-1,1)*D156*E156,""))</f>
        <v/>
      </c>
      <c r="G156" s="51" t="n"/>
      <c r="H156" s="30" t="n"/>
    </row>
    <row r="157">
      <c r="A157" s="48" t="n"/>
      <c r="B157" s="24" t="n"/>
      <c r="C157" s="40" t="str">
        <f>IF(B157="","",IFERROR(T(INDEX('交易记录'!$F$5:$F$304,MATCH(B157,'交易记录'!$A$5:$A$304,0))),"编号没找到"))</f>
        <v/>
      </c>
      <c r="D157" s="47" t="n"/>
      <c r="E157" s="49" t="n"/>
      <c r="F157" s="50" t="str">
        <f>IF(ISNUMBER(G157),G157,IF(AND(ISNUMBER(D157),ISNUMBER(E157),OR(C157="多",C157="空")),-IF(C157="空",-1,1)*D157*E157,""))</f>
        <v/>
      </c>
      <c r="G157" s="51" t="n"/>
      <c r="H157" s="30" t="n"/>
    </row>
    <row r="158">
      <c r="A158" s="48" t="n"/>
      <c r="B158" s="24" t="n"/>
      <c r="C158" s="40" t="str">
        <f>IF(B158="","",IFERROR(T(INDEX('交易记录'!$F$5:$F$304,MATCH(B158,'交易记录'!$A$5:$A$304,0))),"编号没找到"))</f>
        <v/>
      </c>
      <c r="D158" s="47" t="n"/>
      <c r="E158" s="49" t="n"/>
      <c r="F158" s="50" t="str">
        <f>IF(ISNUMBER(G158),G158,IF(AND(ISNUMBER(D158),ISNUMBER(E158),OR(C158="多",C158="空")),-IF(C158="空",-1,1)*D158*E158,""))</f>
        <v/>
      </c>
      <c r="G158" s="51" t="n"/>
      <c r="H158" s="30" t="n"/>
    </row>
    <row r="159">
      <c r="A159" s="48" t="n"/>
      <c r="B159" s="24" t="n"/>
      <c r="C159" s="40" t="str">
        <f>IF(B159="","",IFERROR(T(INDEX('交易记录'!$F$5:$F$304,MATCH(B159,'交易记录'!$A$5:$A$304,0))),"编号没找到"))</f>
        <v/>
      </c>
      <c r="D159" s="47" t="n"/>
      <c r="E159" s="49" t="n"/>
      <c r="F159" s="50" t="str">
        <f>IF(ISNUMBER(G159),G159,IF(AND(ISNUMBER(D159),ISNUMBER(E159),OR(C159="多",C159="空")),-IF(C159="空",-1,1)*D159*E159,""))</f>
        <v/>
      </c>
      <c r="G159" s="51" t="n"/>
      <c r="H159" s="30" t="n"/>
    </row>
    <row r="160">
      <c r="A160" s="48" t="n"/>
      <c r="B160" s="24" t="n"/>
      <c r="C160" s="40" t="str">
        <f>IF(B160="","",IFERROR(T(INDEX('交易记录'!$F$5:$F$304,MATCH(B160,'交易记录'!$A$5:$A$304,0))),"编号没找到"))</f>
        <v/>
      </c>
      <c r="D160" s="47" t="n"/>
      <c r="E160" s="49" t="n"/>
      <c r="F160" s="50" t="str">
        <f>IF(ISNUMBER(G160),G160,IF(AND(ISNUMBER(D160),ISNUMBER(E160),OR(C160="多",C160="空")),-IF(C160="空",-1,1)*D160*E160,""))</f>
        <v/>
      </c>
      <c r="G160" s="51" t="n"/>
      <c r="H160" s="30" t="n"/>
    </row>
    <row r="161">
      <c r="A161" s="48" t="n"/>
      <c r="B161" s="24" t="n"/>
      <c r="C161" s="40" t="str">
        <f>IF(B161="","",IFERROR(T(INDEX('交易记录'!$F$5:$F$304,MATCH(B161,'交易记录'!$A$5:$A$304,0))),"编号没找到"))</f>
        <v/>
      </c>
      <c r="D161" s="47" t="n"/>
      <c r="E161" s="49" t="n"/>
      <c r="F161" s="50" t="str">
        <f>IF(ISNUMBER(G161),G161,IF(AND(ISNUMBER(D161),ISNUMBER(E161),OR(C161="多",C161="空")),-IF(C161="空",-1,1)*D161*E161,""))</f>
        <v/>
      </c>
      <c r="G161" s="51" t="n"/>
      <c r="H161" s="30" t="n"/>
    </row>
    <row r="162">
      <c r="A162" s="48" t="n"/>
      <c r="B162" s="24" t="n"/>
      <c r="C162" s="40" t="str">
        <f>IF(B162="","",IFERROR(T(INDEX('交易记录'!$F$5:$F$304,MATCH(B162,'交易记录'!$A$5:$A$304,0))),"编号没找到"))</f>
        <v/>
      </c>
      <c r="D162" s="47" t="n"/>
      <c r="E162" s="49" t="n"/>
      <c r="F162" s="50" t="str">
        <f>IF(ISNUMBER(G162),G162,IF(AND(ISNUMBER(D162),ISNUMBER(E162),OR(C162="多",C162="空")),-IF(C162="空",-1,1)*D162*E162,""))</f>
        <v/>
      </c>
      <c r="G162" s="51" t="n"/>
      <c r="H162" s="30" t="n"/>
    </row>
    <row r="163">
      <c r="A163" s="48" t="n"/>
      <c r="B163" s="24" t="n"/>
      <c r="C163" s="40" t="str">
        <f>IF(B163="","",IFERROR(T(INDEX('交易记录'!$F$5:$F$304,MATCH(B163,'交易记录'!$A$5:$A$304,0))),"编号没找到"))</f>
        <v/>
      </c>
      <c r="D163" s="47" t="n"/>
      <c r="E163" s="49" t="n"/>
      <c r="F163" s="50" t="str">
        <f>IF(ISNUMBER(G163),G163,IF(AND(ISNUMBER(D163),ISNUMBER(E163),OR(C163="多",C163="空")),-IF(C163="空",-1,1)*D163*E163,""))</f>
        <v/>
      </c>
      <c r="G163" s="51" t="n"/>
      <c r="H163" s="30" t="n"/>
    </row>
    <row r="164">
      <c r="A164" s="48" t="n"/>
      <c r="B164" s="24" t="n"/>
      <c r="C164" s="40" t="str">
        <f>IF(B164="","",IFERROR(T(INDEX('交易记录'!$F$5:$F$304,MATCH(B164,'交易记录'!$A$5:$A$304,0))),"编号没找到"))</f>
        <v/>
      </c>
      <c r="D164" s="47" t="n"/>
      <c r="E164" s="49" t="n"/>
      <c r="F164" s="50" t="str">
        <f>IF(ISNUMBER(G164),G164,IF(AND(ISNUMBER(D164),ISNUMBER(E164),OR(C164="多",C164="空")),-IF(C164="空",-1,1)*D164*E164,""))</f>
        <v/>
      </c>
      <c r="G164" s="51" t="n"/>
      <c r="H164" s="30" t="n"/>
    </row>
    <row r="165">
      <c r="A165" s="48" t="n"/>
      <c r="B165" s="24" t="n"/>
      <c r="C165" s="40" t="str">
        <f>IF(B165="","",IFERROR(T(INDEX('交易记录'!$F$5:$F$304,MATCH(B165,'交易记录'!$A$5:$A$304,0))),"编号没找到"))</f>
        <v/>
      </c>
      <c r="D165" s="47" t="n"/>
      <c r="E165" s="49" t="n"/>
      <c r="F165" s="50" t="str">
        <f>IF(ISNUMBER(G165),G165,IF(AND(ISNUMBER(D165),ISNUMBER(E165),OR(C165="多",C165="空")),-IF(C165="空",-1,1)*D165*E165,""))</f>
        <v/>
      </c>
      <c r="G165" s="51" t="n"/>
      <c r="H165" s="30" t="n"/>
    </row>
    <row r="166">
      <c r="A166" s="48" t="n"/>
      <c r="B166" s="24" t="n"/>
      <c r="C166" s="40" t="str">
        <f>IF(B166="","",IFERROR(T(INDEX('交易记录'!$F$5:$F$304,MATCH(B166,'交易记录'!$A$5:$A$304,0))),"编号没找到"))</f>
        <v/>
      </c>
      <c r="D166" s="47" t="n"/>
      <c r="E166" s="49" t="n"/>
      <c r="F166" s="50" t="str">
        <f>IF(ISNUMBER(G166),G166,IF(AND(ISNUMBER(D166),ISNUMBER(E166),OR(C166="多",C166="空")),-IF(C166="空",-1,1)*D166*E166,""))</f>
        <v/>
      </c>
      <c r="G166" s="51" t="n"/>
      <c r="H166" s="30" t="n"/>
    </row>
    <row r="167">
      <c r="A167" s="48" t="n"/>
      <c r="B167" s="24" t="n"/>
      <c r="C167" s="40" t="str">
        <f>IF(B167="","",IFERROR(T(INDEX('交易记录'!$F$5:$F$304,MATCH(B167,'交易记录'!$A$5:$A$304,0))),"编号没找到"))</f>
        <v/>
      </c>
      <c r="D167" s="47" t="n"/>
      <c r="E167" s="49" t="n"/>
      <c r="F167" s="50" t="str">
        <f>IF(ISNUMBER(G167),G167,IF(AND(ISNUMBER(D167),ISNUMBER(E167),OR(C167="多",C167="空")),-IF(C167="空",-1,1)*D167*E167,""))</f>
        <v/>
      </c>
      <c r="G167" s="51" t="n"/>
      <c r="H167" s="30" t="n"/>
    </row>
    <row r="168">
      <c r="A168" s="48" t="n"/>
      <c r="B168" s="24" t="n"/>
      <c r="C168" s="40" t="str">
        <f>IF(B168="","",IFERROR(T(INDEX('交易记录'!$F$5:$F$304,MATCH(B168,'交易记录'!$A$5:$A$304,0))),"编号没找到"))</f>
        <v/>
      </c>
      <c r="D168" s="47" t="n"/>
      <c r="E168" s="49" t="n"/>
      <c r="F168" s="50" t="str">
        <f>IF(ISNUMBER(G168),G168,IF(AND(ISNUMBER(D168),ISNUMBER(E168),OR(C168="多",C168="空")),-IF(C168="空",-1,1)*D168*E168,""))</f>
        <v/>
      </c>
      <c r="G168" s="51" t="n"/>
      <c r="H168" s="30" t="n"/>
    </row>
    <row r="169">
      <c r="A169" s="48" t="n"/>
      <c r="B169" s="24" t="n"/>
      <c r="C169" s="40" t="str">
        <f>IF(B169="","",IFERROR(T(INDEX('交易记录'!$F$5:$F$304,MATCH(B169,'交易记录'!$A$5:$A$304,0))),"编号没找到"))</f>
        <v/>
      </c>
      <c r="D169" s="47" t="n"/>
      <c r="E169" s="49" t="n"/>
      <c r="F169" s="50" t="str">
        <f>IF(ISNUMBER(G169),G169,IF(AND(ISNUMBER(D169),ISNUMBER(E169),OR(C169="多",C169="空")),-IF(C169="空",-1,1)*D169*E169,""))</f>
        <v/>
      </c>
      <c r="G169" s="51" t="n"/>
      <c r="H169" s="30" t="n"/>
    </row>
    <row r="170">
      <c r="A170" s="48" t="n"/>
      <c r="B170" s="24" t="n"/>
      <c r="C170" s="40" t="str">
        <f>IF(B170="","",IFERROR(T(INDEX('交易记录'!$F$5:$F$304,MATCH(B170,'交易记录'!$A$5:$A$304,0))),"编号没找到"))</f>
        <v/>
      </c>
      <c r="D170" s="47" t="n"/>
      <c r="E170" s="49" t="n"/>
      <c r="F170" s="50" t="str">
        <f>IF(ISNUMBER(G170),G170,IF(AND(ISNUMBER(D170),ISNUMBER(E170),OR(C170="多",C170="空")),-IF(C170="空",-1,1)*D170*E170,""))</f>
        <v/>
      </c>
      <c r="G170" s="51" t="n"/>
      <c r="H170" s="30" t="n"/>
    </row>
    <row r="171">
      <c r="A171" s="48" t="n"/>
      <c r="B171" s="24" t="n"/>
      <c r="C171" s="40" t="str">
        <f>IF(B171="","",IFERROR(T(INDEX('交易记录'!$F$5:$F$304,MATCH(B171,'交易记录'!$A$5:$A$304,0))),"编号没找到"))</f>
        <v/>
      </c>
      <c r="D171" s="47" t="n"/>
      <c r="E171" s="49" t="n"/>
      <c r="F171" s="50" t="str">
        <f>IF(ISNUMBER(G171),G171,IF(AND(ISNUMBER(D171),ISNUMBER(E171),OR(C171="多",C171="空")),-IF(C171="空",-1,1)*D171*E171,""))</f>
        <v/>
      </c>
      <c r="G171" s="51" t="n"/>
      <c r="H171" s="30" t="n"/>
    </row>
    <row r="172">
      <c r="A172" s="48" t="n"/>
      <c r="B172" s="24" t="n"/>
      <c r="C172" s="40" t="str">
        <f>IF(B172="","",IFERROR(T(INDEX('交易记录'!$F$5:$F$304,MATCH(B172,'交易记录'!$A$5:$A$304,0))),"编号没找到"))</f>
        <v/>
      </c>
      <c r="D172" s="47" t="n"/>
      <c r="E172" s="49" t="n"/>
      <c r="F172" s="50" t="str">
        <f>IF(ISNUMBER(G172),G172,IF(AND(ISNUMBER(D172),ISNUMBER(E172),OR(C172="多",C172="空")),-IF(C172="空",-1,1)*D172*E172,""))</f>
        <v/>
      </c>
      <c r="G172" s="51" t="n"/>
      <c r="H172" s="30" t="n"/>
    </row>
    <row r="173">
      <c r="A173" s="48" t="n"/>
      <c r="B173" s="24" t="n"/>
      <c r="C173" s="40" t="str">
        <f>IF(B173="","",IFERROR(T(INDEX('交易记录'!$F$5:$F$304,MATCH(B173,'交易记录'!$A$5:$A$304,0))),"编号没找到"))</f>
        <v/>
      </c>
      <c r="D173" s="47" t="n"/>
      <c r="E173" s="49" t="n"/>
      <c r="F173" s="50" t="str">
        <f>IF(ISNUMBER(G173),G173,IF(AND(ISNUMBER(D173),ISNUMBER(E173),OR(C173="多",C173="空")),-IF(C173="空",-1,1)*D173*E173,""))</f>
        <v/>
      </c>
      <c r="G173" s="51" t="n"/>
      <c r="H173" s="30" t="n"/>
    </row>
    <row r="174">
      <c r="A174" s="48" t="n"/>
      <c r="B174" s="24" t="n"/>
      <c r="C174" s="40" t="str">
        <f>IF(B174="","",IFERROR(T(INDEX('交易记录'!$F$5:$F$304,MATCH(B174,'交易记录'!$A$5:$A$304,0))),"编号没找到"))</f>
        <v/>
      </c>
      <c r="D174" s="47" t="n"/>
      <c r="E174" s="49" t="n"/>
      <c r="F174" s="50" t="str">
        <f>IF(ISNUMBER(G174),G174,IF(AND(ISNUMBER(D174),ISNUMBER(E174),OR(C174="多",C174="空")),-IF(C174="空",-1,1)*D174*E174,""))</f>
        <v/>
      </c>
      <c r="G174" s="51" t="n"/>
      <c r="H174" s="30" t="n"/>
    </row>
    <row r="175">
      <c r="A175" s="48" t="n"/>
      <c r="B175" s="24" t="n"/>
      <c r="C175" s="40" t="str">
        <f>IF(B175="","",IFERROR(T(INDEX('交易记录'!$F$5:$F$304,MATCH(B175,'交易记录'!$A$5:$A$304,0))),"编号没找到"))</f>
        <v/>
      </c>
      <c r="D175" s="47" t="n"/>
      <c r="E175" s="49" t="n"/>
      <c r="F175" s="50" t="str">
        <f>IF(ISNUMBER(G175),G175,IF(AND(ISNUMBER(D175),ISNUMBER(E175),OR(C175="多",C175="空")),-IF(C175="空",-1,1)*D175*E175,""))</f>
        <v/>
      </c>
      <c r="G175" s="51" t="n"/>
      <c r="H175" s="30" t="n"/>
    </row>
    <row r="176">
      <c r="A176" s="48" t="n"/>
      <c r="B176" s="24" t="n"/>
      <c r="C176" s="40" t="str">
        <f>IF(B176="","",IFERROR(T(INDEX('交易记录'!$F$5:$F$304,MATCH(B176,'交易记录'!$A$5:$A$304,0))),"编号没找到"))</f>
        <v/>
      </c>
      <c r="D176" s="47" t="n"/>
      <c r="E176" s="49" t="n"/>
      <c r="F176" s="50" t="str">
        <f>IF(ISNUMBER(G176),G176,IF(AND(ISNUMBER(D176),ISNUMBER(E176),OR(C176="多",C176="空")),-IF(C176="空",-1,1)*D176*E176,""))</f>
        <v/>
      </c>
      <c r="G176" s="51" t="n"/>
      <c r="H176" s="30" t="n"/>
    </row>
    <row r="177">
      <c r="A177" s="48" t="n"/>
      <c r="B177" s="24" t="n"/>
      <c r="C177" s="40" t="str">
        <f>IF(B177="","",IFERROR(T(INDEX('交易记录'!$F$5:$F$304,MATCH(B177,'交易记录'!$A$5:$A$304,0))),"编号没找到"))</f>
        <v/>
      </c>
      <c r="D177" s="47" t="n"/>
      <c r="E177" s="49" t="n"/>
      <c r="F177" s="50" t="str">
        <f>IF(ISNUMBER(G177),G177,IF(AND(ISNUMBER(D177),ISNUMBER(E177),OR(C177="多",C177="空")),-IF(C177="空",-1,1)*D177*E177,""))</f>
        <v/>
      </c>
      <c r="G177" s="51" t="n"/>
      <c r="H177" s="30" t="n"/>
    </row>
    <row r="178">
      <c r="A178" s="48" t="n"/>
      <c r="B178" s="24" t="n"/>
      <c r="C178" s="40" t="str">
        <f>IF(B178="","",IFERROR(T(INDEX('交易记录'!$F$5:$F$304,MATCH(B178,'交易记录'!$A$5:$A$304,0))),"编号没找到"))</f>
        <v/>
      </c>
      <c r="D178" s="47" t="n"/>
      <c r="E178" s="49" t="n"/>
      <c r="F178" s="50" t="str">
        <f>IF(ISNUMBER(G178),G178,IF(AND(ISNUMBER(D178),ISNUMBER(E178),OR(C178="多",C178="空")),-IF(C178="空",-1,1)*D178*E178,""))</f>
        <v/>
      </c>
      <c r="G178" s="51" t="n"/>
      <c r="H178" s="30" t="n"/>
    </row>
    <row r="179">
      <c r="A179" s="48" t="n"/>
      <c r="B179" s="24" t="n"/>
      <c r="C179" s="40" t="str">
        <f>IF(B179="","",IFERROR(T(INDEX('交易记录'!$F$5:$F$304,MATCH(B179,'交易记录'!$A$5:$A$304,0))),"编号没找到"))</f>
        <v/>
      </c>
      <c r="D179" s="47" t="n"/>
      <c r="E179" s="49" t="n"/>
      <c r="F179" s="50" t="str">
        <f>IF(ISNUMBER(G179),G179,IF(AND(ISNUMBER(D179),ISNUMBER(E179),OR(C179="多",C179="空")),-IF(C179="空",-1,1)*D179*E179,""))</f>
        <v/>
      </c>
      <c r="G179" s="51" t="n"/>
      <c r="H179" s="30" t="n"/>
    </row>
    <row r="180">
      <c r="A180" s="48" t="n"/>
      <c r="B180" s="24" t="n"/>
      <c r="C180" s="40" t="str">
        <f>IF(B180="","",IFERROR(T(INDEX('交易记录'!$F$5:$F$304,MATCH(B180,'交易记录'!$A$5:$A$304,0))),"编号没找到"))</f>
        <v/>
      </c>
      <c r="D180" s="47" t="n"/>
      <c r="E180" s="49" t="n"/>
      <c r="F180" s="50" t="str">
        <f>IF(ISNUMBER(G180),G180,IF(AND(ISNUMBER(D180),ISNUMBER(E180),OR(C180="多",C180="空")),-IF(C180="空",-1,1)*D180*E180,""))</f>
        <v/>
      </c>
      <c r="G180" s="51" t="n"/>
      <c r="H180" s="30" t="n"/>
    </row>
    <row r="181">
      <c r="A181" s="48" t="n"/>
      <c r="B181" s="24" t="n"/>
      <c r="C181" s="40" t="str">
        <f>IF(B181="","",IFERROR(T(INDEX('交易记录'!$F$5:$F$304,MATCH(B181,'交易记录'!$A$5:$A$304,0))),"编号没找到"))</f>
        <v/>
      </c>
      <c r="D181" s="47" t="n"/>
      <c r="E181" s="49" t="n"/>
      <c r="F181" s="50" t="str">
        <f>IF(ISNUMBER(G181),G181,IF(AND(ISNUMBER(D181),ISNUMBER(E181),OR(C181="多",C181="空")),-IF(C181="空",-1,1)*D181*E181,""))</f>
        <v/>
      </c>
      <c r="G181" s="51" t="n"/>
      <c r="H181" s="30" t="n"/>
    </row>
    <row r="182">
      <c r="A182" s="48" t="n"/>
      <c r="B182" s="24" t="n"/>
      <c r="C182" s="40" t="str">
        <f>IF(B182="","",IFERROR(T(INDEX('交易记录'!$F$5:$F$304,MATCH(B182,'交易记录'!$A$5:$A$304,0))),"编号没找到"))</f>
        <v/>
      </c>
      <c r="D182" s="47" t="n"/>
      <c r="E182" s="49" t="n"/>
      <c r="F182" s="50" t="str">
        <f>IF(ISNUMBER(G182),G182,IF(AND(ISNUMBER(D182),ISNUMBER(E182),OR(C182="多",C182="空")),-IF(C182="空",-1,1)*D182*E182,""))</f>
        <v/>
      </c>
      <c r="G182" s="51" t="n"/>
      <c r="H182" s="30" t="n"/>
    </row>
    <row r="183">
      <c r="A183" s="48" t="n"/>
      <c r="B183" s="24" t="n"/>
      <c r="C183" s="40" t="str">
        <f>IF(B183="","",IFERROR(T(INDEX('交易记录'!$F$5:$F$304,MATCH(B183,'交易记录'!$A$5:$A$304,0))),"编号没找到"))</f>
        <v/>
      </c>
      <c r="D183" s="47" t="n"/>
      <c r="E183" s="49" t="n"/>
      <c r="F183" s="50" t="str">
        <f>IF(ISNUMBER(G183),G183,IF(AND(ISNUMBER(D183),ISNUMBER(E183),OR(C183="多",C183="空")),-IF(C183="空",-1,1)*D183*E183,""))</f>
        <v/>
      </c>
      <c r="G183" s="51" t="n"/>
      <c r="H183" s="30" t="n"/>
    </row>
    <row r="184">
      <c r="A184" s="48" t="n"/>
      <c r="B184" s="24" t="n"/>
      <c r="C184" s="40" t="str">
        <f>IF(B184="","",IFERROR(T(INDEX('交易记录'!$F$5:$F$304,MATCH(B184,'交易记录'!$A$5:$A$304,0))),"编号没找到"))</f>
        <v/>
      </c>
      <c r="D184" s="47" t="n"/>
      <c r="E184" s="49" t="n"/>
      <c r="F184" s="50" t="str">
        <f>IF(ISNUMBER(G184),G184,IF(AND(ISNUMBER(D184),ISNUMBER(E184),OR(C184="多",C184="空")),-IF(C184="空",-1,1)*D184*E184,""))</f>
        <v/>
      </c>
      <c r="G184" s="51" t="n"/>
      <c r="H184" s="30" t="n"/>
    </row>
    <row r="185">
      <c r="A185" s="48" t="n"/>
      <c r="B185" s="24" t="n"/>
      <c r="C185" s="40" t="str">
        <f>IF(B185="","",IFERROR(T(INDEX('交易记录'!$F$5:$F$304,MATCH(B185,'交易记录'!$A$5:$A$304,0))),"编号没找到"))</f>
        <v/>
      </c>
      <c r="D185" s="47" t="n"/>
      <c r="E185" s="49" t="n"/>
      <c r="F185" s="50" t="str">
        <f>IF(ISNUMBER(G185),G185,IF(AND(ISNUMBER(D185),ISNUMBER(E185),OR(C185="多",C185="空")),-IF(C185="空",-1,1)*D185*E185,""))</f>
        <v/>
      </c>
      <c r="G185" s="51" t="n"/>
      <c r="H185" s="30" t="n"/>
    </row>
    <row r="186">
      <c r="A186" s="48" t="n"/>
      <c r="B186" s="24" t="n"/>
      <c r="C186" s="40" t="str">
        <f>IF(B186="","",IFERROR(T(INDEX('交易记录'!$F$5:$F$304,MATCH(B186,'交易记录'!$A$5:$A$304,0))),"编号没找到"))</f>
        <v/>
      </c>
      <c r="D186" s="47" t="n"/>
      <c r="E186" s="49" t="n"/>
      <c r="F186" s="50" t="str">
        <f>IF(ISNUMBER(G186),G186,IF(AND(ISNUMBER(D186),ISNUMBER(E186),OR(C186="多",C186="空")),-IF(C186="空",-1,1)*D186*E186,""))</f>
        <v/>
      </c>
      <c r="G186" s="51" t="n"/>
      <c r="H186" s="30" t="n"/>
    </row>
    <row r="187">
      <c r="A187" s="48" t="n"/>
      <c r="B187" s="24" t="n"/>
      <c r="C187" s="40" t="str">
        <f>IF(B187="","",IFERROR(T(INDEX('交易记录'!$F$5:$F$304,MATCH(B187,'交易记录'!$A$5:$A$304,0))),"编号没找到"))</f>
        <v/>
      </c>
      <c r="D187" s="47" t="n"/>
      <c r="E187" s="49" t="n"/>
      <c r="F187" s="50" t="str">
        <f>IF(ISNUMBER(G187),G187,IF(AND(ISNUMBER(D187),ISNUMBER(E187),OR(C187="多",C187="空")),-IF(C187="空",-1,1)*D187*E187,""))</f>
        <v/>
      </c>
      <c r="G187" s="51" t="n"/>
      <c r="H187" s="30" t="n"/>
    </row>
    <row r="188">
      <c r="A188" s="48" t="n"/>
      <c r="B188" s="24" t="n"/>
      <c r="C188" s="40" t="str">
        <f>IF(B188="","",IFERROR(T(INDEX('交易记录'!$F$5:$F$304,MATCH(B188,'交易记录'!$A$5:$A$304,0))),"编号没找到"))</f>
        <v/>
      </c>
      <c r="D188" s="47" t="n"/>
      <c r="E188" s="49" t="n"/>
      <c r="F188" s="50" t="str">
        <f>IF(ISNUMBER(G188),G188,IF(AND(ISNUMBER(D188),ISNUMBER(E188),OR(C188="多",C188="空")),-IF(C188="空",-1,1)*D188*E188,""))</f>
        <v/>
      </c>
      <c r="G188" s="51" t="n"/>
      <c r="H188" s="30" t="n"/>
    </row>
    <row r="189">
      <c r="A189" s="48" t="n"/>
      <c r="B189" s="24" t="n"/>
      <c r="C189" s="40" t="str">
        <f>IF(B189="","",IFERROR(T(INDEX('交易记录'!$F$5:$F$304,MATCH(B189,'交易记录'!$A$5:$A$304,0))),"编号没找到"))</f>
        <v/>
      </c>
      <c r="D189" s="47" t="n"/>
      <c r="E189" s="49" t="n"/>
      <c r="F189" s="50" t="str">
        <f>IF(ISNUMBER(G189),G189,IF(AND(ISNUMBER(D189),ISNUMBER(E189),OR(C189="多",C189="空")),-IF(C189="空",-1,1)*D189*E189,""))</f>
        <v/>
      </c>
      <c r="G189" s="51" t="n"/>
      <c r="H189" s="30" t="n"/>
    </row>
    <row r="190">
      <c r="A190" s="48" t="n"/>
      <c r="B190" s="24" t="n"/>
      <c r="C190" s="40" t="str">
        <f>IF(B190="","",IFERROR(T(INDEX('交易记录'!$F$5:$F$304,MATCH(B190,'交易记录'!$A$5:$A$304,0))),"编号没找到"))</f>
        <v/>
      </c>
      <c r="D190" s="47" t="n"/>
      <c r="E190" s="49" t="n"/>
      <c r="F190" s="50" t="str">
        <f>IF(ISNUMBER(G190),G190,IF(AND(ISNUMBER(D190),ISNUMBER(E190),OR(C190="多",C190="空")),-IF(C190="空",-1,1)*D190*E190,""))</f>
        <v/>
      </c>
      <c r="G190" s="51" t="n"/>
      <c r="H190" s="30" t="n"/>
    </row>
    <row r="191">
      <c r="A191" s="48" t="n"/>
      <c r="B191" s="24" t="n"/>
      <c r="C191" s="40" t="str">
        <f>IF(B191="","",IFERROR(T(INDEX('交易记录'!$F$5:$F$304,MATCH(B191,'交易记录'!$A$5:$A$304,0))),"编号没找到"))</f>
        <v/>
      </c>
      <c r="D191" s="47" t="n"/>
      <c r="E191" s="49" t="n"/>
      <c r="F191" s="50" t="str">
        <f>IF(ISNUMBER(G191),G191,IF(AND(ISNUMBER(D191),ISNUMBER(E191),OR(C191="多",C191="空")),-IF(C191="空",-1,1)*D191*E191,""))</f>
        <v/>
      </c>
      <c r="G191" s="51" t="n"/>
      <c r="H191" s="30" t="n"/>
    </row>
    <row r="192">
      <c r="A192" s="48" t="n"/>
      <c r="B192" s="24" t="n"/>
      <c r="C192" s="40" t="str">
        <f>IF(B192="","",IFERROR(T(INDEX('交易记录'!$F$5:$F$304,MATCH(B192,'交易记录'!$A$5:$A$304,0))),"编号没找到"))</f>
        <v/>
      </c>
      <c r="D192" s="47" t="n"/>
      <c r="E192" s="49" t="n"/>
      <c r="F192" s="50" t="str">
        <f>IF(ISNUMBER(G192),G192,IF(AND(ISNUMBER(D192),ISNUMBER(E192),OR(C192="多",C192="空")),-IF(C192="空",-1,1)*D192*E192,""))</f>
        <v/>
      </c>
      <c r="G192" s="51" t="n"/>
      <c r="H192" s="30" t="n"/>
    </row>
    <row r="193">
      <c r="A193" s="48" t="n"/>
      <c r="B193" s="24" t="n"/>
      <c r="C193" s="40" t="str">
        <f>IF(B193="","",IFERROR(T(INDEX('交易记录'!$F$5:$F$304,MATCH(B193,'交易记录'!$A$5:$A$304,0))),"编号没找到"))</f>
        <v/>
      </c>
      <c r="D193" s="47" t="n"/>
      <c r="E193" s="49" t="n"/>
      <c r="F193" s="50" t="str">
        <f>IF(ISNUMBER(G193),G193,IF(AND(ISNUMBER(D193),ISNUMBER(E193),OR(C193="多",C193="空")),-IF(C193="空",-1,1)*D193*E193,""))</f>
        <v/>
      </c>
      <c r="G193" s="51" t="n"/>
      <c r="H193" s="30" t="n"/>
    </row>
    <row r="194">
      <c r="A194" s="48" t="n"/>
      <c r="B194" s="24" t="n"/>
      <c r="C194" s="40" t="str">
        <f>IF(B194="","",IFERROR(T(INDEX('交易记录'!$F$5:$F$304,MATCH(B194,'交易记录'!$A$5:$A$304,0))),"编号没找到"))</f>
        <v/>
      </c>
      <c r="D194" s="47" t="n"/>
      <c r="E194" s="49" t="n"/>
      <c r="F194" s="50" t="str">
        <f>IF(ISNUMBER(G194),G194,IF(AND(ISNUMBER(D194),ISNUMBER(E194),OR(C194="多",C194="空")),-IF(C194="空",-1,1)*D194*E194,""))</f>
        <v/>
      </c>
      <c r="G194" s="51" t="n"/>
      <c r="H194" s="30" t="n"/>
    </row>
    <row r="195">
      <c r="A195" s="48" t="n"/>
      <c r="B195" s="24" t="n"/>
      <c r="C195" s="40" t="str">
        <f>IF(B195="","",IFERROR(T(INDEX('交易记录'!$F$5:$F$304,MATCH(B195,'交易记录'!$A$5:$A$304,0))),"编号没找到"))</f>
        <v/>
      </c>
      <c r="D195" s="47" t="n"/>
      <c r="E195" s="49" t="n"/>
      <c r="F195" s="50" t="str">
        <f>IF(ISNUMBER(G195),G195,IF(AND(ISNUMBER(D195),ISNUMBER(E195),OR(C195="多",C195="空")),-IF(C195="空",-1,1)*D195*E195,""))</f>
        <v/>
      </c>
      <c r="G195" s="51" t="n"/>
      <c r="H195" s="30" t="n"/>
    </row>
    <row r="196">
      <c r="A196" s="48" t="n"/>
      <c r="B196" s="24" t="n"/>
      <c r="C196" s="40" t="str">
        <f>IF(B196="","",IFERROR(T(INDEX('交易记录'!$F$5:$F$304,MATCH(B196,'交易记录'!$A$5:$A$304,0))),"编号没找到"))</f>
        <v/>
      </c>
      <c r="D196" s="47" t="n"/>
      <c r="E196" s="49" t="n"/>
      <c r="F196" s="50" t="str">
        <f>IF(ISNUMBER(G196),G196,IF(AND(ISNUMBER(D196),ISNUMBER(E196),OR(C196="多",C196="空")),-IF(C196="空",-1,1)*D196*E196,""))</f>
        <v/>
      </c>
      <c r="G196" s="51" t="n"/>
      <c r="H196" s="30" t="n"/>
    </row>
    <row r="197">
      <c r="A197" s="48" t="n"/>
      <c r="B197" s="24" t="n"/>
      <c r="C197" s="40" t="str">
        <f>IF(B197="","",IFERROR(T(INDEX('交易记录'!$F$5:$F$304,MATCH(B197,'交易记录'!$A$5:$A$304,0))),"编号没找到"))</f>
        <v/>
      </c>
      <c r="D197" s="47" t="n"/>
      <c r="E197" s="49" t="n"/>
      <c r="F197" s="50" t="str">
        <f>IF(ISNUMBER(G197),G197,IF(AND(ISNUMBER(D197),ISNUMBER(E197),OR(C197="多",C197="空")),-IF(C197="空",-1,1)*D197*E197,""))</f>
        <v/>
      </c>
      <c r="G197" s="51" t="n"/>
      <c r="H197" s="30" t="n"/>
    </row>
    <row r="198">
      <c r="A198" s="48" t="n"/>
      <c r="B198" s="24" t="n"/>
      <c r="C198" s="40" t="str">
        <f>IF(B198="","",IFERROR(T(INDEX('交易记录'!$F$5:$F$304,MATCH(B198,'交易记录'!$A$5:$A$304,0))),"编号没找到"))</f>
        <v/>
      </c>
      <c r="D198" s="47" t="n"/>
      <c r="E198" s="49" t="n"/>
      <c r="F198" s="50" t="str">
        <f>IF(ISNUMBER(G198),G198,IF(AND(ISNUMBER(D198),ISNUMBER(E198),OR(C198="多",C198="空")),-IF(C198="空",-1,1)*D198*E198,""))</f>
        <v/>
      </c>
      <c r="G198" s="51" t="n"/>
      <c r="H198" s="30" t="n"/>
    </row>
    <row r="199">
      <c r="A199" s="48" t="n"/>
      <c r="B199" s="24" t="n"/>
      <c r="C199" s="40" t="str">
        <f>IF(B199="","",IFERROR(T(INDEX('交易记录'!$F$5:$F$304,MATCH(B199,'交易记录'!$A$5:$A$304,0))),"编号没找到"))</f>
        <v/>
      </c>
      <c r="D199" s="47" t="n"/>
      <c r="E199" s="49" t="n"/>
      <c r="F199" s="50" t="str">
        <f>IF(ISNUMBER(G199),G199,IF(AND(ISNUMBER(D199),ISNUMBER(E199),OR(C199="多",C199="空")),-IF(C199="空",-1,1)*D199*E199,""))</f>
        <v/>
      </c>
      <c r="G199" s="51" t="n"/>
      <c r="H199" s="30" t="n"/>
    </row>
    <row r="200">
      <c r="A200" s="48" t="n"/>
      <c r="B200" s="24" t="n"/>
      <c r="C200" s="40" t="str">
        <f>IF(B200="","",IFERROR(T(INDEX('交易记录'!$F$5:$F$304,MATCH(B200,'交易记录'!$A$5:$A$304,0))),"编号没找到"))</f>
        <v/>
      </c>
      <c r="D200" s="47" t="n"/>
      <c r="E200" s="49" t="n"/>
      <c r="F200" s="50" t="str">
        <f>IF(ISNUMBER(G200),G200,IF(AND(ISNUMBER(D200),ISNUMBER(E200),OR(C200="多",C200="空")),-IF(C200="空",-1,1)*D200*E200,""))</f>
        <v/>
      </c>
      <c r="G200" s="51" t="n"/>
      <c r="H200" s="30" t="n"/>
    </row>
    <row r="201">
      <c r="A201" s="48" t="n"/>
      <c r="B201" s="24" t="n"/>
      <c r="C201" s="40" t="str">
        <f>IF(B201="","",IFERROR(T(INDEX('交易记录'!$F$5:$F$304,MATCH(B201,'交易记录'!$A$5:$A$304,0))),"编号没找到"))</f>
        <v/>
      </c>
      <c r="D201" s="47" t="n"/>
      <c r="E201" s="49" t="n"/>
      <c r="F201" s="50" t="str">
        <f>IF(ISNUMBER(G201),G201,IF(AND(ISNUMBER(D201),ISNUMBER(E201),OR(C201="多",C201="空")),-IF(C201="空",-1,1)*D201*E201,""))</f>
        <v/>
      </c>
      <c r="G201" s="51" t="n"/>
      <c r="H201" s="30" t="n"/>
    </row>
    <row r="202">
      <c r="A202" s="48" t="n"/>
      <c r="B202" s="24" t="n"/>
      <c r="C202" s="40" t="str">
        <f>IF(B202="","",IFERROR(T(INDEX('交易记录'!$F$5:$F$304,MATCH(B202,'交易记录'!$A$5:$A$304,0))),"编号没找到"))</f>
        <v/>
      </c>
      <c r="D202" s="47" t="n"/>
      <c r="E202" s="49" t="n"/>
      <c r="F202" s="50" t="str">
        <f>IF(ISNUMBER(G202),G202,IF(AND(ISNUMBER(D202),ISNUMBER(E202),OR(C202="多",C202="空")),-IF(C202="空",-1,1)*D202*E202,""))</f>
        <v/>
      </c>
      <c r="G202" s="51" t="n"/>
      <c r="H202" s="30" t="n"/>
    </row>
    <row r="203">
      <c r="A203" s="48" t="n"/>
      <c r="B203" s="24" t="n"/>
      <c r="C203" s="40" t="str">
        <f>IF(B203="","",IFERROR(T(INDEX('交易记录'!$F$5:$F$304,MATCH(B203,'交易记录'!$A$5:$A$304,0))),"编号没找到"))</f>
        <v/>
      </c>
      <c r="D203" s="47" t="n"/>
      <c r="E203" s="49" t="n"/>
      <c r="F203" s="50" t="str">
        <f>IF(ISNUMBER(G203),G203,IF(AND(ISNUMBER(D203),ISNUMBER(E203),OR(C203="多",C203="空")),-IF(C203="空",-1,1)*D203*E203,""))</f>
        <v/>
      </c>
      <c r="G203" s="51" t="n"/>
      <c r="H203" s="30" t="n"/>
    </row>
    <row r="204">
      <c r="A204" s="48" t="n"/>
      <c r="B204" s="24" t="n"/>
      <c r="C204" s="40" t="str">
        <f>IF(B204="","",IFERROR(T(INDEX('交易记录'!$F$5:$F$304,MATCH(B204,'交易记录'!$A$5:$A$304,0))),"编号没找到"))</f>
        <v/>
      </c>
      <c r="D204" s="47" t="n"/>
      <c r="E204" s="49" t="n"/>
      <c r="F204" s="50" t="str">
        <f>IF(ISNUMBER(G204),G204,IF(AND(ISNUMBER(D204),ISNUMBER(E204),OR(C204="多",C204="空")),-IF(C204="空",-1,1)*D204*E204,""))</f>
        <v/>
      </c>
      <c r="G204" s="51" t="n"/>
      <c r="H204" s="30" t="n"/>
    </row>
    <row r="205">
      <c r="A205" s="48" t="n"/>
      <c r="B205" s="24" t="n"/>
      <c r="C205" s="40" t="str">
        <f>IF(B205="","",IFERROR(T(INDEX('交易记录'!$F$5:$F$304,MATCH(B205,'交易记录'!$A$5:$A$304,0))),"编号没找到"))</f>
        <v/>
      </c>
      <c r="D205" s="47" t="n"/>
      <c r="E205" s="49" t="n"/>
      <c r="F205" s="50" t="str">
        <f>IF(ISNUMBER(G205),G205,IF(AND(ISNUMBER(D205),ISNUMBER(E205),OR(C205="多",C205="空")),-IF(C205="空",-1,1)*D205*E205,""))</f>
        <v/>
      </c>
      <c r="G205" s="51" t="n"/>
      <c r="H205" s="30" t="n"/>
    </row>
    <row r="206">
      <c r="A206" s="48" t="n"/>
      <c r="B206" s="24" t="n"/>
      <c r="C206" s="40" t="str">
        <f>IF(B206="","",IFERROR(T(INDEX('交易记录'!$F$5:$F$304,MATCH(B206,'交易记录'!$A$5:$A$304,0))),"编号没找到"))</f>
        <v/>
      </c>
      <c r="D206" s="47" t="n"/>
      <c r="E206" s="49" t="n"/>
      <c r="F206" s="50" t="str">
        <f>IF(ISNUMBER(G206),G206,IF(AND(ISNUMBER(D206),ISNUMBER(E206),OR(C206="多",C206="空")),-IF(C206="空",-1,1)*D206*E206,""))</f>
        <v/>
      </c>
      <c r="G206" s="51" t="n"/>
      <c r="H206" s="30" t="n"/>
    </row>
    <row r="207">
      <c r="A207" s="48" t="n"/>
      <c r="B207" s="24" t="n"/>
      <c r="C207" s="40" t="str">
        <f>IF(B207="","",IFERROR(T(INDEX('交易记录'!$F$5:$F$304,MATCH(B207,'交易记录'!$A$5:$A$304,0))),"编号没找到"))</f>
        <v/>
      </c>
      <c r="D207" s="47" t="n"/>
      <c r="E207" s="49" t="n"/>
      <c r="F207" s="50" t="str">
        <f>IF(ISNUMBER(G207),G207,IF(AND(ISNUMBER(D207),ISNUMBER(E207),OR(C207="多",C207="空")),-IF(C207="空",-1,1)*D207*E207,""))</f>
        <v/>
      </c>
      <c r="G207" s="51" t="n"/>
      <c r="H207" s="30" t="n"/>
    </row>
    <row r="208">
      <c r="A208" s="48" t="n"/>
      <c r="B208" s="24" t="n"/>
      <c r="C208" s="40" t="str">
        <f>IF(B208="","",IFERROR(T(INDEX('交易记录'!$F$5:$F$304,MATCH(B208,'交易记录'!$A$5:$A$304,0))),"编号没找到"))</f>
        <v/>
      </c>
      <c r="D208" s="47" t="n"/>
      <c r="E208" s="49" t="n"/>
      <c r="F208" s="50" t="str">
        <f>IF(ISNUMBER(G208),G208,IF(AND(ISNUMBER(D208),ISNUMBER(E208),OR(C208="多",C208="空")),-IF(C208="空",-1,1)*D208*E208,""))</f>
        <v/>
      </c>
      <c r="G208" s="51" t="n"/>
      <c r="H208" s="30" t="n"/>
    </row>
    <row r="209">
      <c r="A209" s="48" t="n"/>
      <c r="B209" s="24" t="n"/>
      <c r="C209" s="40" t="str">
        <f>IF(B209="","",IFERROR(T(INDEX('交易记录'!$F$5:$F$304,MATCH(B209,'交易记录'!$A$5:$A$304,0))),"编号没找到"))</f>
        <v/>
      </c>
      <c r="D209" s="47" t="n"/>
      <c r="E209" s="49" t="n"/>
      <c r="F209" s="50" t="str">
        <f>IF(ISNUMBER(G209),G209,IF(AND(ISNUMBER(D209),ISNUMBER(E209),OR(C209="多",C209="空")),-IF(C209="空",-1,1)*D209*E209,""))</f>
        <v/>
      </c>
      <c r="G209" s="51" t="n"/>
      <c r="H209" s="30" t="n"/>
    </row>
    <row r="210">
      <c r="A210" s="48" t="n"/>
      <c r="B210" s="24" t="n"/>
      <c r="C210" s="40" t="str">
        <f>IF(B210="","",IFERROR(T(INDEX('交易记录'!$F$5:$F$304,MATCH(B210,'交易记录'!$A$5:$A$304,0))),"编号没找到"))</f>
        <v/>
      </c>
      <c r="D210" s="47" t="n"/>
      <c r="E210" s="49" t="n"/>
      <c r="F210" s="50" t="str">
        <f>IF(ISNUMBER(G210),G210,IF(AND(ISNUMBER(D210),ISNUMBER(E210),OR(C210="多",C210="空")),-IF(C210="空",-1,1)*D210*E210,""))</f>
        <v/>
      </c>
      <c r="G210" s="51" t="n"/>
      <c r="H210" s="30" t="n"/>
    </row>
    <row r="211">
      <c r="A211" s="48" t="n"/>
      <c r="B211" s="24" t="n"/>
      <c r="C211" s="40" t="str">
        <f>IF(B211="","",IFERROR(T(INDEX('交易记录'!$F$5:$F$304,MATCH(B211,'交易记录'!$A$5:$A$304,0))),"编号没找到"))</f>
        <v/>
      </c>
      <c r="D211" s="47" t="n"/>
      <c r="E211" s="49" t="n"/>
      <c r="F211" s="50" t="str">
        <f>IF(ISNUMBER(G211),G211,IF(AND(ISNUMBER(D211),ISNUMBER(E211),OR(C211="多",C211="空")),-IF(C211="空",-1,1)*D211*E211,""))</f>
        <v/>
      </c>
      <c r="G211" s="51" t="n"/>
      <c r="H211" s="30" t="n"/>
    </row>
    <row r="212">
      <c r="A212" s="48" t="n"/>
      <c r="B212" s="24" t="n"/>
      <c r="C212" s="40" t="str">
        <f>IF(B212="","",IFERROR(T(INDEX('交易记录'!$F$5:$F$304,MATCH(B212,'交易记录'!$A$5:$A$304,0))),"编号没找到"))</f>
        <v/>
      </c>
      <c r="D212" s="47" t="n"/>
      <c r="E212" s="49" t="n"/>
      <c r="F212" s="50" t="str">
        <f>IF(ISNUMBER(G212),G212,IF(AND(ISNUMBER(D212),ISNUMBER(E212),OR(C212="多",C212="空")),-IF(C212="空",-1,1)*D212*E212,""))</f>
        <v/>
      </c>
      <c r="G212" s="51" t="n"/>
      <c r="H212" s="30" t="n"/>
    </row>
    <row r="213">
      <c r="A213" s="48" t="n"/>
      <c r="B213" s="24" t="n"/>
      <c r="C213" s="40" t="str">
        <f>IF(B213="","",IFERROR(T(INDEX('交易记录'!$F$5:$F$304,MATCH(B213,'交易记录'!$A$5:$A$304,0))),"编号没找到"))</f>
        <v/>
      </c>
      <c r="D213" s="47" t="n"/>
      <c r="E213" s="49" t="n"/>
      <c r="F213" s="50" t="str">
        <f>IF(ISNUMBER(G213),G213,IF(AND(ISNUMBER(D213),ISNUMBER(E213),OR(C213="多",C213="空")),-IF(C213="空",-1,1)*D213*E213,""))</f>
        <v/>
      </c>
      <c r="G213" s="51" t="n"/>
      <c r="H213" s="30" t="n"/>
    </row>
    <row r="214">
      <c r="A214" s="48" t="n"/>
      <c r="B214" s="24" t="n"/>
      <c r="C214" s="40" t="str">
        <f>IF(B214="","",IFERROR(T(INDEX('交易记录'!$F$5:$F$304,MATCH(B214,'交易记录'!$A$5:$A$304,0))),"编号没找到"))</f>
        <v/>
      </c>
      <c r="D214" s="47" t="n"/>
      <c r="E214" s="49" t="n"/>
      <c r="F214" s="50" t="str">
        <f>IF(ISNUMBER(G214),G214,IF(AND(ISNUMBER(D214),ISNUMBER(E214),OR(C214="多",C214="空")),-IF(C214="空",-1,1)*D214*E214,""))</f>
        <v/>
      </c>
      <c r="G214" s="51" t="n"/>
      <c r="H214" s="30" t="n"/>
    </row>
    <row r="215">
      <c r="A215" s="48" t="n"/>
      <c r="B215" s="24" t="n"/>
      <c r="C215" s="40" t="str">
        <f>IF(B215="","",IFERROR(T(INDEX('交易记录'!$F$5:$F$304,MATCH(B215,'交易记录'!$A$5:$A$304,0))),"编号没找到"))</f>
        <v/>
      </c>
      <c r="D215" s="47" t="n"/>
      <c r="E215" s="49" t="n"/>
      <c r="F215" s="50" t="str">
        <f>IF(ISNUMBER(G215),G215,IF(AND(ISNUMBER(D215),ISNUMBER(E215),OR(C215="多",C215="空")),-IF(C215="空",-1,1)*D215*E215,""))</f>
        <v/>
      </c>
      <c r="G215" s="51" t="n"/>
      <c r="H215" s="30" t="n"/>
    </row>
    <row r="216">
      <c r="A216" s="48" t="n"/>
      <c r="B216" s="24" t="n"/>
      <c r="C216" s="40" t="str">
        <f>IF(B216="","",IFERROR(T(INDEX('交易记录'!$F$5:$F$304,MATCH(B216,'交易记录'!$A$5:$A$304,0))),"编号没找到"))</f>
        <v/>
      </c>
      <c r="D216" s="47" t="n"/>
      <c r="E216" s="49" t="n"/>
      <c r="F216" s="50" t="str">
        <f>IF(ISNUMBER(G216),G216,IF(AND(ISNUMBER(D216),ISNUMBER(E216),OR(C216="多",C216="空")),-IF(C216="空",-1,1)*D216*E216,""))</f>
        <v/>
      </c>
      <c r="G216" s="51" t="n"/>
      <c r="H216" s="30" t="n"/>
    </row>
    <row r="217">
      <c r="A217" s="48" t="n"/>
      <c r="B217" s="24" t="n"/>
      <c r="C217" s="40" t="str">
        <f>IF(B217="","",IFERROR(T(INDEX('交易记录'!$F$5:$F$304,MATCH(B217,'交易记录'!$A$5:$A$304,0))),"编号没找到"))</f>
        <v/>
      </c>
      <c r="D217" s="47" t="n"/>
      <c r="E217" s="49" t="n"/>
      <c r="F217" s="50" t="str">
        <f>IF(ISNUMBER(G217),G217,IF(AND(ISNUMBER(D217),ISNUMBER(E217),OR(C217="多",C217="空")),-IF(C217="空",-1,1)*D217*E217,""))</f>
        <v/>
      </c>
      <c r="G217" s="51" t="n"/>
      <c r="H217" s="30" t="n"/>
    </row>
    <row r="218">
      <c r="A218" s="48" t="n"/>
      <c r="B218" s="24" t="n"/>
      <c r="C218" s="40" t="str">
        <f>IF(B218="","",IFERROR(T(INDEX('交易记录'!$F$5:$F$304,MATCH(B218,'交易记录'!$A$5:$A$304,0))),"编号没找到"))</f>
        <v/>
      </c>
      <c r="D218" s="47" t="n"/>
      <c r="E218" s="49" t="n"/>
      <c r="F218" s="50" t="str">
        <f>IF(ISNUMBER(G218),G218,IF(AND(ISNUMBER(D218),ISNUMBER(E218),OR(C218="多",C218="空")),-IF(C218="空",-1,1)*D218*E218,""))</f>
        <v/>
      </c>
      <c r="G218" s="51" t="n"/>
      <c r="H218" s="30" t="n"/>
    </row>
    <row r="219">
      <c r="A219" s="48" t="n"/>
      <c r="B219" s="24" t="n"/>
      <c r="C219" s="40" t="str">
        <f>IF(B219="","",IFERROR(T(INDEX('交易记录'!$F$5:$F$304,MATCH(B219,'交易记录'!$A$5:$A$304,0))),"编号没找到"))</f>
        <v/>
      </c>
      <c r="D219" s="47" t="n"/>
      <c r="E219" s="49" t="n"/>
      <c r="F219" s="50" t="str">
        <f>IF(ISNUMBER(G219),G219,IF(AND(ISNUMBER(D219),ISNUMBER(E219),OR(C219="多",C219="空")),-IF(C219="空",-1,1)*D219*E219,""))</f>
        <v/>
      </c>
      <c r="G219" s="51" t="n"/>
      <c r="H219" s="30" t="n"/>
    </row>
    <row r="220">
      <c r="A220" s="48" t="n"/>
      <c r="B220" s="24" t="n"/>
      <c r="C220" s="40" t="str">
        <f>IF(B220="","",IFERROR(T(INDEX('交易记录'!$F$5:$F$304,MATCH(B220,'交易记录'!$A$5:$A$304,0))),"编号没找到"))</f>
        <v/>
      </c>
      <c r="D220" s="47" t="n"/>
      <c r="E220" s="49" t="n"/>
      <c r="F220" s="50" t="str">
        <f>IF(ISNUMBER(G220),G220,IF(AND(ISNUMBER(D220),ISNUMBER(E220),OR(C220="多",C220="空")),-IF(C220="空",-1,1)*D220*E220,""))</f>
        <v/>
      </c>
      <c r="G220" s="51" t="n"/>
      <c r="H220" s="30" t="n"/>
    </row>
    <row r="221">
      <c r="A221" s="48" t="n"/>
      <c r="B221" s="24" t="n"/>
      <c r="C221" s="40" t="str">
        <f>IF(B221="","",IFERROR(T(INDEX('交易记录'!$F$5:$F$304,MATCH(B221,'交易记录'!$A$5:$A$304,0))),"编号没找到"))</f>
        <v/>
      </c>
      <c r="D221" s="47" t="n"/>
      <c r="E221" s="49" t="n"/>
      <c r="F221" s="50" t="str">
        <f>IF(ISNUMBER(G221),G221,IF(AND(ISNUMBER(D221),ISNUMBER(E221),OR(C221="多",C221="空")),-IF(C221="空",-1,1)*D221*E221,""))</f>
        <v/>
      </c>
      <c r="G221" s="51" t="n"/>
      <c r="H221" s="30" t="n"/>
    </row>
    <row r="222">
      <c r="A222" s="48" t="n"/>
      <c r="B222" s="24" t="n"/>
      <c r="C222" s="40" t="str">
        <f>IF(B222="","",IFERROR(T(INDEX('交易记录'!$F$5:$F$304,MATCH(B222,'交易记录'!$A$5:$A$304,0))),"编号没找到"))</f>
        <v/>
      </c>
      <c r="D222" s="47" t="n"/>
      <c r="E222" s="49" t="n"/>
      <c r="F222" s="50" t="str">
        <f>IF(ISNUMBER(G222),G222,IF(AND(ISNUMBER(D222),ISNUMBER(E222),OR(C222="多",C222="空")),-IF(C222="空",-1,1)*D222*E222,""))</f>
        <v/>
      </c>
      <c r="G222" s="51" t="n"/>
      <c r="H222" s="30" t="n"/>
    </row>
    <row r="223">
      <c r="A223" s="48" t="n"/>
      <c r="B223" s="24" t="n"/>
      <c r="C223" s="40" t="str">
        <f>IF(B223="","",IFERROR(T(INDEX('交易记录'!$F$5:$F$304,MATCH(B223,'交易记录'!$A$5:$A$304,0))),"编号没找到"))</f>
        <v/>
      </c>
      <c r="D223" s="47" t="n"/>
      <c r="E223" s="49" t="n"/>
      <c r="F223" s="50" t="str">
        <f>IF(ISNUMBER(G223),G223,IF(AND(ISNUMBER(D223),ISNUMBER(E223),OR(C223="多",C223="空")),-IF(C223="空",-1,1)*D223*E223,""))</f>
        <v/>
      </c>
      <c r="G223" s="51" t="n"/>
      <c r="H223" s="30" t="n"/>
    </row>
    <row r="224">
      <c r="A224" s="48" t="n"/>
      <c r="B224" s="24" t="n"/>
      <c r="C224" s="40" t="str">
        <f>IF(B224="","",IFERROR(T(INDEX('交易记录'!$F$5:$F$304,MATCH(B224,'交易记录'!$A$5:$A$304,0))),"编号没找到"))</f>
        <v/>
      </c>
      <c r="D224" s="47" t="n"/>
      <c r="E224" s="49" t="n"/>
      <c r="F224" s="50" t="str">
        <f>IF(ISNUMBER(G224),G224,IF(AND(ISNUMBER(D224),ISNUMBER(E224),OR(C224="多",C224="空")),-IF(C224="空",-1,1)*D224*E224,""))</f>
        <v/>
      </c>
      <c r="G224" s="51" t="n"/>
      <c r="H224" s="30" t="n"/>
    </row>
    <row r="225">
      <c r="A225" s="48" t="n"/>
      <c r="B225" s="24" t="n"/>
      <c r="C225" s="40" t="str">
        <f>IF(B225="","",IFERROR(T(INDEX('交易记录'!$F$5:$F$304,MATCH(B225,'交易记录'!$A$5:$A$304,0))),"编号没找到"))</f>
        <v/>
      </c>
      <c r="D225" s="47" t="n"/>
      <c r="E225" s="49" t="n"/>
      <c r="F225" s="50" t="str">
        <f>IF(ISNUMBER(G225),G225,IF(AND(ISNUMBER(D225),ISNUMBER(E225),OR(C225="多",C225="空")),-IF(C225="空",-1,1)*D225*E225,""))</f>
        <v/>
      </c>
      <c r="G225" s="51" t="n"/>
      <c r="H225" s="30" t="n"/>
    </row>
    <row r="226">
      <c r="A226" s="48" t="n"/>
      <c r="B226" s="24" t="n"/>
      <c r="C226" s="40" t="str">
        <f>IF(B226="","",IFERROR(T(INDEX('交易记录'!$F$5:$F$304,MATCH(B226,'交易记录'!$A$5:$A$304,0))),"编号没找到"))</f>
        <v/>
      </c>
      <c r="D226" s="47" t="n"/>
      <c r="E226" s="49" t="n"/>
      <c r="F226" s="50" t="str">
        <f>IF(ISNUMBER(G226),G226,IF(AND(ISNUMBER(D226),ISNUMBER(E226),OR(C226="多",C226="空")),-IF(C226="空",-1,1)*D226*E226,""))</f>
        <v/>
      </c>
      <c r="G226" s="51" t="n"/>
      <c r="H226" s="30" t="n"/>
    </row>
    <row r="227">
      <c r="A227" s="48" t="n"/>
      <c r="B227" s="24" t="n"/>
      <c r="C227" s="40" t="str">
        <f>IF(B227="","",IFERROR(T(INDEX('交易记录'!$F$5:$F$304,MATCH(B227,'交易记录'!$A$5:$A$304,0))),"编号没找到"))</f>
        <v/>
      </c>
      <c r="D227" s="47" t="n"/>
      <c r="E227" s="49" t="n"/>
      <c r="F227" s="50" t="str">
        <f>IF(ISNUMBER(G227),G227,IF(AND(ISNUMBER(D227),ISNUMBER(E227),OR(C227="多",C227="空")),-IF(C227="空",-1,1)*D227*E227,""))</f>
        <v/>
      </c>
      <c r="G227" s="51" t="n"/>
      <c r="H227" s="30" t="n"/>
    </row>
    <row r="228">
      <c r="A228" s="48" t="n"/>
      <c r="B228" s="24" t="n"/>
      <c r="C228" s="40" t="str">
        <f>IF(B228="","",IFERROR(T(INDEX('交易记录'!$F$5:$F$304,MATCH(B228,'交易记录'!$A$5:$A$304,0))),"编号没找到"))</f>
        <v/>
      </c>
      <c r="D228" s="47" t="n"/>
      <c r="E228" s="49" t="n"/>
      <c r="F228" s="50" t="str">
        <f>IF(ISNUMBER(G228),G228,IF(AND(ISNUMBER(D228),ISNUMBER(E228),OR(C228="多",C228="空")),-IF(C228="空",-1,1)*D228*E228,""))</f>
        <v/>
      </c>
      <c r="G228" s="51" t="n"/>
      <c r="H228" s="30" t="n"/>
    </row>
    <row r="229">
      <c r="A229" s="48" t="n"/>
      <c r="B229" s="24" t="n"/>
      <c r="C229" s="40" t="str">
        <f>IF(B229="","",IFERROR(T(INDEX('交易记录'!$F$5:$F$304,MATCH(B229,'交易记录'!$A$5:$A$304,0))),"编号没找到"))</f>
        <v/>
      </c>
      <c r="D229" s="47" t="n"/>
      <c r="E229" s="49" t="n"/>
      <c r="F229" s="50" t="str">
        <f>IF(ISNUMBER(G229),G229,IF(AND(ISNUMBER(D229),ISNUMBER(E229),OR(C229="多",C229="空")),-IF(C229="空",-1,1)*D229*E229,""))</f>
        <v/>
      </c>
      <c r="G229" s="51" t="n"/>
      <c r="H229" s="30" t="n"/>
    </row>
    <row r="230">
      <c r="A230" s="48" t="n"/>
      <c r="B230" s="24" t="n"/>
      <c r="C230" s="40" t="str">
        <f>IF(B230="","",IFERROR(T(INDEX('交易记录'!$F$5:$F$304,MATCH(B230,'交易记录'!$A$5:$A$304,0))),"编号没找到"))</f>
        <v/>
      </c>
      <c r="D230" s="47" t="n"/>
      <c r="E230" s="49" t="n"/>
      <c r="F230" s="50" t="str">
        <f>IF(ISNUMBER(G230),G230,IF(AND(ISNUMBER(D230),ISNUMBER(E230),OR(C230="多",C230="空")),-IF(C230="空",-1,1)*D230*E230,""))</f>
        <v/>
      </c>
      <c r="G230" s="51" t="n"/>
      <c r="H230" s="30" t="n"/>
    </row>
    <row r="231">
      <c r="A231" s="48" t="n"/>
      <c r="B231" s="24" t="n"/>
      <c r="C231" s="40" t="str">
        <f>IF(B231="","",IFERROR(T(INDEX('交易记录'!$F$5:$F$304,MATCH(B231,'交易记录'!$A$5:$A$304,0))),"编号没找到"))</f>
        <v/>
      </c>
      <c r="D231" s="47" t="n"/>
      <c r="E231" s="49" t="n"/>
      <c r="F231" s="50" t="str">
        <f>IF(ISNUMBER(G231),G231,IF(AND(ISNUMBER(D231),ISNUMBER(E231),OR(C231="多",C231="空")),-IF(C231="空",-1,1)*D231*E231,""))</f>
        <v/>
      </c>
      <c r="G231" s="51" t="n"/>
      <c r="H231" s="30" t="n"/>
    </row>
    <row r="232">
      <c r="A232" s="48" t="n"/>
      <c r="B232" s="24" t="n"/>
      <c r="C232" s="40" t="str">
        <f>IF(B232="","",IFERROR(T(INDEX('交易记录'!$F$5:$F$304,MATCH(B232,'交易记录'!$A$5:$A$304,0))),"编号没找到"))</f>
        <v/>
      </c>
      <c r="D232" s="47" t="n"/>
      <c r="E232" s="49" t="n"/>
      <c r="F232" s="50" t="str">
        <f>IF(ISNUMBER(G232),G232,IF(AND(ISNUMBER(D232),ISNUMBER(E232),OR(C232="多",C232="空")),-IF(C232="空",-1,1)*D232*E232,""))</f>
        <v/>
      </c>
      <c r="G232" s="51" t="n"/>
      <c r="H232" s="30" t="n"/>
    </row>
    <row r="233">
      <c r="A233" s="48" t="n"/>
      <c r="B233" s="24" t="n"/>
      <c r="C233" s="40" t="str">
        <f>IF(B233="","",IFERROR(T(INDEX('交易记录'!$F$5:$F$304,MATCH(B233,'交易记录'!$A$5:$A$304,0))),"编号没找到"))</f>
        <v/>
      </c>
      <c r="D233" s="47" t="n"/>
      <c r="E233" s="49" t="n"/>
      <c r="F233" s="50" t="str">
        <f>IF(ISNUMBER(G233),G233,IF(AND(ISNUMBER(D233),ISNUMBER(E233),OR(C233="多",C233="空")),-IF(C233="空",-1,1)*D233*E233,""))</f>
        <v/>
      </c>
      <c r="G233" s="51" t="n"/>
      <c r="H233" s="30" t="n"/>
    </row>
    <row r="234">
      <c r="A234" s="48" t="n"/>
      <c r="B234" s="24" t="n"/>
      <c r="C234" s="40" t="str">
        <f>IF(B234="","",IFERROR(T(INDEX('交易记录'!$F$5:$F$304,MATCH(B234,'交易记录'!$A$5:$A$304,0))),"编号没找到"))</f>
        <v/>
      </c>
      <c r="D234" s="47" t="n"/>
      <c r="E234" s="49" t="n"/>
      <c r="F234" s="50" t="str">
        <f>IF(ISNUMBER(G234),G234,IF(AND(ISNUMBER(D234),ISNUMBER(E234),OR(C234="多",C234="空")),-IF(C234="空",-1,1)*D234*E234,""))</f>
        <v/>
      </c>
      <c r="G234" s="51" t="n"/>
      <c r="H234" s="30" t="n"/>
    </row>
    <row r="235">
      <c r="A235" s="48" t="n"/>
      <c r="B235" s="24" t="n"/>
      <c r="C235" s="40" t="str">
        <f>IF(B235="","",IFERROR(T(INDEX('交易记录'!$F$5:$F$304,MATCH(B235,'交易记录'!$A$5:$A$304,0))),"编号没找到"))</f>
        <v/>
      </c>
      <c r="D235" s="47" t="n"/>
      <c r="E235" s="49" t="n"/>
      <c r="F235" s="50" t="str">
        <f>IF(ISNUMBER(G235),G235,IF(AND(ISNUMBER(D235),ISNUMBER(E235),OR(C235="多",C235="空")),-IF(C235="空",-1,1)*D235*E235,""))</f>
        <v/>
      </c>
      <c r="G235" s="51" t="n"/>
      <c r="H235" s="30" t="n"/>
    </row>
    <row r="236">
      <c r="A236" s="48" t="n"/>
      <c r="B236" s="24" t="n"/>
      <c r="C236" s="40" t="str">
        <f>IF(B236="","",IFERROR(T(INDEX('交易记录'!$F$5:$F$304,MATCH(B236,'交易记录'!$A$5:$A$304,0))),"编号没找到"))</f>
        <v/>
      </c>
      <c r="D236" s="47" t="n"/>
      <c r="E236" s="49" t="n"/>
      <c r="F236" s="50" t="str">
        <f>IF(ISNUMBER(G236),G236,IF(AND(ISNUMBER(D236),ISNUMBER(E236),OR(C236="多",C236="空")),-IF(C236="空",-1,1)*D236*E236,""))</f>
        <v/>
      </c>
      <c r="G236" s="51" t="n"/>
      <c r="H236" s="30" t="n"/>
    </row>
    <row r="237">
      <c r="A237" s="48" t="n"/>
      <c r="B237" s="24" t="n"/>
      <c r="C237" s="40" t="str">
        <f>IF(B237="","",IFERROR(T(INDEX('交易记录'!$F$5:$F$304,MATCH(B237,'交易记录'!$A$5:$A$304,0))),"编号没找到"))</f>
        <v/>
      </c>
      <c r="D237" s="47" t="n"/>
      <c r="E237" s="49" t="n"/>
      <c r="F237" s="50" t="str">
        <f>IF(ISNUMBER(G237),G237,IF(AND(ISNUMBER(D237),ISNUMBER(E237),OR(C237="多",C237="空")),-IF(C237="空",-1,1)*D237*E237,""))</f>
        <v/>
      </c>
      <c r="G237" s="51" t="n"/>
      <c r="H237" s="30" t="n"/>
    </row>
    <row r="238">
      <c r="A238" s="48" t="n"/>
      <c r="B238" s="24" t="n"/>
      <c r="C238" s="40" t="str">
        <f>IF(B238="","",IFERROR(T(INDEX('交易记录'!$F$5:$F$304,MATCH(B238,'交易记录'!$A$5:$A$304,0))),"编号没找到"))</f>
        <v/>
      </c>
      <c r="D238" s="47" t="n"/>
      <c r="E238" s="49" t="n"/>
      <c r="F238" s="50" t="str">
        <f>IF(ISNUMBER(G238),G238,IF(AND(ISNUMBER(D238),ISNUMBER(E238),OR(C238="多",C238="空")),-IF(C238="空",-1,1)*D238*E238,""))</f>
        <v/>
      </c>
      <c r="G238" s="51" t="n"/>
      <c r="H238" s="30" t="n"/>
    </row>
    <row r="239">
      <c r="A239" s="48" t="n"/>
      <c r="B239" s="24" t="n"/>
      <c r="C239" s="40" t="str">
        <f>IF(B239="","",IFERROR(T(INDEX('交易记录'!$F$5:$F$304,MATCH(B239,'交易记录'!$A$5:$A$304,0))),"编号没找到"))</f>
        <v/>
      </c>
      <c r="D239" s="47" t="n"/>
      <c r="E239" s="49" t="n"/>
      <c r="F239" s="50" t="str">
        <f>IF(ISNUMBER(G239),G239,IF(AND(ISNUMBER(D239),ISNUMBER(E239),OR(C239="多",C239="空")),-IF(C239="空",-1,1)*D239*E239,""))</f>
        <v/>
      </c>
      <c r="G239" s="51" t="n"/>
      <c r="H239" s="30" t="n"/>
    </row>
    <row r="240">
      <c r="A240" s="48" t="n"/>
      <c r="B240" s="24" t="n"/>
      <c r="C240" s="40" t="str">
        <f>IF(B240="","",IFERROR(T(INDEX('交易记录'!$F$5:$F$304,MATCH(B240,'交易记录'!$A$5:$A$304,0))),"编号没找到"))</f>
        <v/>
      </c>
      <c r="D240" s="47" t="n"/>
      <c r="E240" s="49" t="n"/>
      <c r="F240" s="50" t="str">
        <f>IF(ISNUMBER(G240),G240,IF(AND(ISNUMBER(D240),ISNUMBER(E240),OR(C240="多",C240="空")),-IF(C240="空",-1,1)*D240*E240,""))</f>
        <v/>
      </c>
      <c r="G240" s="51" t="n"/>
      <c r="H240" s="30" t="n"/>
    </row>
    <row r="241">
      <c r="A241" s="48" t="n"/>
      <c r="B241" s="24" t="n"/>
      <c r="C241" s="40" t="str">
        <f>IF(B241="","",IFERROR(T(INDEX('交易记录'!$F$5:$F$304,MATCH(B241,'交易记录'!$A$5:$A$304,0))),"编号没找到"))</f>
        <v/>
      </c>
      <c r="D241" s="47" t="n"/>
      <c r="E241" s="49" t="n"/>
      <c r="F241" s="50" t="str">
        <f>IF(ISNUMBER(G241),G241,IF(AND(ISNUMBER(D241),ISNUMBER(E241),OR(C241="多",C241="空")),-IF(C241="空",-1,1)*D241*E241,""))</f>
        <v/>
      </c>
      <c r="G241" s="51" t="n"/>
      <c r="H241" s="30" t="n"/>
    </row>
    <row r="242">
      <c r="A242" s="48" t="n"/>
      <c r="B242" s="24" t="n"/>
      <c r="C242" s="40" t="str">
        <f>IF(B242="","",IFERROR(T(INDEX('交易记录'!$F$5:$F$304,MATCH(B242,'交易记录'!$A$5:$A$304,0))),"编号没找到"))</f>
        <v/>
      </c>
      <c r="D242" s="47" t="n"/>
      <c r="E242" s="49" t="n"/>
      <c r="F242" s="50" t="str">
        <f>IF(ISNUMBER(G242),G242,IF(AND(ISNUMBER(D242),ISNUMBER(E242),OR(C242="多",C242="空")),-IF(C242="空",-1,1)*D242*E242,""))</f>
        <v/>
      </c>
      <c r="G242" s="51" t="n"/>
      <c r="H242" s="30" t="n"/>
    </row>
    <row r="243">
      <c r="A243" s="48" t="n"/>
      <c r="B243" s="24" t="n"/>
      <c r="C243" s="40" t="str">
        <f>IF(B243="","",IFERROR(T(INDEX('交易记录'!$F$5:$F$304,MATCH(B243,'交易记录'!$A$5:$A$304,0))),"编号没找到"))</f>
        <v/>
      </c>
      <c r="D243" s="47" t="n"/>
      <c r="E243" s="49" t="n"/>
      <c r="F243" s="50" t="str">
        <f>IF(ISNUMBER(G243),G243,IF(AND(ISNUMBER(D243),ISNUMBER(E243),OR(C243="多",C243="空")),-IF(C243="空",-1,1)*D243*E243,""))</f>
        <v/>
      </c>
      <c r="G243" s="51" t="n"/>
      <c r="H243" s="30" t="n"/>
    </row>
    <row r="244">
      <c r="A244" s="48" t="n"/>
      <c r="B244" s="24" t="n"/>
      <c r="C244" s="40" t="str">
        <f>IF(B244="","",IFERROR(T(INDEX('交易记录'!$F$5:$F$304,MATCH(B244,'交易记录'!$A$5:$A$304,0))),"编号没找到"))</f>
        <v/>
      </c>
      <c r="D244" s="47" t="n"/>
      <c r="E244" s="49" t="n"/>
      <c r="F244" s="50" t="str">
        <f>IF(ISNUMBER(G244),G244,IF(AND(ISNUMBER(D244),ISNUMBER(E244),OR(C244="多",C244="空")),-IF(C244="空",-1,1)*D244*E244,""))</f>
        <v/>
      </c>
      <c r="G244" s="51" t="n"/>
      <c r="H244" s="30" t="n"/>
    </row>
    <row r="245">
      <c r="A245" s="48" t="n"/>
      <c r="B245" s="24" t="n"/>
      <c r="C245" s="40" t="str">
        <f>IF(B245="","",IFERROR(T(INDEX('交易记录'!$F$5:$F$304,MATCH(B245,'交易记录'!$A$5:$A$304,0))),"编号没找到"))</f>
        <v/>
      </c>
      <c r="D245" s="47" t="n"/>
      <c r="E245" s="49" t="n"/>
      <c r="F245" s="50" t="str">
        <f>IF(ISNUMBER(G245),G245,IF(AND(ISNUMBER(D245),ISNUMBER(E245),OR(C245="多",C245="空")),-IF(C245="空",-1,1)*D245*E245,""))</f>
        <v/>
      </c>
      <c r="G245" s="51" t="n"/>
      <c r="H245" s="30" t="n"/>
    </row>
    <row r="246">
      <c r="A246" s="48" t="n"/>
      <c r="B246" s="24" t="n"/>
      <c r="C246" s="40" t="str">
        <f>IF(B246="","",IFERROR(T(INDEX('交易记录'!$F$5:$F$304,MATCH(B246,'交易记录'!$A$5:$A$304,0))),"编号没找到"))</f>
        <v/>
      </c>
      <c r="D246" s="47" t="n"/>
      <c r="E246" s="49" t="n"/>
      <c r="F246" s="50" t="str">
        <f>IF(ISNUMBER(G246),G246,IF(AND(ISNUMBER(D246),ISNUMBER(E246),OR(C246="多",C246="空")),-IF(C246="空",-1,1)*D246*E246,""))</f>
        <v/>
      </c>
      <c r="G246" s="51" t="n"/>
      <c r="H246" s="30" t="n"/>
    </row>
    <row r="247">
      <c r="A247" s="48" t="n"/>
      <c r="B247" s="24" t="n"/>
      <c r="C247" s="40" t="str">
        <f>IF(B247="","",IFERROR(T(INDEX('交易记录'!$F$5:$F$304,MATCH(B247,'交易记录'!$A$5:$A$304,0))),"编号没找到"))</f>
        <v/>
      </c>
      <c r="D247" s="47" t="n"/>
      <c r="E247" s="49" t="n"/>
      <c r="F247" s="50" t="str">
        <f>IF(ISNUMBER(G247),G247,IF(AND(ISNUMBER(D247),ISNUMBER(E247),OR(C247="多",C247="空")),-IF(C247="空",-1,1)*D247*E247,""))</f>
        <v/>
      </c>
      <c r="G247" s="51" t="n"/>
      <c r="H247" s="30" t="n"/>
    </row>
    <row r="248">
      <c r="A248" s="48" t="n"/>
      <c r="B248" s="24" t="n"/>
      <c r="C248" s="40" t="str">
        <f>IF(B248="","",IFERROR(T(INDEX('交易记录'!$F$5:$F$304,MATCH(B248,'交易记录'!$A$5:$A$304,0))),"编号没找到"))</f>
        <v/>
      </c>
      <c r="D248" s="47" t="n"/>
      <c r="E248" s="49" t="n"/>
      <c r="F248" s="50" t="str">
        <f>IF(ISNUMBER(G248),G248,IF(AND(ISNUMBER(D248),ISNUMBER(E248),OR(C248="多",C248="空")),-IF(C248="空",-1,1)*D248*E248,""))</f>
        <v/>
      </c>
      <c r="G248" s="51" t="n"/>
      <c r="H248" s="30" t="n"/>
    </row>
    <row r="249">
      <c r="A249" s="48" t="n"/>
      <c r="B249" s="24" t="n"/>
      <c r="C249" s="40" t="str">
        <f>IF(B249="","",IFERROR(T(INDEX('交易记录'!$F$5:$F$304,MATCH(B249,'交易记录'!$A$5:$A$304,0))),"编号没找到"))</f>
        <v/>
      </c>
      <c r="D249" s="47" t="n"/>
      <c r="E249" s="49" t="n"/>
      <c r="F249" s="50" t="str">
        <f>IF(ISNUMBER(G249),G249,IF(AND(ISNUMBER(D249),ISNUMBER(E249),OR(C249="多",C249="空")),-IF(C249="空",-1,1)*D249*E249,""))</f>
        <v/>
      </c>
      <c r="G249" s="51" t="n"/>
      <c r="H249" s="30" t="n"/>
    </row>
    <row r="250">
      <c r="A250" s="48" t="n"/>
      <c r="B250" s="24" t="n"/>
      <c r="C250" s="40" t="str">
        <f>IF(B250="","",IFERROR(T(INDEX('交易记录'!$F$5:$F$304,MATCH(B250,'交易记录'!$A$5:$A$304,0))),"编号没找到"))</f>
        <v/>
      </c>
      <c r="D250" s="47" t="n"/>
      <c r="E250" s="49" t="n"/>
      <c r="F250" s="50" t="str">
        <f>IF(ISNUMBER(G250),G250,IF(AND(ISNUMBER(D250),ISNUMBER(E250),OR(C250="多",C250="空")),-IF(C250="空",-1,1)*D250*E250,""))</f>
        <v/>
      </c>
      <c r="G250" s="51" t="n"/>
      <c r="H250" s="30" t="n"/>
    </row>
    <row r="251">
      <c r="A251" s="48" t="n"/>
      <c r="B251" s="24" t="n"/>
      <c r="C251" s="40" t="str">
        <f>IF(B251="","",IFERROR(T(INDEX('交易记录'!$F$5:$F$304,MATCH(B251,'交易记录'!$A$5:$A$304,0))),"编号没找到"))</f>
        <v/>
      </c>
      <c r="D251" s="47" t="n"/>
      <c r="E251" s="49" t="n"/>
      <c r="F251" s="50" t="str">
        <f>IF(ISNUMBER(G251),G251,IF(AND(ISNUMBER(D251),ISNUMBER(E251),OR(C251="多",C251="空")),-IF(C251="空",-1,1)*D251*E251,""))</f>
        <v/>
      </c>
      <c r="G251" s="51" t="n"/>
      <c r="H251" s="30" t="n"/>
    </row>
    <row r="252">
      <c r="A252" s="48" t="n"/>
      <c r="B252" s="24" t="n"/>
      <c r="C252" s="40" t="str">
        <f>IF(B252="","",IFERROR(T(INDEX('交易记录'!$F$5:$F$304,MATCH(B252,'交易记录'!$A$5:$A$304,0))),"编号没找到"))</f>
        <v/>
      </c>
      <c r="D252" s="47" t="n"/>
      <c r="E252" s="49" t="n"/>
      <c r="F252" s="50" t="str">
        <f>IF(ISNUMBER(G252),G252,IF(AND(ISNUMBER(D252),ISNUMBER(E252),OR(C252="多",C252="空")),-IF(C252="空",-1,1)*D252*E252,""))</f>
        <v/>
      </c>
      <c r="G252" s="51" t="n"/>
      <c r="H252" s="30" t="n"/>
    </row>
    <row r="253">
      <c r="A253" s="48" t="n"/>
      <c r="B253" s="24" t="n"/>
      <c r="C253" s="40" t="str">
        <f>IF(B253="","",IFERROR(T(INDEX('交易记录'!$F$5:$F$304,MATCH(B253,'交易记录'!$A$5:$A$304,0))),"编号没找到"))</f>
        <v/>
      </c>
      <c r="D253" s="47" t="n"/>
      <c r="E253" s="49" t="n"/>
      <c r="F253" s="50" t="str">
        <f>IF(ISNUMBER(G253),G253,IF(AND(ISNUMBER(D253),ISNUMBER(E253),OR(C253="多",C253="空")),-IF(C253="空",-1,1)*D253*E253,""))</f>
        <v/>
      </c>
      <c r="G253" s="51" t="n"/>
      <c r="H253" s="30" t="n"/>
    </row>
    <row r="254">
      <c r="A254" s="48" t="n"/>
      <c r="B254" s="24" t="n"/>
      <c r="C254" s="40" t="str">
        <f>IF(B254="","",IFERROR(T(INDEX('交易记录'!$F$5:$F$304,MATCH(B254,'交易记录'!$A$5:$A$304,0))),"编号没找到"))</f>
        <v/>
      </c>
      <c r="D254" s="47" t="n"/>
      <c r="E254" s="49" t="n"/>
      <c r="F254" s="50" t="str">
        <f>IF(ISNUMBER(G254),G254,IF(AND(ISNUMBER(D254),ISNUMBER(E254),OR(C254="多",C254="空")),-IF(C254="空",-1,1)*D254*E254,""))</f>
        <v/>
      </c>
      <c r="G254" s="51" t="n"/>
      <c r="H254" s="30" t="n"/>
    </row>
    <row r="255">
      <c r="A255" s="48" t="n"/>
      <c r="B255" s="24" t="n"/>
      <c r="C255" s="40" t="str">
        <f>IF(B255="","",IFERROR(T(INDEX('交易记录'!$F$5:$F$304,MATCH(B255,'交易记录'!$A$5:$A$304,0))),"编号没找到"))</f>
        <v/>
      </c>
      <c r="D255" s="47" t="n"/>
      <c r="E255" s="49" t="n"/>
      <c r="F255" s="50" t="str">
        <f>IF(ISNUMBER(G255),G255,IF(AND(ISNUMBER(D255),ISNUMBER(E255),OR(C255="多",C255="空")),-IF(C255="空",-1,1)*D255*E255,""))</f>
        <v/>
      </c>
      <c r="G255" s="51" t="n"/>
      <c r="H255" s="30" t="n"/>
    </row>
    <row r="256">
      <c r="A256" s="48" t="n"/>
      <c r="B256" s="24" t="n"/>
      <c r="C256" s="40" t="str">
        <f>IF(B256="","",IFERROR(T(INDEX('交易记录'!$F$5:$F$304,MATCH(B256,'交易记录'!$A$5:$A$304,0))),"编号没找到"))</f>
        <v/>
      </c>
      <c r="D256" s="47" t="n"/>
      <c r="E256" s="49" t="n"/>
      <c r="F256" s="50" t="str">
        <f>IF(ISNUMBER(G256),G256,IF(AND(ISNUMBER(D256),ISNUMBER(E256),OR(C256="多",C256="空")),-IF(C256="空",-1,1)*D256*E256,""))</f>
        <v/>
      </c>
      <c r="G256" s="51" t="n"/>
      <c r="H256" s="30" t="n"/>
    </row>
    <row r="257">
      <c r="A257" s="48" t="n"/>
      <c r="B257" s="24" t="n"/>
      <c r="C257" s="40" t="str">
        <f>IF(B257="","",IFERROR(T(INDEX('交易记录'!$F$5:$F$304,MATCH(B257,'交易记录'!$A$5:$A$304,0))),"编号没找到"))</f>
        <v/>
      </c>
      <c r="D257" s="47" t="n"/>
      <c r="E257" s="49" t="n"/>
      <c r="F257" s="50" t="str">
        <f>IF(ISNUMBER(G257),G257,IF(AND(ISNUMBER(D257),ISNUMBER(E257),OR(C257="多",C257="空")),-IF(C257="空",-1,1)*D257*E257,""))</f>
        <v/>
      </c>
      <c r="G257" s="51" t="n"/>
      <c r="H257" s="30" t="n"/>
    </row>
    <row r="258">
      <c r="A258" s="48" t="n"/>
      <c r="B258" s="24" t="n"/>
      <c r="C258" s="40" t="str">
        <f>IF(B258="","",IFERROR(T(INDEX('交易记录'!$F$5:$F$304,MATCH(B258,'交易记录'!$A$5:$A$304,0))),"编号没找到"))</f>
        <v/>
      </c>
      <c r="D258" s="47" t="n"/>
      <c r="E258" s="49" t="n"/>
      <c r="F258" s="50" t="str">
        <f>IF(ISNUMBER(G258),G258,IF(AND(ISNUMBER(D258),ISNUMBER(E258),OR(C258="多",C258="空")),-IF(C258="空",-1,1)*D258*E258,""))</f>
        <v/>
      </c>
      <c r="G258" s="51" t="n"/>
      <c r="H258" s="30" t="n"/>
    </row>
    <row r="259">
      <c r="A259" s="48" t="n"/>
      <c r="B259" s="24" t="n"/>
      <c r="C259" s="40" t="str">
        <f>IF(B259="","",IFERROR(T(INDEX('交易记录'!$F$5:$F$304,MATCH(B259,'交易记录'!$A$5:$A$304,0))),"编号没找到"))</f>
        <v/>
      </c>
      <c r="D259" s="47" t="n"/>
      <c r="E259" s="49" t="n"/>
      <c r="F259" s="50" t="str">
        <f>IF(ISNUMBER(G259),G259,IF(AND(ISNUMBER(D259),ISNUMBER(E259),OR(C259="多",C259="空")),-IF(C259="空",-1,1)*D259*E259,""))</f>
        <v/>
      </c>
      <c r="G259" s="51" t="n"/>
      <c r="H259" s="30" t="n"/>
    </row>
    <row r="260">
      <c r="A260" s="48" t="n"/>
      <c r="B260" s="24" t="n"/>
      <c r="C260" s="40" t="str">
        <f>IF(B260="","",IFERROR(T(INDEX('交易记录'!$F$5:$F$304,MATCH(B260,'交易记录'!$A$5:$A$304,0))),"编号没找到"))</f>
        <v/>
      </c>
      <c r="D260" s="47" t="n"/>
      <c r="E260" s="49" t="n"/>
      <c r="F260" s="50" t="str">
        <f>IF(ISNUMBER(G260),G260,IF(AND(ISNUMBER(D260),ISNUMBER(E260),OR(C260="多",C260="空")),-IF(C260="空",-1,1)*D260*E260,""))</f>
        <v/>
      </c>
      <c r="G260" s="51" t="n"/>
      <c r="H260" s="30" t="n"/>
    </row>
    <row r="261">
      <c r="A261" s="48" t="n"/>
      <c r="B261" s="24" t="n"/>
      <c r="C261" s="40" t="str">
        <f>IF(B261="","",IFERROR(T(INDEX('交易记录'!$F$5:$F$304,MATCH(B261,'交易记录'!$A$5:$A$304,0))),"编号没找到"))</f>
        <v/>
      </c>
      <c r="D261" s="47" t="n"/>
      <c r="E261" s="49" t="n"/>
      <c r="F261" s="50" t="str">
        <f>IF(ISNUMBER(G261),G261,IF(AND(ISNUMBER(D261),ISNUMBER(E261),OR(C261="多",C261="空")),-IF(C261="空",-1,1)*D261*E261,""))</f>
        <v/>
      </c>
      <c r="G261" s="51" t="n"/>
      <c r="H261" s="30" t="n"/>
    </row>
    <row r="262">
      <c r="A262" s="48" t="n"/>
      <c r="B262" s="24" t="n"/>
      <c r="C262" s="40" t="str">
        <f>IF(B262="","",IFERROR(T(INDEX('交易记录'!$F$5:$F$304,MATCH(B262,'交易记录'!$A$5:$A$304,0))),"编号没找到"))</f>
        <v/>
      </c>
      <c r="D262" s="47" t="n"/>
      <c r="E262" s="49" t="n"/>
      <c r="F262" s="50" t="str">
        <f>IF(ISNUMBER(G262),G262,IF(AND(ISNUMBER(D262),ISNUMBER(E262),OR(C262="多",C262="空")),-IF(C262="空",-1,1)*D262*E262,""))</f>
        <v/>
      </c>
      <c r="G262" s="51" t="n"/>
      <c r="H262" s="30" t="n"/>
    </row>
    <row r="263">
      <c r="A263" s="48" t="n"/>
      <c r="B263" s="24" t="n"/>
      <c r="C263" s="40" t="str">
        <f>IF(B263="","",IFERROR(T(INDEX('交易记录'!$F$5:$F$304,MATCH(B263,'交易记录'!$A$5:$A$304,0))),"编号没找到"))</f>
        <v/>
      </c>
      <c r="D263" s="47" t="n"/>
      <c r="E263" s="49" t="n"/>
      <c r="F263" s="50" t="str">
        <f>IF(ISNUMBER(G263),G263,IF(AND(ISNUMBER(D263),ISNUMBER(E263),OR(C263="多",C263="空")),-IF(C263="空",-1,1)*D263*E263,""))</f>
        <v/>
      </c>
      <c r="G263" s="51" t="n"/>
      <c r="H263" s="30" t="n"/>
    </row>
    <row r="264">
      <c r="A264" s="48" t="n"/>
      <c r="B264" s="24" t="n"/>
      <c r="C264" s="40" t="str">
        <f>IF(B264="","",IFERROR(T(INDEX('交易记录'!$F$5:$F$304,MATCH(B264,'交易记录'!$A$5:$A$304,0))),"编号没找到"))</f>
        <v/>
      </c>
      <c r="D264" s="47" t="n"/>
      <c r="E264" s="49" t="n"/>
      <c r="F264" s="50" t="str">
        <f>IF(ISNUMBER(G264),G264,IF(AND(ISNUMBER(D264),ISNUMBER(E264),OR(C264="多",C264="空")),-IF(C264="空",-1,1)*D264*E264,""))</f>
        <v/>
      </c>
      <c r="G264" s="51" t="n"/>
      <c r="H264" s="30" t="n"/>
    </row>
    <row r="265">
      <c r="A265" s="48" t="n"/>
      <c r="B265" s="24" t="n"/>
      <c r="C265" s="40" t="str">
        <f>IF(B265="","",IFERROR(T(INDEX('交易记录'!$F$5:$F$304,MATCH(B265,'交易记录'!$A$5:$A$304,0))),"编号没找到"))</f>
        <v/>
      </c>
      <c r="D265" s="47" t="n"/>
      <c r="E265" s="49" t="n"/>
      <c r="F265" s="50" t="str">
        <f>IF(ISNUMBER(G265),G265,IF(AND(ISNUMBER(D265),ISNUMBER(E265),OR(C265="多",C265="空")),-IF(C265="空",-1,1)*D265*E265,""))</f>
        <v/>
      </c>
      <c r="G265" s="51" t="n"/>
      <c r="H265" s="30" t="n"/>
    </row>
    <row r="266">
      <c r="A266" s="48" t="n"/>
      <c r="B266" s="24" t="n"/>
      <c r="C266" s="40" t="str">
        <f>IF(B266="","",IFERROR(T(INDEX('交易记录'!$F$5:$F$304,MATCH(B266,'交易记录'!$A$5:$A$304,0))),"编号没找到"))</f>
        <v/>
      </c>
      <c r="D266" s="47" t="n"/>
      <c r="E266" s="49" t="n"/>
      <c r="F266" s="50" t="str">
        <f>IF(ISNUMBER(G266),G266,IF(AND(ISNUMBER(D266),ISNUMBER(E266),OR(C266="多",C266="空")),-IF(C266="空",-1,1)*D266*E266,""))</f>
        <v/>
      </c>
      <c r="G266" s="51" t="n"/>
      <c r="H266" s="30" t="n"/>
    </row>
    <row r="267">
      <c r="A267" s="48" t="n"/>
      <c r="B267" s="24" t="n"/>
      <c r="C267" s="40" t="str">
        <f>IF(B267="","",IFERROR(T(INDEX('交易记录'!$F$5:$F$304,MATCH(B267,'交易记录'!$A$5:$A$304,0))),"编号没找到"))</f>
        <v/>
      </c>
      <c r="D267" s="47" t="n"/>
      <c r="E267" s="49" t="n"/>
      <c r="F267" s="50" t="str">
        <f>IF(ISNUMBER(G267),G267,IF(AND(ISNUMBER(D267),ISNUMBER(E267),OR(C267="多",C267="空")),-IF(C267="空",-1,1)*D267*E267,""))</f>
        <v/>
      </c>
      <c r="G267" s="51" t="n"/>
      <c r="H267" s="30" t="n"/>
    </row>
    <row r="268">
      <c r="A268" s="48" t="n"/>
      <c r="B268" s="24" t="n"/>
      <c r="C268" s="40" t="str">
        <f>IF(B268="","",IFERROR(T(INDEX('交易记录'!$F$5:$F$304,MATCH(B268,'交易记录'!$A$5:$A$304,0))),"编号没找到"))</f>
        <v/>
      </c>
      <c r="D268" s="47" t="n"/>
      <c r="E268" s="49" t="n"/>
      <c r="F268" s="50" t="str">
        <f>IF(ISNUMBER(G268),G268,IF(AND(ISNUMBER(D268),ISNUMBER(E268),OR(C268="多",C268="空")),-IF(C268="空",-1,1)*D268*E268,""))</f>
        <v/>
      </c>
      <c r="G268" s="51" t="n"/>
      <c r="H268" s="30" t="n"/>
    </row>
    <row r="269">
      <c r="A269" s="48" t="n"/>
      <c r="B269" s="24" t="n"/>
      <c r="C269" s="40" t="str">
        <f>IF(B269="","",IFERROR(T(INDEX('交易记录'!$F$5:$F$304,MATCH(B269,'交易记录'!$A$5:$A$304,0))),"编号没找到"))</f>
        <v/>
      </c>
      <c r="D269" s="47" t="n"/>
      <c r="E269" s="49" t="n"/>
      <c r="F269" s="50" t="str">
        <f>IF(ISNUMBER(G269),G269,IF(AND(ISNUMBER(D269),ISNUMBER(E269),OR(C269="多",C269="空")),-IF(C269="空",-1,1)*D269*E269,""))</f>
        <v/>
      </c>
      <c r="G269" s="51" t="n"/>
      <c r="H269" s="30" t="n"/>
    </row>
    <row r="270">
      <c r="A270" s="48" t="n"/>
      <c r="B270" s="24" t="n"/>
      <c r="C270" s="40" t="str">
        <f>IF(B270="","",IFERROR(T(INDEX('交易记录'!$F$5:$F$304,MATCH(B270,'交易记录'!$A$5:$A$304,0))),"编号没找到"))</f>
        <v/>
      </c>
      <c r="D270" s="47" t="n"/>
      <c r="E270" s="49" t="n"/>
      <c r="F270" s="50" t="str">
        <f>IF(ISNUMBER(G270),G270,IF(AND(ISNUMBER(D270),ISNUMBER(E270),OR(C270="多",C270="空")),-IF(C270="空",-1,1)*D270*E270,""))</f>
        <v/>
      </c>
      <c r="G270" s="51" t="n"/>
      <c r="H270" s="30" t="n"/>
    </row>
    <row r="271">
      <c r="A271" s="48" t="n"/>
      <c r="B271" s="24" t="n"/>
      <c r="C271" s="40" t="str">
        <f>IF(B271="","",IFERROR(T(INDEX('交易记录'!$F$5:$F$304,MATCH(B271,'交易记录'!$A$5:$A$304,0))),"编号没找到"))</f>
        <v/>
      </c>
      <c r="D271" s="47" t="n"/>
      <c r="E271" s="49" t="n"/>
      <c r="F271" s="50" t="str">
        <f>IF(ISNUMBER(G271),G271,IF(AND(ISNUMBER(D271),ISNUMBER(E271),OR(C271="多",C271="空")),-IF(C271="空",-1,1)*D271*E271,""))</f>
        <v/>
      </c>
      <c r="G271" s="51" t="n"/>
      <c r="H271" s="30" t="n"/>
    </row>
    <row r="272">
      <c r="A272" s="48" t="n"/>
      <c r="B272" s="24" t="n"/>
      <c r="C272" s="40" t="str">
        <f>IF(B272="","",IFERROR(T(INDEX('交易记录'!$F$5:$F$304,MATCH(B272,'交易记录'!$A$5:$A$304,0))),"编号没找到"))</f>
        <v/>
      </c>
      <c r="D272" s="47" t="n"/>
      <c r="E272" s="49" t="n"/>
      <c r="F272" s="50" t="str">
        <f>IF(ISNUMBER(G272),G272,IF(AND(ISNUMBER(D272),ISNUMBER(E272),OR(C272="多",C272="空")),-IF(C272="空",-1,1)*D272*E272,""))</f>
        <v/>
      </c>
      <c r="G272" s="51" t="n"/>
      <c r="H272" s="30" t="n"/>
    </row>
    <row r="273">
      <c r="A273" s="48" t="n"/>
      <c r="B273" s="24" t="n"/>
      <c r="C273" s="40" t="str">
        <f>IF(B273="","",IFERROR(T(INDEX('交易记录'!$F$5:$F$304,MATCH(B273,'交易记录'!$A$5:$A$304,0))),"编号没找到"))</f>
        <v/>
      </c>
      <c r="D273" s="47" t="n"/>
      <c r="E273" s="49" t="n"/>
      <c r="F273" s="50" t="str">
        <f>IF(ISNUMBER(G273),G273,IF(AND(ISNUMBER(D273),ISNUMBER(E273),OR(C273="多",C273="空")),-IF(C273="空",-1,1)*D273*E273,""))</f>
        <v/>
      </c>
      <c r="G273" s="51" t="n"/>
      <c r="H273" s="30" t="n"/>
    </row>
    <row r="274">
      <c r="A274" s="48" t="n"/>
      <c r="B274" s="24" t="n"/>
      <c r="C274" s="40" t="str">
        <f>IF(B274="","",IFERROR(T(INDEX('交易记录'!$F$5:$F$304,MATCH(B274,'交易记录'!$A$5:$A$304,0))),"编号没找到"))</f>
        <v/>
      </c>
      <c r="D274" s="47" t="n"/>
      <c r="E274" s="49" t="n"/>
      <c r="F274" s="50" t="str">
        <f>IF(ISNUMBER(G274),G274,IF(AND(ISNUMBER(D274),ISNUMBER(E274),OR(C274="多",C274="空")),-IF(C274="空",-1,1)*D274*E274,""))</f>
        <v/>
      </c>
      <c r="G274" s="51" t="n"/>
      <c r="H274" s="30" t="n"/>
    </row>
    <row r="275">
      <c r="A275" s="48" t="n"/>
      <c r="B275" s="24" t="n"/>
      <c r="C275" s="40" t="str">
        <f>IF(B275="","",IFERROR(T(INDEX('交易记录'!$F$5:$F$304,MATCH(B275,'交易记录'!$A$5:$A$304,0))),"编号没找到"))</f>
        <v/>
      </c>
      <c r="D275" s="47" t="n"/>
      <c r="E275" s="49" t="n"/>
      <c r="F275" s="50" t="str">
        <f>IF(ISNUMBER(G275),G275,IF(AND(ISNUMBER(D275),ISNUMBER(E275),OR(C275="多",C275="空")),-IF(C275="空",-1,1)*D275*E275,""))</f>
        <v/>
      </c>
      <c r="G275" s="51" t="n"/>
      <c r="H275" s="30" t="n"/>
    </row>
    <row r="276">
      <c r="A276" s="48" t="n"/>
      <c r="B276" s="24" t="n"/>
      <c r="C276" s="40" t="str">
        <f>IF(B276="","",IFERROR(T(INDEX('交易记录'!$F$5:$F$304,MATCH(B276,'交易记录'!$A$5:$A$304,0))),"编号没找到"))</f>
        <v/>
      </c>
      <c r="D276" s="47" t="n"/>
      <c r="E276" s="49" t="n"/>
      <c r="F276" s="50" t="str">
        <f>IF(ISNUMBER(G276),G276,IF(AND(ISNUMBER(D276),ISNUMBER(E276),OR(C276="多",C276="空")),-IF(C276="空",-1,1)*D276*E276,""))</f>
        <v/>
      </c>
      <c r="G276" s="51" t="n"/>
      <c r="H276" s="30" t="n"/>
    </row>
    <row r="277">
      <c r="A277" s="48" t="n"/>
      <c r="B277" s="24" t="n"/>
      <c r="C277" s="40" t="str">
        <f>IF(B277="","",IFERROR(T(INDEX('交易记录'!$F$5:$F$304,MATCH(B277,'交易记录'!$A$5:$A$304,0))),"编号没找到"))</f>
        <v/>
      </c>
      <c r="D277" s="47" t="n"/>
      <c r="E277" s="49" t="n"/>
      <c r="F277" s="50" t="str">
        <f>IF(ISNUMBER(G277),G277,IF(AND(ISNUMBER(D277),ISNUMBER(E277),OR(C277="多",C277="空")),-IF(C277="空",-1,1)*D277*E277,""))</f>
        <v/>
      </c>
      <c r="G277" s="51" t="n"/>
      <c r="H277" s="30" t="n"/>
    </row>
    <row r="278">
      <c r="A278" s="48" t="n"/>
      <c r="B278" s="24" t="n"/>
      <c r="C278" s="40" t="str">
        <f>IF(B278="","",IFERROR(T(INDEX('交易记录'!$F$5:$F$304,MATCH(B278,'交易记录'!$A$5:$A$304,0))),"编号没找到"))</f>
        <v/>
      </c>
      <c r="D278" s="47" t="n"/>
      <c r="E278" s="49" t="n"/>
      <c r="F278" s="50" t="str">
        <f>IF(ISNUMBER(G278),G278,IF(AND(ISNUMBER(D278),ISNUMBER(E278),OR(C278="多",C278="空")),-IF(C278="空",-1,1)*D278*E278,""))</f>
        <v/>
      </c>
      <c r="G278" s="51" t="n"/>
      <c r="H278" s="30" t="n"/>
    </row>
    <row r="279">
      <c r="A279" s="48" t="n"/>
      <c r="B279" s="24" t="n"/>
      <c r="C279" s="40" t="str">
        <f>IF(B279="","",IFERROR(T(INDEX('交易记录'!$F$5:$F$304,MATCH(B279,'交易记录'!$A$5:$A$304,0))),"编号没找到"))</f>
        <v/>
      </c>
      <c r="D279" s="47" t="n"/>
      <c r="E279" s="49" t="n"/>
      <c r="F279" s="50" t="str">
        <f>IF(ISNUMBER(G279),G279,IF(AND(ISNUMBER(D279),ISNUMBER(E279),OR(C279="多",C279="空")),-IF(C279="空",-1,1)*D279*E279,""))</f>
        <v/>
      </c>
      <c r="G279" s="51" t="n"/>
      <c r="H279" s="30" t="n"/>
    </row>
    <row r="280">
      <c r="A280" s="48" t="n"/>
      <c r="B280" s="24" t="n"/>
      <c r="C280" s="40" t="str">
        <f>IF(B280="","",IFERROR(T(INDEX('交易记录'!$F$5:$F$304,MATCH(B280,'交易记录'!$A$5:$A$304,0))),"编号没找到"))</f>
        <v/>
      </c>
      <c r="D280" s="47" t="n"/>
      <c r="E280" s="49" t="n"/>
      <c r="F280" s="50" t="str">
        <f>IF(ISNUMBER(G280),G280,IF(AND(ISNUMBER(D280),ISNUMBER(E280),OR(C280="多",C280="空")),-IF(C280="空",-1,1)*D280*E280,""))</f>
        <v/>
      </c>
      <c r="G280" s="51" t="n"/>
      <c r="H280" s="30" t="n"/>
    </row>
    <row r="281">
      <c r="A281" s="48" t="n"/>
      <c r="B281" s="24" t="n"/>
      <c r="C281" s="40" t="str">
        <f>IF(B281="","",IFERROR(T(INDEX('交易记录'!$F$5:$F$304,MATCH(B281,'交易记录'!$A$5:$A$304,0))),"编号没找到"))</f>
        <v/>
      </c>
      <c r="D281" s="47" t="n"/>
      <c r="E281" s="49" t="n"/>
      <c r="F281" s="50" t="str">
        <f>IF(ISNUMBER(G281),G281,IF(AND(ISNUMBER(D281),ISNUMBER(E281),OR(C281="多",C281="空")),-IF(C281="空",-1,1)*D281*E281,""))</f>
        <v/>
      </c>
      <c r="G281" s="51" t="n"/>
      <c r="H281" s="30" t="n"/>
    </row>
    <row r="282">
      <c r="A282" s="48" t="n"/>
      <c r="B282" s="24" t="n"/>
      <c r="C282" s="40" t="str">
        <f>IF(B282="","",IFERROR(T(INDEX('交易记录'!$F$5:$F$304,MATCH(B282,'交易记录'!$A$5:$A$304,0))),"编号没找到"))</f>
        <v/>
      </c>
      <c r="D282" s="47" t="n"/>
      <c r="E282" s="49" t="n"/>
      <c r="F282" s="50" t="str">
        <f>IF(ISNUMBER(G282),G282,IF(AND(ISNUMBER(D282),ISNUMBER(E282),OR(C282="多",C282="空")),-IF(C282="空",-1,1)*D282*E282,""))</f>
        <v/>
      </c>
      <c r="G282" s="51" t="n"/>
      <c r="H282" s="30" t="n"/>
    </row>
    <row r="283">
      <c r="A283" s="48" t="n"/>
      <c r="B283" s="24" t="n"/>
      <c r="C283" s="40" t="str">
        <f>IF(B283="","",IFERROR(T(INDEX('交易记录'!$F$5:$F$304,MATCH(B283,'交易记录'!$A$5:$A$304,0))),"编号没找到"))</f>
        <v/>
      </c>
      <c r="D283" s="47" t="n"/>
      <c r="E283" s="49" t="n"/>
      <c r="F283" s="50" t="str">
        <f>IF(ISNUMBER(G283),G283,IF(AND(ISNUMBER(D283),ISNUMBER(E283),OR(C283="多",C283="空")),-IF(C283="空",-1,1)*D283*E283,""))</f>
        <v/>
      </c>
      <c r="G283" s="51" t="n"/>
      <c r="H283" s="30" t="n"/>
    </row>
    <row r="284">
      <c r="A284" s="48" t="n"/>
      <c r="B284" s="24" t="n"/>
      <c r="C284" s="40" t="str">
        <f>IF(B284="","",IFERROR(T(INDEX('交易记录'!$F$5:$F$304,MATCH(B284,'交易记录'!$A$5:$A$304,0))),"编号没找到"))</f>
        <v/>
      </c>
      <c r="D284" s="47" t="n"/>
      <c r="E284" s="49" t="n"/>
      <c r="F284" s="50" t="str">
        <f>IF(ISNUMBER(G284),G284,IF(AND(ISNUMBER(D284),ISNUMBER(E284),OR(C284="多",C284="空")),-IF(C284="空",-1,1)*D284*E284,""))</f>
        <v/>
      </c>
      <c r="G284" s="51" t="n"/>
      <c r="H284" s="30" t="n"/>
    </row>
    <row r="285">
      <c r="A285" s="48" t="n"/>
      <c r="B285" s="24" t="n"/>
      <c r="C285" s="40" t="str">
        <f>IF(B285="","",IFERROR(T(INDEX('交易记录'!$F$5:$F$304,MATCH(B285,'交易记录'!$A$5:$A$304,0))),"编号没找到"))</f>
        <v/>
      </c>
      <c r="D285" s="47" t="n"/>
      <c r="E285" s="49" t="n"/>
      <c r="F285" s="50" t="str">
        <f>IF(ISNUMBER(G285),G285,IF(AND(ISNUMBER(D285),ISNUMBER(E285),OR(C285="多",C285="空")),-IF(C285="空",-1,1)*D285*E285,""))</f>
        <v/>
      </c>
      <c r="G285" s="51" t="n"/>
      <c r="H285" s="30" t="n"/>
    </row>
    <row r="286">
      <c r="A286" s="48" t="n"/>
      <c r="B286" s="24" t="n"/>
      <c r="C286" s="40" t="str">
        <f>IF(B286="","",IFERROR(T(INDEX('交易记录'!$F$5:$F$304,MATCH(B286,'交易记录'!$A$5:$A$304,0))),"编号没找到"))</f>
        <v/>
      </c>
      <c r="D286" s="47" t="n"/>
      <c r="E286" s="49" t="n"/>
      <c r="F286" s="50" t="str">
        <f>IF(ISNUMBER(G286),G286,IF(AND(ISNUMBER(D286),ISNUMBER(E286),OR(C286="多",C286="空")),-IF(C286="空",-1,1)*D286*E286,""))</f>
        <v/>
      </c>
      <c r="G286" s="51" t="n"/>
      <c r="H286" s="30" t="n"/>
    </row>
    <row r="287">
      <c r="A287" s="48" t="n"/>
      <c r="B287" s="24" t="n"/>
      <c r="C287" s="40" t="str">
        <f>IF(B287="","",IFERROR(T(INDEX('交易记录'!$F$5:$F$304,MATCH(B287,'交易记录'!$A$5:$A$304,0))),"编号没找到"))</f>
        <v/>
      </c>
      <c r="D287" s="47" t="n"/>
      <c r="E287" s="49" t="n"/>
      <c r="F287" s="50" t="str">
        <f>IF(ISNUMBER(G287),G287,IF(AND(ISNUMBER(D287),ISNUMBER(E287),OR(C287="多",C287="空")),-IF(C287="空",-1,1)*D287*E287,""))</f>
        <v/>
      </c>
      <c r="G287" s="51" t="n"/>
      <c r="H287" s="30" t="n"/>
    </row>
    <row r="288">
      <c r="A288" s="48" t="n"/>
      <c r="B288" s="24" t="n"/>
      <c r="C288" s="40" t="str">
        <f>IF(B288="","",IFERROR(T(INDEX('交易记录'!$F$5:$F$304,MATCH(B288,'交易记录'!$A$5:$A$304,0))),"编号没找到"))</f>
        <v/>
      </c>
      <c r="D288" s="47" t="n"/>
      <c r="E288" s="49" t="n"/>
      <c r="F288" s="50" t="str">
        <f>IF(ISNUMBER(G288),G288,IF(AND(ISNUMBER(D288),ISNUMBER(E288),OR(C288="多",C288="空")),-IF(C288="空",-1,1)*D288*E288,""))</f>
        <v/>
      </c>
      <c r="G288" s="51" t="n"/>
      <c r="H288" s="30" t="n"/>
    </row>
    <row r="289">
      <c r="A289" s="48" t="n"/>
      <c r="B289" s="24" t="n"/>
      <c r="C289" s="40" t="str">
        <f>IF(B289="","",IFERROR(T(INDEX('交易记录'!$F$5:$F$304,MATCH(B289,'交易记录'!$A$5:$A$304,0))),"编号没找到"))</f>
        <v/>
      </c>
      <c r="D289" s="47" t="n"/>
      <c r="E289" s="49" t="n"/>
      <c r="F289" s="50" t="str">
        <f>IF(ISNUMBER(G289),G289,IF(AND(ISNUMBER(D289),ISNUMBER(E289),OR(C289="多",C289="空")),-IF(C289="空",-1,1)*D289*E289,""))</f>
        <v/>
      </c>
      <c r="G289" s="51" t="n"/>
      <c r="H289" s="30" t="n"/>
    </row>
    <row r="290">
      <c r="A290" s="48" t="n"/>
      <c r="B290" s="24" t="n"/>
      <c r="C290" s="40" t="str">
        <f>IF(B290="","",IFERROR(T(INDEX('交易记录'!$F$5:$F$304,MATCH(B290,'交易记录'!$A$5:$A$304,0))),"编号没找到"))</f>
        <v/>
      </c>
      <c r="D290" s="47" t="n"/>
      <c r="E290" s="49" t="n"/>
      <c r="F290" s="50" t="str">
        <f>IF(ISNUMBER(G290),G290,IF(AND(ISNUMBER(D290),ISNUMBER(E290),OR(C290="多",C290="空")),-IF(C290="空",-1,1)*D290*E290,""))</f>
        <v/>
      </c>
      <c r="G290" s="51" t="n"/>
      <c r="H290" s="30" t="n"/>
    </row>
    <row r="291">
      <c r="A291" s="48" t="n"/>
      <c r="B291" s="24" t="n"/>
      <c r="C291" s="40" t="str">
        <f>IF(B291="","",IFERROR(T(INDEX('交易记录'!$F$5:$F$304,MATCH(B291,'交易记录'!$A$5:$A$304,0))),"编号没找到"))</f>
        <v/>
      </c>
      <c r="D291" s="47" t="n"/>
      <c r="E291" s="49" t="n"/>
      <c r="F291" s="50" t="str">
        <f>IF(ISNUMBER(G291),G291,IF(AND(ISNUMBER(D291),ISNUMBER(E291),OR(C291="多",C291="空")),-IF(C291="空",-1,1)*D291*E291,""))</f>
        <v/>
      </c>
      <c r="G291" s="51" t="n"/>
      <c r="H291" s="30" t="n"/>
    </row>
    <row r="292">
      <c r="A292" s="48" t="n"/>
      <c r="B292" s="24" t="n"/>
      <c r="C292" s="40" t="str">
        <f>IF(B292="","",IFERROR(T(INDEX('交易记录'!$F$5:$F$304,MATCH(B292,'交易记录'!$A$5:$A$304,0))),"编号没找到"))</f>
        <v/>
      </c>
      <c r="D292" s="47" t="n"/>
      <c r="E292" s="49" t="n"/>
      <c r="F292" s="50" t="str">
        <f>IF(ISNUMBER(G292),G292,IF(AND(ISNUMBER(D292),ISNUMBER(E292),OR(C292="多",C292="空")),-IF(C292="空",-1,1)*D292*E292,""))</f>
        <v/>
      </c>
      <c r="G292" s="51" t="n"/>
      <c r="H292" s="30" t="n"/>
    </row>
    <row r="293">
      <c r="A293" s="48" t="n"/>
      <c r="B293" s="24" t="n"/>
      <c r="C293" s="40" t="str">
        <f>IF(B293="","",IFERROR(T(INDEX('交易记录'!$F$5:$F$304,MATCH(B293,'交易记录'!$A$5:$A$304,0))),"编号没找到"))</f>
        <v/>
      </c>
      <c r="D293" s="47" t="n"/>
      <c r="E293" s="49" t="n"/>
      <c r="F293" s="50" t="str">
        <f>IF(ISNUMBER(G293),G293,IF(AND(ISNUMBER(D293),ISNUMBER(E293),OR(C293="多",C293="空")),-IF(C293="空",-1,1)*D293*E293,""))</f>
        <v/>
      </c>
      <c r="G293" s="51" t="n"/>
      <c r="H293" s="30" t="n"/>
    </row>
    <row r="294">
      <c r="A294" s="48" t="n"/>
      <c r="B294" s="24" t="n"/>
      <c r="C294" s="40" t="str">
        <f>IF(B294="","",IFERROR(T(INDEX('交易记录'!$F$5:$F$304,MATCH(B294,'交易记录'!$A$5:$A$304,0))),"编号没找到"))</f>
        <v/>
      </c>
      <c r="D294" s="47" t="n"/>
      <c r="E294" s="49" t="n"/>
      <c r="F294" s="50" t="str">
        <f>IF(ISNUMBER(G294),G294,IF(AND(ISNUMBER(D294),ISNUMBER(E294),OR(C294="多",C294="空")),-IF(C294="空",-1,1)*D294*E294,""))</f>
        <v/>
      </c>
      <c r="G294" s="51" t="n"/>
      <c r="H294" s="30" t="n"/>
    </row>
    <row r="295">
      <c r="A295" s="48" t="n"/>
      <c r="B295" s="24" t="n"/>
      <c r="C295" s="40" t="str">
        <f>IF(B295="","",IFERROR(T(INDEX('交易记录'!$F$5:$F$304,MATCH(B295,'交易记录'!$A$5:$A$304,0))),"编号没找到"))</f>
        <v/>
      </c>
      <c r="D295" s="47" t="n"/>
      <c r="E295" s="49" t="n"/>
      <c r="F295" s="50" t="str">
        <f>IF(ISNUMBER(G295),G295,IF(AND(ISNUMBER(D295),ISNUMBER(E295),OR(C295="多",C295="空")),-IF(C295="空",-1,1)*D295*E295,""))</f>
        <v/>
      </c>
      <c r="G295" s="51" t="n"/>
      <c r="H295" s="30" t="n"/>
    </row>
    <row r="296">
      <c r="A296" s="48" t="n"/>
      <c r="B296" s="24" t="n"/>
      <c r="C296" s="40" t="str">
        <f>IF(B296="","",IFERROR(T(INDEX('交易记录'!$F$5:$F$304,MATCH(B296,'交易记录'!$A$5:$A$304,0))),"编号没找到"))</f>
        <v/>
      </c>
      <c r="D296" s="47" t="n"/>
      <c r="E296" s="49" t="n"/>
      <c r="F296" s="50" t="str">
        <f>IF(ISNUMBER(G296),G296,IF(AND(ISNUMBER(D296),ISNUMBER(E296),OR(C296="多",C296="空")),-IF(C296="空",-1,1)*D296*E296,""))</f>
        <v/>
      </c>
      <c r="G296" s="51" t="n"/>
      <c r="H296" s="30" t="n"/>
    </row>
    <row r="297">
      <c r="A297" s="48" t="n"/>
      <c r="B297" s="24" t="n"/>
      <c r="C297" s="40" t="str">
        <f>IF(B297="","",IFERROR(T(INDEX('交易记录'!$F$5:$F$304,MATCH(B297,'交易记录'!$A$5:$A$304,0))),"编号没找到"))</f>
        <v/>
      </c>
      <c r="D297" s="47" t="n"/>
      <c r="E297" s="49" t="n"/>
      <c r="F297" s="50" t="str">
        <f>IF(ISNUMBER(G297),G297,IF(AND(ISNUMBER(D297),ISNUMBER(E297),OR(C297="多",C297="空")),-IF(C297="空",-1,1)*D297*E297,""))</f>
        <v/>
      </c>
      <c r="G297" s="51" t="n"/>
      <c r="H297" s="30" t="n"/>
    </row>
    <row r="298">
      <c r="A298" s="48" t="n"/>
      <c r="B298" s="24" t="n"/>
      <c r="C298" s="40" t="str">
        <f>IF(B298="","",IFERROR(T(INDEX('交易记录'!$F$5:$F$304,MATCH(B298,'交易记录'!$A$5:$A$304,0))),"编号没找到"))</f>
        <v/>
      </c>
      <c r="D298" s="47" t="n"/>
      <c r="E298" s="49" t="n"/>
      <c r="F298" s="50" t="str">
        <f>IF(ISNUMBER(G298),G298,IF(AND(ISNUMBER(D298),ISNUMBER(E298),OR(C298="多",C298="空")),-IF(C298="空",-1,1)*D298*E298,""))</f>
        <v/>
      </c>
      <c r="G298" s="51" t="n"/>
      <c r="H298" s="30" t="n"/>
    </row>
    <row r="299">
      <c r="A299" s="48" t="n"/>
      <c r="B299" s="24" t="n"/>
      <c r="C299" s="40" t="str">
        <f>IF(B299="","",IFERROR(T(INDEX('交易记录'!$F$5:$F$304,MATCH(B299,'交易记录'!$A$5:$A$304,0))),"编号没找到"))</f>
        <v/>
      </c>
      <c r="D299" s="47" t="n"/>
      <c r="E299" s="49" t="n"/>
      <c r="F299" s="50" t="str">
        <f>IF(ISNUMBER(G299),G299,IF(AND(ISNUMBER(D299),ISNUMBER(E299),OR(C299="多",C299="空")),-IF(C299="空",-1,1)*D299*E299,""))</f>
        <v/>
      </c>
      <c r="G299" s="51" t="n"/>
      <c r="H299" s="30" t="n"/>
    </row>
    <row r="300">
      <c r="A300" s="48" t="n"/>
      <c r="B300" s="24" t="n"/>
      <c r="C300" s="40" t="str">
        <f>IF(B300="","",IFERROR(T(INDEX('交易记录'!$F$5:$F$304,MATCH(B300,'交易记录'!$A$5:$A$304,0))),"编号没找到"))</f>
        <v/>
      </c>
      <c r="D300" s="47" t="n"/>
      <c r="E300" s="49" t="n"/>
      <c r="F300" s="50" t="str">
        <f>IF(ISNUMBER(G300),G300,IF(AND(ISNUMBER(D300),ISNUMBER(E300),OR(C300="多",C300="空")),-IF(C300="空",-1,1)*D300*E300,""))</f>
        <v/>
      </c>
      <c r="G300" s="51" t="n"/>
      <c r="H300" s="30" t="n"/>
    </row>
    <row r="301">
      <c r="A301" s="48" t="n"/>
      <c r="B301" s="24" t="n"/>
      <c r="C301" s="40" t="str">
        <f>IF(B301="","",IFERROR(T(INDEX('交易记录'!$F$5:$F$304,MATCH(B301,'交易记录'!$A$5:$A$304,0))),"编号没找到"))</f>
        <v/>
      </c>
      <c r="D301" s="47" t="n"/>
      <c r="E301" s="49" t="n"/>
      <c r="F301" s="50" t="str">
        <f>IF(ISNUMBER(G301),G301,IF(AND(ISNUMBER(D301),ISNUMBER(E301),OR(C301="多",C301="空")),-IF(C301="空",-1,1)*D301*E301,""))</f>
        <v/>
      </c>
      <c r="G301" s="51" t="n"/>
      <c r="H301" s="30" t="n"/>
    </row>
    <row r="302">
      <c r="A302" s="48" t="n"/>
      <c r="B302" s="24" t="n"/>
      <c r="C302" s="40" t="str">
        <f>IF(B302="","",IFERROR(T(INDEX('交易记录'!$F$5:$F$304,MATCH(B302,'交易记录'!$A$5:$A$304,0))),"编号没找到"))</f>
        <v/>
      </c>
      <c r="D302" s="47" t="n"/>
      <c r="E302" s="49" t="n"/>
      <c r="F302" s="50" t="str">
        <f>IF(ISNUMBER(G302),G302,IF(AND(ISNUMBER(D302),ISNUMBER(E302),OR(C302="多",C302="空")),-IF(C302="空",-1,1)*D302*E302,""))</f>
        <v/>
      </c>
      <c r="G302" s="51" t="n"/>
      <c r="H302" s="30" t="n"/>
    </row>
    <row r="303">
      <c r="A303" s="48" t="n"/>
      <c r="B303" s="24" t="n"/>
      <c r="C303" s="40" t="str">
        <f>IF(B303="","",IFERROR(T(INDEX('交易记录'!$F$5:$F$304,MATCH(B303,'交易记录'!$A$5:$A$304,0))),"编号没找到"))</f>
        <v/>
      </c>
      <c r="D303" s="47" t="n"/>
      <c r="E303" s="49" t="n"/>
      <c r="F303" s="50" t="str">
        <f>IF(ISNUMBER(G303),G303,IF(AND(ISNUMBER(D303),ISNUMBER(E303),OR(C303="多",C303="空")),-IF(C303="空",-1,1)*D303*E303,""))</f>
        <v/>
      </c>
      <c r="G303" s="51" t="n"/>
      <c r="H303" s="30" t="n"/>
    </row>
    <row r="304">
      <c r="A304" s="48" t="n"/>
      <c r="B304" s="24" t="n"/>
      <c r="C304" s="40" t="str">
        <f>IF(B304="","",IFERROR(T(INDEX('交易记录'!$F$5:$F$304,MATCH(B304,'交易记录'!$A$5:$A$304,0))),"编号没找到"))</f>
        <v/>
      </c>
      <c r="D304" s="47" t="n"/>
      <c r="E304" s="49" t="n"/>
      <c r="F304" s="50" t="str">
        <f>IF(ISNUMBER(G304),G304,IF(AND(ISNUMBER(D304),ISNUMBER(E304),OR(C304="多",C304="空")),-IF(C304="空",-1,1)*D304*E304,""))</f>
        <v/>
      </c>
      <c r="G304" s="51" t="n"/>
      <c r="H304" s="30" t="n"/>
    </row>
    <row r="305">
      <c r="A305" s="48" t="n"/>
      <c r="B305" s="24" t="n"/>
      <c r="C305" s="40" t="str">
        <f>IF(B305="","",IFERROR(T(INDEX('交易记录'!$F$5:$F$304,MATCH(B305,'交易记录'!$A$5:$A$304,0))),"编号没找到"))</f>
        <v/>
      </c>
      <c r="D305" s="47" t="n"/>
      <c r="E305" s="49" t="n"/>
      <c r="F305" s="50" t="str">
        <f>IF(ISNUMBER(G305),G305,IF(AND(ISNUMBER(D305),ISNUMBER(E305),OR(C305="多",C305="空")),-IF(C305="空",-1,1)*D305*E305,""))</f>
        <v/>
      </c>
      <c r="G305" s="51" t="n"/>
      <c r="H305" s="30" t="n"/>
    </row>
    <row r="306">
      <c r="A306" s="48" t="n"/>
      <c r="B306" s="24" t="n"/>
      <c r="C306" s="40" t="str">
        <f>IF(B306="","",IFERROR(T(INDEX('交易记录'!$F$5:$F$304,MATCH(B306,'交易记录'!$A$5:$A$304,0))),"编号没找到"))</f>
        <v/>
      </c>
      <c r="D306" s="47" t="n"/>
      <c r="E306" s="49" t="n"/>
      <c r="F306" s="50" t="str">
        <f>IF(ISNUMBER(G306),G306,IF(AND(ISNUMBER(D306),ISNUMBER(E306),OR(C306="多",C306="空")),-IF(C306="空",-1,1)*D306*E306,""))</f>
        <v/>
      </c>
      <c r="G306" s="51" t="n"/>
      <c r="H306" s="30" t="n"/>
    </row>
    <row r="307">
      <c r="A307" s="48" t="n"/>
      <c r="B307" s="24" t="n"/>
      <c r="C307" s="40" t="str">
        <f>IF(B307="","",IFERROR(T(INDEX('交易记录'!$F$5:$F$304,MATCH(B307,'交易记录'!$A$5:$A$304,0))),"编号没找到"))</f>
        <v/>
      </c>
      <c r="D307" s="47" t="n"/>
      <c r="E307" s="49" t="n"/>
      <c r="F307" s="50" t="str">
        <f>IF(ISNUMBER(G307),G307,IF(AND(ISNUMBER(D307),ISNUMBER(E307),OR(C307="多",C307="空")),-IF(C307="空",-1,1)*D307*E307,""))</f>
        <v/>
      </c>
      <c r="G307" s="51" t="n"/>
      <c r="H307" s="30" t="n"/>
    </row>
    <row r="308">
      <c r="A308" s="48" t="n"/>
      <c r="B308" s="24" t="n"/>
      <c r="C308" s="40" t="str">
        <f>IF(B308="","",IFERROR(T(INDEX('交易记录'!$F$5:$F$304,MATCH(B308,'交易记录'!$A$5:$A$304,0))),"编号没找到"))</f>
        <v/>
      </c>
      <c r="D308" s="47" t="n"/>
      <c r="E308" s="49" t="n"/>
      <c r="F308" s="50" t="str">
        <f>IF(ISNUMBER(G308),G308,IF(AND(ISNUMBER(D308),ISNUMBER(E308),OR(C308="多",C308="空")),-IF(C308="空",-1,1)*D308*E308,""))</f>
        <v/>
      </c>
      <c r="G308" s="51" t="n"/>
      <c r="H308" s="30" t="n"/>
    </row>
    <row r="309">
      <c r="A309" s="48" t="n"/>
      <c r="B309" s="24" t="n"/>
      <c r="C309" s="40" t="str">
        <f>IF(B309="","",IFERROR(T(INDEX('交易记录'!$F$5:$F$304,MATCH(B309,'交易记录'!$A$5:$A$304,0))),"编号没找到"))</f>
        <v/>
      </c>
      <c r="D309" s="47" t="n"/>
      <c r="E309" s="49" t="n"/>
      <c r="F309" s="50" t="str">
        <f>IF(ISNUMBER(G309),G309,IF(AND(ISNUMBER(D309),ISNUMBER(E309),OR(C309="多",C309="空")),-IF(C309="空",-1,1)*D309*E309,""))</f>
        <v/>
      </c>
      <c r="G309" s="51" t="n"/>
      <c r="H309" s="30" t="n"/>
    </row>
    <row r="310">
      <c r="A310" s="48" t="n"/>
      <c r="B310" s="24" t="n"/>
      <c r="C310" s="40" t="str">
        <f>IF(B310="","",IFERROR(T(INDEX('交易记录'!$F$5:$F$304,MATCH(B310,'交易记录'!$A$5:$A$304,0))),"编号没找到"))</f>
        <v/>
      </c>
      <c r="D310" s="47" t="n"/>
      <c r="E310" s="49" t="n"/>
      <c r="F310" s="50" t="str">
        <f>IF(ISNUMBER(G310),G310,IF(AND(ISNUMBER(D310),ISNUMBER(E310),OR(C310="多",C310="空")),-IF(C310="空",-1,1)*D310*E310,""))</f>
        <v/>
      </c>
      <c r="G310" s="51" t="n"/>
      <c r="H310" s="30" t="n"/>
    </row>
    <row r="311">
      <c r="A311" s="48" t="n"/>
      <c r="B311" s="24" t="n"/>
      <c r="C311" s="40" t="str">
        <f>IF(B311="","",IFERROR(T(INDEX('交易记录'!$F$5:$F$304,MATCH(B311,'交易记录'!$A$5:$A$304,0))),"编号没找到"))</f>
        <v/>
      </c>
      <c r="D311" s="47" t="n"/>
      <c r="E311" s="49" t="n"/>
      <c r="F311" s="50" t="str">
        <f>IF(ISNUMBER(G311),G311,IF(AND(ISNUMBER(D311),ISNUMBER(E311),OR(C311="多",C311="空")),-IF(C311="空",-1,1)*D311*E311,""))</f>
        <v/>
      </c>
      <c r="G311" s="51" t="n"/>
      <c r="H311" s="30" t="n"/>
    </row>
    <row r="312">
      <c r="A312" s="48" t="n"/>
      <c r="B312" s="24" t="n"/>
      <c r="C312" s="40" t="str">
        <f>IF(B312="","",IFERROR(T(INDEX('交易记录'!$F$5:$F$304,MATCH(B312,'交易记录'!$A$5:$A$304,0))),"编号没找到"))</f>
        <v/>
      </c>
      <c r="D312" s="47" t="n"/>
      <c r="E312" s="49" t="n"/>
      <c r="F312" s="50" t="str">
        <f>IF(ISNUMBER(G312),G312,IF(AND(ISNUMBER(D312),ISNUMBER(E312),OR(C312="多",C312="空")),-IF(C312="空",-1,1)*D312*E312,""))</f>
        <v/>
      </c>
      <c r="G312" s="51" t="n"/>
      <c r="H312" s="30" t="n"/>
    </row>
    <row r="313">
      <c r="A313" s="48" t="n"/>
      <c r="B313" s="24" t="n"/>
      <c r="C313" s="40" t="str">
        <f>IF(B313="","",IFERROR(T(INDEX('交易记录'!$F$5:$F$304,MATCH(B313,'交易记录'!$A$5:$A$304,0))),"编号没找到"))</f>
        <v/>
      </c>
      <c r="D313" s="47" t="n"/>
      <c r="E313" s="49" t="n"/>
      <c r="F313" s="50" t="str">
        <f>IF(ISNUMBER(G313),G313,IF(AND(ISNUMBER(D313),ISNUMBER(E313),OR(C313="多",C313="空")),-IF(C313="空",-1,1)*D313*E313,""))</f>
        <v/>
      </c>
      <c r="G313" s="51" t="n"/>
      <c r="H313" s="30" t="n"/>
    </row>
    <row r="314">
      <c r="A314" s="48" t="n"/>
      <c r="B314" s="24" t="n"/>
      <c r="C314" s="40" t="str">
        <f>IF(B314="","",IFERROR(T(INDEX('交易记录'!$F$5:$F$304,MATCH(B314,'交易记录'!$A$5:$A$304,0))),"编号没找到"))</f>
        <v/>
      </c>
      <c r="D314" s="47" t="n"/>
      <c r="E314" s="49" t="n"/>
      <c r="F314" s="50" t="str">
        <f>IF(ISNUMBER(G314),G314,IF(AND(ISNUMBER(D314),ISNUMBER(E314),OR(C314="多",C314="空")),-IF(C314="空",-1,1)*D314*E314,""))</f>
        <v/>
      </c>
      <c r="G314" s="51" t="n"/>
      <c r="H314" s="30" t="n"/>
    </row>
    <row r="315">
      <c r="A315" s="48" t="n"/>
      <c r="B315" s="24" t="n"/>
      <c r="C315" s="40" t="str">
        <f>IF(B315="","",IFERROR(T(INDEX('交易记录'!$F$5:$F$304,MATCH(B315,'交易记录'!$A$5:$A$304,0))),"编号没找到"))</f>
        <v/>
      </c>
      <c r="D315" s="47" t="n"/>
      <c r="E315" s="49" t="n"/>
      <c r="F315" s="50" t="str">
        <f>IF(ISNUMBER(G315),G315,IF(AND(ISNUMBER(D315),ISNUMBER(E315),OR(C315="多",C315="空")),-IF(C315="空",-1,1)*D315*E315,""))</f>
        <v/>
      </c>
      <c r="G315" s="51" t="n"/>
      <c r="H315" s="30" t="n"/>
    </row>
    <row r="316">
      <c r="A316" s="48" t="n"/>
      <c r="B316" s="24" t="n"/>
      <c r="C316" s="40" t="str">
        <f>IF(B316="","",IFERROR(T(INDEX('交易记录'!$F$5:$F$304,MATCH(B316,'交易记录'!$A$5:$A$304,0))),"编号没找到"))</f>
        <v/>
      </c>
      <c r="D316" s="47" t="n"/>
      <c r="E316" s="49" t="n"/>
      <c r="F316" s="50" t="str">
        <f>IF(ISNUMBER(G316),G316,IF(AND(ISNUMBER(D316),ISNUMBER(E316),OR(C316="多",C316="空")),-IF(C316="空",-1,1)*D316*E316,""))</f>
        <v/>
      </c>
      <c r="G316" s="51" t="n"/>
      <c r="H316" s="30" t="n"/>
    </row>
    <row r="317">
      <c r="A317" s="48" t="n"/>
      <c r="B317" s="24" t="n"/>
      <c r="C317" s="40" t="str">
        <f>IF(B317="","",IFERROR(T(INDEX('交易记录'!$F$5:$F$304,MATCH(B317,'交易记录'!$A$5:$A$304,0))),"编号没找到"))</f>
        <v/>
      </c>
      <c r="D317" s="47" t="n"/>
      <c r="E317" s="49" t="n"/>
      <c r="F317" s="50" t="str">
        <f>IF(ISNUMBER(G317),G317,IF(AND(ISNUMBER(D317),ISNUMBER(E317),OR(C317="多",C317="空")),-IF(C317="空",-1,1)*D317*E317,""))</f>
        <v/>
      </c>
      <c r="G317" s="51" t="n"/>
      <c r="H317" s="30" t="n"/>
    </row>
    <row r="318">
      <c r="A318" s="48" t="n"/>
      <c r="B318" s="24" t="n"/>
      <c r="C318" s="40" t="str">
        <f>IF(B318="","",IFERROR(T(INDEX('交易记录'!$F$5:$F$304,MATCH(B318,'交易记录'!$A$5:$A$304,0))),"编号没找到"))</f>
        <v/>
      </c>
      <c r="D318" s="47" t="n"/>
      <c r="E318" s="49" t="n"/>
      <c r="F318" s="50" t="str">
        <f>IF(ISNUMBER(G318),G318,IF(AND(ISNUMBER(D318),ISNUMBER(E318),OR(C318="多",C318="空")),-IF(C318="空",-1,1)*D318*E318,""))</f>
        <v/>
      </c>
      <c r="G318" s="51" t="n"/>
      <c r="H318" s="30" t="n"/>
    </row>
    <row r="319">
      <c r="A319" s="48" t="n"/>
      <c r="B319" s="24" t="n"/>
      <c r="C319" s="40" t="str">
        <f>IF(B319="","",IFERROR(T(INDEX('交易记录'!$F$5:$F$304,MATCH(B319,'交易记录'!$A$5:$A$304,0))),"编号没找到"))</f>
        <v/>
      </c>
      <c r="D319" s="47" t="n"/>
      <c r="E319" s="49" t="n"/>
      <c r="F319" s="50" t="str">
        <f>IF(ISNUMBER(G319),G319,IF(AND(ISNUMBER(D319),ISNUMBER(E319),OR(C319="多",C319="空")),-IF(C319="空",-1,1)*D319*E319,""))</f>
        <v/>
      </c>
      <c r="G319" s="51" t="n"/>
      <c r="H319" s="30" t="n"/>
    </row>
    <row r="320">
      <c r="A320" s="48" t="n"/>
      <c r="B320" s="24" t="n"/>
      <c r="C320" s="40" t="str">
        <f>IF(B320="","",IFERROR(T(INDEX('交易记录'!$F$5:$F$304,MATCH(B320,'交易记录'!$A$5:$A$304,0))),"编号没找到"))</f>
        <v/>
      </c>
      <c r="D320" s="47" t="n"/>
      <c r="E320" s="49" t="n"/>
      <c r="F320" s="50" t="str">
        <f>IF(ISNUMBER(G320),G320,IF(AND(ISNUMBER(D320),ISNUMBER(E320),OR(C320="多",C320="空")),-IF(C320="空",-1,1)*D320*E320,""))</f>
        <v/>
      </c>
      <c r="G320" s="51" t="n"/>
      <c r="H320" s="30" t="n"/>
    </row>
    <row r="321">
      <c r="A321" s="48" t="n"/>
      <c r="B321" s="24" t="n"/>
      <c r="C321" s="40" t="str">
        <f>IF(B321="","",IFERROR(T(INDEX('交易记录'!$F$5:$F$304,MATCH(B321,'交易记录'!$A$5:$A$304,0))),"编号没找到"))</f>
        <v/>
      </c>
      <c r="D321" s="47" t="n"/>
      <c r="E321" s="49" t="n"/>
      <c r="F321" s="50" t="str">
        <f>IF(ISNUMBER(G321),G321,IF(AND(ISNUMBER(D321),ISNUMBER(E321),OR(C321="多",C321="空")),-IF(C321="空",-1,1)*D321*E321,""))</f>
        <v/>
      </c>
      <c r="G321" s="51" t="n"/>
      <c r="H321" s="30" t="n"/>
    </row>
    <row r="322">
      <c r="A322" s="48" t="n"/>
      <c r="B322" s="24" t="n"/>
      <c r="C322" s="40" t="str">
        <f>IF(B322="","",IFERROR(T(INDEX('交易记录'!$F$5:$F$304,MATCH(B322,'交易记录'!$A$5:$A$304,0))),"编号没找到"))</f>
        <v/>
      </c>
      <c r="D322" s="47" t="n"/>
      <c r="E322" s="49" t="n"/>
      <c r="F322" s="50" t="str">
        <f>IF(ISNUMBER(G322),G322,IF(AND(ISNUMBER(D322),ISNUMBER(E322),OR(C322="多",C322="空")),-IF(C322="空",-1,1)*D322*E322,""))</f>
        <v/>
      </c>
      <c r="G322" s="51" t="n"/>
      <c r="H322" s="30" t="n"/>
    </row>
    <row r="323">
      <c r="A323" s="48" t="n"/>
      <c r="B323" s="24" t="n"/>
      <c r="C323" s="40" t="str">
        <f>IF(B323="","",IFERROR(T(INDEX('交易记录'!$F$5:$F$304,MATCH(B323,'交易记录'!$A$5:$A$304,0))),"编号没找到"))</f>
        <v/>
      </c>
      <c r="D323" s="47" t="n"/>
      <c r="E323" s="49" t="n"/>
      <c r="F323" s="50" t="str">
        <f>IF(ISNUMBER(G323),G323,IF(AND(ISNUMBER(D323),ISNUMBER(E323),OR(C323="多",C323="空")),-IF(C323="空",-1,1)*D323*E323,""))</f>
        <v/>
      </c>
      <c r="G323" s="51" t="n"/>
      <c r="H323" s="30" t="n"/>
    </row>
    <row r="324">
      <c r="A324" s="48" t="n"/>
      <c r="B324" s="24" t="n"/>
      <c r="C324" s="40" t="str">
        <f>IF(B324="","",IFERROR(T(INDEX('交易记录'!$F$5:$F$304,MATCH(B324,'交易记录'!$A$5:$A$304,0))),"编号没找到"))</f>
        <v/>
      </c>
      <c r="D324" s="47" t="n"/>
      <c r="E324" s="49" t="n"/>
      <c r="F324" s="50" t="str">
        <f>IF(ISNUMBER(G324),G324,IF(AND(ISNUMBER(D324),ISNUMBER(E324),OR(C324="多",C324="空")),-IF(C324="空",-1,1)*D324*E324,""))</f>
        <v/>
      </c>
      <c r="G324" s="51" t="n"/>
      <c r="H324" s="30" t="n"/>
    </row>
    <row r="325">
      <c r="A325" s="48" t="n"/>
      <c r="B325" s="24" t="n"/>
      <c r="C325" s="40" t="str">
        <f>IF(B325="","",IFERROR(T(INDEX('交易记录'!$F$5:$F$304,MATCH(B325,'交易记录'!$A$5:$A$304,0))),"编号没找到"))</f>
        <v/>
      </c>
      <c r="D325" s="47" t="n"/>
      <c r="E325" s="49" t="n"/>
      <c r="F325" s="50" t="str">
        <f>IF(ISNUMBER(G325),G325,IF(AND(ISNUMBER(D325),ISNUMBER(E325),OR(C325="多",C325="空")),-IF(C325="空",-1,1)*D325*E325,""))</f>
        <v/>
      </c>
      <c r="G325" s="51" t="n"/>
      <c r="H325" s="30" t="n"/>
    </row>
    <row r="326">
      <c r="A326" s="48" t="n"/>
      <c r="B326" s="24" t="n"/>
      <c r="C326" s="40" t="str">
        <f>IF(B326="","",IFERROR(T(INDEX('交易记录'!$F$5:$F$304,MATCH(B326,'交易记录'!$A$5:$A$304,0))),"编号没找到"))</f>
        <v/>
      </c>
      <c r="D326" s="47" t="n"/>
      <c r="E326" s="49" t="n"/>
      <c r="F326" s="50" t="str">
        <f>IF(ISNUMBER(G326),G326,IF(AND(ISNUMBER(D326),ISNUMBER(E326),OR(C326="多",C326="空")),-IF(C326="空",-1,1)*D326*E326,""))</f>
        <v/>
      </c>
      <c r="G326" s="51" t="n"/>
      <c r="H326" s="30" t="n"/>
    </row>
    <row r="327">
      <c r="A327" s="48" t="n"/>
      <c r="B327" s="24" t="n"/>
      <c r="C327" s="40" t="str">
        <f>IF(B327="","",IFERROR(T(INDEX('交易记录'!$F$5:$F$304,MATCH(B327,'交易记录'!$A$5:$A$304,0))),"编号没找到"))</f>
        <v/>
      </c>
      <c r="D327" s="47" t="n"/>
      <c r="E327" s="49" t="n"/>
      <c r="F327" s="50" t="str">
        <f>IF(ISNUMBER(G327),G327,IF(AND(ISNUMBER(D327),ISNUMBER(E327),OR(C327="多",C327="空")),-IF(C327="空",-1,1)*D327*E327,""))</f>
        <v/>
      </c>
      <c r="G327" s="51" t="n"/>
      <c r="H327" s="30" t="n"/>
    </row>
    <row r="328">
      <c r="A328" s="48" t="n"/>
      <c r="B328" s="24" t="n"/>
      <c r="C328" s="40" t="str">
        <f>IF(B328="","",IFERROR(T(INDEX('交易记录'!$F$5:$F$304,MATCH(B328,'交易记录'!$A$5:$A$304,0))),"编号没找到"))</f>
        <v/>
      </c>
      <c r="D328" s="47" t="n"/>
      <c r="E328" s="49" t="n"/>
      <c r="F328" s="50" t="str">
        <f>IF(ISNUMBER(G328),G328,IF(AND(ISNUMBER(D328),ISNUMBER(E328),OR(C328="多",C328="空")),-IF(C328="空",-1,1)*D328*E328,""))</f>
        <v/>
      </c>
      <c r="G328" s="51" t="n"/>
      <c r="H328" s="30" t="n"/>
    </row>
    <row r="329">
      <c r="A329" s="48" t="n"/>
      <c r="B329" s="24" t="n"/>
      <c r="C329" s="40" t="str">
        <f>IF(B329="","",IFERROR(T(INDEX('交易记录'!$F$5:$F$304,MATCH(B329,'交易记录'!$A$5:$A$304,0))),"编号没找到"))</f>
        <v/>
      </c>
      <c r="D329" s="47" t="n"/>
      <c r="E329" s="49" t="n"/>
      <c r="F329" s="50" t="str">
        <f>IF(ISNUMBER(G329),G329,IF(AND(ISNUMBER(D329),ISNUMBER(E329),OR(C329="多",C329="空")),-IF(C329="空",-1,1)*D329*E329,""))</f>
        <v/>
      </c>
      <c r="G329" s="51" t="n"/>
      <c r="H329" s="30" t="n"/>
    </row>
    <row r="330">
      <c r="A330" s="48" t="n"/>
      <c r="B330" s="24" t="n"/>
      <c r="C330" s="40" t="str">
        <f>IF(B330="","",IFERROR(T(INDEX('交易记录'!$F$5:$F$304,MATCH(B330,'交易记录'!$A$5:$A$304,0))),"编号没找到"))</f>
        <v/>
      </c>
      <c r="D330" s="47" t="n"/>
      <c r="E330" s="49" t="n"/>
      <c r="F330" s="50" t="str">
        <f>IF(ISNUMBER(G330),G330,IF(AND(ISNUMBER(D330),ISNUMBER(E330),OR(C330="多",C330="空")),-IF(C330="空",-1,1)*D330*E330,""))</f>
        <v/>
      </c>
      <c r="G330" s="51" t="n"/>
      <c r="H330" s="30" t="n"/>
    </row>
    <row r="331">
      <c r="A331" s="48" t="n"/>
      <c r="B331" s="24" t="n"/>
      <c r="C331" s="40" t="str">
        <f>IF(B331="","",IFERROR(T(INDEX('交易记录'!$F$5:$F$304,MATCH(B331,'交易记录'!$A$5:$A$304,0))),"编号没找到"))</f>
        <v/>
      </c>
      <c r="D331" s="47" t="n"/>
      <c r="E331" s="49" t="n"/>
      <c r="F331" s="50" t="str">
        <f>IF(ISNUMBER(G331),G331,IF(AND(ISNUMBER(D331),ISNUMBER(E331),OR(C331="多",C331="空")),-IF(C331="空",-1,1)*D331*E331,""))</f>
        <v/>
      </c>
      <c r="G331" s="51" t="n"/>
      <c r="H331" s="30" t="n"/>
    </row>
    <row r="332">
      <c r="A332" s="48" t="n"/>
      <c r="B332" s="24" t="n"/>
      <c r="C332" s="40" t="str">
        <f>IF(B332="","",IFERROR(T(INDEX('交易记录'!$F$5:$F$304,MATCH(B332,'交易记录'!$A$5:$A$304,0))),"编号没找到"))</f>
        <v/>
      </c>
      <c r="D332" s="47" t="n"/>
      <c r="E332" s="49" t="n"/>
      <c r="F332" s="50" t="str">
        <f>IF(ISNUMBER(G332),G332,IF(AND(ISNUMBER(D332),ISNUMBER(E332),OR(C332="多",C332="空")),-IF(C332="空",-1,1)*D332*E332,""))</f>
        <v/>
      </c>
      <c r="G332" s="51" t="n"/>
      <c r="H332" s="30" t="n"/>
    </row>
    <row r="333">
      <c r="A333" s="48" t="n"/>
      <c r="B333" s="24" t="n"/>
      <c r="C333" s="40" t="str">
        <f>IF(B333="","",IFERROR(T(INDEX('交易记录'!$F$5:$F$304,MATCH(B333,'交易记录'!$A$5:$A$304,0))),"编号没找到"))</f>
        <v/>
      </c>
      <c r="D333" s="47" t="n"/>
      <c r="E333" s="49" t="n"/>
      <c r="F333" s="50" t="str">
        <f>IF(ISNUMBER(G333),G333,IF(AND(ISNUMBER(D333),ISNUMBER(E333),OR(C333="多",C333="空")),-IF(C333="空",-1,1)*D333*E333,""))</f>
        <v/>
      </c>
      <c r="G333" s="51" t="n"/>
      <c r="H333" s="30" t="n"/>
    </row>
    <row r="334">
      <c r="A334" s="48" t="n"/>
      <c r="B334" s="24" t="n"/>
      <c r="C334" s="40" t="str">
        <f>IF(B334="","",IFERROR(T(INDEX('交易记录'!$F$5:$F$304,MATCH(B334,'交易记录'!$A$5:$A$304,0))),"编号没找到"))</f>
        <v/>
      </c>
      <c r="D334" s="47" t="n"/>
      <c r="E334" s="49" t="n"/>
      <c r="F334" s="50" t="str">
        <f>IF(ISNUMBER(G334),G334,IF(AND(ISNUMBER(D334),ISNUMBER(E334),OR(C334="多",C334="空")),-IF(C334="空",-1,1)*D334*E334,""))</f>
        <v/>
      </c>
      <c r="G334" s="51" t="n"/>
      <c r="H334" s="30" t="n"/>
    </row>
    <row r="335">
      <c r="A335" s="48" t="n"/>
      <c r="B335" s="24" t="n"/>
      <c r="C335" s="40" t="str">
        <f>IF(B335="","",IFERROR(T(INDEX('交易记录'!$F$5:$F$304,MATCH(B335,'交易记录'!$A$5:$A$304,0))),"编号没找到"))</f>
        <v/>
      </c>
      <c r="D335" s="47" t="n"/>
      <c r="E335" s="49" t="n"/>
      <c r="F335" s="50" t="str">
        <f>IF(ISNUMBER(G335),G335,IF(AND(ISNUMBER(D335),ISNUMBER(E335),OR(C335="多",C335="空")),-IF(C335="空",-1,1)*D335*E335,""))</f>
        <v/>
      </c>
      <c r="G335" s="51" t="n"/>
      <c r="H335" s="30" t="n"/>
    </row>
    <row r="336">
      <c r="A336" s="48" t="n"/>
      <c r="B336" s="24" t="n"/>
      <c r="C336" s="40" t="str">
        <f>IF(B336="","",IFERROR(T(INDEX('交易记录'!$F$5:$F$304,MATCH(B336,'交易记录'!$A$5:$A$304,0))),"编号没找到"))</f>
        <v/>
      </c>
      <c r="D336" s="47" t="n"/>
      <c r="E336" s="49" t="n"/>
      <c r="F336" s="50" t="str">
        <f>IF(ISNUMBER(G336),G336,IF(AND(ISNUMBER(D336),ISNUMBER(E336),OR(C336="多",C336="空")),-IF(C336="空",-1,1)*D336*E336,""))</f>
        <v/>
      </c>
      <c r="G336" s="51" t="n"/>
      <c r="H336" s="30" t="n"/>
    </row>
    <row r="337">
      <c r="A337" s="48" t="n"/>
      <c r="B337" s="24" t="n"/>
      <c r="C337" s="40" t="str">
        <f>IF(B337="","",IFERROR(T(INDEX('交易记录'!$F$5:$F$304,MATCH(B337,'交易记录'!$A$5:$A$304,0))),"编号没找到"))</f>
        <v/>
      </c>
      <c r="D337" s="47" t="n"/>
      <c r="E337" s="49" t="n"/>
      <c r="F337" s="50" t="str">
        <f>IF(ISNUMBER(G337),G337,IF(AND(ISNUMBER(D337),ISNUMBER(E337),OR(C337="多",C337="空")),-IF(C337="空",-1,1)*D337*E337,""))</f>
        <v/>
      </c>
      <c r="G337" s="51" t="n"/>
      <c r="H337" s="30" t="n"/>
    </row>
    <row r="338">
      <c r="A338" s="48" t="n"/>
      <c r="B338" s="24" t="n"/>
      <c r="C338" s="40" t="str">
        <f>IF(B338="","",IFERROR(T(INDEX('交易记录'!$F$5:$F$304,MATCH(B338,'交易记录'!$A$5:$A$304,0))),"编号没找到"))</f>
        <v/>
      </c>
      <c r="D338" s="47" t="n"/>
      <c r="E338" s="49" t="n"/>
      <c r="F338" s="50" t="str">
        <f>IF(ISNUMBER(G338),G338,IF(AND(ISNUMBER(D338),ISNUMBER(E338),OR(C338="多",C338="空")),-IF(C338="空",-1,1)*D338*E338,""))</f>
        <v/>
      </c>
      <c r="G338" s="51" t="n"/>
      <c r="H338" s="30" t="n"/>
    </row>
    <row r="339">
      <c r="A339" s="48" t="n"/>
      <c r="B339" s="24" t="n"/>
      <c r="C339" s="40" t="str">
        <f>IF(B339="","",IFERROR(T(INDEX('交易记录'!$F$5:$F$304,MATCH(B339,'交易记录'!$A$5:$A$304,0))),"编号没找到"))</f>
        <v/>
      </c>
      <c r="D339" s="47" t="n"/>
      <c r="E339" s="49" t="n"/>
      <c r="F339" s="50" t="str">
        <f>IF(ISNUMBER(G339),G339,IF(AND(ISNUMBER(D339),ISNUMBER(E339),OR(C339="多",C339="空")),-IF(C339="空",-1,1)*D339*E339,""))</f>
        <v/>
      </c>
      <c r="G339" s="51" t="n"/>
      <c r="H339" s="30" t="n"/>
    </row>
    <row r="340">
      <c r="A340" s="48" t="n"/>
      <c r="B340" s="24" t="n"/>
      <c r="C340" s="40" t="str">
        <f>IF(B340="","",IFERROR(T(INDEX('交易记录'!$F$5:$F$304,MATCH(B340,'交易记录'!$A$5:$A$304,0))),"编号没找到"))</f>
        <v/>
      </c>
      <c r="D340" s="47" t="n"/>
      <c r="E340" s="49" t="n"/>
      <c r="F340" s="50" t="str">
        <f>IF(ISNUMBER(G340),G340,IF(AND(ISNUMBER(D340),ISNUMBER(E340),OR(C340="多",C340="空")),-IF(C340="空",-1,1)*D340*E340,""))</f>
        <v/>
      </c>
      <c r="G340" s="51" t="n"/>
      <c r="H340" s="30" t="n"/>
    </row>
    <row r="341">
      <c r="A341" s="48" t="n"/>
      <c r="B341" s="24" t="n"/>
      <c r="C341" s="40" t="str">
        <f>IF(B341="","",IFERROR(T(INDEX('交易记录'!$F$5:$F$304,MATCH(B341,'交易记录'!$A$5:$A$304,0))),"编号没找到"))</f>
        <v/>
      </c>
      <c r="D341" s="47" t="n"/>
      <c r="E341" s="49" t="n"/>
      <c r="F341" s="50" t="str">
        <f>IF(ISNUMBER(G341),G341,IF(AND(ISNUMBER(D341),ISNUMBER(E341),OR(C341="多",C341="空")),-IF(C341="空",-1,1)*D341*E341,""))</f>
        <v/>
      </c>
      <c r="G341" s="51" t="n"/>
      <c r="H341" s="30" t="n"/>
    </row>
    <row r="342">
      <c r="A342" s="48" t="n"/>
      <c r="B342" s="24" t="n"/>
      <c r="C342" s="40" t="str">
        <f>IF(B342="","",IFERROR(T(INDEX('交易记录'!$F$5:$F$304,MATCH(B342,'交易记录'!$A$5:$A$304,0))),"编号没找到"))</f>
        <v/>
      </c>
      <c r="D342" s="47" t="n"/>
      <c r="E342" s="49" t="n"/>
      <c r="F342" s="50" t="str">
        <f>IF(ISNUMBER(G342),G342,IF(AND(ISNUMBER(D342),ISNUMBER(E342),OR(C342="多",C342="空")),-IF(C342="空",-1,1)*D342*E342,""))</f>
        <v/>
      </c>
      <c r="G342" s="51" t="n"/>
      <c r="H342" s="30" t="n"/>
    </row>
    <row r="343">
      <c r="A343" s="48" t="n"/>
      <c r="B343" s="24" t="n"/>
      <c r="C343" s="40" t="str">
        <f>IF(B343="","",IFERROR(T(INDEX('交易记录'!$F$5:$F$304,MATCH(B343,'交易记录'!$A$5:$A$304,0))),"编号没找到"))</f>
        <v/>
      </c>
      <c r="D343" s="47" t="n"/>
      <c r="E343" s="49" t="n"/>
      <c r="F343" s="50" t="str">
        <f>IF(ISNUMBER(G343),G343,IF(AND(ISNUMBER(D343),ISNUMBER(E343),OR(C343="多",C343="空")),-IF(C343="空",-1,1)*D343*E343,""))</f>
        <v/>
      </c>
      <c r="G343" s="51" t="n"/>
      <c r="H343" s="30" t="n"/>
    </row>
    <row r="344">
      <c r="A344" s="48" t="n"/>
      <c r="B344" s="24" t="n"/>
      <c r="C344" s="40" t="str">
        <f>IF(B344="","",IFERROR(T(INDEX('交易记录'!$F$5:$F$304,MATCH(B344,'交易记录'!$A$5:$A$304,0))),"编号没找到"))</f>
        <v/>
      </c>
      <c r="D344" s="47" t="n"/>
      <c r="E344" s="49" t="n"/>
      <c r="F344" s="50" t="str">
        <f>IF(ISNUMBER(G344),G344,IF(AND(ISNUMBER(D344),ISNUMBER(E344),OR(C344="多",C344="空")),-IF(C344="空",-1,1)*D344*E344,""))</f>
        <v/>
      </c>
      <c r="G344" s="51" t="n"/>
      <c r="H344" s="30" t="n"/>
    </row>
    <row r="345">
      <c r="A345" s="48" t="n"/>
      <c r="B345" s="24" t="n"/>
      <c r="C345" s="40" t="str">
        <f>IF(B345="","",IFERROR(T(INDEX('交易记录'!$F$5:$F$304,MATCH(B345,'交易记录'!$A$5:$A$304,0))),"编号没找到"))</f>
        <v/>
      </c>
      <c r="D345" s="47" t="n"/>
      <c r="E345" s="49" t="n"/>
      <c r="F345" s="50" t="str">
        <f>IF(ISNUMBER(G345),G345,IF(AND(ISNUMBER(D345),ISNUMBER(E345),OR(C345="多",C345="空")),-IF(C345="空",-1,1)*D345*E345,""))</f>
        <v/>
      </c>
      <c r="G345" s="51" t="n"/>
      <c r="H345" s="30" t="n"/>
    </row>
    <row r="346">
      <c r="A346" s="48" t="n"/>
      <c r="B346" s="24" t="n"/>
      <c r="C346" s="40" t="str">
        <f>IF(B346="","",IFERROR(T(INDEX('交易记录'!$F$5:$F$304,MATCH(B346,'交易记录'!$A$5:$A$304,0))),"编号没找到"))</f>
        <v/>
      </c>
      <c r="D346" s="47" t="n"/>
      <c r="E346" s="49" t="n"/>
      <c r="F346" s="50" t="str">
        <f>IF(ISNUMBER(G346),G346,IF(AND(ISNUMBER(D346),ISNUMBER(E346),OR(C346="多",C346="空")),-IF(C346="空",-1,1)*D346*E346,""))</f>
        <v/>
      </c>
      <c r="G346" s="51" t="n"/>
      <c r="H346" s="30" t="n"/>
    </row>
    <row r="347">
      <c r="A347" s="48" t="n"/>
      <c r="B347" s="24" t="n"/>
      <c r="C347" s="40" t="str">
        <f>IF(B347="","",IFERROR(T(INDEX('交易记录'!$F$5:$F$304,MATCH(B347,'交易记录'!$A$5:$A$304,0))),"编号没找到"))</f>
        <v/>
      </c>
      <c r="D347" s="47" t="n"/>
      <c r="E347" s="49" t="n"/>
      <c r="F347" s="50" t="str">
        <f>IF(ISNUMBER(G347),G347,IF(AND(ISNUMBER(D347),ISNUMBER(E347),OR(C347="多",C347="空")),-IF(C347="空",-1,1)*D347*E347,""))</f>
        <v/>
      </c>
      <c r="G347" s="51" t="n"/>
      <c r="H347" s="30" t="n"/>
    </row>
    <row r="348">
      <c r="A348" s="48" t="n"/>
      <c r="B348" s="24" t="n"/>
      <c r="C348" s="40" t="str">
        <f>IF(B348="","",IFERROR(T(INDEX('交易记录'!$F$5:$F$304,MATCH(B348,'交易记录'!$A$5:$A$304,0))),"编号没找到"))</f>
        <v/>
      </c>
      <c r="D348" s="47" t="n"/>
      <c r="E348" s="49" t="n"/>
      <c r="F348" s="50" t="str">
        <f>IF(ISNUMBER(G348),G348,IF(AND(ISNUMBER(D348),ISNUMBER(E348),OR(C348="多",C348="空")),-IF(C348="空",-1,1)*D348*E348,""))</f>
        <v/>
      </c>
      <c r="G348" s="51" t="n"/>
      <c r="H348" s="30" t="n"/>
    </row>
    <row r="349">
      <c r="A349" s="48" t="n"/>
      <c r="B349" s="24" t="n"/>
      <c r="C349" s="40" t="str">
        <f>IF(B349="","",IFERROR(T(INDEX('交易记录'!$F$5:$F$304,MATCH(B349,'交易记录'!$A$5:$A$304,0))),"编号没找到"))</f>
        <v/>
      </c>
      <c r="D349" s="47" t="n"/>
      <c r="E349" s="49" t="n"/>
      <c r="F349" s="50" t="str">
        <f>IF(ISNUMBER(G349),G349,IF(AND(ISNUMBER(D349),ISNUMBER(E349),OR(C349="多",C349="空")),-IF(C349="空",-1,1)*D349*E349,""))</f>
        <v/>
      </c>
      <c r="G349" s="51" t="n"/>
      <c r="H349" s="30" t="n"/>
    </row>
    <row r="350">
      <c r="A350" s="48" t="n"/>
      <c r="B350" s="24" t="n"/>
      <c r="C350" s="40" t="str">
        <f>IF(B350="","",IFERROR(T(INDEX('交易记录'!$F$5:$F$304,MATCH(B350,'交易记录'!$A$5:$A$304,0))),"编号没找到"))</f>
        <v/>
      </c>
      <c r="D350" s="47" t="n"/>
      <c r="E350" s="49" t="n"/>
      <c r="F350" s="50" t="str">
        <f>IF(ISNUMBER(G350),G350,IF(AND(ISNUMBER(D350),ISNUMBER(E350),OR(C350="多",C350="空")),-IF(C350="空",-1,1)*D350*E350,""))</f>
        <v/>
      </c>
      <c r="G350" s="51" t="n"/>
      <c r="H350" s="30" t="n"/>
    </row>
    <row r="351">
      <c r="A351" s="48" t="n"/>
      <c r="B351" s="24" t="n"/>
      <c r="C351" s="40" t="str">
        <f>IF(B351="","",IFERROR(T(INDEX('交易记录'!$F$5:$F$304,MATCH(B351,'交易记录'!$A$5:$A$304,0))),"编号没找到"))</f>
        <v/>
      </c>
      <c r="D351" s="47" t="n"/>
      <c r="E351" s="49" t="n"/>
      <c r="F351" s="50" t="str">
        <f>IF(ISNUMBER(G351),G351,IF(AND(ISNUMBER(D351),ISNUMBER(E351),OR(C351="多",C351="空")),-IF(C351="空",-1,1)*D351*E351,""))</f>
        <v/>
      </c>
      <c r="G351" s="51" t="n"/>
      <c r="H351" s="30" t="n"/>
    </row>
    <row r="352">
      <c r="A352" s="48" t="n"/>
      <c r="B352" s="24" t="n"/>
      <c r="C352" s="40" t="str">
        <f>IF(B352="","",IFERROR(T(INDEX('交易记录'!$F$5:$F$304,MATCH(B352,'交易记录'!$A$5:$A$304,0))),"编号没找到"))</f>
        <v/>
      </c>
      <c r="D352" s="47" t="n"/>
      <c r="E352" s="49" t="n"/>
      <c r="F352" s="50" t="str">
        <f>IF(ISNUMBER(G352),G352,IF(AND(ISNUMBER(D352),ISNUMBER(E352),OR(C352="多",C352="空")),-IF(C352="空",-1,1)*D352*E352,""))</f>
        <v/>
      </c>
      <c r="G352" s="51" t="n"/>
      <c r="H352" s="30" t="n"/>
    </row>
    <row r="353">
      <c r="A353" s="48" t="n"/>
      <c r="B353" s="24" t="n"/>
      <c r="C353" s="40" t="str">
        <f>IF(B353="","",IFERROR(T(INDEX('交易记录'!$F$5:$F$304,MATCH(B353,'交易记录'!$A$5:$A$304,0))),"编号没找到"))</f>
        <v/>
      </c>
      <c r="D353" s="47" t="n"/>
      <c r="E353" s="49" t="n"/>
      <c r="F353" s="50" t="str">
        <f>IF(ISNUMBER(G353),G353,IF(AND(ISNUMBER(D353),ISNUMBER(E353),OR(C353="多",C353="空")),-IF(C353="空",-1,1)*D353*E353,""))</f>
        <v/>
      </c>
      <c r="G353" s="51" t="n"/>
      <c r="H353" s="30" t="n"/>
    </row>
    <row r="354">
      <c r="A354" s="48" t="n"/>
      <c r="B354" s="24" t="n"/>
      <c r="C354" s="40" t="str">
        <f>IF(B354="","",IFERROR(T(INDEX('交易记录'!$F$5:$F$304,MATCH(B354,'交易记录'!$A$5:$A$304,0))),"编号没找到"))</f>
        <v/>
      </c>
      <c r="D354" s="47" t="n"/>
      <c r="E354" s="49" t="n"/>
      <c r="F354" s="50" t="str">
        <f>IF(ISNUMBER(G354),G354,IF(AND(ISNUMBER(D354),ISNUMBER(E354),OR(C354="多",C354="空")),-IF(C354="空",-1,1)*D354*E354,""))</f>
        <v/>
      </c>
      <c r="G354" s="51" t="n"/>
      <c r="H354" s="30" t="n"/>
    </row>
    <row r="355">
      <c r="A355" s="48" t="n"/>
      <c r="B355" s="24" t="n"/>
      <c r="C355" s="40" t="str">
        <f>IF(B355="","",IFERROR(T(INDEX('交易记录'!$F$5:$F$304,MATCH(B355,'交易记录'!$A$5:$A$304,0))),"编号没找到"))</f>
        <v/>
      </c>
      <c r="D355" s="47" t="n"/>
      <c r="E355" s="49" t="n"/>
      <c r="F355" s="50" t="str">
        <f>IF(ISNUMBER(G355),G355,IF(AND(ISNUMBER(D355),ISNUMBER(E355),OR(C355="多",C355="空")),-IF(C355="空",-1,1)*D355*E355,""))</f>
        <v/>
      </c>
      <c r="G355" s="51" t="n"/>
      <c r="H355" s="30" t="n"/>
    </row>
    <row r="356">
      <c r="A356" s="48" t="n"/>
      <c r="B356" s="24" t="n"/>
      <c r="C356" s="40" t="str">
        <f>IF(B356="","",IFERROR(T(INDEX('交易记录'!$F$5:$F$304,MATCH(B356,'交易记录'!$A$5:$A$304,0))),"编号没找到"))</f>
        <v/>
      </c>
      <c r="D356" s="47" t="n"/>
      <c r="E356" s="49" t="n"/>
      <c r="F356" s="50" t="str">
        <f>IF(ISNUMBER(G356),G356,IF(AND(ISNUMBER(D356),ISNUMBER(E356),OR(C356="多",C356="空")),-IF(C356="空",-1,1)*D356*E356,""))</f>
        <v/>
      </c>
      <c r="G356" s="51" t="n"/>
      <c r="H356" s="30" t="n"/>
    </row>
    <row r="357">
      <c r="A357" s="48" t="n"/>
      <c r="B357" s="24" t="n"/>
      <c r="C357" s="40" t="str">
        <f>IF(B357="","",IFERROR(T(INDEX('交易记录'!$F$5:$F$304,MATCH(B357,'交易记录'!$A$5:$A$304,0))),"编号没找到"))</f>
        <v/>
      </c>
      <c r="D357" s="47" t="n"/>
      <c r="E357" s="49" t="n"/>
      <c r="F357" s="50" t="str">
        <f>IF(ISNUMBER(G357),G357,IF(AND(ISNUMBER(D357),ISNUMBER(E357),OR(C357="多",C357="空")),-IF(C357="空",-1,1)*D357*E357,""))</f>
        <v/>
      </c>
      <c r="G357" s="51" t="n"/>
      <c r="H357" s="30" t="n"/>
    </row>
    <row r="358">
      <c r="A358" s="48" t="n"/>
      <c r="B358" s="24" t="n"/>
      <c r="C358" s="40" t="str">
        <f>IF(B358="","",IFERROR(T(INDEX('交易记录'!$F$5:$F$304,MATCH(B358,'交易记录'!$A$5:$A$304,0))),"编号没找到"))</f>
        <v/>
      </c>
      <c r="D358" s="47" t="n"/>
      <c r="E358" s="49" t="n"/>
      <c r="F358" s="50" t="str">
        <f>IF(ISNUMBER(G358),G358,IF(AND(ISNUMBER(D358),ISNUMBER(E358),OR(C358="多",C358="空")),-IF(C358="空",-1,1)*D358*E358,""))</f>
        <v/>
      </c>
      <c r="G358" s="51" t="n"/>
      <c r="H358" s="30" t="n"/>
    </row>
    <row r="359">
      <c r="A359" s="48" t="n"/>
      <c r="B359" s="24" t="n"/>
      <c r="C359" s="40" t="str">
        <f>IF(B359="","",IFERROR(T(INDEX('交易记录'!$F$5:$F$304,MATCH(B359,'交易记录'!$A$5:$A$304,0))),"编号没找到"))</f>
        <v/>
      </c>
      <c r="D359" s="47" t="n"/>
      <c r="E359" s="49" t="n"/>
      <c r="F359" s="50" t="str">
        <f>IF(ISNUMBER(G359),G359,IF(AND(ISNUMBER(D359),ISNUMBER(E359),OR(C359="多",C359="空")),-IF(C359="空",-1,1)*D359*E359,""))</f>
        <v/>
      </c>
      <c r="G359" s="51" t="n"/>
      <c r="H359" s="30" t="n"/>
    </row>
    <row r="360">
      <c r="A360" s="48" t="n"/>
      <c r="B360" s="24" t="n"/>
      <c r="C360" s="40" t="str">
        <f>IF(B360="","",IFERROR(T(INDEX('交易记录'!$F$5:$F$304,MATCH(B360,'交易记录'!$A$5:$A$304,0))),"编号没找到"))</f>
        <v/>
      </c>
      <c r="D360" s="47" t="n"/>
      <c r="E360" s="49" t="n"/>
      <c r="F360" s="50" t="str">
        <f>IF(ISNUMBER(G360),G360,IF(AND(ISNUMBER(D360),ISNUMBER(E360),OR(C360="多",C360="空")),-IF(C360="空",-1,1)*D360*E360,""))</f>
        <v/>
      </c>
      <c r="G360" s="51" t="n"/>
      <c r="H360" s="30" t="n"/>
    </row>
    <row r="361">
      <c r="A361" s="48" t="n"/>
      <c r="B361" s="24" t="n"/>
      <c r="C361" s="40" t="str">
        <f>IF(B361="","",IFERROR(T(INDEX('交易记录'!$F$5:$F$304,MATCH(B361,'交易记录'!$A$5:$A$304,0))),"编号没找到"))</f>
        <v/>
      </c>
      <c r="D361" s="47" t="n"/>
      <c r="E361" s="49" t="n"/>
      <c r="F361" s="50" t="str">
        <f>IF(ISNUMBER(G361),G361,IF(AND(ISNUMBER(D361),ISNUMBER(E361),OR(C361="多",C361="空")),-IF(C361="空",-1,1)*D361*E361,""))</f>
        <v/>
      </c>
      <c r="G361" s="51" t="n"/>
      <c r="H361" s="30" t="n"/>
    </row>
    <row r="362">
      <c r="A362" s="48" t="n"/>
      <c r="B362" s="24" t="n"/>
      <c r="C362" s="40" t="str">
        <f>IF(B362="","",IFERROR(T(INDEX('交易记录'!$F$5:$F$304,MATCH(B362,'交易记录'!$A$5:$A$304,0))),"编号没找到"))</f>
        <v/>
      </c>
      <c r="D362" s="47" t="n"/>
      <c r="E362" s="49" t="n"/>
      <c r="F362" s="50" t="str">
        <f>IF(ISNUMBER(G362),G362,IF(AND(ISNUMBER(D362),ISNUMBER(E362),OR(C362="多",C362="空")),-IF(C362="空",-1,1)*D362*E362,""))</f>
        <v/>
      </c>
      <c r="G362" s="51" t="n"/>
      <c r="H362" s="30" t="n"/>
    </row>
    <row r="363">
      <c r="A363" s="48" t="n"/>
      <c r="B363" s="24" t="n"/>
      <c r="C363" s="40" t="str">
        <f>IF(B363="","",IFERROR(T(INDEX('交易记录'!$F$5:$F$304,MATCH(B363,'交易记录'!$A$5:$A$304,0))),"编号没找到"))</f>
        <v/>
      </c>
      <c r="D363" s="47" t="n"/>
      <c r="E363" s="49" t="n"/>
      <c r="F363" s="50" t="str">
        <f>IF(ISNUMBER(G363),G363,IF(AND(ISNUMBER(D363),ISNUMBER(E363),OR(C363="多",C363="空")),-IF(C363="空",-1,1)*D363*E363,""))</f>
        <v/>
      </c>
      <c r="G363" s="51" t="n"/>
      <c r="H363" s="30" t="n"/>
    </row>
    <row r="364">
      <c r="A364" s="48" t="n"/>
      <c r="B364" s="24" t="n"/>
      <c r="C364" s="40" t="str">
        <f>IF(B364="","",IFERROR(T(INDEX('交易记录'!$F$5:$F$304,MATCH(B364,'交易记录'!$A$5:$A$304,0))),"编号没找到"))</f>
        <v/>
      </c>
      <c r="D364" s="47" t="n"/>
      <c r="E364" s="49" t="n"/>
      <c r="F364" s="50" t="str">
        <f>IF(ISNUMBER(G364),G364,IF(AND(ISNUMBER(D364),ISNUMBER(E364),OR(C364="多",C364="空")),-IF(C364="空",-1,1)*D364*E364,""))</f>
        <v/>
      </c>
      <c r="G364" s="51" t="n"/>
      <c r="H364" s="30" t="n"/>
    </row>
    <row r="365">
      <c r="A365" s="48" t="n"/>
      <c r="B365" s="24" t="n"/>
      <c r="C365" s="40" t="str">
        <f>IF(B365="","",IFERROR(T(INDEX('交易记录'!$F$5:$F$304,MATCH(B365,'交易记录'!$A$5:$A$304,0))),"编号没找到"))</f>
        <v/>
      </c>
      <c r="D365" s="47" t="n"/>
      <c r="E365" s="49" t="n"/>
      <c r="F365" s="50" t="str">
        <f>IF(ISNUMBER(G365),G365,IF(AND(ISNUMBER(D365),ISNUMBER(E365),OR(C365="多",C365="空")),-IF(C365="空",-1,1)*D365*E365,""))</f>
        <v/>
      </c>
      <c r="G365" s="51" t="n"/>
      <c r="H365" s="30" t="n"/>
    </row>
    <row r="366">
      <c r="A366" s="48" t="n"/>
      <c r="B366" s="24" t="n"/>
      <c r="C366" s="40" t="str">
        <f>IF(B366="","",IFERROR(T(INDEX('交易记录'!$F$5:$F$304,MATCH(B366,'交易记录'!$A$5:$A$304,0))),"编号没找到"))</f>
        <v/>
      </c>
      <c r="D366" s="47" t="n"/>
      <c r="E366" s="49" t="n"/>
      <c r="F366" s="50" t="str">
        <f>IF(ISNUMBER(G366),G366,IF(AND(ISNUMBER(D366),ISNUMBER(E366),OR(C366="多",C366="空")),-IF(C366="空",-1,1)*D366*E366,""))</f>
        <v/>
      </c>
      <c r="G366" s="51" t="n"/>
      <c r="H366" s="30" t="n"/>
    </row>
    <row r="367">
      <c r="A367" s="48" t="n"/>
      <c r="B367" s="24" t="n"/>
      <c r="C367" s="40" t="str">
        <f>IF(B367="","",IFERROR(T(INDEX('交易记录'!$F$5:$F$304,MATCH(B367,'交易记录'!$A$5:$A$304,0))),"编号没找到"))</f>
        <v/>
      </c>
      <c r="D367" s="47" t="n"/>
      <c r="E367" s="49" t="n"/>
      <c r="F367" s="50" t="str">
        <f>IF(ISNUMBER(G367),G367,IF(AND(ISNUMBER(D367),ISNUMBER(E367),OR(C367="多",C367="空")),-IF(C367="空",-1,1)*D367*E367,""))</f>
        <v/>
      </c>
      <c r="G367" s="51" t="n"/>
      <c r="H367" s="30" t="n"/>
    </row>
    <row r="368">
      <c r="A368" s="48" t="n"/>
      <c r="B368" s="24" t="n"/>
      <c r="C368" s="40" t="str">
        <f>IF(B368="","",IFERROR(T(INDEX('交易记录'!$F$5:$F$304,MATCH(B368,'交易记录'!$A$5:$A$304,0))),"编号没找到"))</f>
        <v/>
      </c>
      <c r="D368" s="47" t="n"/>
      <c r="E368" s="49" t="n"/>
      <c r="F368" s="50" t="str">
        <f>IF(ISNUMBER(G368),G368,IF(AND(ISNUMBER(D368),ISNUMBER(E368),OR(C368="多",C368="空")),-IF(C368="空",-1,1)*D368*E368,""))</f>
        <v/>
      </c>
      <c r="G368" s="51" t="n"/>
      <c r="H368" s="30" t="n"/>
    </row>
    <row r="369">
      <c r="A369" s="48" t="n"/>
      <c r="B369" s="24" t="n"/>
      <c r="C369" s="40" t="str">
        <f>IF(B369="","",IFERROR(T(INDEX('交易记录'!$F$5:$F$304,MATCH(B369,'交易记录'!$A$5:$A$304,0))),"编号没找到"))</f>
        <v/>
      </c>
      <c r="D369" s="47" t="n"/>
      <c r="E369" s="49" t="n"/>
      <c r="F369" s="50" t="str">
        <f>IF(ISNUMBER(G369),G369,IF(AND(ISNUMBER(D369),ISNUMBER(E369),OR(C369="多",C369="空")),-IF(C369="空",-1,1)*D369*E369,""))</f>
        <v/>
      </c>
      <c r="G369" s="51" t="n"/>
      <c r="H369" s="30" t="n"/>
    </row>
    <row r="370">
      <c r="A370" s="48" t="n"/>
      <c r="B370" s="24" t="n"/>
      <c r="C370" s="40" t="str">
        <f>IF(B370="","",IFERROR(T(INDEX('交易记录'!$F$5:$F$304,MATCH(B370,'交易记录'!$A$5:$A$304,0))),"编号没找到"))</f>
        <v/>
      </c>
      <c r="D370" s="47" t="n"/>
      <c r="E370" s="49" t="n"/>
      <c r="F370" s="50" t="str">
        <f>IF(ISNUMBER(G370),G370,IF(AND(ISNUMBER(D370),ISNUMBER(E370),OR(C370="多",C370="空")),-IF(C370="空",-1,1)*D370*E370,""))</f>
        <v/>
      </c>
      <c r="G370" s="51" t="n"/>
      <c r="H370" s="30" t="n"/>
    </row>
    <row r="371">
      <c r="A371" s="48" t="n"/>
      <c r="B371" s="24" t="n"/>
      <c r="C371" s="40" t="str">
        <f>IF(B371="","",IFERROR(T(INDEX('交易记录'!$F$5:$F$304,MATCH(B371,'交易记录'!$A$5:$A$304,0))),"编号没找到"))</f>
        <v/>
      </c>
      <c r="D371" s="47" t="n"/>
      <c r="E371" s="49" t="n"/>
      <c r="F371" s="50" t="str">
        <f>IF(ISNUMBER(G371),G371,IF(AND(ISNUMBER(D371),ISNUMBER(E371),OR(C371="多",C371="空")),-IF(C371="空",-1,1)*D371*E371,""))</f>
        <v/>
      </c>
      <c r="G371" s="51" t="n"/>
      <c r="H371" s="30" t="n"/>
    </row>
    <row r="372">
      <c r="A372" s="48" t="n"/>
      <c r="B372" s="24" t="n"/>
      <c r="C372" s="40" t="str">
        <f>IF(B372="","",IFERROR(T(INDEX('交易记录'!$F$5:$F$304,MATCH(B372,'交易记录'!$A$5:$A$304,0))),"编号没找到"))</f>
        <v/>
      </c>
      <c r="D372" s="47" t="n"/>
      <c r="E372" s="49" t="n"/>
      <c r="F372" s="50" t="str">
        <f>IF(ISNUMBER(G372),G372,IF(AND(ISNUMBER(D372),ISNUMBER(E372),OR(C372="多",C372="空")),-IF(C372="空",-1,1)*D372*E372,""))</f>
        <v/>
      </c>
      <c r="G372" s="51" t="n"/>
      <c r="H372" s="30" t="n"/>
    </row>
    <row r="373">
      <c r="A373" s="48" t="n"/>
      <c r="B373" s="24" t="n"/>
      <c r="C373" s="40" t="str">
        <f>IF(B373="","",IFERROR(T(INDEX('交易记录'!$F$5:$F$304,MATCH(B373,'交易记录'!$A$5:$A$304,0))),"编号没找到"))</f>
        <v/>
      </c>
      <c r="D373" s="47" t="n"/>
      <c r="E373" s="49" t="n"/>
      <c r="F373" s="50" t="str">
        <f>IF(ISNUMBER(G373),G373,IF(AND(ISNUMBER(D373),ISNUMBER(E373),OR(C373="多",C373="空")),-IF(C373="空",-1,1)*D373*E373,""))</f>
        <v/>
      </c>
      <c r="G373" s="51" t="n"/>
      <c r="H373" s="30" t="n"/>
    </row>
    <row r="374">
      <c r="A374" s="48" t="n"/>
      <c r="B374" s="24" t="n"/>
      <c r="C374" s="40" t="str">
        <f>IF(B374="","",IFERROR(T(INDEX('交易记录'!$F$5:$F$304,MATCH(B374,'交易记录'!$A$5:$A$304,0))),"编号没找到"))</f>
        <v/>
      </c>
      <c r="D374" s="47" t="n"/>
      <c r="E374" s="49" t="n"/>
      <c r="F374" s="50" t="str">
        <f>IF(ISNUMBER(G374),G374,IF(AND(ISNUMBER(D374),ISNUMBER(E374),OR(C374="多",C374="空")),-IF(C374="空",-1,1)*D374*E374,""))</f>
        <v/>
      </c>
      <c r="G374" s="51" t="n"/>
      <c r="H374" s="30" t="n"/>
    </row>
    <row r="375">
      <c r="A375" s="48" t="n"/>
      <c r="B375" s="24" t="n"/>
      <c r="C375" s="40" t="str">
        <f>IF(B375="","",IFERROR(T(INDEX('交易记录'!$F$5:$F$304,MATCH(B375,'交易记录'!$A$5:$A$304,0))),"编号没找到"))</f>
        <v/>
      </c>
      <c r="D375" s="47" t="n"/>
      <c r="E375" s="49" t="n"/>
      <c r="F375" s="50" t="str">
        <f>IF(ISNUMBER(G375),G375,IF(AND(ISNUMBER(D375),ISNUMBER(E375),OR(C375="多",C375="空")),-IF(C375="空",-1,1)*D375*E375,""))</f>
        <v/>
      </c>
      <c r="G375" s="51" t="n"/>
      <c r="H375" s="30" t="n"/>
    </row>
    <row r="376">
      <c r="A376" s="48" t="n"/>
      <c r="B376" s="24" t="n"/>
      <c r="C376" s="40" t="str">
        <f>IF(B376="","",IFERROR(T(INDEX('交易记录'!$F$5:$F$304,MATCH(B376,'交易记录'!$A$5:$A$304,0))),"编号没找到"))</f>
        <v/>
      </c>
      <c r="D376" s="47" t="n"/>
      <c r="E376" s="49" t="n"/>
      <c r="F376" s="50" t="str">
        <f>IF(ISNUMBER(G376),G376,IF(AND(ISNUMBER(D376),ISNUMBER(E376),OR(C376="多",C376="空")),-IF(C376="空",-1,1)*D376*E376,""))</f>
        <v/>
      </c>
      <c r="G376" s="51" t="n"/>
      <c r="H376" s="30" t="n"/>
    </row>
    <row r="377">
      <c r="A377" s="48" t="n"/>
      <c r="B377" s="24" t="n"/>
      <c r="C377" s="40" t="str">
        <f>IF(B377="","",IFERROR(T(INDEX('交易记录'!$F$5:$F$304,MATCH(B377,'交易记录'!$A$5:$A$304,0))),"编号没找到"))</f>
        <v/>
      </c>
      <c r="D377" s="47" t="n"/>
      <c r="E377" s="49" t="n"/>
      <c r="F377" s="50" t="str">
        <f>IF(ISNUMBER(G377),G377,IF(AND(ISNUMBER(D377),ISNUMBER(E377),OR(C377="多",C377="空")),-IF(C377="空",-1,1)*D377*E377,""))</f>
        <v/>
      </c>
      <c r="G377" s="51" t="n"/>
      <c r="H377" s="30" t="n"/>
    </row>
    <row r="378">
      <c r="A378" s="48" t="n"/>
      <c r="B378" s="24" t="n"/>
      <c r="C378" s="40" t="str">
        <f>IF(B378="","",IFERROR(T(INDEX('交易记录'!$F$5:$F$304,MATCH(B378,'交易记录'!$A$5:$A$304,0))),"编号没找到"))</f>
        <v/>
      </c>
      <c r="D378" s="47" t="n"/>
      <c r="E378" s="49" t="n"/>
      <c r="F378" s="50" t="str">
        <f>IF(ISNUMBER(G378),G378,IF(AND(ISNUMBER(D378),ISNUMBER(E378),OR(C378="多",C378="空")),-IF(C378="空",-1,1)*D378*E378,""))</f>
        <v/>
      </c>
      <c r="G378" s="51" t="n"/>
      <c r="H378" s="30" t="n"/>
    </row>
    <row r="379">
      <c r="A379" s="48" t="n"/>
      <c r="B379" s="24" t="n"/>
      <c r="C379" s="40" t="str">
        <f>IF(B379="","",IFERROR(T(INDEX('交易记录'!$F$5:$F$304,MATCH(B379,'交易记录'!$A$5:$A$304,0))),"编号没找到"))</f>
        <v/>
      </c>
      <c r="D379" s="47" t="n"/>
      <c r="E379" s="49" t="n"/>
      <c r="F379" s="50" t="str">
        <f>IF(ISNUMBER(G379),G379,IF(AND(ISNUMBER(D379),ISNUMBER(E379),OR(C379="多",C379="空")),-IF(C379="空",-1,1)*D379*E379,""))</f>
        <v/>
      </c>
      <c r="G379" s="51" t="n"/>
      <c r="H379" s="30" t="n"/>
    </row>
    <row r="380">
      <c r="A380" s="48" t="n"/>
      <c r="B380" s="24" t="n"/>
      <c r="C380" s="40" t="str">
        <f>IF(B380="","",IFERROR(T(INDEX('交易记录'!$F$5:$F$304,MATCH(B380,'交易记录'!$A$5:$A$304,0))),"编号没找到"))</f>
        <v/>
      </c>
      <c r="D380" s="47" t="n"/>
      <c r="E380" s="49" t="n"/>
      <c r="F380" s="50" t="str">
        <f>IF(ISNUMBER(G380),G380,IF(AND(ISNUMBER(D380),ISNUMBER(E380),OR(C380="多",C380="空")),-IF(C380="空",-1,1)*D380*E380,""))</f>
        <v/>
      </c>
      <c r="G380" s="51" t="n"/>
      <c r="H380" s="30" t="n"/>
    </row>
    <row r="381">
      <c r="A381" s="48" t="n"/>
      <c r="B381" s="24" t="n"/>
      <c r="C381" s="40" t="str">
        <f>IF(B381="","",IFERROR(T(INDEX('交易记录'!$F$5:$F$304,MATCH(B381,'交易记录'!$A$5:$A$304,0))),"编号没找到"))</f>
        <v/>
      </c>
      <c r="D381" s="47" t="n"/>
      <c r="E381" s="49" t="n"/>
      <c r="F381" s="50" t="str">
        <f>IF(ISNUMBER(G381),G381,IF(AND(ISNUMBER(D381),ISNUMBER(E381),OR(C381="多",C381="空")),-IF(C381="空",-1,1)*D381*E381,""))</f>
        <v/>
      </c>
      <c r="G381" s="51" t="n"/>
      <c r="H381" s="30" t="n"/>
    </row>
    <row r="382">
      <c r="A382" s="48" t="n"/>
      <c r="B382" s="24" t="n"/>
      <c r="C382" s="40" t="str">
        <f>IF(B382="","",IFERROR(T(INDEX('交易记录'!$F$5:$F$304,MATCH(B382,'交易记录'!$A$5:$A$304,0))),"编号没找到"))</f>
        <v/>
      </c>
      <c r="D382" s="47" t="n"/>
      <c r="E382" s="49" t="n"/>
      <c r="F382" s="50" t="str">
        <f>IF(ISNUMBER(G382),G382,IF(AND(ISNUMBER(D382),ISNUMBER(E382),OR(C382="多",C382="空")),-IF(C382="空",-1,1)*D382*E382,""))</f>
        <v/>
      </c>
      <c r="G382" s="51" t="n"/>
      <c r="H382" s="30" t="n"/>
    </row>
    <row r="383">
      <c r="A383" s="48" t="n"/>
      <c r="B383" s="24" t="n"/>
      <c r="C383" s="40" t="str">
        <f>IF(B383="","",IFERROR(T(INDEX('交易记录'!$F$5:$F$304,MATCH(B383,'交易记录'!$A$5:$A$304,0))),"编号没找到"))</f>
        <v/>
      </c>
      <c r="D383" s="47" t="n"/>
      <c r="E383" s="49" t="n"/>
      <c r="F383" s="50" t="str">
        <f>IF(ISNUMBER(G383),G383,IF(AND(ISNUMBER(D383),ISNUMBER(E383),OR(C383="多",C383="空")),-IF(C383="空",-1,1)*D383*E383,""))</f>
        <v/>
      </c>
      <c r="G383" s="51" t="n"/>
      <c r="H383" s="30" t="n"/>
    </row>
    <row r="384">
      <c r="A384" s="48" t="n"/>
      <c r="B384" s="24" t="n"/>
      <c r="C384" s="40" t="str">
        <f>IF(B384="","",IFERROR(T(INDEX('交易记录'!$F$5:$F$304,MATCH(B384,'交易记录'!$A$5:$A$304,0))),"编号没找到"))</f>
        <v/>
      </c>
      <c r="D384" s="47" t="n"/>
      <c r="E384" s="49" t="n"/>
      <c r="F384" s="50" t="str">
        <f>IF(ISNUMBER(G384),G384,IF(AND(ISNUMBER(D384),ISNUMBER(E384),OR(C384="多",C384="空")),-IF(C384="空",-1,1)*D384*E384,""))</f>
        <v/>
      </c>
      <c r="G384" s="51" t="n"/>
      <c r="H384" s="30" t="n"/>
    </row>
    <row r="385">
      <c r="A385" s="48" t="n"/>
      <c r="B385" s="24" t="n"/>
      <c r="C385" s="40" t="str">
        <f>IF(B385="","",IFERROR(T(INDEX('交易记录'!$F$5:$F$304,MATCH(B385,'交易记录'!$A$5:$A$304,0))),"编号没找到"))</f>
        <v/>
      </c>
      <c r="D385" s="47" t="n"/>
      <c r="E385" s="49" t="n"/>
      <c r="F385" s="50" t="str">
        <f>IF(ISNUMBER(G385),G385,IF(AND(ISNUMBER(D385),ISNUMBER(E385),OR(C385="多",C385="空")),-IF(C385="空",-1,1)*D385*E385,""))</f>
        <v/>
      </c>
      <c r="G385" s="51" t="n"/>
      <c r="H385" s="30" t="n"/>
    </row>
    <row r="386">
      <c r="A386" s="48" t="n"/>
      <c r="B386" s="24" t="n"/>
      <c r="C386" s="40" t="str">
        <f>IF(B386="","",IFERROR(T(INDEX('交易记录'!$F$5:$F$304,MATCH(B386,'交易记录'!$A$5:$A$304,0))),"编号没找到"))</f>
        <v/>
      </c>
      <c r="D386" s="47" t="n"/>
      <c r="E386" s="49" t="n"/>
      <c r="F386" s="50" t="str">
        <f>IF(ISNUMBER(G386),G386,IF(AND(ISNUMBER(D386),ISNUMBER(E386),OR(C386="多",C386="空")),-IF(C386="空",-1,1)*D386*E386,""))</f>
        <v/>
      </c>
      <c r="G386" s="51" t="n"/>
      <c r="H386" s="30" t="n"/>
    </row>
    <row r="387">
      <c r="A387" s="48" t="n"/>
      <c r="B387" s="24" t="n"/>
      <c r="C387" s="40" t="str">
        <f>IF(B387="","",IFERROR(T(INDEX('交易记录'!$F$5:$F$304,MATCH(B387,'交易记录'!$A$5:$A$304,0))),"编号没找到"))</f>
        <v/>
      </c>
      <c r="D387" s="47" t="n"/>
      <c r="E387" s="49" t="n"/>
      <c r="F387" s="50" t="str">
        <f>IF(ISNUMBER(G387),G387,IF(AND(ISNUMBER(D387),ISNUMBER(E387),OR(C387="多",C387="空")),-IF(C387="空",-1,1)*D387*E387,""))</f>
        <v/>
      </c>
      <c r="G387" s="51" t="n"/>
      <c r="H387" s="30" t="n"/>
    </row>
    <row r="388">
      <c r="A388" s="48" t="n"/>
      <c r="B388" s="24" t="n"/>
      <c r="C388" s="40" t="str">
        <f>IF(B388="","",IFERROR(T(INDEX('交易记录'!$F$5:$F$304,MATCH(B388,'交易记录'!$A$5:$A$304,0))),"编号没找到"))</f>
        <v/>
      </c>
      <c r="D388" s="47" t="n"/>
      <c r="E388" s="49" t="n"/>
      <c r="F388" s="50" t="str">
        <f>IF(ISNUMBER(G388),G388,IF(AND(ISNUMBER(D388),ISNUMBER(E388),OR(C388="多",C388="空")),-IF(C388="空",-1,1)*D388*E388,""))</f>
        <v/>
      </c>
      <c r="G388" s="51" t="n"/>
      <c r="H388" s="30" t="n"/>
    </row>
    <row r="389">
      <c r="A389" s="48" t="n"/>
      <c r="B389" s="24" t="n"/>
      <c r="C389" s="40" t="str">
        <f>IF(B389="","",IFERROR(T(INDEX('交易记录'!$F$5:$F$304,MATCH(B389,'交易记录'!$A$5:$A$304,0))),"编号没找到"))</f>
        <v/>
      </c>
      <c r="D389" s="47" t="n"/>
      <c r="E389" s="49" t="n"/>
      <c r="F389" s="50" t="str">
        <f>IF(ISNUMBER(G389),G389,IF(AND(ISNUMBER(D389),ISNUMBER(E389),OR(C389="多",C389="空")),-IF(C389="空",-1,1)*D389*E389,""))</f>
        <v/>
      </c>
      <c r="G389" s="51" t="n"/>
      <c r="H389" s="30" t="n"/>
    </row>
    <row r="390">
      <c r="A390" s="48" t="n"/>
      <c r="B390" s="24" t="n"/>
      <c r="C390" s="40" t="str">
        <f>IF(B390="","",IFERROR(T(INDEX('交易记录'!$F$5:$F$304,MATCH(B390,'交易记录'!$A$5:$A$304,0))),"编号没找到"))</f>
        <v/>
      </c>
      <c r="D390" s="47" t="n"/>
      <c r="E390" s="49" t="n"/>
      <c r="F390" s="50" t="str">
        <f>IF(ISNUMBER(G390),G390,IF(AND(ISNUMBER(D390),ISNUMBER(E390),OR(C390="多",C390="空")),-IF(C390="空",-1,1)*D390*E390,""))</f>
        <v/>
      </c>
      <c r="G390" s="51" t="n"/>
      <c r="H390" s="30" t="n"/>
    </row>
    <row r="391">
      <c r="A391" s="48" t="n"/>
      <c r="B391" s="24" t="n"/>
      <c r="C391" s="40" t="str">
        <f>IF(B391="","",IFERROR(T(INDEX('交易记录'!$F$5:$F$304,MATCH(B391,'交易记录'!$A$5:$A$304,0))),"编号没找到"))</f>
        <v/>
      </c>
      <c r="D391" s="47" t="n"/>
      <c r="E391" s="49" t="n"/>
      <c r="F391" s="50" t="str">
        <f>IF(ISNUMBER(G391),G391,IF(AND(ISNUMBER(D391),ISNUMBER(E391),OR(C391="多",C391="空")),-IF(C391="空",-1,1)*D391*E391,""))</f>
        <v/>
      </c>
      <c r="G391" s="51" t="n"/>
      <c r="H391" s="30" t="n"/>
    </row>
    <row r="392">
      <c r="A392" s="48" t="n"/>
      <c r="B392" s="24" t="n"/>
      <c r="C392" s="40" t="str">
        <f>IF(B392="","",IFERROR(T(INDEX('交易记录'!$F$5:$F$304,MATCH(B392,'交易记录'!$A$5:$A$304,0))),"编号没找到"))</f>
        <v/>
      </c>
      <c r="D392" s="47" t="n"/>
      <c r="E392" s="49" t="n"/>
      <c r="F392" s="50" t="str">
        <f>IF(ISNUMBER(G392),G392,IF(AND(ISNUMBER(D392),ISNUMBER(E392),OR(C392="多",C392="空")),-IF(C392="空",-1,1)*D392*E392,""))</f>
        <v/>
      </c>
      <c r="G392" s="51" t="n"/>
      <c r="H392" s="30" t="n"/>
    </row>
    <row r="393">
      <c r="A393" s="48" t="n"/>
      <c r="B393" s="24" t="n"/>
      <c r="C393" s="40" t="str">
        <f>IF(B393="","",IFERROR(T(INDEX('交易记录'!$F$5:$F$304,MATCH(B393,'交易记录'!$A$5:$A$304,0))),"编号没找到"))</f>
        <v/>
      </c>
      <c r="D393" s="47" t="n"/>
      <c r="E393" s="49" t="n"/>
      <c r="F393" s="50" t="str">
        <f>IF(ISNUMBER(G393),G393,IF(AND(ISNUMBER(D393),ISNUMBER(E393),OR(C393="多",C393="空")),-IF(C393="空",-1,1)*D393*E393,""))</f>
        <v/>
      </c>
      <c r="G393" s="51" t="n"/>
      <c r="H393" s="30" t="n"/>
    </row>
    <row r="394">
      <c r="A394" s="48" t="n"/>
      <c r="B394" s="24" t="n"/>
      <c r="C394" s="40" t="str">
        <f>IF(B394="","",IFERROR(T(INDEX('交易记录'!$F$5:$F$304,MATCH(B394,'交易记录'!$A$5:$A$304,0))),"编号没找到"))</f>
        <v/>
      </c>
      <c r="D394" s="47" t="n"/>
      <c r="E394" s="49" t="n"/>
      <c r="F394" s="50" t="str">
        <f>IF(ISNUMBER(G394),G394,IF(AND(ISNUMBER(D394),ISNUMBER(E394),OR(C394="多",C394="空")),-IF(C394="空",-1,1)*D394*E394,""))</f>
        <v/>
      </c>
      <c r="G394" s="51" t="n"/>
      <c r="H394" s="30" t="n"/>
    </row>
    <row r="395">
      <c r="A395" s="48" t="n"/>
      <c r="B395" s="24" t="n"/>
      <c r="C395" s="40" t="str">
        <f>IF(B395="","",IFERROR(T(INDEX('交易记录'!$F$5:$F$304,MATCH(B395,'交易记录'!$A$5:$A$304,0))),"编号没找到"))</f>
        <v/>
      </c>
      <c r="D395" s="47" t="n"/>
      <c r="E395" s="49" t="n"/>
      <c r="F395" s="50" t="str">
        <f>IF(ISNUMBER(G395),G395,IF(AND(ISNUMBER(D395),ISNUMBER(E395),OR(C395="多",C395="空")),-IF(C395="空",-1,1)*D395*E395,""))</f>
        <v/>
      </c>
      <c r="G395" s="51" t="n"/>
      <c r="H395" s="30" t="n"/>
    </row>
    <row r="396">
      <c r="A396" s="48" t="n"/>
      <c r="B396" s="24" t="n"/>
      <c r="C396" s="40" t="str">
        <f>IF(B396="","",IFERROR(T(INDEX('交易记录'!$F$5:$F$304,MATCH(B396,'交易记录'!$A$5:$A$304,0))),"编号没找到"))</f>
        <v/>
      </c>
      <c r="D396" s="47" t="n"/>
      <c r="E396" s="49" t="n"/>
      <c r="F396" s="50" t="str">
        <f>IF(ISNUMBER(G396),G396,IF(AND(ISNUMBER(D396),ISNUMBER(E396),OR(C396="多",C396="空")),-IF(C396="空",-1,1)*D396*E396,""))</f>
        <v/>
      </c>
      <c r="G396" s="51" t="n"/>
      <c r="H396" s="30" t="n"/>
    </row>
    <row r="397">
      <c r="A397" s="48" t="n"/>
      <c r="B397" s="24" t="n"/>
      <c r="C397" s="40" t="str">
        <f>IF(B397="","",IFERROR(T(INDEX('交易记录'!$F$5:$F$304,MATCH(B397,'交易记录'!$A$5:$A$304,0))),"编号没找到"))</f>
        <v/>
      </c>
      <c r="D397" s="47" t="n"/>
      <c r="E397" s="49" t="n"/>
      <c r="F397" s="50" t="str">
        <f>IF(ISNUMBER(G397),G397,IF(AND(ISNUMBER(D397),ISNUMBER(E397),OR(C397="多",C397="空")),-IF(C397="空",-1,1)*D397*E397,""))</f>
        <v/>
      </c>
      <c r="G397" s="51" t="n"/>
      <c r="H397" s="30" t="n"/>
    </row>
    <row r="398">
      <c r="A398" s="48" t="n"/>
      <c r="B398" s="24" t="n"/>
      <c r="C398" s="40" t="str">
        <f>IF(B398="","",IFERROR(T(INDEX('交易记录'!$F$5:$F$304,MATCH(B398,'交易记录'!$A$5:$A$304,0))),"编号没找到"))</f>
        <v/>
      </c>
      <c r="D398" s="47" t="n"/>
      <c r="E398" s="49" t="n"/>
      <c r="F398" s="50" t="str">
        <f>IF(ISNUMBER(G398),G398,IF(AND(ISNUMBER(D398),ISNUMBER(E398),OR(C398="多",C398="空")),-IF(C398="空",-1,1)*D398*E398,""))</f>
        <v/>
      </c>
      <c r="G398" s="51" t="n"/>
      <c r="H398" s="30" t="n"/>
    </row>
    <row r="399">
      <c r="A399" s="48" t="n"/>
      <c r="B399" s="24" t="n"/>
      <c r="C399" s="40" t="str">
        <f>IF(B399="","",IFERROR(T(INDEX('交易记录'!$F$5:$F$304,MATCH(B399,'交易记录'!$A$5:$A$304,0))),"编号没找到"))</f>
        <v/>
      </c>
      <c r="D399" s="47" t="n"/>
      <c r="E399" s="49" t="n"/>
      <c r="F399" s="50" t="str">
        <f>IF(ISNUMBER(G399),G399,IF(AND(ISNUMBER(D399),ISNUMBER(E399),OR(C399="多",C399="空")),-IF(C399="空",-1,1)*D399*E399,""))</f>
        <v/>
      </c>
      <c r="G399" s="51" t="n"/>
      <c r="H399" s="30" t="n"/>
    </row>
    <row r="400">
      <c r="A400" s="48" t="n"/>
      <c r="B400" s="24" t="n"/>
      <c r="C400" s="40" t="str">
        <f>IF(B400="","",IFERROR(T(INDEX('交易记录'!$F$5:$F$304,MATCH(B400,'交易记录'!$A$5:$A$304,0))),"编号没找到"))</f>
        <v/>
      </c>
      <c r="D400" s="47" t="n"/>
      <c r="E400" s="49" t="n"/>
      <c r="F400" s="50" t="str">
        <f>IF(ISNUMBER(G400),G400,IF(AND(ISNUMBER(D400),ISNUMBER(E400),OR(C400="多",C400="空")),-IF(C400="空",-1,1)*D400*E400,""))</f>
        <v/>
      </c>
      <c r="G400" s="51" t="n"/>
      <c r="H400" s="30" t="n"/>
    </row>
    <row r="401">
      <c r="A401" s="48" t="n"/>
      <c r="B401" s="24" t="n"/>
      <c r="C401" s="40" t="str">
        <f>IF(B401="","",IFERROR(T(INDEX('交易记录'!$F$5:$F$304,MATCH(B401,'交易记录'!$A$5:$A$304,0))),"编号没找到"))</f>
        <v/>
      </c>
      <c r="D401" s="47" t="n"/>
      <c r="E401" s="49" t="n"/>
      <c r="F401" s="50" t="str">
        <f>IF(ISNUMBER(G401),G401,IF(AND(ISNUMBER(D401),ISNUMBER(E401),OR(C401="多",C401="空")),-IF(C401="空",-1,1)*D401*E401,""))</f>
        <v/>
      </c>
      <c r="G401" s="51" t="n"/>
      <c r="H401" s="30" t="n"/>
    </row>
    <row r="402">
      <c r="A402" s="48" t="n"/>
      <c r="B402" s="24" t="n"/>
      <c r="C402" s="40" t="str">
        <f>IF(B402="","",IFERROR(T(INDEX('交易记录'!$F$5:$F$304,MATCH(B402,'交易记录'!$A$5:$A$304,0))),"编号没找到"))</f>
        <v/>
      </c>
      <c r="D402" s="47" t="n"/>
      <c r="E402" s="49" t="n"/>
      <c r="F402" s="50" t="str">
        <f>IF(ISNUMBER(G402),G402,IF(AND(ISNUMBER(D402),ISNUMBER(E402),OR(C402="多",C402="空")),-IF(C402="空",-1,1)*D402*E402,""))</f>
        <v/>
      </c>
      <c r="G402" s="51" t="n"/>
      <c r="H402" s="30" t="n"/>
    </row>
    <row r="403">
      <c r="A403" s="48" t="n"/>
      <c r="B403" s="24" t="n"/>
      <c r="C403" s="40" t="str">
        <f>IF(B403="","",IFERROR(T(INDEX('交易记录'!$F$5:$F$304,MATCH(B403,'交易记录'!$A$5:$A$304,0))),"编号没找到"))</f>
        <v/>
      </c>
      <c r="D403" s="47" t="n"/>
      <c r="E403" s="49" t="n"/>
      <c r="F403" s="50" t="str">
        <f>IF(ISNUMBER(G403),G403,IF(AND(ISNUMBER(D403),ISNUMBER(E403),OR(C403="多",C403="空")),-IF(C403="空",-1,1)*D403*E403,""))</f>
        <v/>
      </c>
      <c r="G403" s="51" t="n"/>
      <c r="H403" s="30" t="n"/>
    </row>
    <row r="404">
      <c r="A404" s="48" t="n"/>
      <c r="B404" s="24" t="n"/>
      <c r="C404" s="40" t="str">
        <f>IF(B404="","",IFERROR(T(INDEX('交易记录'!$F$5:$F$304,MATCH(B404,'交易记录'!$A$5:$A$304,0))),"编号没找到"))</f>
        <v/>
      </c>
      <c r="D404" s="47" t="n"/>
      <c r="E404" s="49" t="n"/>
      <c r="F404" s="50" t="str">
        <f>IF(ISNUMBER(G404),G404,IF(AND(ISNUMBER(D404),ISNUMBER(E404),OR(C404="多",C404="空")),-IF(C404="空",-1,1)*D404*E404,""))</f>
        <v/>
      </c>
      <c r="G404" s="51" t="n"/>
      <c r="H404" s="30" t="n"/>
    </row>
    <row r="405">
      <c r="A405" s="48" t="n"/>
      <c r="B405" s="24" t="n"/>
      <c r="C405" s="40" t="str">
        <f>IF(B405="","",IFERROR(T(INDEX('交易记录'!$F$5:$F$304,MATCH(B405,'交易记录'!$A$5:$A$304,0))),"编号没找到"))</f>
        <v/>
      </c>
      <c r="D405" s="47" t="n"/>
      <c r="E405" s="49" t="n"/>
      <c r="F405" s="50" t="str">
        <f>IF(ISNUMBER(G405),G405,IF(AND(ISNUMBER(D405),ISNUMBER(E405),OR(C405="多",C405="空")),-IF(C405="空",-1,1)*D405*E405,""))</f>
        <v/>
      </c>
      <c r="G405" s="51" t="n"/>
      <c r="H405" s="30" t="n"/>
    </row>
    <row r="406">
      <c r="A406" s="48" t="n"/>
      <c r="B406" s="24" t="n"/>
      <c r="C406" s="40" t="str">
        <f>IF(B406="","",IFERROR(T(INDEX('交易记录'!$F$5:$F$304,MATCH(B406,'交易记录'!$A$5:$A$304,0))),"编号没找到"))</f>
        <v/>
      </c>
      <c r="D406" s="47" t="n"/>
      <c r="E406" s="49" t="n"/>
      <c r="F406" s="50" t="str">
        <f>IF(ISNUMBER(G406),G406,IF(AND(ISNUMBER(D406),ISNUMBER(E406),OR(C406="多",C406="空")),-IF(C406="空",-1,1)*D406*E406,""))</f>
        <v/>
      </c>
      <c r="G406" s="51" t="n"/>
      <c r="H406" s="30" t="n"/>
    </row>
    <row r="407">
      <c r="A407" s="48" t="n"/>
      <c r="B407" s="24" t="n"/>
      <c r="C407" s="40" t="str">
        <f>IF(B407="","",IFERROR(T(INDEX('交易记录'!$F$5:$F$304,MATCH(B407,'交易记录'!$A$5:$A$304,0))),"编号没找到"))</f>
        <v/>
      </c>
      <c r="D407" s="47" t="n"/>
      <c r="E407" s="49" t="n"/>
      <c r="F407" s="50" t="str">
        <f>IF(ISNUMBER(G407),G407,IF(AND(ISNUMBER(D407),ISNUMBER(E407),OR(C407="多",C407="空")),-IF(C407="空",-1,1)*D407*E407,""))</f>
        <v/>
      </c>
      <c r="G407" s="51" t="n"/>
      <c r="H407" s="30" t="n"/>
    </row>
    <row r="408">
      <c r="A408" s="48" t="n"/>
      <c r="B408" s="24" t="n"/>
      <c r="C408" s="40" t="str">
        <f>IF(B408="","",IFERROR(T(INDEX('交易记录'!$F$5:$F$304,MATCH(B408,'交易记录'!$A$5:$A$304,0))),"编号没找到"))</f>
        <v/>
      </c>
      <c r="D408" s="47" t="n"/>
      <c r="E408" s="49" t="n"/>
      <c r="F408" s="50" t="str">
        <f>IF(ISNUMBER(G408),G408,IF(AND(ISNUMBER(D408),ISNUMBER(E408),OR(C408="多",C408="空")),-IF(C408="空",-1,1)*D408*E408,""))</f>
        <v/>
      </c>
      <c r="G408" s="51" t="n"/>
      <c r="H408" s="30" t="n"/>
    </row>
    <row r="409">
      <c r="A409" s="48" t="n"/>
      <c r="B409" s="24" t="n"/>
      <c r="C409" s="40" t="str">
        <f>IF(B409="","",IFERROR(T(INDEX('交易记录'!$F$5:$F$304,MATCH(B409,'交易记录'!$A$5:$A$304,0))),"编号没找到"))</f>
        <v/>
      </c>
      <c r="D409" s="47" t="n"/>
      <c r="E409" s="49" t="n"/>
      <c r="F409" s="50" t="str">
        <f>IF(ISNUMBER(G409),G409,IF(AND(ISNUMBER(D409),ISNUMBER(E409),OR(C409="多",C409="空")),-IF(C409="空",-1,1)*D409*E409,""))</f>
        <v/>
      </c>
      <c r="G409" s="51" t="n"/>
      <c r="H409" s="30" t="n"/>
    </row>
    <row r="410">
      <c r="A410" s="48" t="n"/>
      <c r="B410" s="24" t="n"/>
      <c r="C410" s="40" t="str">
        <f>IF(B410="","",IFERROR(T(INDEX('交易记录'!$F$5:$F$304,MATCH(B410,'交易记录'!$A$5:$A$304,0))),"编号没找到"))</f>
        <v/>
      </c>
      <c r="D410" s="47" t="n"/>
      <c r="E410" s="49" t="n"/>
      <c r="F410" s="50" t="str">
        <f>IF(ISNUMBER(G410),G410,IF(AND(ISNUMBER(D410),ISNUMBER(E410),OR(C410="多",C410="空")),-IF(C410="空",-1,1)*D410*E410,""))</f>
        <v/>
      </c>
      <c r="G410" s="51" t="n"/>
      <c r="H410" s="30" t="n"/>
    </row>
    <row r="411">
      <c r="A411" s="48" t="n"/>
      <c r="B411" s="24" t="n"/>
      <c r="C411" s="40" t="str">
        <f>IF(B411="","",IFERROR(T(INDEX('交易记录'!$F$5:$F$304,MATCH(B411,'交易记录'!$A$5:$A$304,0))),"编号没找到"))</f>
        <v/>
      </c>
      <c r="D411" s="47" t="n"/>
      <c r="E411" s="49" t="n"/>
      <c r="F411" s="50" t="str">
        <f>IF(ISNUMBER(G411),G411,IF(AND(ISNUMBER(D411),ISNUMBER(E411),OR(C411="多",C411="空")),-IF(C411="空",-1,1)*D411*E411,""))</f>
        <v/>
      </c>
      <c r="G411" s="51" t="n"/>
      <c r="H411" s="30" t="n"/>
    </row>
    <row r="412">
      <c r="A412" s="48" t="n"/>
      <c r="B412" s="24" t="n"/>
      <c r="C412" s="40" t="str">
        <f>IF(B412="","",IFERROR(T(INDEX('交易记录'!$F$5:$F$304,MATCH(B412,'交易记录'!$A$5:$A$304,0))),"编号没找到"))</f>
        <v/>
      </c>
      <c r="D412" s="47" t="n"/>
      <c r="E412" s="49" t="n"/>
      <c r="F412" s="50" t="str">
        <f>IF(ISNUMBER(G412),G412,IF(AND(ISNUMBER(D412),ISNUMBER(E412),OR(C412="多",C412="空")),-IF(C412="空",-1,1)*D412*E412,""))</f>
        <v/>
      </c>
      <c r="G412" s="51" t="n"/>
      <c r="H412" s="30" t="n"/>
    </row>
    <row r="413">
      <c r="A413" s="48" t="n"/>
      <c r="B413" s="24" t="n"/>
      <c r="C413" s="40" t="str">
        <f>IF(B413="","",IFERROR(T(INDEX('交易记录'!$F$5:$F$304,MATCH(B413,'交易记录'!$A$5:$A$304,0))),"编号没找到"))</f>
        <v/>
      </c>
      <c r="D413" s="47" t="n"/>
      <c r="E413" s="49" t="n"/>
      <c r="F413" s="50" t="str">
        <f>IF(ISNUMBER(G413),G413,IF(AND(ISNUMBER(D413),ISNUMBER(E413),OR(C413="多",C413="空")),-IF(C413="空",-1,1)*D413*E413,""))</f>
        <v/>
      </c>
      <c r="G413" s="51" t="n"/>
      <c r="H413" s="30" t="n"/>
    </row>
    <row r="414">
      <c r="A414" s="48" t="n"/>
      <c r="B414" s="24" t="n"/>
      <c r="C414" s="40" t="str">
        <f>IF(B414="","",IFERROR(T(INDEX('交易记录'!$F$5:$F$304,MATCH(B414,'交易记录'!$A$5:$A$304,0))),"编号没找到"))</f>
        <v/>
      </c>
      <c r="D414" s="47" t="n"/>
      <c r="E414" s="49" t="n"/>
      <c r="F414" s="50" t="str">
        <f>IF(ISNUMBER(G414),G414,IF(AND(ISNUMBER(D414),ISNUMBER(E414),OR(C414="多",C414="空")),-IF(C414="空",-1,1)*D414*E414,""))</f>
        <v/>
      </c>
      <c r="G414" s="51" t="n"/>
      <c r="H414" s="30" t="n"/>
    </row>
    <row r="415">
      <c r="A415" s="48" t="n"/>
      <c r="B415" s="24" t="n"/>
      <c r="C415" s="40" t="str">
        <f>IF(B415="","",IFERROR(T(INDEX('交易记录'!$F$5:$F$304,MATCH(B415,'交易记录'!$A$5:$A$304,0))),"编号没找到"))</f>
        <v/>
      </c>
      <c r="D415" s="47" t="n"/>
      <c r="E415" s="49" t="n"/>
      <c r="F415" s="50" t="str">
        <f>IF(ISNUMBER(G415),G415,IF(AND(ISNUMBER(D415),ISNUMBER(E415),OR(C415="多",C415="空")),-IF(C415="空",-1,1)*D415*E415,""))</f>
        <v/>
      </c>
      <c r="G415" s="51" t="n"/>
      <c r="H415" s="30" t="n"/>
    </row>
    <row r="416">
      <c r="A416" s="48" t="n"/>
      <c r="B416" s="24" t="n"/>
      <c r="C416" s="40" t="str">
        <f>IF(B416="","",IFERROR(T(INDEX('交易记录'!$F$5:$F$304,MATCH(B416,'交易记录'!$A$5:$A$304,0))),"编号没找到"))</f>
        <v/>
      </c>
      <c r="D416" s="47" t="n"/>
      <c r="E416" s="49" t="n"/>
      <c r="F416" s="50" t="str">
        <f>IF(ISNUMBER(G416),G416,IF(AND(ISNUMBER(D416),ISNUMBER(E416),OR(C416="多",C416="空")),-IF(C416="空",-1,1)*D416*E416,""))</f>
        <v/>
      </c>
      <c r="G416" s="51" t="n"/>
      <c r="H416" s="30" t="n"/>
    </row>
    <row r="417">
      <c r="A417" s="48" t="n"/>
      <c r="B417" s="24" t="n"/>
      <c r="C417" s="40" t="str">
        <f>IF(B417="","",IFERROR(T(INDEX('交易记录'!$F$5:$F$304,MATCH(B417,'交易记录'!$A$5:$A$304,0))),"编号没找到"))</f>
        <v/>
      </c>
      <c r="D417" s="47" t="n"/>
      <c r="E417" s="49" t="n"/>
      <c r="F417" s="50" t="str">
        <f>IF(ISNUMBER(G417),G417,IF(AND(ISNUMBER(D417),ISNUMBER(E417),OR(C417="多",C417="空")),-IF(C417="空",-1,1)*D417*E417,""))</f>
        <v/>
      </c>
      <c r="G417" s="51" t="n"/>
      <c r="H417" s="30" t="n"/>
    </row>
    <row r="418">
      <c r="A418" s="48" t="n"/>
      <c r="B418" s="24" t="n"/>
      <c r="C418" s="40" t="str">
        <f>IF(B418="","",IFERROR(T(INDEX('交易记录'!$F$5:$F$304,MATCH(B418,'交易记录'!$A$5:$A$304,0))),"编号没找到"))</f>
        <v/>
      </c>
      <c r="D418" s="47" t="n"/>
      <c r="E418" s="49" t="n"/>
      <c r="F418" s="50" t="str">
        <f>IF(ISNUMBER(G418),G418,IF(AND(ISNUMBER(D418),ISNUMBER(E418),OR(C418="多",C418="空")),-IF(C418="空",-1,1)*D418*E418,""))</f>
        <v/>
      </c>
      <c r="G418" s="51" t="n"/>
      <c r="H418" s="30" t="n"/>
    </row>
    <row r="419">
      <c r="A419" s="48" t="n"/>
      <c r="B419" s="24" t="n"/>
      <c r="C419" s="40" t="str">
        <f>IF(B419="","",IFERROR(T(INDEX('交易记录'!$F$5:$F$304,MATCH(B419,'交易记录'!$A$5:$A$304,0))),"编号没找到"))</f>
        <v/>
      </c>
      <c r="D419" s="47" t="n"/>
      <c r="E419" s="49" t="n"/>
      <c r="F419" s="50" t="str">
        <f>IF(ISNUMBER(G419),G419,IF(AND(ISNUMBER(D419),ISNUMBER(E419),OR(C419="多",C419="空")),-IF(C419="空",-1,1)*D419*E419,""))</f>
        <v/>
      </c>
      <c r="G419" s="51" t="n"/>
      <c r="H419" s="30" t="n"/>
    </row>
    <row r="420">
      <c r="A420" s="48" t="n"/>
      <c r="B420" s="24" t="n"/>
      <c r="C420" s="40" t="str">
        <f>IF(B420="","",IFERROR(T(INDEX('交易记录'!$F$5:$F$304,MATCH(B420,'交易记录'!$A$5:$A$304,0))),"编号没找到"))</f>
        <v/>
      </c>
      <c r="D420" s="47" t="n"/>
      <c r="E420" s="49" t="n"/>
      <c r="F420" s="50" t="str">
        <f>IF(ISNUMBER(G420),G420,IF(AND(ISNUMBER(D420),ISNUMBER(E420),OR(C420="多",C420="空")),-IF(C420="空",-1,1)*D420*E420,""))</f>
        <v/>
      </c>
      <c r="G420" s="51" t="n"/>
      <c r="H420" s="30" t="n"/>
    </row>
    <row r="421">
      <c r="A421" s="48" t="n"/>
      <c r="B421" s="24" t="n"/>
      <c r="C421" s="40" t="str">
        <f>IF(B421="","",IFERROR(T(INDEX('交易记录'!$F$5:$F$304,MATCH(B421,'交易记录'!$A$5:$A$304,0))),"编号没找到"))</f>
        <v/>
      </c>
      <c r="D421" s="47" t="n"/>
      <c r="E421" s="49" t="n"/>
      <c r="F421" s="50" t="str">
        <f>IF(ISNUMBER(G421),G421,IF(AND(ISNUMBER(D421),ISNUMBER(E421),OR(C421="多",C421="空")),-IF(C421="空",-1,1)*D421*E421,""))</f>
        <v/>
      </c>
      <c r="G421" s="51" t="n"/>
      <c r="H421" s="30" t="n"/>
    </row>
    <row r="422">
      <c r="A422" s="48" t="n"/>
      <c r="B422" s="24" t="n"/>
      <c r="C422" s="40" t="str">
        <f>IF(B422="","",IFERROR(T(INDEX('交易记录'!$F$5:$F$304,MATCH(B422,'交易记录'!$A$5:$A$304,0))),"编号没找到"))</f>
        <v/>
      </c>
      <c r="D422" s="47" t="n"/>
      <c r="E422" s="49" t="n"/>
      <c r="F422" s="50" t="str">
        <f>IF(ISNUMBER(G422),G422,IF(AND(ISNUMBER(D422),ISNUMBER(E422),OR(C422="多",C422="空")),-IF(C422="空",-1,1)*D422*E422,""))</f>
        <v/>
      </c>
      <c r="G422" s="51" t="n"/>
      <c r="H422" s="30" t="n"/>
    </row>
    <row r="423">
      <c r="A423" s="48" t="n"/>
      <c r="B423" s="24" t="n"/>
      <c r="C423" s="40" t="str">
        <f>IF(B423="","",IFERROR(T(INDEX('交易记录'!$F$5:$F$304,MATCH(B423,'交易记录'!$A$5:$A$304,0))),"编号没找到"))</f>
        <v/>
      </c>
      <c r="D423" s="47" t="n"/>
      <c r="E423" s="49" t="n"/>
      <c r="F423" s="50" t="str">
        <f>IF(ISNUMBER(G423),G423,IF(AND(ISNUMBER(D423),ISNUMBER(E423),OR(C423="多",C423="空")),-IF(C423="空",-1,1)*D423*E423,""))</f>
        <v/>
      </c>
      <c r="G423" s="51" t="n"/>
      <c r="H423" s="30" t="n"/>
    </row>
    <row r="424">
      <c r="A424" s="48" t="n"/>
      <c r="B424" s="24" t="n"/>
      <c r="C424" s="40" t="str">
        <f>IF(B424="","",IFERROR(T(INDEX('交易记录'!$F$5:$F$304,MATCH(B424,'交易记录'!$A$5:$A$304,0))),"编号没找到"))</f>
        <v/>
      </c>
      <c r="D424" s="47" t="n"/>
      <c r="E424" s="49" t="n"/>
      <c r="F424" s="50" t="str">
        <f>IF(ISNUMBER(G424),G424,IF(AND(ISNUMBER(D424),ISNUMBER(E424),OR(C424="多",C424="空")),-IF(C424="空",-1,1)*D424*E424,""))</f>
        <v/>
      </c>
      <c r="G424" s="51" t="n"/>
      <c r="H424" s="30" t="n"/>
    </row>
    <row r="425">
      <c r="A425" s="48" t="n"/>
      <c r="B425" s="24" t="n"/>
      <c r="C425" s="40" t="str">
        <f>IF(B425="","",IFERROR(T(INDEX('交易记录'!$F$5:$F$304,MATCH(B425,'交易记录'!$A$5:$A$304,0))),"编号没找到"))</f>
        <v/>
      </c>
      <c r="D425" s="47" t="n"/>
      <c r="E425" s="49" t="n"/>
      <c r="F425" s="50" t="str">
        <f>IF(ISNUMBER(G425),G425,IF(AND(ISNUMBER(D425),ISNUMBER(E425),OR(C425="多",C425="空")),-IF(C425="空",-1,1)*D425*E425,""))</f>
        <v/>
      </c>
      <c r="G425" s="51" t="n"/>
      <c r="H425" s="30" t="n"/>
    </row>
    <row r="426">
      <c r="A426" s="48" t="n"/>
      <c r="B426" s="24" t="n"/>
      <c r="C426" s="40" t="str">
        <f>IF(B426="","",IFERROR(T(INDEX('交易记录'!$F$5:$F$304,MATCH(B426,'交易记录'!$A$5:$A$304,0))),"编号没找到"))</f>
        <v/>
      </c>
      <c r="D426" s="47" t="n"/>
      <c r="E426" s="49" t="n"/>
      <c r="F426" s="50" t="str">
        <f>IF(ISNUMBER(G426),G426,IF(AND(ISNUMBER(D426),ISNUMBER(E426),OR(C426="多",C426="空")),-IF(C426="空",-1,1)*D426*E426,""))</f>
        <v/>
      </c>
      <c r="G426" s="51" t="n"/>
      <c r="H426" s="30" t="n"/>
    </row>
    <row r="427">
      <c r="A427" s="48" t="n"/>
      <c r="B427" s="24" t="n"/>
      <c r="C427" s="40" t="str">
        <f>IF(B427="","",IFERROR(T(INDEX('交易记录'!$F$5:$F$304,MATCH(B427,'交易记录'!$A$5:$A$304,0))),"编号没找到"))</f>
        <v/>
      </c>
      <c r="D427" s="47" t="n"/>
      <c r="E427" s="49" t="n"/>
      <c r="F427" s="50" t="str">
        <f>IF(ISNUMBER(G427),G427,IF(AND(ISNUMBER(D427),ISNUMBER(E427),OR(C427="多",C427="空")),-IF(C427="空",-1,1)*D427*E427,""))</f>
        <v/>
      </c>
      <c r="G427" s="51" t="n"/>
      <c r="H427" s="30" t="n"/>
    </row>
    <row r="428">
      <c r="A428" s="48" t="n"/>
      <c r="B428" s="24" t="n"/>
      <c r="C428" s="40" t="str">
        <f>IF(B428="","",IFERROR(T(INDEX('交易记录'!$F$5:$F$304,MATCH(B428,'交易记录'!$A$5:$A$304,0))),"编号没找到"))</f>
        <v/>
      </c>
      <c r="D428" s="47" t="n"/>
      <c r="E428" s="49" t="n"/>
      <c r="F428" s="50" t="str">
        <f>IF(ISNUMBER(G428),G428,IF(AND(ISNUMBER(D428),ISNUMBER(E428),OR(C428="多",C428="空")),-IF(C428="空",-1,1)*D428*E428,""))</f>
        <v/>
      </c>
      <c r="G428" s="51" t="n"/>
      <c r="H428" s="30" t="n"/>
    </row>
    <row r="429">
      <c r="A429" s="48" t="n"/>
      <c r="B429" s="24" t="n"/>
      <c r="C429" s="40" t="str">
        <f>IF(B429="","",IFERROR(T(INDEX('交易记录'!$F$5:$F$304,MATCH(B429,'交易记录'!$A$5:$A$304,0))),"编号没找到"))</f>
        <v/>
      </c>
      <c r="D429" s="47" t="n"/>
      <c r="E429" s="49" t="n"/>
      <c r="F429" s="50" t="str">
        <f>IF(ISNUMBER(G429),G429,IF(AND(ISNUMBER(D429),ISNUMBER(E429),OR(C429="多",C429="空")),-IF(C429="空",-1,1)*D429*E429,""))</f>
        <v/>
      </c>
      <c r="G429" s="51" t="n"/>
      <c r="H429" s="30" t="n"/>
    </row>
    <row r="430">
      <c r="A430" s="48" t="n"/>
      <c r="B430" s="24" t="n"/>
      <c r="C430" s="40" t="str">
        <f>IF(B430="","",IFERROR(T(INDEX('交易记录'!$F$5:$F$304,MATCH(B430,'交易记录'!$A$5:$A$304,0))),"编号没找到"))</f>
        <v/>
      </c>
      <c r="D430" s="47" t="n"/>
      <c r="E430" s="49" t="n"/>
      <c r="F430" s="50" t="str">
        <f>IF(ISNUMBER(G430),G430,IF(AND(ISNUMBER(D430),ISNUMBER(E430),OR(C430="多",C430="空")),-IF(C430="空",-1,1)*D430*E430,""))</f>
        <v/>
      </c>
      <c r="G430" s="51" t="n"/>
      <c r="H430" s="30" t="n"/>
    </row>
    <row r="431">
      <c r="A431" s="48" t="n"/>
      <c r="B431" s="24" t="n"/>
      <c r="C431" s="40" t="str">
        <f>IF(B431="","",IFERROR(T(INDEX('交易记录'!$F$5:$F$304,MATCH(B431,'交易记录'!$A$5:$A$304,0))),"编号没找到"))</f>
        <v/>
      </c>
      <c r="D431" s="47" t="n"/>
      <c r="E431" s="49" t="n"/>
      <c r="F431" s="50" t="str">
        <f>IF(ISNUMBER(G431),G431,IF(AND(ISNUMBER(D431),ISNUMBER(E431),OR(C431="多",C431="空")),-IF(C431="空",-1,1)*D431*E431,""))</f>
        <v/>
      </c>
      <c r="G431" s="51" t="n"/>
      <c r="H431" s="30" t="n"/>
    </row>
    <row r="432">
      <c r="A432" s="48" t="n"/>
      <c r="B432" s="24" t="n"/>
      <c r="C432" s="40" t="str">
        <f>IF(B432="","",IFERROR(T(INDEX('交易记录'!$F$5:$F$304,MATCH(B432,'交易记录'!$A$5:$A$304,0))),"编号没找到"))</f>
        <v/>
      </c>
      <c r="D432" s="47" t="n"/>
      <c r="E432" s="49" t="n"/>
      <c r="F432" s="50" t="str">
        <f>IF(ISNUMBER(G432),G432,IF(AND(ISNUMBER(D432),ISNUMBER(E432),OR(C432="多",C432="空")),-IF(C432="空",-1,1)*D432*E432,""))</f>
        <v/>
      </c>
      <c r="G432" s="51" t="n"/>
      <c r="H432" s="30" t="n"/>
    </row>
    <row r="433">
      <c r="A433" s="48" t="n"/>
      <c r="B433" s="24" t="n"/>
      <c r="C433" s="40" t="str">
        <f>IF(B433="","",IFERROR(T(INDEX('交易记录'!$F$5:$F$304,MATCH(B433,'交易记录'!$A$5:$A$304,0))),"编号没找到"))</f>
        <v/>
      </c>
      <c r="D433" s="47" t="n"/>
      <c r="E433" s="49" t="n"/>
      <c r="F433" s="50" t="str">
        <f>IF(ISNUMBER(G433),G433,IF(AND(ISNUMBER(D433),ISNUMBER(E433),OR(C433="多",C433="空")),-IF(C433="空",-1,1)*D433*E433,""))</f>
        <v/>
      </c>
      <c r="G433" s="51" t="n"/>
      <c r="H433" s="30" t="n"/>
    </row>
    <row r="434">
      <c r="A434" s="48" t="n"/>
      <c r="B434" s="24" t="n"/>
      <c r="C434" s="40" t="str">
        <f>IF(B434="","",IFERROR(T(INDEX('交易记录'!$F$5:$F$304,MATCH(B434,'交易记录'!$A$5:$A$304,0))),"编号没找到"))</f>
        <v/>
      </c>
      <c r="D434" s="47" t="n"/>
      <c r="E434" s="49" t="n"/>
      <c r="F434" s="50" t="str">
        <f>IF(ISNUMBER(G434),G434,IF(AND(ISNUMBER(D434),ISNUMBER(E434),OR(C434="多",C434="空")),-IF(C434="空",-1,1)*D434*E434,""))</f>
        <v/>
      </c>
      <c r="G434" s="51" t="n"/>
      <c r="H434" s="30" t="n"/>
    </row>
    <row r="435">
      <c r="A435" s="48" t="n"/>
      <c r="B435" s="24" t="n"/>
      <c r="C435" s="40" t="str">
        <f>IF(B435="","",IFERROR(T(INDEX('交易记录'!$F$5:$F$304,MATCH(B435,'交易记录'!$A$5:$A$304,0))),"编号没找到"))</f>
        <v/>
      </c>
      <c r="D435" s="47" t="n"/>
      <c r="E435" s="49" t="n"/>
      <c r="F435" s="50" t="str">
        <f>IF(ISNUMBER(G435),G435,IF(AND(ISNUMBER(D435),ISNUMBER(E435),OR(C435="多",C435="空")),-IF(C435="空",-1,1)*D435*E435,""))</f>
        <v/>
      </c>
      <c r="G435" s="51" t="n"/>
      <c r="H435" s="30" t="n"/>
    </row>
    <row r="436">
      <c r="A436" s="48" t="n"/>
      <c r="B436" s="24" t="n"/>
      <c r="C436" s="40" t="str">
        <f>IF(B436="","",IFERROR(T(INDEX('交易记录'!$F$5:$F$304,MATCH(B436,'交易记录'!$A$5:$A$304,0))),"编号没找到"))</f>
        <v/>
      </c>
      <c r="D436" s="47" t="n"/>
      <c r="E436" s="49" t="n"/>
      <c r="F436" s="50" t="str">
        <f>IF(ISNUMBER(G436),G436,IF(AND(ISNUMBER(D436),ISNUMBER(E436),OR(C436="多",C436="空")),-IF(C436="空",-1,1)*D436*E436,""))</f>
        <v/>
      </c>
      <c r="G436" s="51" t="n"/>
      <c r="H436" s="30" t="n"/>
    </row>
    <row r="437">
      <c r="A437" s="48" t="n"/>
      <c r="B437" s="24" t="n"/>
      <c r="C437" s="40" t="str">
        <f>IF(B437="","",IFERROR(T(INDEX('交易记录'!$F$5:$F$304,MATCH(B437,'交易记录'!$A$5:$A$304,0))),"编号没找到"))</f>
        <v/>
      </c>
      <c r="D437" s="47" t="n"/>
      <c r="E437" s="49" t="n"/>
      <c r="F437" s="50" t="str">
        <f>IF(ISNUMBER(G437),G437,IF(AND(ISNUMBER(D437),ISNUMBER(E437),OR(C437="多",C437="空")),-IF(C437="空",-1,1)*D437*E437,""))</f>
        <v/>
      </c>
      <c r="G437" s="51" t="n"/>
      <c r="H437" s="30" t="n"/>
    </row>
    <row r="438">
      <c r="A438" s="48" t="n"/>
      <c r="B438" s="24" t="n"/>
      <c r="C438" s="40" t="str">
        <f>IF(B438="","",IFERROR(T(INDEX('交易记录'!$F$5:$F$304,MATCH(B438,'交易记录'!$A$5:$A$304,0))),"编号没找到"))</f>
        <v/>
      </c>
      <c r="D438" s="47" t="n"/>
      <c r="E438" s="49" t="n"/>
      <c r="F438" s="50" t="str">
        <f>IF(ISNUMBER(G438),G438,IF(AND(ISNUMBER(D438),ISNUMBER(E438),OR(C438="多",C438="空")),-IF(C438="空",-1,1)*D438*E438,""))</f>
        <v/>
      </c>
      <c r="G438" s="51" t="n"/>
      <c r="H438" s="30" t="n"/>
    </row>
    <row r="439">
      <c r="A439" s="48" t="n"/>
      <c r="B439" s="24" t="n"/>
      <c r="C439" s="40" t="str">
        <f>IF(B439="","",IFERROR(T(INDEX('交易记录'!$F$5:$F$304,MATCH(B439,'交易记录'!$A$5:$A$304,0))),"编号没找到"))</f>
        <v/>
      </c>
      <c r="D439" s="47" t="n"/>
      <c r="E439" s="49" t="n"/>
      <c r="F439" s="50" t="str">
        <f>IF(ISNUMBER(G439),G439,IF(AND(ISNUMBER(D439),ISNUMBER(E439),OR(C439="多",C439="空")),-IF(C439="空",-1,1)*D439*E439,""))</f>
        <v/>
      </c>
      <c r="G439" s="51" t="n"/>
      <c r="H439" s="30" t="n"/>
    </row>
    <row r="440">
      <c r="A440" s="48" t="n"/>
      <c r="B440" s="24" t="n"/>
      <c r="C440" s="40" t="str">
        <f>IF(B440="","",IFERROR(T(INDEX('交易记录'!$F$5:$F$304,MATCH(B440,'交易记录'!$A$5:$A$304,0))),"编号没找到"))</f>
        <v/>
      </c>
      <c r="D440" s="47" t="n"/>
      <c r="E440" s="49" t="n"/>
      <c r="F440" s="50" t="str">
        <f>IF(ISNUMBER(G440),G440,IF(AND(ISNUMBER(D440),ISNUMBER(E440),OR(C440="多",C440="空")),-IF(C440="空",-1,1)*D440*E440,""))</f>
        <v/>
      </c>
      <c r="G440" s="51" t="n"/>
      <c r="H440" s="30" t="n"/>
    </row>
    <row r="441">
      <c r="A441" s="48" t="n"/>
      <c r="B441" s="24" t="n"/>
      <c r="C441" s="40" t="str">
        <f>IF(B441="","",IFERROR(T(INDEX('交易记录'!$F$5:$F$304,MATCH(B441,'交易记录'!$A$5:$A$304,0))),"编号没找到"))</f>
        <v/>
      </c>
      <c r="D441" s="47" t="n"/>
      <c r="E441" s="49" t="n"/>
      <c r="F441" s="50" t="str">
        <f>IF(ISNUMBER(G441),G441,IF(AND(ISNUMBER(D441),ISNUMBER(E441),OR(C441="多",C441="空")),-IF(C441="空",-1,1)*D441*E441,""))</f>
        <v/>
      </c>
      <c r="G441" s="51" t="n"/>
      <c r="H441" s="30" t="n"/>
    </row>
    <row r="442">
      <c r="A442" s="48" t="n"/>
      <c r="B442" s="24" t="n"/>
      <c r="C442" s="40" t="str">
        <f>IF(B442="","",IFERROR(T(INDEX('交易记录'!$F$5:$F$304,MATCH(B442,'交易记录'!$A$5:$A$304,0))),"编号没找到"))</f>
        <v/>
      </c>
      <c r="D442" s="47" t="n"/>
      <c r="E442" s="49" t="n"/>
      <c r="F442" s="50" t="str">
        <f>IF(ISNUMBER(G442),G442,IF(AND(ISNUMBER(D442),ISNUMBER(E442),OR(C442="多",C442="空")),-IF(C442="空",-1,1)*D442*E442,""))</f>
        <v/>
      </c>
      <c r="G442" s="51" t="n"/>
      <c r="H442" s="30" t="n"/>
    </row>
    <row r="443">
      <c r="A443" s="48" t="n"/>
      <c r="B443" s="24" t="n"/>
      <c r="C443" s="40" t="str">
        <f>IF(B443="","",IFERROR(T(INDEX('交易记录'!$F$5:$F$304,MATCH(B443,'交易记录'!$A$5:$A$304,0))),"编号没找到"))</f>
        <v/>
      </c>
      <c r="D443" s="47" t="n"/>
      <c r="E443" s="49" t="n"/>
      <c r="F443" s="50" t="str">
        <f>IF(ISNUMBER(G443),G443,IF(AND(ISNUMBER(D443),ISNUMBER(E443),OR(C443="多",C443="空")),-IF(C443="空",-1,1)*D443*E443,""))</f>
        <v/>
      </c>
      <c r="G443" s="51" t="n"/>
      <c r="H443" s="30" t="n"/>
    </row>
    <row r="444">
      <c r="A444" s="48" t="n"/>
      <c r="B444" s="24" t="n"/>
      <c r="C444" s="40" t="str">
        <f>IF(B444="","",IFERROR(T(INDEX('交易记录'!$F$5:$F$304,MATCH(B444,'交易记录'!$A$5:$A$304,0))),"编号没找到"))</f>
        <v/>
      </c>
      <c r="D444" s="47" t="n"/>
      <c r="E444" s="49" t="n"/>
      <c r="F444" s="50" t="str">
        <f>IF(ISNUMBER(G444),G444,IF(AND(ISNUMBER(D444),ISNUMBER(E444),OR(C444="多",C444="空")),-IF(C444="空",-1,1)*D444*E444,""))</f>
        <v/>
      </c>
      <c r="G444" s="51" t="n"/>
      <c r="H444" s="30" t="n"/>
    </row>
    <row r="445">
      <c r="A445" s="48" t="n"/>
      <c r="B445" s="24" t="n"/>
      <c r="C445" s="40" t="str">
        <f>IF(B445="","",IFERROR(T(INDEX('交易记录'!$F$5:$F$304,MATCH(B445,'交易记录'!$A$5:$A$304,0))),"编号没找到"))</f>
        <v/>
      </c>
      <c r="D445" s="47" t="n"/>
      <c r="E445" s="49" t="n"/>
      <c r="F445" s="50" t="str">
        <f>IF(ISNUMBER(G445),G445,IF(AND(ISNUMBER(D445),ISNUMBER(E445),OR(C445="多",C445="空")),-IF(C445="空",-1,1)*D445*E445,""))</f>
        <v/>
      </c>
      <c r="G445" s="51" t="n"/>
      <c r="H445" s="30" t="n"/>
    </row>
    <row r="446">
      <c r="A446" s="48" t="n"/>
      <c r="B446" s="24" t="n"/>
      <c r="C446" s="40" t="str">
        <f>IF(B446="","",IFERROR(T(INDEX('交易记录'!$F$5:$F$304,MATCH(B446,'交易记录'!$A$5:$A$304,0))),"编号没找到"))</f>
        <v/>
      </c>
      <c r="D446" s="47" t="n"/>
      <c r="E446" s="49" t="n"/>
      <c r="F446" s="50" t="str">
        <f>IF(ISNUMBER(G446),G446,IF(AND(ISNUMBER(D446),ISNUMBER(E446),OR(C446="多",C446="空")),-IF(C446="空",-1,1)*D446*E446,""))</f>
        <v/>
      </c>
      <c r="G446" s="51" t="n"/>
      <c r="H446" s="30" t="n"/>
    </row>
    <row r="447">
      <c r="A447" s="48" t="n"/>
      <c r="B447" s="24" t="n"/>
      <c r="C447" s="40" t="str">
        <f>IF(B447="","",IFERROR(T(INDEX('交易记录'!$F$5:$F$304,MATCH(B447,'交易记录'!$A$5:$A$304,0))),"编号没找到"))</f>
        <v/>
      </c>
      <c r="D447" s="47" t="n"/>
      <c r="E447" s="49" t="n"/>
      <c r="F447" s="50" t="str">
        <f>IF(ISNUMBER(G447),G447,IF(AND(ISNUMBER(D447),ISNUMBER(E447),OR(C447="多",C447="空")),-IF(C447="空",-1,1)*D447*E447,""))</f>
        <v/>
      </c>
      <c r="G447" s="51" t="n"/>
      <c r="H447" s="30" t="n"/>
    </row>
    <row r="448">
      <c r="A448" s="48" t="n"/>
      <c r="B448" s="24" t="n"/>
      <c r="C448" s="40" t="str">
        <f>IF(B448="","",IFERROR(T(INDEX('交易记录'!$F$5:$F$304,MATCH(B448,'交易记录'!$A$5:$A$304,0))),"编号没找到"))</f>
        <v/>
      </c>
      <c r="D448" s="47" t="n"/>
      <c r="E448" s="49" t="n"/>
      <c r="F448" s="50" t="str">
        <f>IF(ISNUMBER(G448),G448,IF(AND(ISNUMBER(D448),ISNUMBER(E448),OR(C448="多",C448="空")),-IF(C448="空",-1,1)*D448*E448,""))</f>
        <v/>
      </c>
      <c r="G448" s="51" t="n"/>
      <c r="H448" s="30" t="n"/>
    </row>
    <row r="449">
      <c r="A449" s="48" t="n"/>
      <c r="B449" s="24" t="n"/>
      <c r="C449" s="40" t="str">
        <f>IF(B449="","",IFERROR(T(INDEX('交易记录'!$F$5:$F$304,MATCH(B449,'交易记录'!$A$5:$A$304,0))),"编号没找到"))</f>
        <v/>
      </c>
      <c r="D449" s="47" t="n"/>
      <c r="E449" s="49" t="n"/>
      <c r="F449" s="50" t="str">
        <f>IF(ISNUMBER(G449),G449,IF(AND(ISNUMBER(D449),ISNUMBER(E449),OR(C449="多",C449="空")),-IF(C449="空",-1,1)*D449*E449,""))</f>
        <v/>
      </c>
      <c r="G449" s="51" t="n"/>
      <c r="H449" s="30" t="n"/>
    </row>
    <row r="450">
      <c r="A450" s="48" t="n"/>
      <c r="B450" s="24" t="n"/>
      <c r="C450" s="40" t="str">
        <f>IF(B450="","",IFERROR(T(INDEX('交易记录'!$F$5:$F$304,MATCH(B450,'交易记录'!$A$5:$A$304,0))),"编号没找到"))</f>
        <v/>
      </c>
      <c r="D450" s="47" t="n"/>
      <c r="E450" s="49" t="n"/>
      <c r="F450" s="50" t="str">
        <f>IF(ISNUMBER(G450),G450,IF(AND(ISNUMBER(D450),ISNUMBER(E450),OR(C450="多",C450="空")),-IF(C450="空",-1,1)*D450*E450,""))</f>
        <v/>
      </c>
      <c r="G450" s="51" t="n"/>
      <c r="H450" s="30" t="n"/>
    </row>
    <row r="451">
      <c r="A451" s="48" t="n"/>
      <c r="B451" s="24" t="n"/>
      <c r="C451" s="40" t="str">
        <f>IF(B451="","",IFERROR(T(INDEX('交易记录'!$F$5:$F$304,MATCH(B451,'交易记录'!$A$5:$A$304,0))),"编号没找到"))</f>
        <v/>
      </c>
      <c r="D451" s="47" t="n"/>
      <c r="E451" s="49" t="n"/>
      <c r="F451" s="50" t="str">
        <f>IF(ISNUMBER(G451),G451,IF(AND(ISNUMBER(D451),ISNUMBER(E451),OR(C451="多",C451="空")),-IF(C451="空",-1,1)*D451*E451,""))</f>
        <v/>
      </c>
      <c r="G451" s="51" t="n"/>
      <c r="H451" s="30" t="n"/>
    </row>
    <row r="452">
      <c r="A452" s="48" t="n"/>
      <c r="B452" s="24" t="n"/>
      <c r="C452" s="40" t="str">
        <f>IF(B452="","",IFERROR(T(INDEX('交易记录'!$F$5:$F$304,MATCH(B452,'交易记录'!$A$5:$A$304,0))),"编号没找到"))</f>
        <v/>
      </c>
      <c r="D452" s="47" t="n"/>
      <c r="E452" s="49" t="n"/>
      <c r="F452" s="50" t="str">
        <f>IF(ISNUMBER(G452),G452,IF(AND(ISNUMBER(D452),ISNUMBER(E452),OR(C452="多",C452="空")),-IF(C452="空",-1,1)*D452*E452,""))</f>
        <v/>
      </c>
      <c r="G452" s="51" t="n"/>
      <c r="H452" s="30" t="n"/>
    </row>
    <row r="453">
      <c r="A453" s="48" t="n"/>
      <c r="B453" s="24" t="n"/>
      <c r="C453" s="40" t="str">
        <f>IF(B453="","",IFERROR(T(INDEX('交易记录'!$F$5:$F$304,MATCH(B453,'交易记录'!$A$5:$A$304,0))),"编号没找到"))</f>
        <v/>
      </c>
      <c r="D453" s="47" t="n"/>
      <c r="E453" s="49" t="n"/>
      <c r="F453" s="50" t="str">
        <f>IF(ISNUMBER(G453),G453,IF(AND(ISNUMBER(D453),ISNUMBER(E453),OR(C453="多",C453="空")),-IF(C453="空",-1,1)*D453*E453,""))</f>
        <v/>
      </c>
      <c r="G453" s="51" t="n"/>
      <c r="H453" s="30" t="n"/>
    </row>
    <row r="454">
      <c r="A454" s="48" t="n"/>
      <c r="B454" s="24" t="n"/>
      <c r="C454" s="40" t="str">
        <f>IF(B454="","",IFERROR(T(INDEX('交易记录'!$F$5:$F$304,MATCH(B454,'交易记录'!$A$5:$A$304,0))),"编号没找到"))</f>
        <v/>
      </c>
      <c r="D454" s="47" t="n"/>
      <c r="E454" s="49" t="n"/>
      <c r="F454" s="50" t="str">
        <f>IF(ISNUMBER(G454),G454,IF(AND(ISNUMBER(D454),ISNUMBER(E454),OR(C454="多",C454="空")),-IF(C454="空",-1,1)*D454*E454,""))</f>
        <v/>
      </c>
      <c r="G454" s="51" t="n"/>
      <c r="H454" s="30" t="n"/>
    </row>
    <row r="455">
      <c r="A455" s="48" t="n"/>
      <c r="B455" s="24" t="n"/>
      <c r="C455" s="40" t="str">
        <f>IF(B455="","",IFERROR(T(INDEX('交易记录'!$F$5:$F$304,MATCH(B455,'交易记录'!$A$5:$A$304,0))),"编号没找到"))</f>
        <v/>
      </c>
      <c r="D455" s="47" t="n"/>
      <c r="E455" s="49" t="n"/>
      <c r="F455" s="50" t="str">
        <f>IF(ISNUMBER(G455),G455,IF(AND(ISNUMBER(D455),ISNUMBER(E455),OR(C455="多",C455="空")),-IF(C455="空",-1,1)*D455*E455,""))</f>
        <v/>
      </c>
      <c r="G455" s="51" t="n"/>
      <c r="H455" s="30" t="n"/>
    </row>
    <row r="456">
      <c r="A456" s="48" t="n"/>
      <c r="B456" s="24" t="n"/>
      <c r="C456" s="40" t="str">
        <f>IF(B456="","",IFERROR(T(INDEX('交易记录'!$F$5:$F$304,MATCH(B456,'交易记录'!$A$5:$A$304,0))),"编号没找到"))</f>
        <v/>
      </c>
      <c r="D456" s="47" t="n"/>
      <c r="E456" s="49" t="n"/>
      <c r="F456" s="50" t="str">
        <f>IF(ISNUMBER(G456),G456,IF(AND(ISNUMBER(D456),ISNUMBER(E456),OR(C456="多",C456="空")),-IF(C456="空",-1,1)*D456*E456,""))</f>
        <v/>
      </c>
      <c r="G456" s="51" t="n"/>
      <c r="H456" s="30" t="n"/>
    </row>
    <row r="457">
      <c r="A457" s="48" t="n"/>
      <c r="B457" s="24" t="n"/>
      <c r="C457" s="40" t="str">
        <f>IF(B457="","",IFERROR(T(INDEX('交易记录'!$F$5:$F$304,MATCH(B457,'交易记录'!$A$5:$A$304,0))),"编号没找到"))</f>
        <v/>
      </c>
      <c r="D457" s="47" t="n"/>
      <c r="E457" s="49" t="n"/>
      <c r="F457" s="50" t="str">
        <f>IF(ISNUMBER(G457),G457,IF(AND(ISNUMBER(D457),ISNUMBER(E457),OR(C457="多",C457="空")),-IF(C457="空",-1,1)*D457*E457,""))</f>
        <v/>
      </c>
      <c r="G457" s="51" t="n"/>
      <c r="H457" s="30" t="n"/>
    </row>
    <row r="458">
      <c r="A458" s="48" t="n"/>
      <c r="B458" s="24" t="n"/>
      <c r="C458" s="40" t="str">
        <f>IF(B458="","",IFERROR(T(INDEX('交易记录'!$F$5:$F$304,MATCH(B458,'交易记录'!$A$5:$A$304,0))),"编号没找到"))</f>
        <v/>
      </c>
      <c r="D458" s="47" t="n"/>
      <c r="E458" s="49" t="n"/>
      <c r="F458" s="50" t="str">
        <f>IF(ISNUMBER(G458),G458,IF(AND(ISNUMBER(D458),ISNUMBER(E458),OR(C458="多",C458="空")),-IF(C458="空",-1,1)*D458*E458,""))</f>
        <v/>
      </c>
      <c r="G458" s="51" t="n"/>
      <c r="H458" s="30" t="n"/>
    </row>
    <row r="459">
      <c r="A459" s="48" t="n"/>
      <c r="B459" s="24" t="n"/>
      <c r="C459" s="40" t="str">
        <f>IF(B459="","",IFERROR(T(INDEX('交易记录'!$F$5:$F$304,MATCH(B459,'交易记录'!$A$5:$A$304,0))),"编号没找到"))</f>
        <v/>
      </c>
      <c r="D459" s="47" t="n"/>
      <c r="E459" s="49" t="n"/>
      <c r="F459" s="50" t="str">
        <f>IF(ISNUMBER(G459),G459,IF(AND(ISNUMBER(D459),ISNUMBER(E459),OR(C459="多",C459="空")),-IF(C459="空",-1,1)*D459*E459,""))</f>
        <v/>
      </c>
      <c r="G459" s="51" t="n"/>
      <c r="H459" s="30" t="n"/>
    </row>
    <row r="460">
      <c r="A460" s="48" t="n"/>
      <c r="B460" s="24" t="n"/>
      <c r="C460" s="40" t="str">
        <f>IF(B460="","",IFERROR(T(INDEX('交易记录'!$F$5:$F$304,MATCH(B460,'交易记录'!$A$5:$A$304,0))),"编号没找到"))</f>
        <v/>
      </c>
      <c r="D460" s="47" t="n"/>
      <c r="E460" s="49" t="n"/>
      <c r="F460" s="50" t="str">
        <f>IF(ISNUMBER(G460),G460,IF(AND(ISNUMBER(D460),ISNUMBER(E460),OR(C460="多",C460="空")),-IF(C460="空",-1,1)*D460*E460,""))</f>
        <v/>
      </c>
      <c r="G460" s="51" t="n"/>
      <c r="H460" s="30" t="n"/>
    </row>
    <row r="461">
      <c r="A461" s="48" t="n"/>
      <c r="B461" s="24" t="n"/>
      <c r="C461" s="40" t="str">
        <f>IF(B461="","",IFERROR(T(INDEX('交易记录'!$F$5:$F$304,MATCH(B461,'交易记录'!$A$5:$A$304,0))),"编号没找到"))</f>
        <v/>
      </c>
      <c r="D461" s="47" t="n"/>
      <c r="E461" s="49" t="n"/>
      <c r="F461" s="50" t="str">
        <f>IF(ISNUMBER(G461),G461,IF(AND(ISNUMBER(D461),ISNUMBER(E461),OR(C461="多",C461="空")),-IF(C461="空",-1,1)*D461*E461,""))</f>
        <v/>
      </c>
      <c r="G461" s="51" t="n"/>
      <c r="H461" s="30" t="n"/>
    </row>
    <row r="462">
      <c r="A462" s="48" t="n"/>
      <c r="B462" s="24" t="n"/>
      <c r="C462" s="40" t="str">
        <f>IF(B462="","",IFERROR(T(INDEX('交易记录'!$F$5:$F$304,MATCH(B462,'交易记录'!$A$5:$A$304,0))),"编号没找到"))</f>
        <v/>
      </c>
      <c r="D462" s="47" t="n"/>
      <c r="E462" s="49" t="n"/>
      <c r="F462" s="50" t="str">
        <f>IF(ISNUMBER(G462),G462,IF(AND(ISNUMBER(D462),ISNUMBER(E462),OR(C462="多",C462="空")),-IF(C462="空",-1,1)*D462*E462,""))</f>
        <v/>
      </c>
      <c r="G462" s="51" t="n"/>
      <c r="H462" s="30" t="n"/>
    </row>
    <row r="463">
      <c r="A463" s="48" t="n"/>
      <c r="B463" s="24" t="n"/>
      <c r="C463" s="40" t="str">
        <f>IF(B463="","",IFERROR(T(INDEX('交易记录'!$F$5:$F$304,MATCH(B463,'交易记录'!$A$5:$A$304,0))),"编号没找到"))</f>
        <v/>
      </c>
      <c r="D463" s="47" t="n"/>
      <c r="E463" s="49" t="n"/>
      <c r="F463" s="50" t="str">
        <f>IF(ISNUMBER(G463),G463,IF(AND(ISNUMBER(D463),ISNUMBER(E463),OR(C463="多",C463="空")),-IF(C463="空",-1,1)*D463*E463,""))</f>
        <v/>
      </c>
      <c r="G463" s="51" t="n"/>
      <c r="H463" s="30" t="n"/>
    </row>
    <row r="464">
      <c r="A464" s="48" t="n"/>
      <c r="B464" s="24" t="n"/>
      <c r="C464" s="40" t="str">
        <f>IF(B464="","",IFERROR(T(INDEX('交易记录'!$F$5:$F$304,MATCH(B464,'交易记录'!$A$5:$A$304,0))),"编号没找到"))</f>
        <v/>
      </c>
      <c r="D464" s="47" t="n"/>
      <c r="E464" s="49" t="n"/>
      <c r="F464" s="50" t="str">
        <f>IF(ISNUMBER(G464),G464,IF(AND(ISNUMBER(D464),ISNUMBER(E464),OR(C464="多",C464="空")),-IF(C464="空",-1,1)*D464*E464,""))</f>
        <v/>
      </c>
      <c r="G464" s="51" t="n"/>
      <c r="H464" s="30" t="n"/>
    </row>
    <row r="465">
      <c r="A465" s="48" t="n"/>
      <c r="B465" s="24" t="n"/>
      <c r="C465" s="40" t="str">
        <f>IF(B465="","",IFERROR(T(INDEX('交易记录'!$F$5:$F$304,MATCH(B465,'交易记录'!$A$5:$A$304,0))),"编号没找到"))</f>
        <v/>
      </c>
      <c r="D465" s="47" t="n"/>
      <c r="E465" s="49" t="n"/>
      <c r="F465" s="50" t="str">
        <f>IF(ISNUMBER(G465),G465,IF(AND(ISNUMBER(D465),ISNUMBER(E465),OR(C465="多",C465="空")),-IF(C465="空",-1,1)*D465*E465,""))</f>
        <v/>
      </c>
      <c r="G465" s="51" t="n"/>
      <c r="H465" s="30" t="n"/>
    </row>
    <row r="466">
      <c r="A466" s="48" t="n"/>
      <c r="B466" s="24" t="n"/>
      <c r="C466" s="40" t="str">
        <f>IF(B466="","",IFERROR(T(INDEX('交易记录'!$F$5:$F$304,MATCH(B466,'交易记录'!$A$5:$A$304,0))),"编号没找到"))</f>
        <v/>
      </c>
      <c r="D466" s="47" t="n"/>
      <c r="E466" s="49" t="n"/>
      <c r="F466" s="50" t="str">
        <f>IF(ISNUMBER(G466),G466,IF(AND(ISNUMBER(D466),ISNUMBER(E466),OR(C466="多",C466="空")),-IF(C466="空",-1,1)*D466*E466,""))</f>
        <v/>
      </c>
      <c r="G466" s="51" t="n"/>
      <c r="H466" s="30" t="n"/>
    </row>
    <row r="467">
      <c r="A467" s="48" t="n"/>
      <c r="B467" s="24" t="n"/>
      <c r="C467" s="40" t="str">
        <f>IF(B467="","",IFERROR(T(INDEX('交易记录'!$F$5:$F$304,MATCH(B467,'交易记录'!$A$5:$A$304,0))),"编号没找到"))</f>
        <v/>
      </c>
      <c r="D467" s="47" t="n"/>
      <c r="E467" s="49" t="n"/>
      <c r="F467" s="50" t="str">
        <f>IF(ISNUMBER(G467),G467,IF(AND(ISNUMBER(D467),ISNUMBER(E467),OR(C467="多",C467="空")),-IF(C467="空",-1,1)*D467*E467,""))</f>
        <v/>
      </c>
      <c r="G467" s="51" t="n"/>
      <c r="H467" s="30" t="n"/>
    </row>
    <row r="468">
      <c r="A468" s="48" t="n"/>
      <c r="B468" s="24" t="n"/>
      <c r="C468" s="40" t="str">
        <f>IF(B468="","",IFERROR(T(INDEX('交易记录'!$F$5:$F$304,MATCH(B468,'交易记录'!$A$5:$A$304,0))),"编号没找到"))</f>
        <v/>
      </c>
      <c r="D468" s="47" t="n"/>
      <c r="E468" s="49" t="n"/>
      <c r="F468" s="50" t="str">
        <f>IF(ISNUMBER(G468),G468,IF(AND(ISNUMBER(D468),ISNUMBER(E468),OR(C468="多",C468="空")),-IF(C468="空",-1,1)*D468*E468,""))</f>
        <v/>
      </c>
      <c r="G468" s="51" t="n"/>
      <c r="H468" s="30" t="n"/>
    </row>
    <row r="469">
      <c r="A469" s="48" t="n"/>
      <c r="B469" s="24" t="n"/>
      <c r="C469" s="40" t="str">
        <f>IF(B469="","",IFERROR(T(INDEX('交易记录'!$F$5:$F$304,MATCH(B469,'交易记录'!$A$5:$A$304,0))),"编号没找到"))</f>
        <v/>
      </c>
      <c r="D469" s="47" t="n"/>
      <c r="E469" s="49" t="n"/>
      <c r="F469" s="50" t="str">
        <f>IF(ISNUMBER(G469),G469,IF(AND(ISNUMBER(D469),ISNUMBER(E469),OR(C469="多",C469="空")),-IF(C469="空",-1,1)*D469*E469,""))</f>
        <v/>
      </c>
      <c r="G469" s="51" t="n"/>
      <c r="H469" s="30" t="n"/>
    </row>
    <row r="470">
      <c r="A470" s="48" t="n"/>
      <c r="B470" s="24" t="n"/>
      <c r="C470" s="40" t="str">
        <f>IF(B470="","",IFERROR(T(INDEX('交易记录'!$F$5:$F$304,MATCH(B470,'交易记录'!$A$5:$A$304,0))),"编号没找到"))</f>
        <v/>
      </c>
      <c r="D470" s="47" t="n"/>
      <c r="E470" s="49" t="n"/>
      <c r="F470" s="50" t="str">
        <f>IF(ISNUMBER(G470),G470,IF(AND(ISNUMBER(D470),ISNUMBER(E470),OR(C470="多",C470="空")),-IF(C470="空",-1,1)*D470*E470,""))</f>
        <v/>
      </c>
      <c r="G470" s="51" t="n"/>
      <c r="H470" s="30" t="n"/>
    </row>
    <row r="471">
      <c r="A471" s="48" t="n"/>
      <c r="B471" s="24" t="n"/>
      <c r="C471" s="40" t="str">
        <f>IF(B471="","",IFERROR(T(INDEX('交易记录'!$F$5:$F$304,MATCH(B471,'交易记录'!$A$5:$A$304,0))),"编号没找到"))</f>
        <v/>
      </c>
      <c r="D471" s="47" t="n"/>
      <c r="E471" s="49" t="n"/>
      <c r="F471" s="50" t="str">
        <f>IF(ISNUMBER(G471),G471,IF(AND(ISNUMBER(D471),ISNUMBER(E471),OR(C471="多",C471="空")),-IF(C471="空",-1,1)*D471*E471,""))</f>
        <v/>
      </c>
      <c r="G471" s="51" t="n"/>
      <c r="H471" s="30" t="n"/>
    </row>
    <row r="472">
      <c r="A472" s="48" t="n"/>
      <c r="B472" s="24" t="n"/>
      <c r="C472" s="40" t="str">
        <f>IF(B472="","",IFERROR(T(INDEX('交易记录'!$F$5:$F$304,MATCH(B472,'交易记录'!$A$5:$A$304,0))),"编号没找到"))</f>
        <v/>
      </c>
      <c r="D472" s="47" t="n"/>
      <c r="E472" s="49" t="n"/>
      <c r="F472" s="50" t="str">
        <f>IF(ISNUMBER(G472),G472,IF(AND(ISNUMBER(D472),ISNUMBER(E472),OR(C472="多",C472="空")),-IF(C472="空",-1,1)*D472*E472,""))</f>
        <v/>
      </c>
      <c r="G472" s="51" t="n"/>
      <c r="H472" s="30" t="n"/>
    </row>
    <row r="473">
      <c r="A473" s="48" t="n"/>
      <c r="B473" s="24" t="n"/>
      <c r="C473" s="40" t="str">
        <f>IF(B473="","",IFERROR(T(INDEX('交易记录'!$F$5:$F$304,MATCH(B473,'交易记录'!$A$5:$A$304,0))),"编号没找到"))</f>
        <v/>
      </c>
      <c r="D473" s="47" t="n"/>
      <c r="E473" s="49" t="n"/>
      <c r="F473" s="50" t="str">
        <f>IF(ISNUMBER(G473),G473,IF(AND(ISNUMBER(D473),ISNUMBER(E473),OR(C473="多",C473="空")),-IF(C473="空",-1,1)*D473*E473,""))</f>
        <v/>
      </c>
      <c r="G473" s="51" t="n"/>
      <c r="H473" s="30" t="n"/>
    </row>
    <row r="474">
      <c r="A474" s="48" t="n"/>
      <c r="B474" s="24" t="n"/>
      <c r="C474" s="40" t="str">
        <f>IF(B474="","",IFERROR(T(INDEX('交易记录'!$F$5:$F$304,MATCH(B474,'交易记录'!$A$5:$A$304,0))),"编号没找到"))</f>
        <v/>
      </c>
      <c r="D474" s="47" t="n"/>
      <c r="E474" s="49" t="n"/>
      <c r="F474" s="50" t="str">
        <f>IF(ISNUMBER(G474),G474,IF(AND(ISNUMBER(D474),ISNUMBER(E474),OR(C474="多",C474="空")),-IF(C474="空",-1,1)*D474*E474,""))</f>
        <v/>
      </c>
      <c r="G474" s="51" t="n"/>
      <c r="H474" s="30" t="n"/>
    </row>
    <row r="475">
      <c r="A475" s="48" t="n"/>
      <c r="B475" s="24" t="n"/>
      <c r="C475" s="40" t="str">
        <f>IF(B475="","",IFERROR(T(INDEX('交易记录'!$F$5:$F$304,MATCH(B475,'交易记录'!$A$5:$A$304,0))),"编号没找到"))</f>
        <v/>
      </c>
      <c r="D475" s="47" t="n"/>
      <c r="E475" s="49" t="n"/>
      <c r="F475" s="50" t="str">
        <f>IF(ISNUMBER(G475),G475,IF(AND(ISNUMBER(D475),ISNUMBER(E475),OR(C475="多",C475="空")),-IF(C475="空",-1,1)*D475*E475,""))</f>
        <v/>
      </c>
      <c r="G475" s="51" t="n"/>
      <c r="H475" s="30" t="n"/>
    </row>
    <row r="476">
      <c r="A476" s="48" t="n"/>
      <c r="B476" s="24" t="n"/>
      <c r="C476" s="40" t="str">
        <f>IF(B476="","",IFERROR(T(INDEX('交易记录'!$F$5:$F$304,MATCH(B476,'交易记录'!$A$5:$A$304,0))),"编号没找到"))</f>
        <v/>
      </c>
      <c r="D476" s="47" t="n"/>
      <c r="E476" s="49" t="n"/>
      <c r="F476" s="50" t="str">
        <f>IF(ISNUMBER(G476),G476,IF(AND(ISNUMBER(D476),ISNUMBER(E476),OR(C476="多",C476="空")),-IF(C476="空",-1,1)*D476*E476,""))</f>
        <v/>
      </c>
      <c r="G476" s="51" t="n"/>
      <c r="H476" s="30" t="n"/>
    </row>
    <row r="477">
      <c r="A477" s="48" t="n"/>
      <c r="B477" s="24" t="n"/>
      <c r="C477" s="40" t="str">
        <f>IF(B477="","",IFERROR(T(INDEX('交易记录'!$F$5:$F$304,MATCH(B477,'交易记录'!$A$5:$A$304,0))),"编号没找到"))</f>
        <v/>
      </c>
      <c r="D477" s="47" t="n"/>
      <c r="E477" s="49" t="n"/>
      <c r="F477" s="50" t="str">
        <f>IF(ISNUMBER(G477),G477,IF(AND(ISNUMBER(D477),ISNUMBER(E477),OR(C477="多",C477="空")),-IF(C477="空",-1,1)*D477*E477,""))</f>
        <v/>
      </c>
      <c r="G477" s="51" t="n"/>
      <c r="H477" s="30" t="n"/>
    </row>
    <row r="478">
      <c r="A478" s="48" t="n"/>
      <c r="B478" s="24" t="n"/>
      <c r="C478" s="40" t="str">
        <f>IF(B478="","",IFERROR(T(INDEX('交易记录'!$F$5:$F$304,MATCH(B478,'交易记录'!$A$5:$A$304,0))),"编号没找到"))</f>
        <v/>
      </c>
      <c r="D478" s="47" t="n"/>
      <c r="E478" s="49" t="n"/>
      <c r="F478" s="50" t="str">
        <f>IF(ISNUMBER(G478),G478,IF(AND(ISNUMBER(D478),ISNUMBER(E478),OR(C478="多",C478="空")),-IF(C478="空",-1,1)*D478*E478,""))</f>
        <v/>
      </c>
      <c r="G478" s="51" t="n"/>
      <c r="H478" s="30" t="n"/>
    </row>
    <row r="479">
      <c r="A479" s="48" t="n"/>
      <c r="B479" s="24" t="n"/>
      <c r="C479" s="40" t="str">
        <f>IF(B479="","",IFERROR(T(INDEX('交易记录'!$F$5:$F$304,MATCH(B479,'交易记录'!$A$5:$A$304,0))),"编号没找到"))</f>
        <v/>
      </c>
      <c r="D479" s="47" t="n"/>
      <c r="E479" s="49" t="n"/>
      <c r="F479" s="50" t="str">
        <f>IF(ISNUMBER(G479),G479,IF(AND(ISNUMBER(D479),ISNUMBER(E479),OR(C479="多",C479="空")),-IF(C479="空",-1,1)*D479*E479,""))</f>
        <v/>
      </c>
      <c r="G479" s="51" t="n"/>
      <c r="H479" s="30" t="n"/>
    </row>
    <row r="480">
      <c r="A480" s="48" t="n"/>
      <c r="B480" s="24" t="n"/>
      <c r="C480" s="40" t="str">
        <f>IF(B480="","",IFERROR(T(INDEX('交易记录'!$F$5:$F$304,MATCH(B480,'交易记录'!$A$5:$A$304,0))),"编号没找到"))</f>
        <v/>
      </c>
      <c r="D480" s="47" t="n"/>
      <c r="E480" s="49" t="n"/>
      <c r="F480" s="50" t="str">
        <f>IF(ISNUMBER(G480),G480,IF(AND(ISNUMBER(D480),ISNUMBER(E480),OR(C480="多",C480="空")),-IF(C480="空",-1,1)*D480*E480,""))</f>
        <v/>
      </c>
      <c r="G480" s="51" t="n"/>
      <c r="H480" s="30" t="n"/>
    </row>
    <row r="481">
      <c r="A481" s="48" t="n"/>
      <c r="B481" s="24" t="n"/>
      <c r="C481" s="40" t="str">
        <f>IF(B481="","",IFERROR(T(INDEX('交易记录'!$F$5:$F$304,MATCH(B481,'交易记录'!$A$5:$A$304,0))),"编号没找到"))</f>
        <v/>
      </c>
      <c r="D481" s="47" t="n"/>
      <c r="E481" s="49" t="n"/>
      <c r="F481" s="50" t="str">
        <f>IF(ISNUMBER(G481),G481,IF(AND(ISNUMBER(D481),ISNUMBER(E481),OR(C481="多",C481="空")),-IF(C481="空",-1,1)*D481*E481,""))</f>
        <v/>
      </c>
      <c r="G481" s="51" t="n"/>
      <c r="H481" s="30" t="n"/>
    </row>
    <row r="482">
      <c r="A482" s="48" t="n"/>
      <c r="B482" s="24" t="n"/>
      <c r="C482" s="40" t="str">
        <f>IF(B482="","",IFERROR(T(INDEX('交易记录'!$F$5:$F$304,MATCH(B482,'交易记录'!$A$5:$A$304,0))),"编号没找到"))</f>
        <v/>
      </c>
      <c r="D482" s="47" t="n"/>
      <c r="E482" s="49" t="n"/>
      <c r="F482" s="50" t="str">
        <f>IF(ISNUMBER(G482),G482,IF(AND(ISNUMBER(D482),ISNUMBER(E482),OR(C482="多",C482="空")),-IF(C482="空",-1,1)*D482*E482,""))</f>
        <v/>
      </c>
      <c r="G482" s="51" t="n"/>
      <c r="H482" s="30" t="n"/>
    </row>
    <row r="483">
      <c r="A483" s="48" t="n"/>
      <c r="B483" s="24" t="n"/>
      <c r="C483" s="40" t="str">
        <f>IF(B483="","",IFERROR(T(INDEX('交易记录'!$F$5:$F$304,MATCH(B483,'交易记录'!$A$5:$A$304,0))),"编号没找到"))</f>
        <v/>
      </c>
      <c r="D483" s="47" t="n"/>
      <c r="E483" s="49" t="n"/>
      <c r="F483" s="50" t="str">
        <f>IF(ISNUMBER(G483),G483,IF(AND(ISNUMBER(D483),ISNUMBER(E483),OR(C483="多",C483="空")),-IF(C483="空",-1,1)*D483*E483,""))</f>
        <v/>
      </c>
      <c r="G483" s="51" t="n"/>
      <c r="H483" s="30" t="n"/>
    </row>
    <row r="484">
      <c r="A484" s="48" t="n"/>
      <c r="B484" s="24" t="n"/>
      <c r="C484" s="40" t="str">
        <f>IF(B484="","",IFERROR(T(INDEX('交易记录'!$F$5:$F$304,MATCH(B484,'交易记录'!$A$5:$A$304,0))),"编号没找到"))</f>
        <v/>
      </c>
      <c r="D484" s="47" t="n"/>
      <c r="E484" s="49" t="n"/>
      <c r="F484" s="50" t="str">
        <f>IF(ISNUMBER(G484),G484,IF(AND(ISNUMBER(D484),ISNUMBER(E484),OR(C484="多",C484="空")),-IF(C484="空",-1,1)*D484*E484,""))</f>
        <v/>
      </c>
      <c r="G484" s="51" t="n"/>
      <c r="H484" s="30" t="n"/>
    </row>
    <row r="485">
      <c r="A485" s="48" t="n"/>
      <c r="B485" s="24" t="n"/>
      <c r="C485" s="40" t="str">
        <f>IF(B485="","",IFERROR(T(INDEX('交易记录'!$F$5:$F$304,MATCH(B485,'交易记录'!$A$5:$A$304,0))),"编号没找到"))</f>
        <v/>
      </c>
      <c r="D485" s="47" t="n"/>
      <c r="E485" s="49" t="n"/>
      <c r="F485" s="50" t="str">
        <f>IF(ISNUMBER(G485),G485,IF(AND(ISNUMBER(D485),ISNUMBER(E485),OR(C485="多",C485="空")),-IF(C485="空",-1,1)*D485*E485,""))</f>
        <v/>
      </c>
      <c r="G485" s="51" t="n"/>
      <c r="H485" s="30" t="n"/>
    </row>
    <row r="486">
      <c r="A486" s="48" t="n"/>
      <c r="B486" s="24" t="n"/>
      <c r="C486" s="40" t="str">
        <f>IF(B486="","",IFERROR(T(INDEX('交易记录'!$F$5:$F$304,MATCH(B486,'交易记录'!$A$5:$A$304,0))),"编号没找到"))</f>
        <v/>
      </c>
      <c r="D486" s="47" t="n"/>
      <c r="E486" s="49" t="n"/>
      <c r="F486" s="50" t="str">
        <f>IF(ISNUMBER(G486),G486,IF(AND(ISNUMBER(D486),ISNUMBER(E486),OR(C486="多",C486="空")),-IF(C486="空",-1,1)*D486*E486,""))</f>
        <v/>
      </c>
      <c r="G486" s="51" t="n"/>
      <c r="H486" s="30" t="n"/>
    </row>
    <row r="487">
      <c r="A487" s="48" t="n"/>
      <c r="B487" s="24" t="n"/>
      <c r="C487" s="40" t="str">
        <f>IF(B487="","",IFERROR(T(INDEX('交易记录'!$F$5:$F$304,MATCH(B487,'交易记录'!$A$5:$A$304,0))),"编号没找到"))</f>
        <v/>
      </c>
      <c r="D487" s="47" t="n"/>
      <c r="E487" s="49" t="n"/>
      <c r="F487" s="50" t="str">
        <f>IF(ISNUMBER(G487),G487,IF(AND(ISNUMBER(D487),ISNUMBER(E487),OR(C487="多",C487="空")),-IF(C487="空",-1,1)*D487*E487,""))</f>
        <v/>
      </c>
      <c r="G487" s="51" t="n"/>
      <c r="H487" s="30" t="n"/>
    </row>
    <row r="488">
      <c r="A488" s="48" t="n"/>
      <c r="B488" s="24" t="n"/>
      <c r="C488" s="40" t="str">
        <f>IF(B488="","",IFERROR(T(INDEX('交易记录'!$F$5:$F$304,MATCH(B488,'交易记录'!$A$5:$A$304,0))),"编号没找到"))</f>
        <v/>
      </c>
      <c r="D488" s="47" t="n"/>
      <c r="E488" s="49" t="n"/>
      <c r="F488" s="50" t="str">
        <f>IF(ISNUMBER(G488),G488,IF(AND(ISNUMBER(D488),ISNUMBER(E488),OR(C488="多",C488="空")),-IF(C488="空",-1,1)*D488*E488,""))</f>
        <v/>
      </c>
      <c r="G488" s="51" t="n"/>
      <c r="H488" s="30" t="n"/>
    </row>
    <row r="489">
      <c r="A489" s="48" t="n"/>
      <c r="B489" s="24" t="n"/>
      <c r="C489" s="40" t="str">
        <f>IF(B489="","",IFERROR(T(INDEX('交易记录'!$F$5:$F$304,MATCH(B489,'交易记录'!$A$5:$A$304,0))),"编号没找到"))</f>
        <v/>
      </c>
      <c r="D489" s="47" t="n"/>
      <c r="E489" s="49" t="n"/>
      <c r="F489" s="50" t="str">
        <f>IF(ISNUMBER(G489),G489,IF(AND(ISNUMBER(D489),ISNUMBER(E489),OR(C489="多",C489="空")),-IF(C489="空",-1,1)*D489*E489,""))</f>
        <v/>
      </c>
      <c r="G489" s="51" t="n"/>
      <c r="H489" s="30" t="n"/>
    </row>
    <row r="490">
      <c r="A490" s="48" t="n"/>
      <c r="B490" s="24" t="n"/>
      <c r="C490" s="40" t="str">
        <f>IF(B490="","",IFERROR(T(INDEX('交易记录'!$F$5:$F$304,MATCH(B490,'交易记录'!$A$5:$A$304,0))),"编号没找到"))</f>
        <v/>
      </c>
      <c r="D490" s="47" t="n"/>
      <c r="E490" s="49" t="n"/>
      <c r="F490" s="50" t="str">
        <f>IF(ISNUMBER(G490),G490,IF(AND(ISNUMBER(D490),ISNUMBER(E490),OR(C490="多",C490="空")),-IF(C490="空",-1,1)*D490*E490,""))</f>
        <v/>
      </c>
      <c r="G490" s="51" t="n"/>
      <c r="H490" s="30" t="n"/>
    </row>
    <row r="491">
      <c r="A491" s="48" t="n"/>
      <c r="B491" s="24" t="n"/>
      <c r="C491" s="40" t="str">
        <f>IF(B491="","",IFERROR(T(INDEX('交易记录'!$F$5:$F$304,MATCH(B491,'交易记录'!$A$5:$A$304,0))),"编号没找到"))</f>
        <v/>
      </c>
      <c r="D491" s="47" t="n"/>
      <c r="E491" s="49" t="n"/>
      <c r="F491" s="50" t="str">
        <f>IF(ISNUMBER(G491),G491,IF(AND(ISNUMBER(D491),ISNUMBER(E491),OR(C491="多",C491="空")),-IF(C491="空",-1,1)*D491*E491,""))</f>
        <v/>
      </c>
      <c r="G491" s="51" t="n"/>
      <c r="H491" s="30" t="n"/>
    </row>
    <row r="492">
      <c r="A492" s="48" t="n"/>
      <c r="B492" s="24" t="n"/>
      <c r="C492" s="40" t="str">
        <f>IF(B492="","",IFERROR(T(INDEX('交易记录'!$F$5:$F$304,MATCH(B492,'交易记录'!$A$5:$A$304,0))),"编号没找到"))</f>
        <v/>
      </c>
      <c r="D492" s="47" t="n"/>
      <c r="E492" s="49" t="n"/>
      <c r="F492" s="50" t="str">
        <f>IF(ISNUMBER(G492),G492,IF(AND(ISNUMBER(D492),ISNUMBER(E492),OR(C492="多",C492="空")),-IF(C492="空",-1,1)*D492*E492,""))</f>
        <v/>
      </c>
      <c r="G492" s="51" t="n"/>
      <c r="H492" s="30" t="n"/>
    </row>
    <row r="493">
      <c r="A493" s="48" t="n"/>
      <c r="B493" s="24" t="n"/>
      <c r="C493" s="40" t="str">
        <f>IF(B493="","",IFERROR(T(INDEX('交易记录'!$F$5:$F$304,MATCH(B493,'交易记录'!$A$5:$A$304,0))),"编号没找到"))</f>
        <v/>
      </c>
      <c r="D493" s="47" t="n"/>
      <c r="E493" s="49" t="n"/>
      <c r="F493" s="50" t="str">
        <f>IF(ISNUMBER(G493),G493,IF(AND(ISNUMBER(D493),ISNUMBER(E493),OR(C493="多",C493="空")),-IF(C493="空",-1,1)*D493*E493,""))</f>
        <v/>
      </c>
      <c r="G493" s="51" t="n"/>
      <c r="H493" s="30" t="n"/>
    </row>
    <row r="494">
      <c r="A494" s="48" t="n"/>
      <c r="B494" s="24" t="n"/>
      <c r="C494" s="40" t="str">
        <f>IF(B494="","",IFERROR(T(INDEX('交易记录'!$F$5:$F$304,MATCH(B494,'交易记录'!$A$5:$A$304,0))),"编号没找到"))</f>
        <v/>
      </c>
      <c r="D494" s="47" t="n"/>
      <c r="E494" s="49" t="n"/>
      <c r="F494" s="50" t="str">
        <f>IF(ISNUMBER(G494),G494,IF(AND(ISNUMBER(D494),ISNUMBER(E494),OR(C494="多",C494="空")),-IF(C494="空",-1,1)*D494*E494,""))</f>
        <v/>
      </c>
      <c r="G494" s="51" t="n"/>
      <c r="H494" s="30" t="n"/>
    </row>
    <row r="495">
      <c r="A495" s="48" t="n"/>
      <c r="B495" s="24" t="n"/>
      <c r="C495" s="40" t="str">
        <f>IF(B495="","",IFERROR(T(INDEX('交易记录'!$F$5:$F$304,MATCH(B495,'交易记录'!$A$5:$A$304,0))),"编号没找到"))</f>
        <v/>
      </c>
      <c r="D495" s="47" t="n"/>
      <c r="E495" s="49" t="n"/>
      <c r="F495" s="50" t="str">
        <f>IF(ISNUMBER(G495),G495,IF(AND(ISNUMBER(D495),ISNUMBER(E495),OR(C495="多",C495="空")),-IF(C495="空",-1,1)*D495*E495,""))</f>
        <v/>
      </c>
      <c r="G495" s="51" t="n"/>
      <c r="H495" s="30" t="n"/>
    </row>
    <row r="496">
      <c r="A496" s="48" t="n"/>
      <c r="B496" s="24" t="n"/>
      <c r="C496" s="40" t="str">
        <f>IF(B496="","",IFERROR(T(INDEX('交易记录'!$F$5:$F$304,MATCH(B496,'交易记录'!$A$5:$A$304,0))),"编号没找到"))</f>
        <v/>
      </c>
      <c r="D496" s="47" t="n"/>
      <c r="E496" s="49" t="n"/>
      <c r="F496" s="50" t="str">
        <f>IF(ISNUMBER(G496),G496,IF(AND(ISNUMBER(D496),ISNUMBER(E496),OR(C496="多",C496="空")),-IF(C496="空",-1,1)*D496*E496,""))</f>
        <v/>
      </c>
      <c r="G496" s="51" t="n"/>
      <c r="H496" s="30" t="n"/>
    </row>
    <row r="497">
      <c r="A497" s="48" t="n"/>
      <c r="B497" s="24" t="n"/>
      <c r="C497" s="40" t="str">
        <f>IF(B497="","",IFERROR(T(INDEX('交易记录'!$F$5:$F$304,MATCH(B497,'交易记录'!$A$5:$A$304,0))),"编号没找到"))</f>
        <v/>
      </c>
      <c r="D497" s="47" t="n"/>
      <c r="E497" s="49" t="n"/>
      <c r="F497" s="50" t="str">
        <f>IF(ISNUMBER(G497),G497,IF(AND(ISNUMBER(D497),ISNUMBER(E497),OR(C497="多",C497="空")),-IF(C497="空",-1,1)*D497*E497,""))</f>
        <v/>
      </c>
      <c r="G497" s="51" t="n"/>
      <c r="H497" s="30" t="n"/>
    </row>
    <row r="498">
      <c r="A498" s="48" t="n"/>
      <c r="B498" s="24" t="n"/>
      <c r="C498" s="40" t="str">
        <f>IF(B498="","",IFERROR(T(INDEX('交易记录'!$F$5:$F$304,MATCH(B498,'交易记录'!$A$5:$A$304,0))),"编号没找到"))</f>
        <v/>
      </c>
      <c r="D498" s="47" t="n"/>
      <c r="E498" s="49" t="n"/>
      <c r="F498" s="50" t="str">
        <f>IF(ISNUMBER(G498),G498,IF(AND(ISNUMBER(D498),ISNUMBER(E498),OR(C498="多",C498="空")),-IF(C498="空",-1,1)*D498*E498,""))</f>
        <v/>
      </c>
      <c r="G498" s="51" t="n"/>
      <c r="H498" s="30" t="n"/>
    </row>
    <row r="499">
      <c r="A499" s="48" t="n"/>
      <c r="B499" s="24" t="n"/>
      <c r="C499" s="40" t="str">
        <f>IF(B499="","",IFERROR(T(INDEX('交易记录'!$F$5:$F$304,MATCH(B499,'交易记录'!$A$5:$A$304,0))),"编号没找到"))</f>
        <v/>
      </c>
      <c r="D499" s="47" t="n"/>
      <c r="E499" s="49" t="n"/>
      <c r="F499" s="50" t="str">
        <f>IF(ISNUMBER(G499),G499,IF(AND(ISNUMBER(D499),ISNUMBER(E499),OR(C499="多",C499="空")),-IF(C499="空",-1,1)*D499*E499,""))</f>
        <v/>
      </c>
      <c r="G499" s="51" t="n"/>
      <c r="H499" s="30" t="n"/>
    </row>
    <row r="500">
      <c r="A500" s="48" t="n"/>
      <c r="B500" s="24" t="n"/>
      <c r="C500" s="40" t="str">
        <f>IF(B500="","",IFERROR(T(INDEX('交易记录'!$F$5:$F$304,MATCH(B500,'交易记录'!$A$5:$A$304,0))),"编号没找到"))</f>
        <v/>
      </c>
      <c r="D500" s="47" t="n"/>
      <c r="E500" s="49" t="n"/>
      <c r="F500" s="50" t="str">
        <f>IF(ISNUMBER(G500),G500,IF(AND(ISNUMBER(D500),ISNUMBER(E500),OR(C500="多",C500="空")),-IF(C500="空",-1,1)*D500*E500,""))</f>
        <v/>
      </c>
      <c r="G500" s="51" t="n"/>
      <c r="H500" s="30" t="n"/>
    </row>
    <row r="501">
      <c r="A501" s="48" t="n"/>
      <c r="B501" s="24" t="n"/>
      <c r="C501" s="40" t="str">
        <f>IF(B501="","",IFERROR(T(INDEX('交易记录'!$F$5:$F$304,MATCH(B501,'交易记录'!$A$5:$A$304,0))),"编号没找到"))</f>
        <v/>
      </c>
      <c r="D501" s="47" t="n"/>
      <c r="E501" s="49" t="n"/>
      <c r="F501" s="50" t="str">
        <f>IF(ISNUMBER(G501),G501,IF(AND(ISNUMBER(D501),ISNUMBER(E501),OR(C501="多",C501="空")),-IF(C501="空",-1,1)*D501*E501,""))</f>
        <v/>
      </c>
      <c r="G501" s="51" t="n"/>
      <c r="H501" s="30" t="n"/>
    </row>
    <row r="502">
      <c r="A502" s="48" t="n"/>
      <c r="B502" s="24" t="n"/>
      <c r="C502" s="40" t="str">
        <f>IF(B502="","",IFERROR(T(INDEX('交易记录'!$F$5:$F$304,MATCH(B502,'交易记录'!$A$5:$A$304,0))),"编号没找到"))</f>
        <v/>
      </c>
      <c r="D502" s="47" t="n"/>
      <c r="E502" s="49" t="n"/>
      <c r="F502" s="50" t="str">
        <f>IF(ISNUMBER(G502),G502,IF(AND(ISNUMBER(D502),ISNUMBER(E502),OR(C502="多",C502="空")),-IF(C502="空",-1,1)*D502*E502,""))</f>
        <v/>
      </c>
      <c r="G502" s="51" t="n"/>
      <c r="H502" s="30" t="n"/>
    </row>
    <row r="503">
      <c r="A503" s="48" t="n"/>
      <c r="B503" s="24" t="n"/>
      <c r="C503" s="40" t="str">
        <f>IF(B503="","",IFERROR(T(INDEX('交易记录'!$F$5:$F$304,MATCH(B503,'交易记录'!$A$5:$A$304,0))),"编号没找到"))</f>
        <v/>
      </c>
      <c r="D503" s="47" t="n"/>
      <c r="E503" s="49" t="n"/>
      <c r="F503" s="50" t="str">
        <f>IF(ISNUMBER(G503),G503,IF(AND(ISNUMBER(D503),ISNUMBER(E503),OR(C503="多",C503="空")),-IF(C503="空",-1,1)*D503*E503,""))</f>
        <v/>
      </c>
      <c r="G503" s="51" t="n"/>
      <c r="H503" s="30" t="n"/>
    </row>
    <row r="504">
      <c r="A504" s="48" t="n"/>
      <c r="B504" s="24" t="n"/>
      <c r="C504" s="40" t="str">
        <f>IF(B504="","",IFERROR(T(INDEX('交易记录'!$F$5:$F$304,MATCH(B504,'交易记录'!$A$5:$A$304,0))),"编号没找到"))</f>
        <v/>
      </c>
      <c r="D504" s="47" t="n"/>
      <c r="E504" s="49" t="n"/>
      <c r="F504" s="50" t="str">
        <f>IF(ISNUMBER(G504),G504,IF(AND(ISNUMBER(D504),ISNUMBER(E504),OR(C504="多",C504="空")),-IF(C504="空",-1,1)*D504*E504,""))</f>
        <v/>
      </c>
      <c r="G504" s="51" t="n"/>
      <c r="H504" s="30" t="n"/>
    </row>
    <row r="505">
      <c r="A505" s="48" t="n"/>
      <c r="B505" s="24" t="n"/>
      <c r="C505" s="40" t="str">
        <f>IF(B505="","",IFERROR(T(INDEX('交易记录'!$F$5:$F$304,MATCH(B505,'交易记录'!$A$5:$A$304,0))),"编号没找到"))</f>
        <v/>
      </c>
      <c r="D505" s="47" t="n"/>
      <c r="E505" s="49" t="n"/>
      <c r="F505" s="50" t="str">
        <f>IF(ISNUMBER(G505),G505,IF(AND(ISNUMBER(D505),ISNUMBER(E505),OR(C505="多",C505="空")),-IF(C505="空",-1,1)*D505*E505,""))</f>
        <v/>
      </c>
      <c r="G505" s="51" t="n"/>
      <c r="H505" s="30" t="n"/>
    </row>
    <row r="506">
      <c r="A506" s="48" t="n"/>
      <c r="B506" s="24" t="n"/>
      <c r="C506" s="40" t="str">
        <f>IF(B506="","",IFERROR(T(INDEX('交易记录'!$F$5:$F$304,MATCH(B506,'交易记录'!$A$5:$A$304,0))),"编号没找到"))</f>
        <v/>
      </c>
      <c r="D506" s="47" t="n"/>
      <c r="E506" s="49" t="n"/>
      <c r="F506" s="50" t="str">
        <f>IF(ISNUMBER(G506),G506,IF(AND(ISNUMBER(D506),ISNUMBER(E506),OR(C506="多",C506="空")),-IF(C506="空",-1,1)*D506*E506,""))</f>
        <v/>
      </c>
      <c r="G506" s="51" t="n"/>
      <c r="H506" s="30" t="n"/>
    </row>
    <row r="507">
      <c r="A507" s="48" t="n"/>
      <c r="B507" s="24" t="n"/>
      <c r="C507" s="40" t="str">
        <f>IF(B507="","",IFERROR(T(INDEX('交易记录'!$F$5:$F$304,MATCH(B507,'交易记录'!$A$5:$A$304,0))),"编号没找到"))</f>
        <v/>
      </c>
      <c r="D507" s="47" t="n"/>
      <c r="E507" s="49" t="n"/>
      <c r="F507" s="50" t="str">
        <f>IF(ISNUMBER(G507),G507,IF(AND(ISNUMBER(D507),ISNUMBER(E507),OR(C507="多",C507="空")),-IF(C507="空",-1,1)*D507*E507,""))</f>
        <v/>
      </c>
      <c r="G507" s="51" t="n"/>
      <c r="H507" s="30" t="n"/>
    </row>
    <row r="508">
      <c r="A508" s="48" t="n"/>
      <c r="B508" s="24" t="n"/>
      <c r="C508" s="40" t="str">
        <f>IF(B508="","",IFERROR(T(INDEX('交易记录'!$F$5:$F$304,MATCH(B508,'交易记录'!$A$5:$A$304,0))),"编号没找到"))</f>
        <v/>
      </c>
      <c r="D508" s="47" t="n"/>
      <c r="E508" s="49" t="n"/>
      <c r="F508" s="50" t="str">
        <f>IF(ISNUMBER(G508),G508,IF(AND(ISNUMBER(D508),ISNUMBER(E508),OR(C508="多",C508="空")),-IF(C508="空",-1,1)*D508*E508,""))</f>
        <v/>
      </c>
      <c r="G508" s="51" t="n"/>
      <c r="H508" s="30" t="n"/>
    </row>
    <row r="509">
      <c r="A509" s="48" t="n"/>
      <c r="B509" s="24" t="n"/>
      <c r="C509" s="40" t="str">
        <f>IF(B509="","",IFERROR(T(INDEX('交易记录'!$F$5:$F$304,MATCH(B509,'交易记录'!$A$5:$A$304,0))),"编号没找到"))</f>
        <v/>
      </c>
      <c r="D509" s="47" t="n"/>
      <c r="E509" s="49" t="n"/>
      <c r="F509" s="50" t="str">
        <f>IF(ISNUMBER(G509),G509,IF(AND(ISNUMBER(D509),ISNUMBER(E509),OR(C509="多",C509="空")),-IF(C509="空",-1,1)*D509*E509,""))</f>
        <v/>
      </c>
      <c r="G509" s="51" t="n"/>
      <c r="H509" s="30" t="n"/>
    </row>
    <row r="510">
      <c r="A510" s="48" t="n"/>
      <c r="B510" s="24" t="n"/>
      <c r="C510" s="40" t="str">
        <f>IF(B510="","",IFERROR(T(INDEX('交易记录'!$F$5:$F$304,MATCH(B510,'交易记录'!$A$5:$A$304,0))),"编号没找到"))</f>
        <v/>
      </c>
      <c r="D510" s="47" t="n"/>
      <c r="E510" s="49" t="n"/>
      <c r="F510" s="50" t="str">
        <f>IF(ISNUMBER(G510),G510,IF(AND(ISNUMBER(D510),ISNUMBER(E510),OR(C510="多",C510="空")),-IF(C510="空",-1,1)*D510*E510,""))</f>
        <v/>
      </c>
      <c r="G510" s="51" t="n"/>
      <c r="H510" s="30" t="n"/>
    </row>
    <row r="511">
      <c r="A511" s="48" t="n"/>
      <c r="B511" s="24" t="n"/>
      <c r="C511" s="40" t="str">
        <f>IF(B511="","",IFERROR(T(INDEX('交易记录'!$F$5:$F$304,MATCH(B511,'交易记录'!$A$5:$A$304,0))),"编号没找到"))</f>
        <v/>
      </c>
      <c r="D511" s="47" t="n"/>
      <c r="E511" s="49" t="n"/>
      <c r="F511" s="50" t="str">
        <f>IF(ISNUMBER(G511),G511,IF(AND(ISNUMBER(D511),ISNUMBER(E511),OR(C511="多",C511="空")),-IF(C511="空",-1,1)*D511*E511,""))</f>
        <v/>
      </c>
      <c r="G511" s="51" t="n"/>
      <c r="H511" s="30" t="n"/>
    </row>
    <row r="512">
      <c r="A512" s="48" t="n"/>
      <c r="B512" s="24" t="n"/>
      <c r="C512" s="40" t="str">
        <f>IF(B512="","",IFERROR(T(INDEX('交易记录'!$F$5:$F$304,MATCH(B512,'交易记录'!$A$5:$A$304,0))),"编号没找到"))</f>
        <v/>
      </c>
      <c r="D512" s="47" t="n"/>
      <c r="E512" s="49" t="n"/>
      <c r="F512" s="50" t="str">
        <f>IF(ISNUMBER(G512),G512,IF(AND(ISNUMBER(D512),ISNUMBER(E512),OR(C512="多",C512="空")),-IF(C512="空",-1,1)*D512*E512,""))</f>
        <v/>
      </c>
      <c r="G512" s="51" t="n"/>
      <c r="H512" s="30" t="n"/>
    </row>
    <row r="513">
      <c r="A513" s="48" t="n"/>
      <c r="B513" s="24" t="n"/>
      <c r="C513" s="40" t="str">
        <f>IF(B513="","",IFERROR(T(INDEX('交易记录'!$F$5:$F$304,MATCH(B513,'交易记录'!$A$5:$A$304,0))),"编号没找到"))</f>
        <v/>
      </c>
      <c r="D513" s="47" t="n"/>
      <c r="E513" s="49" t="n"/>
      <c r="F513" s="50" t="str">
        <f>IF(ISNUMBER(G513),G513,IF(AND(ISNUMBER(D513),ISNUMBER(E513),OR(C513="多",C513="空")),-IF(C513="空",-1,1)*D513*E513,""))</f>
        <v/>
      </c>
      <c r="G513" s="51" t="n"/>
      <c r="H513" s="30" t="n"/>
    </row>
    <row r="514">
      <c r="A514" s="48" t="n"/>
      <c r="B514" s="24" t="n"/>
      <c r="C514" s="40" t="str">
        <f>IF(B514="","",IFERROR(T(INDEX('交易记录'!$F$5:$F$304,MATCH(B514,'交易记录'!$A$5:$A$304,0))),"编号没找到"))</f>
        <v/>
      </c>
      <c r="D514" s="47" t="n"/>
      <c r="E514" s="49" t="n"/>
      <c r="F514" s="50" t="str">
        <f>IF(ISNUMBER(G514),G514,IF(AND(ISNUMBER(D514),ISNUMBER(E514),OR(C514="多",C514="空")),-IF(C514="空",-1,1)*D514*E514,""))</f>
        <v/>
      </c>
      <c r="G514" s="51" t="n"/>
      <c r="H514" s="30" t="n"/>
    </row>
    <row r="515">
      <c r="A515" s="48" t="n"/>
      <c r="B515" s="24" t="n"/>
      <c r="C515" s="40" t="str">
        <f>IF(B515="","",IFERROR(T(INDEX('交易记录'!$F$5:$F$304,MATCH(B515,'交易记录'!$A$5:$A$304,0))),"编号没找到"))</f>
        <v/>
      </c>
      <c r="D515" s="47" t="n"/>
      <c r="E515" s="49" t="n"/>
      <c r="F515" s="50" t="str">
        <f>IF(ISNUMBER(G515),G515,IF(AND(ISNUMBER(D515),ISNUMBER(E515),OR(C515="多",C515="空")),-IF(C515="空",-1,1)*D515*E515,""))</f>
        <v/>
      </c>
      <c r="G515" s="51" t="n"/>
      <c r="H515" s="30" t="n"/>
    </row>
    <row r="516">
      <c r="A516" s="48" t="n"/>
      <c r="B516" s="24" t="n"/>
      <c r="C516" s="40" t="str">
        <f>IF(B516="","",IFERROR(T(INDEX('交易记录'!$F$5:$F$304,MATCH(B516,'交易记录'!$A$5:$A$304,0))),"编号没找到"))</f>
        <v/>
      </c>
      <c r="D516" s="47" t="n"/>
      <c r="E516" s="49" t="n"/>
      <c r="F516" s="50" t="str">
        <f>IF(ISNUMBER(G516),G516,IF(AND(ISNUMBER(D516),ISNUMBER(E516),OR(C516="多",C516="空")),-IF(C516="空",-1,1)*D516*E516,""))</f>
        <v/>
      </c>
      <c r="G516" s="51" t="n"/>
      <c r="H516" s="30" t="n"/>
    </row>
    <row r="517">
      <c r="A517" s="48" t="n"/>
      <c r="B517" s="24" t="n"/>
      <c r="C517" s="40" t="str">
        <f>IF(B517="","",IFERROR(T(INDEX('交易记录'!$F$5:$F$304,MATCH(B517,'交易记录'!$A$5:$A$304,0))),"编号没找到"))</f>
        <v/>
      </c>
      <c r="D517" s="47" t="n"/>
      <c r="E517" s="49" t="n"/>
      <c r="F517" s="50" t="str">
        <f>IF(ISNUMBER(G517),G517,IF(AND(ISNUMBER(D517),ISNUMBER(E517),OR(C517="多",C517="空")),-IF(C517="空",-1,1)*D517*E517,""))</f>
        <v/>
      </c>
      <c r="G517" s="51" t="n"/>
      <c r="H517" s="30" t="n"/>
    </row>
    <row r="518">
      <c r="A518" s="48" t="n"/>
      <c r="B518" s="24" t="n"/>
      <c r="C518" s="40" t="str">
        <f>IF(B518="","",IFERROR(T(INDEX('交易记录'!$F$5:$F$304,MATCH(B518,'交易记录'!$A$5:$A$304,0))),"编号没找到"))</f>
        <v/>
      </c>
      <c r="D518" s="47" t="n"/>
      <c r="E518" s="49" t="n"/>
      <c r="F518" s="50" t="str">
        <f>IF(ISNUMBER(G518),G518,IF(AND(ISNUMBER(D518),ISNUMBER(E518),OR(C518="多",C518="空")),-IF(C518="空",-1,1)*D518*E518,""))</f>
        <v/>
      </c>
      <c r="G518" s="51" t="n"/>
      <c r="H518" s="30" t="n"/>
    </row>
    <row r="519">
      <c r="A519" s="48" t="n"/>
      <c r="B519" s="24" t="n"/>
      <c r="C519" s="40" t="str">
        <f>IF(B519="","",IFERROR(T(INDEX('交易记录'!$F$5:$F$304,MATCH(B519,'交易记录'!$A$5:$A$304,0))),"编号没找到"))</f>
        <v/>
      </c>
      <c r="D519" s="47" t="n"/>
      <c r="E519" s="49" t="n"/>
      <c r="F519" s="50" t="str">
        <f>IF(ISNUMBER(G519),G519,IF(AND(ISNUMBER(D519),ISNUMBER(E519),OR(C519="多",C519="空")),-IF(C519="空",-1,1)*D519*E519,""))</f>
        <v/>
      </c>
      <c r="G519" s="51" t="n"/>
      <c r="H519" s="30" t="n"/>
    </row>
    <row r="520">
      <c r="A520" s="48" t="n"/>
      <c r="B520" s="24" t="n"/>
      <c r="C520" s="40" t="str">
        <f>IF(B520="","",IFERROR(T(INDEX('交易记录'!$F$5:$F$304,MATCH(B520,'交易记录'!$A$5:$A$304,0))),"编号没找到"))</f>
        <v/>
      </c>
      <c r="D520" s="47" t="n"/>
      <c r="E520" s="49" t="n"/>
      <c r="F520" s="50" t="str">
        <f>IF(ISNUMBER(G520),G520,IF(AND(ISNUMBER(D520),ISNUMBER(E520),OR(C520="多",C520="空")),-IF(C520="空",-1,1)*D520*E520,""))</f>
        <v/>
      </c>
      <c r="G520" s="51" t="n"/>
      <c r="H520" s="30" t="n"/>
    </row>
    <row r="521">
      <c r="A521" s="48" t="n"/>
      <c r="B521" s="24" t="n"/>
      <c r="C521" s="40" t="str">
        <f>IF(B521="","",IFERROR(T(INDEX('交易记录'!$F$5:$F$304,MATCH(B521,'交易记录'!$A$5:$A$304,0))),"编号没找到"))</f>
        <v/>
      </c>
      <c r="D521" s="47" t="n"/>
      <c r="E521" s="49" t="n"/>
      <c r="F521" s="50" t="str">
        <f>IF(ISNUMBER(G521),G521,IF(AND(ISNUMBER(D521),ISNUMBER(E521),OR(C521="多",C521="空")),-IF(C521="空",-1,1)*D521*E521,""))</f>
        <v/>
      </c>
      <c r="G521" s="51" t="n"/>
      <c r="H521" s="30" t="n"/>
    </row>
    <row r="522">
      <c r="A522" s="48" t="n"/>
      <c r="B522" s="24" t="n"/>
      <c r="C522" s="40" t="str">
        <f>IF(B522="","",IFERROR(T(INDEX('交易记录'!$F$5:$F$304,MATCH(B522,'交易记录'!$A$5:$A$304,0))),"编号没找到"))</f>
        <v/>
      </c>
      <c r="D522" s="47" t="n"/>
      <c r="E522" s="49" t="n"/>
      <c r="F522" s="50" t="str">
        <f>IF(ISNUMBER(G522),G522,IF(AND(ISNUMBER(D522),ISNUMBER(E522),OR(C522="多",C522="空")),-IF(C522="空",-1,1)*D522*E522,""))</f>
        <v/>
      </c>
      <c r="G522" s="51" t="n"/>
      <c r="H522" s="30" t="n"/>
    </row>
    <row r="523">
      <c r="A523" s="48" t="n"/>
      <c r="B523" s="24" t="n"/>
      <c r="C523" s="40" t="str">
        <f>IF(B523="","",IFERROR(T(INDEX('交易记录'!$F$5:$F$304,MATCH(B523,'交易记录'!$A$5:$A$304,0))),"编号没找到"))</f>
        <v/>
      </c>
      <c r="D523" s="47" t="n"/>
      <c r="E523" s="49" t="n"/>
      <c r="F523" s="50" t="str">
        <f>IF(ISNUMBER(G523),G523,IF(AND(ISNUMBER(D523),ISNUMBER(E523),OR(C523="多",C523="空")),-IF(C523="空",-1,1)*D523*E523,""))</f>
        <v/>
      </c>
      <c r="G523" s="51" t="n"/>
      <c r="H523" s="30" t="n"/>
    </row>
    <row r="524">
      <c r="A524" s="48" t="n"/>
      <c r="B524" s="24" t="n"/>
      <c r="C524" s="40" t="str">
        <f>IF(B524="","",IFERROR(T(INDEX('交易记录'!$F$5:$F$304,MATCH(B524,'交易记录'!$A$5:$A$304,0))),"编号没找到"))</f>
        <v/>
      </c>
      <c r="D524" s="47" t="n"/>
      <c r="E524" s="49" t="n"/>
      <c r="F524" s="50" t="str">
        <f>IF(ISNUMBER(G524),G524,IF(AND(ISNUMBER(D524),ISNUMBER(E524),OR(C524="多",C524="空")),-IF(C524="空",-1,1)*D524*E524,""))</f>
        <v/>
      </c>
      <c r="G524" s="51" t="n"/>
      <c r="H524" s="30" t="n"/>
    </row>
    <row r="525">
      <c r="A525" s="48" t="n"/>
      <c r="B525" s="24" t="n"/>
      <c r="C525" s="40" t="str">
        <f>IF(B525="","",IFERROR(T(INDEX('交易记录'!$F$5:$F$304,MATCH(B525,'交易记录'!$A$5:$A$304,0))),"编号没找到"))</f>
        <v/>
      </c>
      <c r="D525" s="47" t="n"/>
      <c r="E525" s="49" t="n"/>
      <c r="F525" s="50" t="str">
        <f>IF(ISNUMBER(G525),G525,IF(AND(ISNUMBER(D525),ISNUMBER(E525),OR(C525="多",C525="空")),-IF(C525="空",-1,1)*D525*E525,""))</f>
        <v/>
      </c>
      <c r="G525" s="51" t="n"/>
      <c r="H525" s="30" t="n"/>
    </row>
    <row r="526">
      <c r="A526" s="48" t="n"/>
      <c r="B526" s="24" t="n"/>
      <c r="C526" s="40" t="str">
        <f>IF(B526="","",IFERROR(T(INDEX('交易记录'!$F$5:$F$304,MATCH(B526,'交易记录'!$A$5:$A$304,0))),"编号没找到"))</f>
        <v/>
      </c>
      <c r="D526" s="47" t="n"/>
      <c r="E526" s="49" t="n"/>
      <c r="F526" s="50" t="str">
        <f>IF(ISNUMBER(G526),G526,IF(AND(ISNUMBER(D526),ISNUMBER(E526),OR(C526="多",C526="空")),-IF(C526="空",-1,1)*D526*E526,""))</f>
        <v/>
      </c>
      <c r="G526" s="51" t="n"/>
      <c r="H526" s="30" t="n"/>
    </row>
    <row r="527">
      <c r="A527" s="48" t="n"/>
      <c r="B527" s="24" t="n"/>
      <c r="C527" s="40" t="str">
        <f>IF(B527="","",IFERROR(T(INDEX('交易记录'!$F$5:$F$304,MATCH(B527,'交易记录'!$A$5:$A$304,0))),"编号没找到"))</f>
        <v/>
      </c>
      <c r="D527" s="47" t="n"/>
      <c r="E527" s="49" t="n"/>
      <c r="F527" s="50" t="str">
        <f>IF(ISNUMBER(G527),G527,IF(AND(ISNUMBER(D527),ISNUMBER(E527),OR(C527="多",C527="空")),-IF(C527="空",-1,1)*D527*E527,""))</f>
        <v/>
      </c>
      <c r="G527" s="51" t="n"/>
      <c r="H527" s="30" t="n"/>
    </row>
    <row r="528">
      <c r="A528" s="48" t="n"/>
      <c r="B528" s="24" t="n"/>
      <c r="C528" s="40" t="str">
        <f>IF(B528="","",IFERROR(T(INDEX('交易记录'!$F$5:$F$304,MATCH(B528,'交易记录'!$A$5:$A$304,0))),"编号没找到"))</f>
        <v/>
      </c>
      <c r="D528" s="47" t="n"/>
      <c r="E528" s="49" t="n"/>
      <c r="F528" s="50" t="str">
        <f>IF(ISNUMBER(G528),G528,IF(AND(ISNUMBER(D528),ISNUMBER(E528),OR(C528="多",C528="空")),-IF(C528="空",-1,1)*D528*E528,""))</f>
        <v/>
      </c>
      <c r="G528" s="51" t="n"/>
      <c r="H528" s="30" t="n"/>
    </row>
    <row r="529">
      <c r="A529" s="48" t="n"/>
      <c r="B529" s="24" t="n"/>
      <c r="C529" s="40" t="str">
        <f>IF(B529="","",IFERROR(T(INDEX('交易记录'!$F$5:$F$304,MATCH(B529,'交易记录'!$A$5:$A$304,0))),"编号没找到"))</f>
        <v/>
      </c>
      <c r="D529" s="47" t="n"/>
      <c r="E529" s="49" t="n"/>
      <c r="F529" s="50" t="str">
        <f>IF(ISNUMBER(G529),G529,IF(AND(ISNUMBER(D529),ISNUMBER(E529),OR(C529="多",C529="空")),-IF(C529="空",-1,1)*D529*E529,""))</f>
        <v/>
      </c>
      <c r="G529" s="51" t="n"/>
      <c r="H529" s="30" t="n"/>
    </row>
    <row r="530">
      <c r="A530" s="48" t="n"/>
      <c r="B530" s="24" t="n"/>
      <c r="C530" s="40" t="str">
        <f>IF(B530="","",IFERROR(T(INDEX('交易记录'!$F$5:$F$304,MATCH(B530,'交易记录'!$A$5:$A$304,0))),"编号没找到"))</f>
        <v/>
      </c>
      <c r="D530" s="47" t="n"/>
      <c r="E530" s="49" t="n"/>
      <c r="F530" s="50" t="str">
        <f>IF(ISNUMBER(G530),G530,IF(AND(ISNUMBER(D530),ISNUMBER(E530),OR(C530="多",C530="空")),-IF(C530="空",-1,1)*D530*E530,""))</f>
        <v/>
      </c>
      <c r="G530" s="51" t="n"/>
      <c r="H530" s="30" t="n"/>
    </row>
    <row r="531">
      <c r="A531" s="48" t="n"/>
      <c r="B531" s="24" t="n"/>
      <c r="C531" s="40" t="str">
        <f>IF(B531="","",IFERROR(T(INDEX('交易记录'!$F$5:$F$304,MATCH(B531,'交易记录'!$A$5:$A$304,0))),"编号没找到"))</f>
        <v/>
      </c>
      <c r="D531" s="47" t="n"/>
      <c r="E531" s="49" t="n"/>
      <c r="F531" s="50" t="str">
        <f>IF(ISNUMBER(G531),G531,IF(AND(ISNUMBER(D531),ISNUMBER(E531),OR(C531="多",C531="空")),-IF(C531="空",-1,1)*D531*E531,""))</f>
        <v/>
      </c>
      <c r="G531" s="51" t="n"/>
      <c r="H531" s="30" t="n"/>
    </row>
    <row r="532">
      <c r="A532" s="48" t="n"/>
      <c r="B532" s="24" t="n"/>
      <c r="C532" s="40" t="str">
        <f>IF(B532="","",IFERROR(T(INDEX('交易记录'!$F$5:$F$304,MATCH(B532,'交易记录'!$A$5:$A$304,0))),"编号没找到"))</f>
        <v/>
      </c>
      <c r="D532" s="47" t="n"/>
      <c r="E532" s="49" t="n"/>
      <c r="F532" s="50" t="str">
        <f>IF(ISNUMBER(G532),G532,IF(AND(ISNUMBER(D532),ISNUMBER(E532),OR(C532="多",C532="空")),-IF(C532="空",-1,1)*D532*E532,""))</f>
        <v/>
      </c>
      <c r="G532" s="51" t="n"/>
      <c r="H532" s="30" t="n"/>
    </row>
    <row r="533">
      <c r="A533" s="48" t="n"/>
      <c r="B533" s="24" t="n"/>
      <c r="C533" s="40" t="str">
        <f>IF(B533="","",IFERROR(T(INDEX('交易记录'!$F$5:$F$304,MATCH(B533,'交易记录'!$A$5:$A$304,0))),"编号没找到"))</f>
        <v/>
      </c>
      <c r="D533" s="47" t="n"/>
      <c r="E533" s="49" t="n"/>
      <c r="F533" s="50" t="str">
        <f>IF(ISNUMBER(G533),G533,IF(AND(ISNUMBER(D533),ISNUMBER(E533),OR(C533="多",C533="空")),-IF(C533="空",-1,1)*D533*E533,""))</f>
        <v/>
      </c>
      <c r="G533" s="51" t="n"/>
      <c r="H533" s="30" t="n"/>
    </row>
    <row r="534">
      <c r="A534" s="48" t="n"/>
      <c r="B534" s="24" t="n"/>
      <c r="C534" s="40" t="str">
        <f>IF(B534="","",IFERROR(T(INDEX('交易记录'!$F$5:$F$304,MATCH(B534,'交易记录'!$A$5:$A$304,0))),"编号没找到"))</f>
        <v/>
      </c>
      <c r="D534" s="47" t="n"/>
      <c r="E534" s="49" t="n"/>
      <c r="F534" s="50" t="str">
        <f>IF(ISNUMBER(G534),G534,IF(AND(ISNUMBER(D534),ISNUMBER(E534),OR(C534="多",C534="空")),-IF(C534="空",-1,1)*D534*E534,""))</f>
        <v/>
      </c>
      <c r="G534" s="51" t="n"/>
      <c r="H534" s="30" t="n"/>
    </row>
    <row r="535">
      <c r="A535" s="48" t="n"/>
      <c r="B535" s="24" t="n"/>
      <c r="C535" s="40" t="str">
        <f>IF(B535="","",IFERROR(T(INDEX('交易记录'!$F$5:$F$304,MATCH(B535,'交易记录'!$A$5:$A$304,0))),"编号没找到"))</f>
        <v/>
      </c>
      <c r="D535" s="47" t="n"/>
      <c r="E535" s="49" t="n"/>
      <c r="F535" s="50" t="str">
        <f>IF(ISNUMBER(G535),G535,IF(AND(ISNUMBER(D535),ISNUMBER(E535),OR(C535="多",C535="空")),-IF(C535="空",-1,1)*D535*E535,""))</f>
        <v/>
      </c>
      <c r="G535" s="51" t="n"/>
      <c r="H535" s="30" t="n"/>
    </row>
    <row r="536">
      <c r="A536" s="48" t="n"/>
      <c r="B536" s="24" t="n"/>
      <c r="C536" s="40" t="str">
        <f>IF(B536="","",IFERROR(T(INDEX('交易记录'!$F$5:$F$304,MATCH(B536,'交易记录'!$A$5:$A$304,0))),"编号没找到"))</f>
        <v/>
      </c>
      <c r="D536" s="47" t="n"/>
      <c r="E536" s="49" t="n"/>
      <c r="F536" s="50" t="str">
        <f>IF(ISNUMBER(G536),G536,IF(AND(ISNUMBER(D536),ISNUMBER(E536),OR(C536="多",C536="空")),-IF(C536="空",-1,1)*D536*E536,""))</f>
        <v/>
      </c>
      <c r="G536" s="51" t="n"/>
      <c r="H536" s="30" t="n"/>
    </row>
    <row r="537">
      <c r="A537" s="48" t="n"/>
      <c r="B537" s="24" t="n"/>
      <c r="C537" s="40" t="str">
        <f>IF(B537="","",IFERROR(T(INDEX('交易记录'!$F$5:$F$304,MATCH(B537,'交易记录'!$A$5:$A$304,0))),"编号没找到"))</f>
        <v/>
      </c>
      <c r="D537" s="47" t="n"/>
      <c r="E537" s="49" t="n"/>
      <c r="F537" s="50" t="str">
        <f>IF(ISNUMBER(G537),G537,IF(AND(ISNUMBER(D537),ISNUMBER(E537),OR(C537="多",C537="空")),-IF(C537="空",-1,1)*D537*E537,""))</f>
        <v/>
      </c>
      <c r="G537" s="51" t="n"/>
      <c r="H537" s="30" t="n"/>
    </row>
    <row r="538">
      <c r="A538" s="48" t="n"/>
      <c r="B538" s="24" t="n"/>
      <c r="C538" s="40" t="str">
        <f>IF(B538="","",IFERROR(T(INDEX('交易记录'!$F$5:$F$304,MATCH(B538,'交易记录'!$A$5:$A$304,0))),"编号没找到"))</f>
        <v/>
      </c>
      <c r="D538" s="47" t="n"/>
      <c r="E538" s="49" t="n"/>
      <c r="F538" s="50" t="str">
        <f>IF(ISNUMBER(G538),G538,IF(AND(ISNUMBER(D538),ISNUMBER(E538),OR(C538="多",C538="空")),-IF(C538="空",-1,1)*D538*E538,""))</f>
        <v/>
      </c>
      <c r="G538" s="51" t="n"/>
      <c r="H538" s="30" t="n"/>
    </row>
    <row r="539">
      <c r="A539" s="48" t="n"/>
      <c r="B539" s="24" t="n"/>
      <c r="C539" s="40" t="str">
        <f>IF(B539="","",IFERROR(T(INDEX('交易记录'!$F$5:$F$304,MATCH(B539,'交易记录'!$A$5:$A$304,0))),"编号没找到"))</f>
        <v/>
      </c>
      <c r="D539" s="47" t="n"/>
      <c r="E539" s="49" t="n"/>
      <c r="F539" s="50" t="str">
        <f>IF(ISNUMBER(G539),G539,IF(AND(ISNUMBER(D539),ISNUMBER(E539),OR(C539="多",C539="空")),-IF(C539="空",-1,1)*D539*E539,""))</f>
        <v/>
      </c>
      <c r="G539" s="51" t="n"/>
      <c r="H539" s="30" t="n"/>
    </row>
    <row r="540">
      <c r="A540" s="48" t="n"/>
      <c r="B540" s="24" t="n"/>
      <c r="C540" s="40" t="str">
        <f>IF(B540="","",IFERROR(T(INDEX('交易记录'!$F$5:$F$304,MATCH(B540,'交易记录'!$A$5:$A$304,0))),"编号没找到"))</f>
        <v/>
      </c>
      <c r="D540" s="47" t="n"/>
      <c r="E540" s="49" t="n"/>
      <c r="F540" s="50" t="str">
        <f>IF(ISNUMBER(G540),G540,IF(AND(ISNUMBER(D540),ISNUMBER(E540),OR(C540="多",C540="空")),-IF(C540="空",-1,1)*D540*E540,""))</f>
        <v/>
      </c>
      <c r="G540" s="51" t="n"/>
      <c r="H540" s="30" t="n"/>
    </row>
    <row r="541">
      <c r="A541" s="48" t="n"/>
      <c r="B541" s="24" t="n"/>
      <c r="C541" s="40" t="str">
        <f>IF(B541="","",IFERROR(T(INDEX('交易记录'!$F$5:$F$304,MATCH(B541,'交易记录'!$A$5:$A$304,0))),"编号没找到"))</f>
        <v/>
      </c>
      <c r="D541" s="47" t="n"/>
      <c r="E541" s="49" t="n"/>
      <c r="F541" s="50" t="str">
        <f>IF(ISNUMBER(G541),G541,IF(AND(ISNUMBER(D541),ISNUMBER(E541),OR(C541="多",C541="空")),-IF(C541="空",-1,1)*D541*E541,""))</f>
        <v/>
      </c>
      <c r="G541" s="51" t="n"/>
      <c r="H541" s="30" t="n"/>
    </row>
    <row r="542">
      <c r="A542" s="48" t="n"/>
      <c r="B542" s="24" t="n"/>
      <c r="C542" s="40" t="str">
        <f>IF(B542="","",IFERROR(T(INDEX('交易记录'!$F$5:$F$304,MATCH(B542,'交易记录'!$A$5:$A$304,0))),"编号没找到"))</f>
        <v/>
      </c>
      <c r="D542" s="47" t="n"/>
      <c r="E542" s="49" t="n"/>
      <c r="F542" s="50" t="str">
        <f>IF(ISNUMBER(G542),G542,IF(AND(ISNUMBER(D542),ISNUMBER(E542),OR(C542="多",C542="空")),-IF(C542="空",-1,1)*D542*E542,""))</f>
        <v/>
      </c>
      <c r="G542" s="51" t="n"/>
      <c r="H542" s="30" t="n"/>
    </row>
    <row r="543">
      <c r="A543" s="48" t="n"/>
      <c r="B543" s="24" t="n"/>
      <c r="C543" s="40" t="str">
        <f>IF(B543="","",IFERROR(T(INDEX('交易记录'!$F$5:$F$304,MATCH(B543,'交易记录'!$A$5:$A$304,0))),"编号没找到"))</f>
        <v/>
      </c>
      <c r="D543" s="47" t="n"/>
      <c r="E543" s="49" t="n"/>
      <c r="F543" s="50" t="str">
        <f>IF(ISNUMBER(G543),G543,IF(AND(ISNUMBER(D543),ISNUMBER(E543),OR(C543="多",C543="空")),-IF(C543="空",-1,1)*D543*E543,""))</f>
        <v/>
      </c>
      <c r="G543" s="51" t="n"/>
      <c r="H543" s="30" t="n"/>
    </row>
    <row r="544">
      <c r="A544" s="48" t="n"/>
      <c r="B544" s="24" t="n"/>
      <c r="C544" s="40" t="str">
        <f>IF(B544="","",IFERROR(T(INDEX('交易记录'!$F$5:$F$304,MATCH(B544,'交易记录'!$A$5:$A$304,0))),"编号没找到"))</f>
        <v/>
      </c>
      <c r="D544" s="47" t="n"/>
      <c r="E544" s="49" t="n"/>
      <c r="F544" s="50" t="str">
        <f>IF(ISNUMBER(G544),G544,IF(AND(ISNUMBER(D544),ISNUMBER(E544),OR(C544="多",C544="空")),-IF(C544="空",-1,1)*D544*E544,""))</f>
        <v/>
      </c>
      <c r="G544" s="51" t="n"/>
      <c r="H544" s="30" t="n"/>
    </row>
    <row r="545">
      <c r="A545" s="48" t="n"/>
      <c r="B545" s="24" t="n"/>
      <c r="C545" s="40" t="str">
        <f>IF(B545="","",IFERROR(T(INDEX('交易记录'!$F$5:$F$304,MATCH(B545,'交易记录'!$A$5:$A$304,0))),"编号没找到"))</f>
        <v/>
      </c>
      <c r="D545" s="47" t="n"/>
      <c r="E545" s="49" t="n"/>
      <c r="F545" s="50" t="str">
        <f>IF(ISNUMBER(G545),G545,IF(AND(ISNUMBER(D545),ISNUMBER(E545),OR(C545="多",C545="空")),-IF(C545="空",-1,1)*D545*E545,""))</f>
        <v/>
      </c>
      <c r="G545" s="51" t="n"/>
      <c r="H545" s="30" t="n"/>
    </row>
    <row r="546">
      <c r="A546" s="48" t="n"/>
      <c r="B546" s="24" t="n"/>
      <c r="C546" s="40" t="str">
        <f>IF(B546="","",IFERROR(T(INDEX('交易记录'!$F$5:$F$304,MATCH(B546,'交易记录'!$A$5:$A$304,0))),"编号没找到"))</f>
        <v/>
      </c>
      <c r="D546" s="47" t="n"/>
      <c r="E546" s="49" t="n"/>
      <c r="F546" s="50" t="str">
        <f>IF(ISNUMBER(G546),G546,IF(AND(ISNUMBER(D546),ISNUMBER(E546),OR(C546="多",C546="空")),-IF(C546="空",-1,1)*D546*E546,""))</f>
        <v/>
      </c>
      <c r="G546" s="51" t="n"/>
      <c r="H546" s="30" t="n"/>
    </row>
    <row r="547">
      <c r="A547" s="48" t="n"/>
      <c r="B547" s="24" t="n"/>
      <c r="C547" s="40" t="str">
        <f>IF(B547="","",IFERROR(T(INDEX('交易记录'!$F$5:$F$304,MATCH(B547,'交易记录'!$A$5:$A$304,0))),"编号没找到"))</f>
        <v/>
      </c>
      <c r="D547" s="47" t="n"/>
      <c r="E547" s="49" t="n"/>
      <c r="F547" s="50" t="str">
        <f>IF(ISNUMBER(G547),G547,IF(AND(ISNUMBER(D547),ISNUMBER(E547),OR(C547="多",C547="空")),-IF(C547="空",-1,1)*D547*E547,""))</f>
        <v/>
      </c>
      <c r="G547" s="51" t="n"/>
      <c r="H547" s="30" t="n"/>
    </row>
    <row r="548">
      <c r="A548" s="48" t="n"/>
      <c r="B548" s="24" t="n"/>
      <c r="C548" s="40" t="str">
        <f>IF(B548="","",IFERROR(T(INDEX('交易记录'!$F$5:$F$304,MATCH(B548,'交易记录'!$A$5:$A$304,0))),"编号没找到"))</f>
        <v/>
      </c>
      <c r="D548" s="47" t="n"/>
      <c r="E548" s="49" t="n"/>
      <c r="F548" s="50" t="str">
        <f>IF(ISNUMBER(G548),G548,IF(AND(ISNUMBER(D548),ISNUMBER(E548),OR(C548="多",C548="空")),-IF(C548="空",-1,1)*D548*E548,""))</f>
        <v/>
      </c>
      <c r="G548" s="51" t="n"/>
      <c r="H548" s="30" t="n"/>
    </row>
    <row r="549">
      <c r="A549" s="48" t="n"/>
      <c r="B549" s="24" t="n"/>
      <c r="C549" s="40" t="str">
        <f>IF(B549="","",IFERROR(T(INDEX('交易记录'!$F$5:$F$304,MATCH(B549,'交易记录'!$A$5:$A$304,0))),"编号没找到"))</f>
        <v/>
      </c>
      <c r="D549" s="47" t="n"/>
      <c r="E549" s="49" t="n"/>
      <c r="F549" s="50" t="str">
        <f>IF(ISNUMBER(G549),G549,IF(AND(ISNUMBER(D549),ISNUMBER(E549),OR(C549="多",C549="空")),-IF(C549="空",-1,1)*D549*E549,""))</f>
        <v/>
      </c>
      <c r="G549" s="51" t="n"/>
      <c r="H549" s="30" t="n"/>
    </row>
    <row r="550">
      <c r="A550" s="48" t="n"/>
      <c r="B550" s="24" t="n"/>
      <c r="C550" s="40" t="str">
        <f>IF(B550="","",IFERROR(T(INDEX('交易记录'!$F$5:$F$304,MATCH(B550,'交易记录'!$A$5:$A$304,0))),"编号没找到"))</f>
        <v/>
      </c>
      <c r="D550" s="47" t="n"/>
      <c r="E550" s="49" t="n"/>
      <c r="F550" s="50" t="str">
        <f>IF(ISNUMBER(G550),G550,IF(AND(ISNUMBER(D550),ISNUMBER(E550),OR(C550="多",C550="空")),-IF(C550="空",-1,1)*D550*E550,""))</f>
        <v/>
      </c>
      <c r="G550" s="51" t="n"/>
      <c r="H550" s="30" t="n"/>
    </row>
    <row r="551">
      <c r="A551" s="48" t="n"/>
      <c r="B551" s="24" t="n"/>
      <c r="C551" s="40" t="str">
        <f>IF(B551="","",IFERROR(T(INDEX('交易记录'!$F$5:$F$304,MATCH(B551,'交易记录'!$A$5:$A$304,0))),"编号没找到"))</f>
        <v/>
      </c>
      <c r="D551" s="47" t="n"/>
      <c r="E551" s="49" t="n"/>
      <c r="F551" s="50" t="str">
        <f>IF(ISNUMBER(G551),G551,IF(AND(ISNUMBER(D551),ISNUMBER(E551),OR(C551="多",C551="空")),-IF(C551="空",-1,1)*D551*E551,""))</f>
        <v/>
      </c>
      <c r="G551" s="51" t="n"/>
      <c r="H551" s="30" t="n"/>
    </row>
    <row r="552">
      <c r="A552" s="48" t="n"/>
      <c r="B552" s="24" t="n"/>
      <c r="C552" s="40" t="str">
        <f>IF(B552="","",IFERROR(T(INDEX('交易记录'!$F$5:$F$304,MATCH(B552,'交易记录'!$A$5:$A$304,0))),"编号没找到"))</f>
        <v/>
      </c>
      <c r="D552" s="47" t="n"/>
      <c r="E552" s="49" t="n"/>
      <c r="F552" s="50" t="str">
        <f>IF(ISNUMBER(G552),G552,IF(AND(ISNUMBER(D552),ISNUMBER(E552),OR(C552="多",C552="空")),-IF(C552="空",-1,1)*D552*E552,""))</f>
        <v/>
      </c>
      <c r="G552" s="51" t="n"/>
      <c r="H552" s="30" t="n"/>
    </row>
    <row r="553">
      <c r="A553" s="48" t="n"/>
      <c r="B553" s="24" t="n"/>
      <c r="C553" s="40" t="str">
        <f>IF(B553="","",IFERROR(T(INDEX('交易记录'!$F$5:$F$304,MATCH(B553,'交易记录'!$A$5:$A$304,0))),"编号没找到"))</f>
        <v/>
      </c>
      <c r="D553" s="47" t="n"/>
      <c r="E553" s="49" t="n"/>
      <c r="F553" s="50" t="str">
        <f>IF(ISNUMBER(G553),G553,IF(AND(ISNUMBER(D553),ISNUMBER(E553),OR(C553="多",C553="空")),-IF(C553="空",-1,1)*D553*E553,""))</f>
        <v/>
      </c>
      <c r="G553" s="51" t="n"/>
      <c r="H553" s="30" t="n"/>
    </row>
    <row r="554">
      <c r="A554" s="48" t="n"/>
      <c r="B554" s="24" t="n"/>
      <c r="C554" s="40" t="str">
        <f>IF(B554="","",IFERROR(T(INDEX('交易记录'!$F$5:$F$304,MATCH(B554,'交易记录'!$A$5:$A$304,0))),"编号没找到"))</f>
        <v/>
      </c>
      <c r="D554" s="47" t="n"/>
      <c r="E554" s="49" t="n"/>
      <c r="F554" s="50" t="str">
        <f>IF(ISNUMBER(G554),G554,IF(AND(ISNUMBER(D554),ISNUMBER(E554),OR(C554="多",C554="空")),-IF(C554="空",-1,1)*D554*E554,""))</f>
        <v/>
      </c>
      <c r="G554" s="51" t="n"/>
      <c r="H554" s="30" t="n"/>
    </row>
    <row r="555">
      <c r="A555" s="48" t="n"/>
      <c r="B555" s="24" t="n"/>
      <c r="C555" s="40" t="str">
        <f>IF(B555="","",IFERROR(T(INDEX('交易记录'!$F$5:$F$304,MATCH(B555,'交易记录'!$A$5:$A$304,0))),"编号没找到"))</f>
        <v/>
      </c>
      <c r="D555" s="47" t="n"/>
      <c r="E555" s="49" t="n"/>
      <c r="F555" s="50" t="str">
        <f>IF(ISNUMBER(G555),G555,IF(AND(ISNUMBER(D555),ISNUMBER(E555),OR(C555="多",C555="空")),-IF(C555="空",-1,1)*D555*E555,""))</f>
        <v/>
      </c>
      <c r="G555" s="51" t="n"/>
      <c r="H555" s="30" t="n"/>
    </row>
    <row r="556">
      <c r="A556" s="48" t="n"/>
      <c r="B556" s="24" t="n"/>
      <c r="C556" s="40" t="str">
        <f>IF(B556="","",IFERROR(T(INDEX('交易记录'!$F$5:$F$304,MATCH(B556,'交易记录'!$A$5:$A$304,0))),"编号没找到"))</f>
        <v/>
      </c>
      <c r="D556" s="47" t="n"/>
      <c r="E556" s="49" t="n"/>
      <c r="F556" s="50" t="str">
        <f>IF(ISNUMBER(G556),G556,IF(AND(ISNUMBER(D556),ISNUMBER(E556),OR(C556="多",C556="空")),-IF(C556="空",-1,1)*D556*E556,""))</f>
        <v/>
      </c>
      <c r="G556" s="51" t="n"/>
      <c r="H556" s="30" t="n"/>
    </row>
    <row r="557">
      <c r="A557" s="48" t="n"/>
      <c r="B557" s="24" t="n"/>
      <c r="C557" s="40" t="str">
        <f>IF(B557="","",IFERROR(T(INDEX('交易记录'!$F$5:$F$304,MATCH(B557,'交易记录'!$A$5:$A$304,0))),"编号没找到"))</f>
        <v/>
      </c>
      <c r="D557" s="47" t="n"/>
      <c r="E557" s="49" t="n"/>
      <c r="F557" s="50" t="str">
        <f>IF(ISNUMBER(G557),G557,IF(AND(ISNUMBER(D557),ISNUMBER(E557),OR(C557="多",C557="空")),-IF(C557="空",-1,1)*D557*E557,""))</f>
        <v/>
      </c>
      <c r="G557" s="51" t="n"/>
      <c r="H557" s="30" t="n"/>
    </row>
    <row r="558">
      <c r="A558" s="48" t="n"/>
      <c r="B558" s="24" t="n"/>
      <c r="C558" s="40" t="str">
        <f>IF(B558="","",IFERROR(T(INDEX('交易记录'!$F$5:$F$304,MATCH(B558,'交易记录'!$A$5:$A$304,0))),"编号没找到"))</f>
        <v/>
      </c>
      <c r="D558" s="47" t="n"/>
      <c r="E558" s="49" t="n"/>
      <c r="F558" s="50" t="str">
        <f>IF(ISNUMBER(G558),G558,IF(AND(ISNUMBER(D558),ISNUMBER(E558),OR(C558="多",C558="空")),-IF(C558="空",-1,1)*D558*E558,""))</f>
        <v/>
      </c>
      <c r="G558" s="51" t="n"/>
      <c r="H558" s="30" t="n"/>
    </row>
    <row r="559">
      <c r="A559" s="48" t="n"/>
      <c r="B559" s="24" t="n"/>
      <c r="C559" s="40" t="str">
        <f>IF(B559="","",IFERROR(T(INDEX('交易记录'!$F$5:$F$304,MATCH(B559,'交易记录'!$A$5:$A$304,0))),"编号没找到"))</f>
        <v/>
      </c>
      <c r="D559" s="47" t="n"/>
      <c r="E559" s="49" t="n"/>
      <c r="F559" s="50" t="str">
        <f>IF(ISNUMBER(G559),G559,IF(AND(ISNUMBER(D559),ISNUMBER(E559),OR(C559="多",C559="空")),-IF(C559="空",-1,1)*D559*E559,""))</f>
        <v/>
      </c>
      <c r="G559" s="51" t="n"/>
      <c r="H559" s="30" t="n"/>
    </row>
    <row r="560">
      <c r="A560" s="48" t="n"/>
      <c r="B560" s="24" t="n"/>
      <c r="C560" s="40" t="str">
        <f>IF(B560="","",IFERROR(T(INDEX('交易记录'!$F$5:$F$304,MATCH(B560,'交易记录'!$A$5:$A$304,0))),"编号没找到"))</f>
        <v/>
      </c>
      <c r="D560" s="47" t="n"/>
      <c r="E560" s="49" t="n"/>
      <c r="F560" s="50" t="str">
        <f>IF(ISNUMBER(G560),G560,IF(AND(ISNUMBER(D560),ISNUMBER(E560),OR(C560="多",C560="空")),-IF(C560="空",-1,1)*D560*E560,""))</f>
        <v/>
      </c>
      <c r="G560" s="51" t="n"/>
      <c r="H560" s="30" t="n"/>
    </row>
    <row r="561">
      <c r="A561" s="48" t="n"/>
      <c r="B561" s="24" t="n"/>
      <c r="C561" s="40" t="str">
        <f>IF(B561="","",IFERROR(T(INDEX('交易记录'!$F$5:$F$304,MATCH(B561,'交易记录'!$A$5:$A$304,0))),"编号没找到"))</f>
        <v/>
      </c>
      <c r="D561" s="47" t="n"/>
      <c r="E561" s="49" t="n"/>
      <c r="F561" s="50" t="str">
        <f>IF(ISNUMBER(G561),G561,IF(AND(ISNUMBER(D561),ISNUMBER(E561),OR(C561="多",C561="空")),-IF(C561="空",-1,1)*D561*E561,""))</f>
        <v/>
      </c>
      <c r="G561" s="51" t="n"/>
      <c r="H561" s="30" t="n"/>
    </row>
    <row r="562">
      <c r="A562" s="48" t="n"/>
      <c r="B562" s="24" t="n"/>
      <c r="C562" s="40" t="str">
        <f>IF(B562="","",IFERROR(T(INDEX('交易记录'!$F$5:$F$304,MATCH(B562,'交易记录'!$A$5:$A$304,0))),"编号没找到"))</f>
        <v/>
      </c>
      <c r="D562" s="47" t="n"/>
      <c r="E562" s="49" t="n"/>
      <c r="F562" s="50" t="str">
        <f>IF(ISNUMBER(G562),G562,IF(AND(ISNUMBER(D562),ISNUMBER(E562),OR(C562="多",C562="空")),-IF(C562="空",-1,1)*D562*E562,""))</f>
        <v/>
      </c>
      <c r="G562" s="51" t="n"/>
      <c r="H562" s="30" t="n"/>
    </row>
    <row r="563">
      <c r="A563" s="48" t="n"/>
      <c r="B563" s="24" t="n"/>
      <c r="C563" s="40" t="str">
        <f>IF(B563="","",IFERROR(T(INDEX('交易记录'!$F$5:$F$304,MATCH(B563,'交易记录'!$A$5:$A$304,0))),"编号没找到"))</f>
        <v/>
      </c>
      <c r="D563" s="47" t="n"/>
      <c r="E563" s="49" t="n"/>
      <c r="F563" s="50" t="str">
        <f>IF(ISNUMBER(G563),G563,IF(AND(ISNUMBER(D563),ISNUMBER(E563),OR(C563="多",C563="空")),-IF(C563="空",-1,1)*D563*E563,""))</f>
        <v/>
      </c>
      <c r="G563" s="51" t="n"/>
      <c r="H563" s="30" t="n"/>
    </row>
    <row r="564">
      <c r="A564" s="48" t="n"/>
      <c r="B564" s="24" t="n"/>
      <c r="C564" s="40" t="str">
        <f>IF(B564="","",IFERROR(T(INDEX('交易记录'!$F$5:$F$304,MATCH(B564,'交易记录'!$A$5:$A$304,0))),"编号没找到"))</f>
        <v/>
      </c>
      <c r="D564" s="47" t="n"/>
      <c r="E564" s="49" t="n"/>
      <c r="F564" s="50" t="str">
        <f>IF(ISNUMBER(G564),G564,IF(AND(ISNUMBER(D564),ISNUMBER(E564),OR(C564="多",C564="空")),-IF(C564="空",-1,1)*D564*E564,""))</f>
        <v/>
      </c>
      <c r="G564" s="51" t="n"/>
      <c r="H564" s="30" t="n"/>
    </row>
    <row r="565">
      <c r="A565" s="48" t="n"/>
      <c r="B565" s="24" t="n"/>
      <c r="C565" s="40" t="str">
        <f>IF(B565="","",IFERROR(T(INDEX('交易记录'!$F$5:$F$304,MATCH(B565,'交易记录'!$A$5:$A$304,0))),"编号没找到"))</f>
        <v/>
      </c>
      <c r="D565" s="47" t="n"/>
      <c r="E565" s="49" t="n"/>
      <c r="F565" s="50" t="str">
        <f>IF(ISNUMBER(G565),G565,IF(AND(ISNUMBER(D565),ISNUMBER(E565),OR(C565="多",C565="空")),-IF(C565="空",-1,1)*D565*E565,""))</f>
        <v/>
      </c>
      <c r="G565" s="51" t="n"/>
      <c r="H565" s="30" t="n"/>
    </row>
    <row r="566">
      <c r="A566" s="48" t="n"/>
      <c r="B566" s="24" t="n"/>
      <c r="C566" s="40" t="str">
        <f>IF(B566="","",IFERROR(T(INDEX('交易记录'!$F$5:$F$304,MATCH(B566,'交易记录'!$A$5:$A$304,0))),"编号没找到"))</f>
        <v/>
      </c>
      <c r="D566" s="47" t="n"/>
      <c r="E566" s="49" t="n"/>
      <c r="F566" s="50" t="str">
        <f>IF(ISNUMBER(G566),G566,IF(AND(ISNUMBER(D566),ISNUMBER(E566),OR(C566="多",C566="空")),-IF(C566="空",-1,1)*D566*E566,""))</f>
        <v/>
      </c>
      <c r="G566" s="51" t="n"/>
      <c r="H566" s="30" t="n"/>
    </row>
    <row r="567">
      <c r="A567" s="48" t="n"/>
      <c r="B567" s="24" t="n"/>
      <c r="C567" s="40" t="str">
        <f>IF(B567="","",IFERROR(T(INDEX('交易记录'!$F$5:$F$304,MATCH(B567,'交易记录'!$A$5:$A$304,0))),"编号没找到"))</f>
        <v/>
      </c>
      <c r="D567" s="47" t="n"/>
      <c r="E567" s="49" t="n"/>
      <c r="F567" s="50" t="str">
        <f>IF(ISNUMBER(G567),G567,IF(AND(ISNUMBER(D567),ISNUMBER(E567),OR(C567="多",C567="空")),-IF(C567="空",-1,1)*D567*E567,""))</f>
        <v/>
      </c>
      <c r="G567" s="51" t="n"/>
      <c r="H567" s="30" t="n"/>
    </row>
    <row r="568">
      <c r="A568" s="48" t="n"/>
      <c r="B568" s="24" t="n"/>
      <c r="C568" s="40" t="str">
        <f>IF(B568="","",IFERROR(T(INDEX('交易记录'!$F$5:$F$304,MATCH(B568,'交易记录'!$A$5:$A$304,0))),"编号没找到"))</f>
        <v/>
      </c>
      <c r="D568" s="47" t="n"/>
      <c r="E568" s="49" t="n"/>
      <c r="F568" s="50" t="str">
        <f>IF(ISNUMBER(G568),G568,IF(AND(ISNUMBER(D568),ISNUMBER(E568),OR(C568="多",C568="空")),-IF(C568="空",-1,1)*D568*E568,""))</f>
        <v/>
      </c>
      <c r="G568" s="51" t="n"/>
      <c r="H568" s="30" t="n"/>
    </row>
    <row r="569">
      <c r="A569" s="48" t="n"/>
      <c r="B569" s="24" t="n"/>
      <c r="C569" s="40" t="str">
        <f>IF(B569="","",IFERROR(T(INDEX('交易记录'!$F$5:$F$304,MATCH(B569,'交易记录'!$A$5:$A$304,0))),"编号没找到"))</f>
        <v/>
      </c>
      <c r="D569" s="47" t="n"/>
      <c r="E569" s="49" t="n"/>
      <c r="F569" s="50" t="str">
        <f>IF(ISNUMBER(G569),G569,IF(AND(ISNUMBER(D569),ISNUMBER(E569),OR(C569="多",C569="空")),-IF(C569="空",-1,1)*D569*E569,""))</f>
        <v/>
      </c>
      <c r="G569" s="51" t="n"/>
      <c r="H569" s="30" t="n"/>
    </row>
    <row r="570">
      <c r="A570" s="48" t="n"/>
      <c r="B570" s="24" t="n"/>
      <c r="C570" s="40" t="str">
        <f>IF(B570="","",IFERROR(T(INDEX('交易记录'!$F$5:$F$304,MATCH(B570,'交易记录'!$A$5:$A$304,0))),"编号没找到"))</f>
        <v/>
      </c>
      <c r="D570" s="47" t="n"/>
      <c r="E570" s="49" t="n"/>
      <c r="F570" s="50" t="str">
        <f>IF(ISNUMBER(G570),G570,IF(AND(ISNUMBER(D570),ISNUMBER(E570),OR(C570="多",C570="空")),-IF(C570="空",-1,1)*D570*E570,""))</f>
        <v/>
      </c>
      <c r="G570" s="51" t="n"/>
      <c r="H570" s="30" t="n"/>
    </row>
    <row r="571">
      <c r="A571" s="48" t="n"/>
      <c r="B571" s="24" t="n"/>
      <c r="C571" s="40" t="str">
        <f>IF(B571="","",IFERROR(T(INDEX('交易记录'!$F$5:$F$304,MATCH(B571,'交易记录'!$A$5:$A$304,0))),"编号没找到"))</f>
        <v/>
      </c>
      <c r="D571" s="47" t="n"/>
      <c r="E571" s="49" t="n"/>
      <c r="F571" s="50" t="str">
        <f>IF(ISNUMBER(G571),G571,IF(AND(ISNUMBER(D571),ISNUMBER(E571),OR(C571="多",C571="空")),-IF(C571="空",-1,1)*D571*E571,""))</f>
        <v/>
      </c>
      <c r="G571" s="51" t="n"/>
      <c r="H571" s="30" t="n"/>
    </row>
    <row r="572">
      <c r="A572" s="48" t="n"/>
      <c r="B572" s="24" t="n"/>
      <c r="C572" s="40" t="str">
        <f>IF(B572="","",IFERROR(T(INDEX('交易记录'!$F$5:$F$304,MATCH(B572,'交易记录'!$A$5:$A$304,0))),"编号没找到"))</f>
        <v/>
      </c>
      <c r="D572" s="47" t="n"/>
      <c r="E572" s="49" t="n"/>
      <c r="F572" s="50" t="str">
        <f>IF(ISNUMBER(G572),G572,IF(AND(ISNUMBER(D572),ISNUMBER(E572),OR(C572="多",C572="空")),-IF(C572="空",-1,1)*D572*E572,""))</f>
        <v/>
      </c>
      <c r="G572" s="51" t="n"/>
      <c r="H572" s="30" t="n"/>
    </row>
    <row r="573">
      <c r="A573" s="48" t="n"/>
      <c r="B573" s="24" t="n"/>
      <c r="C573" s="40" t="str">
        <f>IF(B573="","",IFERROR(T(INDEX('交易记录'!$F$5:$F$304,MATCH(B573,'交易记录'!$A$5:$A$304,0))),"编号没找到"))</f>
        <v/>
      </c>
      <c r="D573" s="47" t="n"/>
      <c r="E573" s="49" t="n"/>
      <c r="F573" s="50" t="str">
        <f>IF(ISNUMBER(G573),G573,IF(AND(ISNUMBER(D573),ISNUMBER(E573),OR(C573="多",C573="空")),-IF(C573="空",-1,1)*D573*E573,""))</f>
        <v/>
      </c>
      <c r="G573" s="51" t="n"/>
      <c r="H573" s="30" t="n"/>
    </row>
    <row r="574">
      <c r="A574" s="48" t="n"/>
      <c r="B574" s="24" t="n"/>
      <c r="C574" s="40" t="str">
        <f>IF(B574="","",IFERROR(T(INDEX('交易记录'!$F$5:$F$304,MATCH(B574,'交易记录'!$A$5:$A$304,0))),"编号没找到"))</f>
        <v/>
      </c>
      <c r="D574" s="47" t="n"/>
      <c r="E574" s="49" t="n"/>
      <c r="F574" s="50" t="str">
        <f>IF(ISNUMBER(G574),G574,IF(AND(ISNUMBER(D574),ISNUMBER(E574),OR(C574="多",C574="空")),-IF(C574="空",-1,1)*D574*E574,""))</f>
        <v/>
      </c>
      <c r="G574" s="51" t="n"/>
      <c r="H574" s="30" t="n"/>
    </row>
    <row r="575">
      <c r="A575" s="48" t="n"/>
      <c r="B575" s="24" t="n"/>
      <c r="C575" s="40" t="str">
        <f>IF(B575="","",IFERROR(T(INDEX('交易记录'!$F$5:$F$304,MATCH(B575,'交易记录'!$A$5:$A$304,0))),"编号没找到"))</f>
        <v/>
      </c>
      <c r="D575" s="47" t="n"/>
      <c r="E575" s="49" t="n"/>
      <c r="F575" s="50" t="str">
        <f>IF(ISNUMBER(G575),G575,IF(AND(ISNUMBER(D575),ISNUMBER(E575),OR(C575="多",C575="空")),-IF(C575="空",-1,1)*D575*E575,""))</f>
        <v/>
      </c>
      <c r="G575" s="51" t="n"/>
      <c r="H575" s="30" t="n"/>
    </row>
    <row r="576">
      <c r="A576" s="48" t="n"/>
      <c r="B576" s="24" t="n"/>
      <c r="C576" s="40" t="str">
        <f>IF(B576="","",IFERROR(T(INDEX('交易记录'!$F$5:$F$304,MATCH(B576,'交易记录'!$A$5:$A$304,0))),"编号没找到"))</f>
        <v/>
      </c>
      <c r="D576" s="47" t="n"/>
      <c r="E576" s="49" t="n"/>
      <c r="F576" s="50" t="str">
        <f>IF(ISNUMBER(G576),G576,IF(AND(ISNUMBER(D576),ISNUMBER(E576),OR(C576="多",C576="空")),-IF(C576="空",-1,1)*D576*E576,""))</f>
        <v/>
      </c>
      <c r="G576" s="51" t="n"/>
      <c r="H576" s="30" t="n"/>
    </row>
    <row r="577">
      <c r="A577" s="48" t="n"/>
      <c r="B577" s="24" t="n"/>
      <c r="C577" s="40" t="str">
        <f>IF(B577="","",IFERROR(T(INDEX('交易记录'!$F$5:$F$304,MATCH(B577,'交易记录'!$A$5:$A$304,0))),"编号没找到"))</f>
        <v/>
      </c>
      <c r="D577" s="47" t="n"/>
      <c r="E577" s="49" t="n"/>
      <c r="F577" s="50" t="str">
        <f>IF(ISNUMBER(G577),G577,IF(AND(ISNUMBER(D577),ISNUMBER(E577),OR(C577="多",C577="空")),-IF(C577="空",-1,1)*D577*E577,""))</f>
        <v/>
      </c>
      <c r="G577" s="51" t="n"/>
      <c r="H577" s="30" t="n"/>
    </row>
    <row r="578">
      <c r="A578" s="48" t="n"/>
      <c r="B578" s="24" t="n"/>
      <c r="C578" s="40" t="str">
        <f>IF(B578="","",IFERROR(T(INDEX('交易记录'!$F$5:$F$304,MATCH(B578,'交易记录'!$A$5:$A$304,0))),"编号没找到"))</f>
        <v/>
      </c>
      <c r="D578" s="47" t="n"/>
      <c r="E578" s="49" t="n"/>
      <c r="F578" s="50" t="str">
        <f>IF(ISNUMBER(G578),G578,IF(AND(ISNUMBER(D578),ISNUMBER(E578),OR(C578="多",C578="空")),-IF(C578="空",-1,1)*D578*E578,""))</f>
        <v/>
      </c>
      <c r="G578" s="51" t="n"/>
      <c r="H578" s="30" t="n"/>
    </row>
    <row r="579">
      <c r="A579" s="48" t="n"/>
      <c r="B579" s="24" t="n"/>
      <c r="C579" s="40" t="str">
        <f>IF(B579="","",IFERROR(T(INDEX('交易记录'!$F$5:$F$304,MATCH(B579,'交易记录'!$A$5:$A$304,0))),"编号没找到"))</f>
        <v/>
      </c>
      <c r="D579" s="47" t="n"/>
      <c r="E579" s="49" t="n"/>
      <c r="F579" s="50" t="str">
        <f>IF(ISNUMBER(G579),G579,IF(AND(ISNUMBER(D579),ISNUMBER(E579),OR(C579="多",C579="空")),-IF(C579="空",-1,1)*D579*E579,""))</f>
        <v/>
      </c>
      <c r="G579" s="51" t="n"/>
      <c r="H579" s="30" t="n"/>
    </row>
    <row r="580">
      <c r="A580" s="48" t="n"/>
      <c r="B580" s="24" t="n"/>
      <c r="C580" s="40" t="str">
        <f>IF(B580="","",IFERROR(T(INDEX('交易记录'!$F$5:$F$304,MATCH(B580,'交易记录'!$A$5:$A$304,0))),"编号没找到"))</f>
        <v/>
      </c>
      <c r="D580" s="47" t="n"/>
      <c r="E580" s="49" t="n"/>
      <c r="F580" s="50" t="str">
        <f>IF(ISNUMBER(G580),G580,IF(AND(ISNUMBER(D580),ISNUMBER(E580),OR(C580="多",C580="空")),-IF(C580="空",-1,1)*D580*E580,""))</f>
        <v/>
      </c>
      <c r="G580" s="51" t="n"/>
      <c r="H580" s="30" t="n"/>
    </row>
    <row r="581">
      <c r="A581" s="48" t="n"/>
      <c r="B581" s="24" t="n"/>
      <c r="C581" s="40" t="str">
        <f>IF(B581="","",IFERROR(T(INDEX('交易记录'!$F$5:$F$304,MATCH(B581,'交易记录'!$A$5:$A$304,0))),"编号没找到"))</f>
        <v/>
      </c>
      <c r="D581" s="47" t="n"/>
      <c r="E581" s="49" t="n"/>
      <c r="F581" s="50" t="str">
        <f>IF(ISNUMBER(G581),G581,IF(AND(ISNUMBER(D581),ISNUMBER(E581),OR(C581="多",C581="空")),-IF(C581="空",-1,1)*D581*E581,""))</f>
        <v/>
      </c>
      <c r="G581" s="51" t="n"/>
      <c r="H581" s="30" t="n"/>
    </row>
    <row r="582">
      <c r="A582" s="48" t="n"/>
      <c r="B582" s="24" t="n"/>
      <c r="C582" s="40" t="str">
        <f>IF(B582="","",IFERROR(T(INDEX('交易记录'!$F$5:$F$304,MATCH(B582,'交易记录'!$A$5:$A$304,0))),"编号没找到"))</f>
        <v/>
      </c>
      <c r="D582" s="47" t="n"/>
      <c r="E582" s="49" t="n"/>
      <c r="F582" s="50" t="str">
        <f>IF(ISNUMBER(G582),G582,IF(AND(ISNUMBER(D582),ISNUMBER(E582),OR(C582="多",C582="空")),-IF(C582="空",-1,1)*D582*E582,""))</f>
        <v/>
      </c>
      <c r="G582" s="51" t="n"/>
      <c r="H582" s="30" t="n"/>
    </row>
    <row r="583">
      <c r="A583" s="48" t="n"/>
      <c r="B583" s="24" t="n"/>
      <c r="C583" s="40" t="str">
        <f>IF(B583="","",IFERROR(T(INDEX('交易记录'!$F$5:$F$304,MATCH(B583,'交易记录'!$A$5:$A$304,0))),"编号没找到"))</f>
        <v/>
      </c>
      <c r="D583" s="47" t="n"/>
      <c r="E583" s="49" t="n"/>
      <c r="F583" s="50" t="str">
        <f>IF(ISNUMBER(G583),G583,IF(AND(ISNUMBER(D583),ISNUMBER(E583),OR(C583="多",C583="空")),-IF(C583="空",-1,1)*D583*E583,""))</f>
        <v/>
      </c>
      <c r="G583" s="51" t="n"/>
      <c r="H583" s="30" t="n"/>
    </row>
    <row r="584">
      <c r="A584" s="48" t="n"/>
      <c r="B584" s="24" t="n"/>
      <c r="C584" s="40" t="str">
        <f>IF(B584="","",IFERROR(T(INDEX('交易记录'!$F$5:$F$304,MATCH(B584,'交易记录'!$A$5:$A$304,0))),"编号没找到"))</f>
        <v/>
      </c>
      <c r="D584" s="47" t="n"/>
      <c r="E584" s="49" t="n"/>
      <c r="F584" s="50" t="str">
        <f>IF(ISNUMBER(G584),G584,IF(AND(ISNUMBER(D584),ISNUMBER(E584),OR(C584="多",C584="空")),-IF(C584="空",-1,1)*D584*E584,""))</f>
        <v/>
      </c>
      <c r="G584" s="51" t="n"/>
      <c r="H584" s="30" t="n"/>
    </row>
    <row r="585">
      <c r="A585" s="48" t="n"/>
      <c r="B585" s="24" t="n"/>
      <c r="C585" s="40" t="str">
        <f>IF(B585="","",IFERROR(T(INDEX('交易记录'!$F$5:$F$304,MATCH(B585,'交易记录'!$A$5:$A$304,0))),"编号没找到"))</f>
        <v/>
      </c>
      <c r="D585" s="47" t="n"/>
      <c r="E585" s="49" t="n"/>
      <c r="F585" s="50" t="str">
        <f>IF(ISNUMBER(G585),G585,IF(AND(ISNUMBER(D585),ISNUMBER(E585),OR(C585="多",C585="空")),-IF(C585="空",-1,1)*D585*E585,""))</f>
        <v/>
      </c>
      <c r="G585" s="51" t="n"/>
      <c r="H585" s="30" t="n"/>
    </row>
    <row r="586">
      <c r="A586" s="48" t="n"/>
      <c r="B586" s="24" t="n"/>
      <c r="C586" s="40" t="str">
        <f>IF(B586="","",IFERROR(T(INDEX('交易记录'!$F$5:$F$304,MATCH(B586,'交易记录'!$A$5:$A$304,0))),"编号没找到"))</f>
        <v/>
      </c>
      <c r="D586" s="47" t="n"/>
      <c r="E586" s="49" t="n"/>
      <c r="F586" s="50" t="str">
        <f>IF(ISNUMBER(G586),G586,IF(AND(ISNUMBER(D586),ISNUMBER(E586),OR(C586="多",C586="空")),-IF(C586="空",-1,1)*D586*E586,""))</f>
        <v/>
      </c>
      <c r="G586" s="51" t="n"/>
      <c r="H586" s="30" t="n"/>
    </row>
    <row r="587">
      <c r="A587" s="48" t="n"/>
      <c r="B587" s="24" t="n"/>
      <c r="C587" s="40" t="str">
        <f>IF(B587="","",IFERROR(T(INDEX('交易记录'!$F$5:$F$304,MATCH(B587,'交易记录'!$A$5:$A$304,0))),"编号没找到"))</f>
        <v/>
      </c>
      <c r="D587" s="47" t="n"/>
      <c r="E587" s="49" t="n"/>
      <c r="F587" s="50" t="str">
        <f>IF(ISNUMBER(G587),G587,IF(AND(ISNUMBER(D587),ISNUMBER(E587),OR(C587="多",C587="空")),-IF(C587="空",-1,1)*D587*E587,""))</f>
        <v/>
      </c>
      <c r="G587" s="51" t="n"/>
      <c r="H587" s="30" t="n"/>
    </row>
    <row r="588">
      <c r="A588" s="48" t="n"/>
      <c r="B588" s="24" t="n"/>
      <c r="C588" s="40" t="str">
        <f>IF(B588="","",IFERROR(T(INDEX('交易记录'!$F$5:$F$304,MATCH(B588,'交易记录'!$A$5:$A$304,0))),"编号没找到"))</f>
        <v/>
      </c>
      <c r="D588" s="47" t="n"/>
      <c r="E588" s="49" t="n"/>
      <c r="F588" s="50" t="str">
        <f>IF(ISNUMBER(G588),G588,IF(AND(ISNUMBER(D588),ISNUMBER(E588),OR(C588="多",C588="空")),-IF(C588="空",-1,1)*D588*E588,""))</f>
        <v/>
      </c>
      <c r="G588" s="51" t="n"/>
      <c r="H588" s="30" t="n"/>
    </row>
    <row r="589">
      <c r="A589" s="48" t="n"/>
      <c r="B589" s="24" t="n"/>
      <c r="C589" s="40" t="str">
        <f>IF(B589="","",IFERROR(T(INDEX('交易记录'!$F$5:$F$304,MATCH(B589,'交易记录'!$A$5:$A$304,0))),"编号没找到"))</f>
        <v/>
      </c>
      <c r="D589" s="47" t="n"/>
      <c r="E589" s="49" t="n"/>
      <c r="F589" s="50" t="str">
        <f>IF(ISNUMBER(G589),G589,IF(AND(ISNUMBER(D589),ISNUMBER(E589),OR(C589="多",C589="空")),-IF(C589="空",-1,1)*D589*E589,""))</f>
        <v/>
      </c>
      <c r="G589" s="51" t="n"/>
      <c r="H589" s="30" t="n"/>
    </row>
    <row r="590">
      <c r="A590" s="48" t="n"/>
      <c r="B590" s="24" t="n"/>
      <c r="C590" s="40" t="str">
        <f>IF(B590="","",IFERROR(T(INDEX('交易记录'!$F$5:$F$304,MATCH(B590,'交易记录'!$A$5:$A$304,0))),"编号没找到"))</f>
        <v/>
      </c>
      <c r="D590" s="47" t="n"/>
      <c r="E590" s="49" t="n"/>
      <c r="F590" s="50" t="str">
        <f>IF(ISNUMBER(G590),G590,IF(AND(ISNUMBER(D590),ISNUMBER(E590),OR(C590="多",C590="空")),-IF(C590="空",-1,1)*D590*E590,""))</f>
        <v/>
      </c>
      <c r="G590" s="51" t="n"/>
      <c r="H590" s="30" t="n"/>
    </row>
    <row r="591">
      <c r="A591" s="48" t="n"/>
      <c r="B591" s="24" t="n"/>
      <c r="C591" s="40" t="str">
        <f>IF(B591="","",IFERROR(T(INDEX('交易记录'!$F$5:$F$304,MATCH(B591,'交易记录'!$A$5:$A$304,0))),"编号没找到"))</f>
        <v/>
      </c>
      <c r="D591" s="47" t="n"/>
      <c r="E591" s="49" t="n"/>
      <c r="F591" s="50" t="str">
        <f>IF(ISNUMBER(G591),G591,IF(AND(ISNUMBER(D591),ISNUMBER(E591),OR(C591="多",C591="空")),-IF(C591="空",-1,1)*D591*E591,""))</f>
        <v/>
      </c>
      <c r="G591" s="51" t="n"/>
      <c r="H591" s="30" t="n"/>
    </row>
    <row r="592">
      <c r="A592" s="48" t="n"/>
      <c r="B592" s="24" t="n"/>
      <c r="C592" s="40" t="str">
        <f>IF(B592="","",IFERROR(T(INDEX('交易记录'!$F$5:$F$304,MATCH(B592,'交易记录'!$A$5:$A$304,0))),"编号没找到"))</f>
        <v/>
      </c>
      <c r="D592" s="47" t="n"/>
      <c r="E592" s="49" t="n"/>
      <c r="F592" s="50" t="str">
        <f>IF(ISNUMBER(G592),G592,IF(AND(ISNUMBER(D592),ISNUMBER(E592),OR(C592="多",C592="空")),-IF(C592="空",-1,1)*D592*E592,""))</f>
        <v/>
      </c>
      <c r="G592" s="51" t="n"/>
      <c r="H592" s="30" t="n"/>
    </row>
    <row r="593">
      <c r="A593" s="48" t="n"/>
      <c r="B593" s="24" t="n"/>
      <c r="C593" s="40" t="str">
        <f>IF(B593="","",IFERROR(T(INDEX('交易记录'!$F$5:$F$304,MATCH(B593,'交易记录'!$A$5:$A$304,0))),"编号没找到"))</f>
        <v/>
      </c>
      <c r="D593" s="47" t="n"/>
      <c r="E593" s="49" t="n"/>
      <c r="F593" s="50" t="str">
        <f>IF(ISNUMBER(G593),G593,IF(AND(ISNUMBER(D593),ISNUMBER(E593),OR(C593="多",C593="空")),-IF(C593="空",-1,1)*D593*E593,""))</f>
        <v/>
      </c>
      <c r="G593" s="51" t="n"/>
      <c r="H593" s="30" t="n"/>
    </row>
    <row r="594">
      <c r="A594" s="48" t="n"/>
      <c r="B594" s="24" t="n"/>
      <c r="C594" s="40" t="str">
        <f>IF(B594="","",IFERROR(T(INDEX('交易记录'!$F$5:$F$304,MATCH(B594,'交易记录'!$A$5:$A$304,0))),"编号没找到"))</f>
        <v/>
      </c>
      <c r="D594" s="47" t="n"/>
      <c r="E594" s="49" t="n"/>
      <c r="F594" s="50" t="str">
        <f>IF(ISNUMBER(G594),G594,IF(AND(ISNUMBER(D594),ISNUMBER(E594),OR(C594="多",C594="空")),-IF(C594="空",-1,1)*D594*E594,""))</f>
        <v/>
      </c>
      <c r="G594" s="51" t="n"/>
      <c r="H594" s="30" t="n"/>
    </row>
    <row r="595">
      <c r="A595" s="48" t="n"/>
      <c r="B595" s="24" t="n"/>
      <c r="C595" s="40" t="str">
        <f>IF(B595="","",IFERROR(T(INDEX('交易记录'!$F$5:$F$304,MATCH(B595,'交易记录'!$A$5:$A$304,0))),"编号没找到"))</f>
        <v/>
      </c>
      <c r="D595" s="47" t="n"/>
      <c r="E595" s="49" t="n"/>
      <c r="F595" s="50" t="str">
        <f>IF(ISNUMBER(G595),G595,IF(AND(ISNUMBER(D595),ISNUMBER(E595),OR(C595="多",C595="空")),-IF(C595="空",-1,1)*D595*E595,""))</f>
        <v/>
      </c>
      <c r="G595" s="51" t="n"/>
      <c r="H595" s="30" t="n"/>
    </row>
    <row r="596">
      <c r="A596" s="48" t="n"/>
      <c r="B596" s="24" t="n"/>
      <c r="C596" s="40" t="str">
        <f>IF(B596="","",IFERROR(T(INDEX('交易记录'!$F$5:$F$304,MATCH(B596,'交易记录'!$A$5:$A$304,0))),"编号没找到"))</f>
        <v/>
      </c>
      <c r="D596" s="47" t="n"/>
      <c r="E596" s="49" t="n"/>
      <c r="F596" s="50" t="str">
        <f>IF(ISNUMBER(G596),G596,IF(AND(ISNUMBER(D596),ISNUMBER(E596),OR(C596="多",C596="空")),-IF(C596="空",-1,1)*D596*E596,""))</f>
        <v/>
      </c>
      <c r="G596" s="51" t="n"/>
      <c r="H596" s="30" t="n"/>
    </row>
    <row r="597">
      <c r="A597" s="48" t="n"/>
      <c r="B597" s="24" t="n"/>
      <c r="C597" s="40" t="str">
        <f>IF(B597="","",IFERROR(T(INDEX('交易记录'!$F$5:$F$304,MATCH(B597,'交易记录'!$A$5:$A$304,0))),"编号没找到"))</f>
        <v/>
      </c>
      <c r="D597" s="47" t="n"/>
      <c r="E597" s="49" t="n"/>
      <c r="F597" s="50" t="str">
        <f>IF(ISNUMBER(G597),G597,IF(AND(ISNUMBER(D597),ISNUMBER(E597),OR(C597="多",C597="空")),-IF(C597="空",-1,1)*D597*E597,""))</f>
        <v/>
      </c>
      <c r="G597" s="51" t="n"/>
      <c r="H597" s="30" t="n"/>
    </row>
    <row r="598">
      <c r="A598" s="48" t="n"/>
      <c r="B598" s="24" t="n"/>
      <c r="C598" s="40" t="str">
        <f>IF(B598="","",IFERROR(T(INDEX('交易记录'!$F$5:$F$304,MATCH(B598,'交易记录'!$A$5:$A$304,0))),"编号没找到"))</f>
        <v/>
      </c>
      <c r="D598" s="47" t="n"/>
      <c r="E598" s="49" t="n"/>
      <c r="F598" s="50" t="str">
        <f>IF(ISNUMBER(G598),G598,IF(AND(ISNUMBER(D598),ISNUMBER(E598),OR(C598="多",C598="空")),-IF(C598="空",-1,1)*D598*E598,""))</f>
        <v/>
      </c>
      <c r="G598" s="51" t="n"/>
      <c r="H598" s="30" t="n"/>
    </row>
    <row r="599">
      <c r="A599" s="48" t="n"/>
      <c r="B599" s="24" t="n"/>
      <c r="C599" s="40" t="str">
        <f>IF(B599="","",IFERROR(T(INDEX('交易记录'!$F$5:$F$304,MATCH(B599,'交易记录'!$A$5:$A$304,0))),"编号没找到"))</f>
        <v/>
      </c>
      <c r="D599" s="47" t="n"/>
      <c r="E599" s="49" t="n"/>
      <c r="F599" s="50" t="str">
        <f>IF(ISNUMBER(G599),G599,IF(AND(ISNUMBER(D599),ISNUMBER(E599),OR(C599="多",C599="空")),-IF(C599="空",-1,1)*D599*E599,""))</f>
        <v/>
      </c>
      <c r="G599" s="51" t="n"/>
      <c r="H599" s="30" t="n"/>
    </row>
    <row r="600">
      <c r="A600" s="48" t="n"/>
      <c r="B600" s="24" t="n"/>
      <c r="C600" s="40" t="str">
        <f>IF(B600="","",IFERROR(T(INDEX('交易记录'!$F$5:$F$304,MATCH(B600,'交易记录'!$A$5:$A$304,0))),"编号没找到"))</f>
        <v/>
      </c>
      <c r="D600" s="47" t="n"/>
      <c r="E600" s="49" t="n"/>
      <c r="F600" s="50" t="str">
        <f>IF(ISNUMBER(G600),G600,IF(AND(ISNUMBER(D600),ISNUMBER(E600),OR(C600="多",C600="空")),-IF(C600="空",-1,1)*D600*E600,""))</f>
        <v/>
      </c>
      <c r="G600" s="51" t="n"/>
      <c r="H600" s="30" t="n"/>
    </row>
    <row r="601">
      <c r="A601" s="48" t="n"/>
      <c r="B601" s="24" t="n"/>
      <c r="C601" s="40" t="str">
        <f>IF(B601="","",IFERROR(T(INDEX('交易记录'!$F$5:$F$304,MATCH(B601,'交易记录'!$A$5:$A$304,0))),"编号没找到"))</f>
        <v/>
      </c>
      <c r="D601" s="47" t="n"/>
      <c r="E601" s="49" t="n"/>
      <c r="F601" s="50" t="str">
        <f>IF(ISNUMBER(G601),G601,IF(AND(ISNUMBER(D601),ISNUMBER(E601),OR(C601="多",C601="空")),-IF(C601="空",-1,1)*D601*E601,""))</f>
        <v/>
      </c>
      <c r="G601" s="51" t="n"/>
      <c r="H601" s="30" t="n"/>
    </row>
    <row r="602">
      <c r="A602" s="48" t="n"/>
      <c r="B602" s="24" t="n"/>
      <c r="C602" s="40" t="str">
        <f>IF(B602="","",IFERROR(T(INDEX('交易记录'!$F$5:$F$304,MATCH(B602,'交易记录'!$A$5:$A$304,0))),"编号没找到"))</f>
        <v/>
      </c>
      <c r="D602" s="47" t="n"/>
      <c r="E602" s="49" t="n"/>
      <c r="F602" s="50" t="str">
        <f>IF(ISNUMBER(G602),G602,IF(AND(ISNUMBER(D602),ISNUMBER(E602),OR(C602="多",C602="空")),-IF(C602="空",-1,1)*D602*E602,""))</f>
        <v/>
      </c>
      <c r="G602" s="51" t="n"/>
      <c r="H602" s="30" t="n"/>
    </row>
    <row r="603">
      <c r="A603" s="48" t="n"/>
      <c r="B603" s="24" t="n"/>
      <c r="C603" s="40" t="str">
        <f>IF(B603="","",IFERROR(T(INDEX('交易记录'!$F$5:$F$304,MATCH(B603,'交易记录'!$A$5:$A$304,0))),"编号没找到"))</f>
        <v/>
      </c>
      <c r="D603" s="47" t="n"/>
      <c r="E603" s="49" t="n"/>
      <c r="F603" s="50" t="str">
        <f>IF(ISNUMBER(G603),G603,IF(AND(ISNUMBER(D603),ISNUMBER(E603),OR(C603="多",C603="空")),-IF(C603="空",-1,1)*D603*E603,""))</f>
        <v/>
      </c>
      <c r="G603" s="51" t="n"/>
      <c r="H603" s="30" t="n"/>
    </row>
    <row r="604">
      <c r="A604" s="48" t="n"/>
      <c r="B604" s="24" t="n"/>
      <c r="C604" s="40" t="str">
        <f>IF(B604="","",IFERROR(T(INDEX('交易记录'!$F$5:$F$304,MATCH(B604,'交易记录'!$A$5:$A$304,0))),"编号没找到"))</f>
        <v/>
      </c>
      <c r="D604" s="47" t="n"/>
      <c r="E604" s="49" t="n"/>
      <c r="F604" s="50" t="str">
        <f>IF(ISNUMBER(G604),G604,IF(AND(ISNUMBER(D604),ISNUMBER(E604),OR(C604="多",C604="空")),-IF(C604="空",-1,1)*D604*E604,""))</f>
        <v/>
      </c>
      <c r="G604" s="51" t="n"/>
      <c r="H604" s="30" t="n"/>
    </row>
  </sheetData>
  <mergeCells count="5">
    <mergeCell ref="F3:G3"/>
    <mergeCell ref="A2:H2"/>
    <mergeCell ref="F1:H1"/>
    <mergeCell ref="A1:E1"/>
    <mergeCell ref="A3:E3"/>
  </mergeCells>
  <conditionalFormatting sqref="F5:G6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5:C604">
    <cfRule type="cellIs" priority="3" operator="equal" dxfId="3">
      <formula>"编号没找到"</formula>
    </cfRule>
  </conditionalFormatting>
  <dataValidations count="1">
    <dataValidation sqref="B5:B604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6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K26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每日记录：没交易的日子也写一行</t>
        </is>
      </c>
      <c r="I1" s="14" t="inlineStr">
        <is>
          <t>TradeLearn · XtradingTime 交易内训</t>
        </is>
      </c>
    </row>
    <row r="2" ht="20" customHeight="1">
      <c r="A2" s="2" t="inlineStr">
        <is>
          <t>收盘后或睡前写。空仓是按计划做出来的，也算执行；连续几天「没等到条件」，比连续几天乱下单好。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今天做了什么</t>
        </is>
      </c>
      <c r="D4" s="25" t="inlineStr">
        <is>
          <t>看到几次机会</t>
        </is>
      </c>
      <c r="E4" s="25" t="inlineStr">
        <is>
          <t>下了几笔（自动）</t>
        </is>
      </c>
      <c r="F4" s="25" t="inlineStr">
        <is>
          <t>没做的原因（一句话）</t>
        </is>
      </c>
      <c r="G4" s="25" t="inlineStr">
        <is>
          <t>状态 1～5</t>
        </is>
      </c>
      <c r="H4" s="25" t="inlineStr">
        <is>
          <t>当日平仓净R</t>
        </is>
      </c>
      <c r="I4" s="25" t="inlineStr">
        <is>
          <t>停手线</t>
        </is>
      </c>
      <c r="J4" s="25" t="inlineStr">
        <is>
          <t>明天的条件（写成能检查的话）</t>
        </is>
      </c>
      <c r="K4" s="25" t="inlineStr">
        <is>
          <t>备注</t>
        </is>
      </c>
    </row>
    <row r="5">
      <c r="A5" s="29" t="n"/>
      <c r="B5" s="38" t="str">
        <f>IF(ISNUMBER(A5),"周"&amp;CHOOSE(WEEKDAY(A5,2),"一","二","三","四","五","六","日"),"")</f>
        <v/>
      </c>
      <c r="C5" s="31" t="n"/>
      <c r="D5" s="24" t="n"/>
      <c r="E5" s="52" t="str">
        <f>IF(ISNUMBER(A5),COUNTIFS('交易记录'!$B$5:$B$304,A5,'交易记录'!$X$5:$X$304,"已执行"),"")</f>
        <v/>
      </c>
      <c r="F5" s="30" t="n"/>
      <c r="G5" s="24" t="n"/>
      <c r="H5" s="53" t="str">
        <f>IF(NOT(ISNUMBER(A5)),"",IF(COUNTIFS('交易记录'!$Z$5:$Z$304,A5,'交易记录'!$AF$5:$AF$304,"已平仓")=0,"",SUMIFS('交易记录'!$AK$5:$AK$304,'交易记录'!$Z$5:$Z$304,A5,'交易记录'!$AF$5:$AF$304,"已平仓")))</f>
        <v/>
      </c>
      <c r="I5" s="38" t="str">
        <f>IF(NOT(ISNUMBER(H5)),"",IF(H5&lt;=-'参数'!$C$8,"触及停手线",""))</f>
        <v/>
      </c>
      <c r="J5" s="30" t="n"/>
      <c r="K5" s="30" t="n"/>
    </row>
    <row r="6">
      <c r="A6" s="29" t="n"/>
      <c r="B6" s="38" t="str">
        <f>IF(ISNUMBER(A6),"周"&amp;CHOOSE(WEEKDAY(A6,2),"一","二","三","四","五","六","日"),"")</f>
        <v/>
      </c>
      <c r="C6" s="31" t="n"/>
      <c r="D6" s="24" t="n"/>
      <c r="E6" s="52" t="str">
        <f>IF(ISNUMBER(A6),COUNTIFS('交易记录'!$B$5:$B$304,A6,'交易记录'!$X$5:$X$304,"已执行"),"")</f>
        <v/>
      </c>
      <c r="F6" s="30" t="n"/>
      <c r="G6" s="24" t="n"/>
      <c r="H6" s="53" t="str">
        <f>IF(NOT(ISNUMBER(A6)),"",IF(COUNTIFS('交易记录'!$Z$5:$Z$304,A6,'交易记录'!$AF$5:$AF$304,"已平仓")=0,"",SUMIFS('交易记录'!$AK$5:$AK$304,'交易记录'!$Z$5:$Z$304,A6,'交易记录'!$AF$5:$AF$304,"已平仓")))</f>
        <v/>
      </c>
      <c r="I6" s="38" t="str">
        <f>IF(NOT(ISNUMBER(H6)),"",IF(H6&lt;=-'参数'!$C$8,"触及停手线",""))</f>
        <v/>
      </c>
      <c r="J6" s="30" t="n"/>
      <c r="K6" s="30" t="n"/>
    </row>
    <row r="7">
      <c r="A7" s="29" t="n"/>
      <c r="B7" s="38" t="str">
        <f>IF(ISNUMBER(A7),"周"&amp;CHOOSE(WEEKDAY(A7,2),"一","二","三","四","五","六","日"),"")</f>
        <v/>
      </c>
      <c r="C7" s="31" t="n"/>
      <c r="D7" s="24" t="n"/>
      <c r="E7" s="52" t="str">
        <f>IF(ISNUMBER(A7),COUNTIFS('交易记录'!$B$5:$B$304,A7,'交易记录'!$X$5:$X$304,"已执行"),"")</f>
        <v/>
      </c>
      <c r="F7" s="30" t="n"/>
      <c r="G7" s="24" t="n"/>
      <c r="H7" s="53" t="str">
        <f>IF(NOT(ISNUMBER(A7)),"",IF(COUNTIFS('交易记录'!$Z$5:$Z$304,A7,'交易记录'!$AF$5:$AF$304,"已平仓")=0,"",SUMIFS('交易记录'!$AK$5:$AK$304,'交易记录'!$Z$5:$Z$304,A7,'交易记录'!$AF$5:$AF$304,"已平仓")))</f>
        <v/>
      </c>
      <c r="I7" s="38" t="str">
        <f>IF(NOT(ISNUMBER(H7)),"",IF(H7&lt;=-'参数'!$C$8,"触及停手线",""))</f>
        <v/>
      </c>
      <c r="J7" s="30" t="n"/>
      <c r="K7" s="30" t="n"/>
    </row>
    <row r="8">
      <c r="A8" s="29" t="n"/>
      <c r="B8" s="38" t="str">
        <f>IF(ISNUMBER(A8),"周"&amp;CHOOSE(WEEKDAY(A8,2),"一","二","三","四","五","六","日"),"")</f>
        <v/>
      </c>
      <c r="C8" s="31" t="n"/>
      <c r="D8" s="24" t="n"/>
      <c r="E8" s="52" t="str">
        <f>IF(ISNUMBER(A8),COUNTIFS('交易记录'!$B$5:$B$304,A8,'交易记录'!$X$5:$X$304,"已执行"),"")</f>
        <v/>
      </c>
      <c r="F8" s="30" t="n"/>
      <c r="G8" s="24" t="n"/>
      <c r="H8" s="53" t="str">
        <f>IF(NOT(ISNUMBER(A8)),"",IF(COUNTIFS('交易记录'!$Z$5:$Z$304,A8,'交易记录'!$AF$5:$AF$304,"已平仓")=0,"",SUMIFS('交易记录'!$AK$5:$AK$304,'交易记录'!$Z$5:$Z$304,A8,'交易记录'!$AF$5:$AF$304,"已平仓")))</f>
        <v/>
      </c>
      <c r="I8" s="38" t="str">
        <f>IF(NOT(ISNUMBER(H8)),"",IF(H8&lt;=-'参数'!$C$8,"触及停手线",""))</f>
        <v/>
      </c>
      <c r="J8" s="30" t="n"/>
      <c r="K8" s="30" t="n"/>
    </row>
    <row r="9">
      <c r="A9" s="29" t="n"/>
      <c r="B9" s="38" t="str">
        <f>IF(ISNUMBER(A9),"周"&amp;CHOOSE(WEEKDAY(A9,2),"一","二","三","四","五","六","日"),"")</f>
        <v/>
      </c>
      <c r="C9" s="31" t="n"/>
      <c r="D9" s="24" t="n"/>
      <c r="E9" s="52" t="str">
        <f>IF(ISNUMBER(A9),COUNTIFS('交易记录'!$B$5:$B$304,A9,'交易记录'!$X$5:$X$304,"已执行"),"")</f>
        <v/>
      </c>
      <c r="F9" s="30" t="n"/>
      <c r="G9" s="24" t="n"/>
      <c r="H9" s="53" t="str">
        <f>IF(NOT(ISNUMBER(A9)),"",IF(COUNTIFS('交易记录'!$Z$5:$Z$304,A9,'交易记录'!$AF$5:$AF$304,"已平仓")=0,"",SUMIFS('交易记录'!$AK$5:$AK$304,'交易记录'!$Z$5:$Z$304,A9,'交易记录'!$AF$5:$AF$304,"已平仓")))</f>
        <v/>
      </c>
      <c r="I9" s="38" t="str">
        <f>IF(NOT(ISNUMBER(H9)),"",IF(H9&lt;=-'参数'!$C$8,"触及停手线",""))</f>
        <v/>
      </c>
      <c r="J9" s="30" t="n"/>
      <c r="K9" s="30" t="n"/>
    </row>
    <row r="10">
      <c r="A10" s="29" t="n"/>
      <c r="B10" s="38" t="str">
        <f>IF(ISNUMBER(A10),"周"&amp;CHOOSE(WEEKDAY(A10,2),"一","二","三","四","五","六","日"),"")</f>
        <v/>
      </c>
      <c r="C10" s="31" t="n"/>
      <c r="D10" s="24" t="n"/>
      <c r="E10" s="52" t="str">
        <f>IF(ISNUMBER(A10),COUNTIFS('交易记录'!$B$5:$B$304,A10,'交易记录'!$X$5:$X$304,"已执行"),"")</f>
        <v/>
      </c>
      <c r="F10" s="30" t="n"/>
      <c r="G10" s="24" t="n"/>
      <c r="H10" s="53" t="str">
        <f>IF(NOT(ISNUMBER(A10)),"",IF(COUNTIFS('交易记录'!$Z$5:$Z$304,A10,'交易记录'!$AF$5:$AF$304,"已平仓")=0,"",SUMIFS('交易记录'!$AK$5:$AK$304,'交易记录'!$Z$5:$Z$304,A10,'交易记录'!$AF$5:$AF$304,"已平仓")))</f>
        <v/>
      </c>
      <c r="I10" s="38" t="str">
        <f>IF(NOT(ISNUMBER(H10)),"",IF(H10&lt;=-'参数'!$C$8,"触及停手线",""))</f>
        <v/>
      </c>
      <c r="J10" s="30" t="n"/>
      <c r="K10" s="30" t="n"/>
    </row>
    <row r="11">
      <c r="A11" s="29" t="n"/>
      <c r="B11" s="38" t="str">
        <f>IF(ISNUMBER(A11),"周"&amp;CHOOSE(WEEKDAY(A11,2),"一","二","三","四","五","六","日"),"")</f>
        <v/>
      </c>
      <c r="C11" s="31" t="n"/>
      <c r="D11" s="24" t="n"/>
      <c r="E11" s="52" t="str">
        <f>IF(ISNUMBER(A11),COUNTIFS('交易记录'!$B$5:$B$304,A11,'交易记录'!$X$5:$X$304,"已执行"),"")</f>
        <v/>
      </c>
      <c r="F11" s="30" t="n"/>
      <c r="G11" s="24" t="n"/>
      <c r="H11" s="53" t="str">
        <f>IF(NOT(ISNUMBER(A11)),"",IF(COUNTIFS('交易记录'!$Z$5:$Z$304,A11,'交易记录'!$AF$5:$AF$304,"已平仓")=0,"",SUMIFS('交易记录'!$AK$5:$AK$304,'交易记录'!$Z$5:$Z$304,A11,'交易记录'!$AF$5:$AF$304,"已平仓")))</f>
        <v/>
      </c>
      <c r="I11" s="38" t="str">
        <f>IF(NOT(ISNUMBER(H11)),"",IF(H11&lt;=-'参数'!$C$8,"触及停手线",""))</f>
        <v/>
      </c>
      <c r="J11" s="30" t="n"/>
      <c r="K11" s="30" t="n"/>
    </row>
    <row r="12">
      <c r="A12" s="29" t="n"/>
      <c r="B12" s="38" t="str">
        <f>IF(ISNUMBER(A12),"周"&amp;CHOOSE(WEEKDAY(A12,2),"一","二","三","四","五","六","日"),"")</f>
        <v/>
      </c>
      <c r="C12" s="31" t="n"/>
      <c r="D12" s="24" t="n"/>
      <c r="E12" s="52" t="str">
        <f>IF(ISNUMBER(A12),COUNTIFS('交易记录'!$B$5:$B$304,A12,'交易记录'!$X$5:$X$304,"已执行"),"")</f>
        <v/>
      </c>
      <c r="F12" s="30" t="n"/>
      <c r="G12" s="24" t="n"/>
      <c r="H12" s="53" t="str">
        <f>IF(NOT(ISNUMBER(A12)),"",IF(COUNTIFS('交易记录'!$Z$5:$Z$304,A12,'交易记录'!$AF$5:$AF$304,"已平仓")=0,"",SUMIFS('交易记录'!$AK$5:$AK$304,'交易记录'!$Z$5:$Z$304,A12,'交易记录'!$AF$5:$AF$304,"已平仓")))</f>
        <v/>
      </c>
      <c r="I12" s="38" t="str">
        <f>IF(NOT(ISNUMBER(H12)),"",IF(H12&lt;=-'参数'!$C$8,"触及停手线",""))</f>
        <v/>
      </c>
      <c r="J12" s="30" t="n"/>
      <c r="K12" s="30" t="n"/>
    </row>
    <row r="13">
      <c r="A13" s="29" t="n"/>
      <c r="B13" s="38" t="str">
        <f>IF(ISNUMBER(A13),"周"&amp;CHOOSE(WEEKDAY(A13,2),"一","二","三","四","五","六","日"),"")</f>
        <v/>
      </c>
      <c r="C13" s="31" t="n"/>
      <c r="D13" s="24" t="n"/>
      <c r="E13" s="52" t="str">
        <f>IF(ISNUMBER(A13),COUNTIFS('交易记录'!$B$5:$B$304,A13,'交易记录'!$X$5:$X$304,"已执行"),"")</f>
        <v/>
      </c>
      <c r="F13" s="30" t="n"/>
      <c r="G13" s="24" t="n"/>
      <c r="H13" s="53" t="str">
        <f>IF(NOT(ISNUMBER(A13)),"",IF(COUNTIFS('交易记录'!$Z$5:$Z$304,A13,'交易记录'!$AF$5:$AF$304,"已平仓")=0,"",SUMIFS('交易记录'!$AK$5:$AK$304,'交易记录'!$Z$5:$Z$304,A13,'交易记录'!$AF$5:$AF$304,"已平仓")))</f>
        <v/>
      </c>
      <c r="I13" s="38" t="str">
        <f>IF(NOT(ISNUMBER(H13)),"",IF(H13&lt;=-'参数'!$C$8,"触及停手线",""))</f>
        <v/>
      </c>
      <c r="J13" s="30" t="n"/>
      <c r="K13" s="30" t="n"/>
    </row>
    <row r="14">
      <c r="A14" s="29" t="n"/>
      <c r="B14" s="38" t="str">
        <f>IF(ISNUMBER(A14),"周"&amp;CHOOSE(WEEKDAY(A14,2),"一","二","三","四","五","六","日"),"")</f>
        <v/>
      </c>
      <c r="C14" s="31" t="n"/>
      <c r="D14" s="24" t="n"/>
      <c r="E14" s="52" t="str">
        <f>IF(ISNUMBER(A14),COUNTIFS('交易记录'!$B$5:$B$304,A14,'交易记录'!$X$5:$X$304,"已执行"),"")</f>
        <v/>
      </c>
      <c r="F14" s="30" t="n"/>
      <c r="G14" s="24" t="n"/>
      <c r="H14" s="53" t="str">
        <f>IF(NOT(ISNUMBER(A14)),"",IF(COUNTIFS('交易记录'!$Z$5:$Z$304,A14,'交易记录'!$AF$5:$AF$304,"已平仓")=0,"",SUMIFS('交易记录'!$AK$5:$AK$304,'交易记录'!$Z$5:$Z$304,A14,'交易记录'!$AF$5:$AF$304,"已平仓")))</f>
        <v/>
      </c>
      <c r="I14" s="38" t="str">
        <f>IF(NOT(ISNUMBER(H14)),"",IF(H14&lt;=-'参数'!$C$8,"触及停手线",""))</f>
        <v/>
      </c>
      <c r="J14" s="30" t="n"/>
      <c r="K14" s="30" t="n"/>
    </row>
    <row r="15">
      <c r="A15" s="29" t="n"/>
      <c r="B15" s="38" t="str">
        <f>IF(ISNUMBER(A15),"周"&amp;CHOOSE(WEEKDAY(A15,2),"一","二","三","四","五","六","日"),"")</f>
        <v/>
      </c>
      <c r="C15" s="31" t="n"/>
      <c r="D15" s="24" t="n"/>
      <c r="E15" s="52" t="str">
        <f>IF(ISNUMBER(A15),COUNTIFS('交易记录'!$B$5:$B$304,A15,'交易记录'!$X$5:$X$304,"已执行"),"")</f>
        <v/>
      </c>
      <c r="F15" s="30" t="n"/>
      <c r="G15" s="24" t="n"/>
      <c r="H15" s="53" t="str">
        <f>IF(NOT(ISNUMBER(A15)),"",IF(COUNTIFS('交易记录'!$Z$5:$Z$304,A15,'交易记录'!$AF$5:$AF$304,"已平仓")=0,"",SUMIFS('交易记录'!$AK$5:$AK$304,'交易记录'!$Z$5:$Z$304,A15,'交易记录'!$AF$5:$AF$304,"已平仓")))</f>
        <v/>
      </c>
      <c r="I15" s="38" t="str">
        <f>IF(NOT(ISNUMBER(H15)),"",IF(H15&lt;=-'参数'!$C$8,"触及停手线",""))</f>
        <v/>
      </c>
      <c r="J15" s="30" t="n"/>
      <c r="K15" s="30" t="n"/>
    </row>
    <row r="16">
      <c r="A16" s="29" t="n"/>
      <c r="B16" s="38" t="str">
        <f>IF(ISNUMBER(A16),"周"&amp;CHOOSE(WEEKDAY(A16,2),"一","二","三","四","五","六","日"),"")</f>
        <v/>
      </c>
      <c r="C16" s="31" t="n"/>
      <c r="D16" s="24" t="n"/>
      <c r="E16" s="52" t="str">
        <f>IF(ISNUMBER(A16),COUNTIFS('交易记录'!$B$5:$B$304,A16,'交易记录'!$X$5:$X$304,"已执行"),"")</f>
        <v/>
      </c>
      <c r="F16" s="30" t="n"/>
      <c r="G16" s="24" t="n"/>
      <c r="H16" s="53" t="str">
        <f>IF(NOT(ISNUMBER(A16)),"",IF(COUNTIFS('交易记录'!$Z$5:$Z$304,A16,'交易记录'!$AF$5:$AF$304,"已平仓")=0,"",SUMIFS('交易记录'!$AK$5:$AK$304,'交易记录'!$Z$5:$Z$304,A16,'交易记录'!$AF$5:$AF$304,"已平仓")))</f>
        <v/>
      </c>
      <c r="I16" s="38" t="str">
        <f>IF(NOT(ISNUMBER(H16)),"",IF(H16&lt;=-'参数'!$C$8,"触及停手线",""))</f>
        <v/>
      </c>
      <c r="J16" s="30" t="n"/>
      <c r="K16" s="30" t="n"/>
    </row>
    <row r="17">
      <c r="A17" s="29" t="n"/>
      <c r="B17" s="38" t="str">
        <f>IF(ISNUMBER(A17),"周"&amp;CHOOSE(WEEKDAY(A17,2),"一","二","三","四","五","六","日"),"")</f>
        <v/>
      </c>
      <c r="C17" s="31" t="n"/>
      <c r="D17" s="24" t="n"/>
      <c r="E17" s="52" t="str">
        <f>IF(ISNUMBER(A17),COUNTIFS('交易记录'!$B$5:$B$304,A17,'交易记录'!$X$5:$X$304,"已执行"),"")</f>
        <v/>
      </c>
      <c r="F17" s="30" t="n"/>
      <c r="G17" s="24" t="n"/>
      <c r="H17" s="53" t="str">
        <f>IF(NOT(ISNUMBER(A17)),"",IF(COUNTIFS('交易记录'!$Z$5:$Z$304,A17,'交易记录'!$AF$5:$AF$304,"已平仓")=0,"",SUMIFS('交易记录'!$AK$5:$AK$304,'交易记录'!$Z$5:$Z$304,A17,'交易记录'!$AF$5:$AF$304,"已平仓")))</f>
        <v/>
      </c>
      <c r="I17" s="38" t="str">
        <f>IF(NOT(ISNUMBER(H17)),"",IF(H17&lt;=-'参数'!$C$8,"触及停手线",""))</f>
        <v/>
      </c>
      <c r="J17" s="30" t="n"/>
      <c r="K17" s="30" t="n"/>
    </row>
    <row r="18">
      <c r="A18" s="29" t="n"/>
      <c r="B18" s="38" t="str">
        <f>IF(ISNUMBER(A18),"周"&amp;CHOOSE(WEEKDAY(A18,2),"一","二","三","四","五","六","日"),"")</f>
        <v/>
      </c>
      <c r="C18" s="31" t="n"/>
      <c r="D18" s="24" t="n"/>
      <c r="E18" s="52" t="str">
        <f>IF(ISNUMBER(A18),COUNTIFS('交易记录'!$B$5:$B$304,A18,'交易记录'!$X$5:$X$304,"已执行"),"")</f>
        <v/>
      </c>
      <c r="F18" s="30" t="n"/>
      <c r="G18" s="24" t="n"/>
      <c r="H18" s="53" t="str">
        <f>IF(NOT(ISNUMBER(A18)),"",IF(COUNTIFS('交易记录'!$Z$5:$Z$304,A18,'交易记录'!$AF$5:$AF$304,"已平仓")=0,"",SUMIFS('交易记录'!$AK$5:$AK$304,'交易记录'!$Z$5:$Z$304,A18,'交易记录'!$AF$5:$AF$304,"已平仓")))</f>
        <v/>
      </c>
      <c r="I18" s="38" t="str">
        <f>IF(NOT(ISNUMBER(H18)),"",IF(H18&lt;=-'参数'!$C$8,"触及停手线",""))</f>
        <v/>
      </c>
      <c r="J18" s="30" t="n"/>
      <c r="K18" s="30" t="n"/>
    </row>
    <row r="19">
      <c r="A19" s="29" t="n"/>
      <c r="B19" s="38" t="str">
        <f>IF(ISNUMBER(A19),"周"&amp;CHOOSE(WEEKDAY(A19,2),"一","二","三","四","五","六","日"),"")</f>
        <v/>
      </c>
      <c r="C19" s="31" t="n"/>
      <c r="D19" s="24" t="n"/>
      <c r="E19" s="52" t="str">
        <f>IF(ISNUMBER(A19),COUNTIFS('交易记录'!$B$5:$B$304,A19,'交易记录'!$X$5:$X$304,"已执行"),"")</f>
        <v/>
      </c>
      <c r="F19" s="30" t="n"/>
      <c r="G19" s="24" t="n"/>
      <c r="H19" s="53" t="str">
        <f>IF(NOT(ISNUMBER(A19)),"",IF(COUNTIFS('交易记录'!$Z$5:$Z$304,A19,'交易记录'!$AF$5:$AF$304,"已平仓")=0,"",SUMIFS('交易记录'!$AK$5:$AK$304,'交易记录'!$Z$5:$Z$304,A19,'交易记录'!$AF$5:$AF$304,"已平仓")))</f>
        <v/>
      </c>
      <c r="I19" s="38" t="str">
        <f>IF(NOT(ISNUMBER(H19)),"",IF(H19&lt;=-'参数'!$C$8,"触及停手线",""))</f>
        <v/>
      </c>
      <c r="J19" s="30" t="n"/>
      <c r="K19" s="30" t="n"/>
    </row>
    <row r="20">
      <c r="A20" s="29" t="n"/>
      <c r="B20" s="38" t="str">
        <f>IF(ISNUMBER(A20),"周"&amp;CHOOSE(WEEKDAY(A20,2),"一","二","三","四","五","六","日"),"")</f>
        <v/>
      </c>
      <c r="C20" s="31" t="n"/>
      <c r="D20" s="24" t="n"/>
      <c r="E20" s="52" t="str">
        <f>IF(ISNUMBER(A20),COUNTIFS('交易记录'!$B$5:$B$304,A20,'交易记录'!$X$5:$X$304,"已执行"),"")</f>
        <v/>
      </c>
      <c r="F20" s="30" t="n"/>
      <c r="G20" s="24" t="n"/>
      <c r="H20" s="53" t="str">
        <f>IF(NOT(ISNUMBER(A20)),"",IF(COUNTIFS('交易记录'!$Z$5:$Z$304,A20,'交易记录'!$AF$5:$AF$304,"已平仓")=0,"",SUMIFS('交易记录'!$AK$5:$AK$304,'交易记录'!$Z$5:$Z$304,A20,'交易记录'!$AF$5:$AF$304,"已平仓")))</f>
        <v/>
      </c>
      <c r="I20" s="38" t="str">
        <f>IF(NOT(ISNUMBER(H20)),"",IF(H20&lt;=-'参数'!$C$8,"触及停手线",""))</f>
        <v/>
      </c>
      <c r="J20" s="30" t="n"/>
      <c r="K20" s="30" t="n"/>
    </row>
    <row r="21">
      <c r="A21" s="29" t="n"/>
      <c r="B21" s="38" t="str">
        <f>IF(ISNUMBER(A21),"周"&amp;CHOOSE(WEEKDAY(A21,2),"一","二","三","四","五","六","日"),"")</f>
        <v/>
      </c>
      <c r="C21" s="31" t="n"/>
      <c r="D21" s="24" t="n"/>
      <c r="E21" s="52" t="str">
        <f>IF(ISNUMBER(A21),COUNTIFS('交易记录'!$B$5:$B$304,A21,'交易记录'!$X$5:$X$304,"已执行"),"")</f>
        <v/>
      </c>
      <c r="F21" s="30" t="n"/>
      <c r="G21" s="24" t="n"/>
      <c r="H21" s="53" t="str">
        <f>IF(NOT(ISNUMBER(A21)),"",IF(COUNTIFS('交易记录'!$Z$5:$Z$304,A21,'交易记录'!$AF$5:$AF$304,"已平仓")=0,"",SUMIFS('交易记录'!$AK$5:$AK$304,'交易记录'!$Z$5:$Z$304,A21,'交易记录'!$AF$5:$AF$304,"已平仓")))</f>
        <v/>
      </c>
      <c r="I21" s="38" t="str">
        <f>IF(NOT(ISNUMBER(H21)),"",IF(H21&lt;=-'参数'!$C$8,"触及停手线",""))</f>
        <v/>
      </c>
      <c r="J21" s="30" t="n"/>
      <c r="K21" s="30" t="n"/>
    </row>
    <row r="22">
      <c r="A22" s="29" t="n"/>
      <c r="B22" s="38" t="str">
        <f>IF(ISNUMBER(A22),"周"&amp;CHOOSE(WEEKDAY(A22,2),"一","二","三","四","五","六","日"),"")</f>
        <v/>
      </c>
      <c r="C22" s="31" t="n"/>
      <c r="D22" s="24" t="n"/>
      <c r="E22" s="52" t="str">
        <f>IF(ISNUMBER(A22),COUNTIFS('交易记录'!$B$5:$B$304,A22,'交易记录'!$X$5:$X$304,"已执行"),"")</f>
        <v/>
      </c>
      <c r="F22" s="30" t="n"/>
      <c r="G22" s="24" t="n"/>
      <c r="H22" s="53" t="str">
        <f>IF(NOT(ISNUMBER(A22)),"",IF(COUNTIFS('交易记录'!$Z$5:$Z$304,A22,'交易记录'!$AF$5:$AF$304,"已平仓")=0,"",SUMIFS('交易记录'!$AK$5:$AK$304,'交易记录'!$Z$5:$Z$304,A22,'交易记录'!$AF$5:$AF$304,"已平仓")))</f>
        <v/>
      </c>
      <c r="I22" s="38" t="str">
        <f>IF(NOT(ISNUMBER(H22)),"",IF(H22&lt;=-'参数'!$C$8,"触及停手线",""))</f>
        <v/>
      </c>
      <c r="J22" s="30" t="n"/>
      <c r="K22" s="30" t="n"/>
    </row>
    <row r="23">
      <c r="A23" s="29" t="n"/>
      <c r="B23" s="38" t="str">
        <f>IF(ISNUMBER(A23),"周"&amp;CHOOSE(WEEKDAY(A23,2),"一","二","三","四","五","六","日"),"")</f>
        <v/>
      </c>
      <c r="C23" s="31" t="n"/>
      <c r="D23" s="24" t="n"/>
      <c r="E23" s="52" t="str">
        <f>IF(ISNUMBER(A23),COUNTIFS('交易记录'!$B$5:$B$304,A23,'交易记录'!$X$5:$X$304,"已执行"),"")</f>
        <v/>
      </c>
      <c r="F23" s="30" t="n"/>
      <c r="G23" s="24" t="n"/>
      <c r="H23" s="53" t="str">
        <f>IF(NOT(ISNUMBER(A23)),"",IF(COUNTIFS('交易记录'!$Z$5:$Z$304,A23,'交易记录'!$AF$5:$AF$304,"已平仓")=0,"",SUMIFS('交易记录'!$AK$5:$AK$304,'交易记录'!$Z$5:$Z$304,A23,'交易记录'!$AF$5:$AF$304,"已平仓")))</f>
        <v/>
      </c>
      <c r="I23" s="38" t="str">
        <f>IF(NOT(ISNUMBER(H23)),"",IF(H23&lt;=-'参数'!$C$8,"触及停手线",""))</f>
        <v/>
      </c>
      <c r="J23" s="30" t="n"/>
      <c r="K23" s="30" t="n"/>
    </row>
    <row r="24">
      <c r="A24" s="29" t="n"/>
      <c r="B24" s="38" t="str">
        <f>IF(ISNUMBER(A24),"周"&amp;CHOOSE(WEEKDAY(A24,2),"一","二","三","四","五","六","日"),"")</f>
        <v/>
      </c>
      <c r="C24" s="31" t="n"/>
      <c r="D24" s="24" t="n"/>
      <c r="E24" s="52" t="str">
        <f>IF(ISNUMBER(A24),COUNTIFS('交易记录'!$B$5:$B$304,A24,'交易记录'!$X$5:$X$304,"已执行"),"")</f>
        <v/>
      </c>
      <c r="F24" s="30" t="n"/>
      <c r="G24" s="24" t="n"/>
      <c r="H24" s="53" t="str">
        <f>IF(NOT(ISNUMBER(A24)),"",IF(COUNTIFS('交易记录'!$Z$5:$Z$304,A24,'交易记录'!$AF$5:$AF$304,"已平仓")=0,"",SUMIFS('交易记录'!$AK$5:$AK$304,'交易记录'!$Z$5:$Z$304,A24,'交易记录'!$AF$5:$AF$304,"已平仓")))</f>
        <v/>
      </c>
      <c r="I24" s="38" t="str">
        <f>IF(NOT(ISNUMBER(H24)),"",IF(H24&lt;=-'参数'!$C$8,"触及停手线",""))</f>
        <v/>
      </c>
      <c r="J24" s="30" t="n"/>
      <c r="K24" s="30" t="n"/>
    </row>
    <row r="25">
      <c r="A25" s="29" t="n"/>
      <c r="B25" s="38" t="str">
        <f>IF(ISNUMBER(A25),"周"&amp;CHOOSE(WEEKDAY(A25,2),"一","二","三","四","五","六","日"),"")</f>
        <v/>
      </c>
      <c r="C25" s="31" t="n"/>
      <c r="D25" s="24" t="n"/>
      <c r="E25" s="52" t="str">
        <f>IF(ISNUMBER(A25),COUNTIFS('交易记录'!$B$5:$B$304,A25,'交易记录'!$X$5:$X$304,"已执行"),"")</f>
        <v/>
      </c>
      <c r="F25" s="30" t="n"/>
      <c r="G25" s="24" t="n"/>
      <c r="H25" s="53" t="str">
        <f>IF(NOT(ISNUMBER(A25)),"",IF(COUNTIFS('交易记录'!$Z$5:$Z$304,A25,'交易记录'!$AF$5:$AF$304,"已平仓")=0,"",SUMIFS('交易记录'!$AK$5:$AK$304,'交易记录'!$Z$5:$Z$304,A25,'交易记录'!$AF$5:$AF$304,"已平仓")))</f>
        <v/>
      </c>
      <c r="I25" s="38" t="str">
        <f>IF(NOT(ISNUMBER(H25)),"",IF(H25&lt;=-'参数'!$C$8,"触及停手线",""))</f>
        <v/>
      </c>
      <c r="J25" s="30" t="n"/>
      <c r="K25" s="30" t="n"/>
    </row>
    <row r="26">
      <c r="A26" s="29" t="n"/>
      <c r="B26" s="38" t="str">
        <f>IF(ISNUMBER(A26),"周"&amp;CHOOSE(WEEKDAY(A26,2),"一","二","三","四","五","六","日"),"")</f>
        <v/>
      </c>
      <c r="C26" s="31" t="n"/>
      <c r="D26" s="24" t="n"/>
      <c r="E26" s="52" t="str">
        <f>IF(ISNUMBER(A26),COUNTIFS('交易记录'!$B$5:$B$304,A26,'交易记录'!$X$5:$X$304,"已执行"),"")</f>
        <v/>
      </c>
      <c r="F26" s="30" t="n"/>
      <c r="G26" s="24" t="n"/>
      <c r="H26" s="53" t="str">
        <f>IF(NOT(ISNUMBER(A26)),"",IF(COUNTIFS('交易记录'!$Z$5:$Z$304,A26,'交易记录'!$AF$5:$AF$304,"已平仓")=0,"",SUMIFS('交易记录'!$AK$5:$AK$304,'交易记录'!$Z$5:$Z$304,A26,'交易记录'!$AF$5:$AF$304,"已平仓")))</f>
        <v/>
      </c>
      <c r="I26" s="38" t="str">
        <f>IF(NOT(ISNUMBER(H26)),"",IF(H26&lt;=-'参数'!$C$8,"触及停手线",""))</f>
        <v/>
      </c>
      <c r="J26" s="30" t="n"/>
      <c r="K26" s="30" t="n"/>
    </row>
    <row r="27">
      <c r="A27" s="29" t="n"/>
      <c r="B27" s="38" t="str">
        <f>IF(ISNUMBER(A27),"周"&amp;CHOOSE(WEEKDAY(A27,2),"一","二","三","四","五","六","日"),"")</f>
        <v/>
      </c>
      <c r="C27" s="31" t="n"/>
      <c r="D27" s="24" t="n"/>
      <c r="E27" s="52" t="str">
        <f>IF(ISNUMBER(A27),COUNTIFS('交易记录'!$B$5:$B$304,A27,'交易记录'!$X$5:$X$304,"已执行"),"")</f>
        <v/>
      </c>
      <c r="F27" s="30" t="n"/>
      <c r="G27" s="24" t="n"/>
      <c r="H27" s="53" t="str">
        <f>IF(NOT(ISNUMBER(A27)),"",IF(COUNTIFS('交易记录'!$Z$5:$Z$304,A27,'交易记录'!$AF$5:$AF$304,"已平仓")=0,"",SUMIFS('交易记录'!$AK$5:$AK$304,'交易记录'!$Z$5:$Z$304,A27,'交易记录'!$AF$5:$AF$304,"已平仓")))</f>
        <v/>
      </c>
      <c r="I27" s="38" t="str">
        <f>IF(NOT(ISNUMBER(H27)),"",IF(H27&lt;=-'参数'!$C$8,"触及停手线",""))</f>
        <v/>
      </c>
      <c r="J27" s="30" t="n"/>
      <c r="K27" s="30" t="n"/>
    </row>
    <row r="28">
      <c r="A28" s="29" t="n"/>
      <c r="B28" s="38" t="str">
        <f>IF(ISNUMBER(A28),"周"&amp;CHOOSE(WEEKDAY(A28,2),"一","二","三","四","五","六","日"),"")</f>
        <v/>
      </c>
      <c r="C28" s="31" t="n"/>
      <c r="D28" s="24" t="n"/>
      <c r="E28" s="52" t="str">
        <f>IF(ISNUMBER(A28),COUNTIFS('交易记录'!$B$5:$B$304,A28,'交易记录'!$X$5:$X$304,"已执行"),"")</f>
        <v/>
      </c>
      <c r="F28" s="30" t="n"/>
      <c r="G28" s="24" t="n"/>
      <c r="H28" s="53" t="str">
        <f>IF(NOT(ISNUMBER(A28)),"",IF(COUNTIFS('交易记录'!$Z$5:$Z$304,A28,'交易记录'!$AF$5:$AF$304,"已平仓")=0,"",SUMIFS('交易记录'!$AK$5:$AK$304,'交易记录'!$Z$5:$Z$304,A28,'交易记录'!$AF$5:$AF$304,"已平仓")))</f>
        <v/>
      </c>
      <c r="I28" s="38" t="str">
        <f>IF(NOT(ISNUMBER(H28)),"",IF(H28&lt;=-'参数'!$C$8,"触及停手线",""))</f>
        <v/>
      </c>
      <c r="J28" s="30" t="n"/>
      <c r="K28" s="30" t="n"/>
    </row>
    <row r="29">
      <c r="A29" s="29" t="n"/>
      <c r="B29" s="38" t="str">
        <f>IF(ISNUMBER(A29),"周"&amp;CHOOSE(WEEKDAY(A29,2),"一","二","三","四","五","六","日"),"")</f>
        <v/>
      </c>
      <c r="C29" s="31" t="n"/>
      <c r="D29" s="24" t="n"/>
      <c r="E29" s="52" t="str">
        <f>IF(ISNUMBER(A29),COUNTIFS('交易记录'!$B$5:$B$304,A29,'交易记录'!$X$5:$X$304,"已执行"),"")</f>
        <v/>
      </c>
      <c r="F29" s="30" t="n"/>
      <c r="G29" s="24" t="n"/>
      <c r="H29" s="53" t="str">
        <f>IF(NOT(ISNUMBER(A29)),"",IF(COUNTIFS('交易记录'!$Z$5:$Z$304,A29,'交易记录'!$AF$5:$AF$304,"已平仓")=0,"",SUMIFS('交易记录'!$AK$5:$AK$304,'交易记录'!$Z$5:$Z$304,A29,'交易记录'!$AF$5:$AF$304,"已平仓")))</f>
        <v/>
      </c>
      <c r="I29" s="38" t="str">
        <f>IF(NOT(ISNUMBER(H29)),"",IF(H29&lt;=-'参数'!$C$8,"触及停手线",""))</f>
        <v/>
      </c>
      <c r="J29" s="30" t="n"/>
      <c r="K29" s="30" t="n"/>
    </row>
    <row r="30">
      <c r="A30" s="29" t="n"/>
      <c r="B30" s="38" t="str">
        <f>IF(ISNUMBER(A30),"周"&amp;CHOOSE(WEEKDAY(A30,2),"一","二","三","四","五","六","日"),"")</f>
        <v/>
      </c>
      <c r="C30" s="31" t="n"/>
      <c r="D30" s="24" t="n"/>
      <c r="E30" s="52" t="str">
        <f>IF(ISNUMBER(A30),COUNTIFS('交易记录'!$B$5:$B$304,A30,'交易记录'!$X$5:$X$304,"已执行"),"")</f>
        <v/>
      </c>
      <c r="F30" s="30" t="n"/>
      <c r="G30" s="24" t="n"/>
      <c r="H30" s="53" t="str">
        <f>IF(NOT(ISNUMBER(A30)),"",IF(COUNTIFS('交易记录'!$Z$5:$Z$304,A30,'交易记录'!$AF$5:$AF$304,"已平仓")=0,"",SUMIFS('交易记录'!$AK$5:$AK$304,'交易记录'!$Z$5:$Z$304,A30,'交易记录'!$AF$5:$AF$304,"已平仓")))</f>
        <v/>
      </c>
      <c r="I30" s="38" t="str">
        <f>IF(NOT(ISNUMBER(H30)),"",IF(H30&lt;=-'参数'!$C$8,"触及停手线",""))</f>
        <v/>
      </c>
      <c r="J30" s="30" t="n"/>
      <c r="K30" s="30" t="n"/>
    </row>
    <row r="31">
      <c r="A31" s="29" t="n"/>
      <c r="B31" s="38" t="str">
        <f>IF(ISNUMBER(A31),"周"&amp;CHOOSE(WEEKDAY(A31,2),"一","二","三","四","五","六","日"),"")</f>
        <v/>
      </c>
      <c r="C31" s="31" t="n"/>
      <c r="D31" s="24" t="n"/>
      <c r="E31" s="52" t="str">
        <f>IF(ISNUMBER(A31),COUNTIFS('交易记录'!$B$5:$B$304,A31,'交易记录'!$X$5:$X$304,"已执行"),"")</f>
        <v/>
      </c>
      <c r="F31" s="30" t="n"/>
      <c r="G31" s="24" t="n"/>
      <c r="H31" s="53" t="str">
        <f>IF(NOT(ISNUMBER(A31)),"",IF(COUNTIFS('交易记录'!$Z$5:$Z$304,A31,'交易记录'!$AF$5:$AF$304,"已平仓")=0,"",SUMIFS('交易记录'!$AK$5:$AK$304,'交易记录'!$Z$5:$Z$304,A31,'交易记录'!$AF$5:$AF$304,"已平仓")))</f>
        <v/>
      </c>
      <c r="I31" s="38" t="str">
        <f>IF(NOT(ISNUMBER(H31)),"",IF(H31&lt;=-'参数'!$C$8,"触及停手线",""))</f>
        <v/>
      </c>
      <c r="J31" s="30" t="n"/>
      <c r="K31" s="30" t="n"/>
    </row>
    <row r="32">
      <c r="A32" s="29" t="n"/>
      <c r="B32" s="38" t="str">
        <f>IF(ISNUMBER(A32),"周"&amp;CHOOSE(WEEKDAY(A32,2),"一","二","三","四","五","六","日"),"")</f>
        <v/>
      </c>
      <c r="C32" s="31" t="n"/>
      <c r="D32" s="24" t="n"/>
      <c r="E32" s="52" t="str">
        <f>IF(ISNUMBER(A32),COUNTIFS('交易记录'!$B$5:$B$304,A32,'交易记录'!$X$5:$X$304,"已执行"),"")</f>
        <v/>
      </c>
      <c r="F32" s="30" t="n"/>
      <c r="G32" s="24" t="n"/>
      <c r="H32" s="53" t="str">
        <f>IF(NOT(ISNUMBER(A32)),"",IF(COUNTIFS('交易记录'!$Z$5:$Z$304,A32,'交易记录'!$AF$5:$AF$304,"已平仓")=0,"",SUMIFS('交易记录'!$AK$5:$AK$304,'交易记录'!$Z$5:$Z$304,A32,'交易记录'!$AF$5:$AF$304,"已平仓")))</f>
        <v/>
      </c>
      <c r="I32" s="38" t="str">
        <f>IF(NOT(ISNUMBER(H32)),"",IF(H32&lt;=-'参数'!$C$8,"触及停手线",""))</f>
        <v/>
      </c>
      <c r="J32" s="30" t="n"/>
      <c r="K32" s="30" t="n"/>
    </row>
    <row r="33">
      <c r="A33" s="29" t="n"/>
      <c r="B33" s="38" t="str">
        <f>IF(ISNUMBER(A33),"周"&amp;CHOOSE(WEEKDAY(A33,2),"一","二","三","四","五","六","日"),"")</f>
        <v/>
      </c>
      <c r="C33" s="31" t="n"/>
      <c r="D33" s="24" t="n"/>
      <c r="E33" s="52" t="str">
        <f>IF(ISNUMBER(A33),COUNTIFS('交易记录'!$B$5:$B$304,A33,'交易记录'!$X$5:$X$304,"已执行"),"")</f>
        <v/>
      </c>
      <c r="F33" s="30" t="n"/>
      <c r="G33" s="24" t="n"/>
      <c r="H33" s="53" t="str">
        <f>IF(NOT(ISNUMBER(A33)),"",IF(COUNTIFS('交易记录'!$Z$5:$Z$304,A33,'交易记录'!$AF$5:$AF$304,"已平仓")=0,"",SUMIFS('交易记录'!$AK$5:$AK$304,'交易记录'!$Z$5:$Z$304,A33,'交易记录'!$AF$5:$AF$304,"已平仓")))</f>
        <v/>
      </c>
      <c r="I33" s="38" t="str">
        <f>IF(NOT(ISNUMBER(H33)),"",IF(H33&lt;=-'参数'!$C$8,"触及停手线",""))</f>
        <v/>
      </c>
      <c r="J33" s="30" t="n"/>
      <c r="K33" s="30" t="n"/>
    </row>
    <row r="34">
      <c r="A34" s="29" t="n"/>
      <c r="B34" s="38" t="str">
        <f>IF(ISNUMBER(A34),"周"&amp;CHOOSE(WEEKDAY(A34,2),"一","二","三","四","五","六","日"),"")</f>
        <v/>
      </c>
      <c r="C34" s="31" t="n"/>
      <c r="D34" s="24" t="n"/>
      <c r="E34" s="52" t="str">
        <f>IF(ISNUMBER(A34),COUNTIFS('交易记录'!$B$5:$B$304,A34,'交易记录'!$X$5:$X$304,"已执行"),"")</f>
        <v/>
      </c>
      <c r="F34" s="30" t="n"/>
      <c r="G34" s="24" t="n"/>
      <c r="H34" s="53" t="str">
        <f>IF(NOT(ISNUMBER(A34)),"",IF(COUNTIFS('交易记录'!$Z$5:$Z$304,A34,'交易记录'!$AF$5:$AF$304,"已平仓")=0,"",SUMIFS('交易记录'!$AK$5:$AK$304,'交易记录'!$Z$5:$Z$304,A34,'交易记录'!$AF$5:$AF$304,"已平仓")))</f>
        <v/>
      </c>
      <c r="I34" s="38" t="str">
        <f>IF(NOT(ISNUMBER(H34)),"",IF(H34&lt;=-'参数'!$C$8,"触及停手线",""))</f>
        <v/>
      </c>
      <c r="J34" s="30" t="n"/>
      <c r="K34" s="30" t="n"/>
    </row>
    <row r="35">
      <c r="A35" s="29" t="n"/>
      <c r="B35" s="38" t="str">
        <f>IF(ISNUMBER(A35),"周"&amp;CHOOSE(WEEKDAY(A35,2),"一","二","三","四","五","六","日"),"")</f>
        <v/>
      </c>
      <c r="C35" s="31" t="n"/>
      <c r="D35" s="24" t="n"/>
      <c r="E35" s="52" t="str">
        <f>IF(ISNUMBER(A35),COUNTIFS('交易记录'!$B$5:$B$304,A35,'交易记录'!$X$5:$X$304,"已执行"),"")</f>
        <v/>
      </c>
      <c r="F35" s="30" t="n"/>
      <c r="G35" s="24" t="n"/>
      <c r="H35" s="53" t="str">
        <f>IF(NOT(ISNUMBER(A35)),"",IF(COUNTIFS('交易记录'!$Z$5:$Z$304,A35,'交易记录'!$AF$5:$AF$304,"已平仓")=0,"",SUMIFS('交易记录'!$AK$5:$AK$304,'交易记录'!$Z$5:$Z$304,A35,'交易记录'!$AF$5:$AF$304,"已平仓")))</f>
        <v/>
      </c>
      <c r="I35" s="38" t="str">
        <f>IF(NOT(ISNUMBER(H35)),"",IF(H35&lt;=-'参数'!$C$8,"触及停手线",""))</f>
        <v/>
      </c>
      <c r="J35" s="30" t="n"/>
      <c r="K35" s="30" t="n"/>
    </row>
    <row r="36">
      <c r="A36" s="29" t="n"/>
      <c r="B36" s="38" t="str">
        <f>IF(ISNUMBER(A36),"周"&amp;CHOOSE(WEEKDAY(A36,2),"一","二","三","四","五","六","日"),"")</f>
        <v/>
      </c>
      <c r="C36" s="31" t="n"/>
      <c r="D36" s="24" t="n"/>
      <c r="E36" s="52" t="str">
        <f>IF(ISNUMBER(A36),COUNTIFS('交易记录'!$B$5:$B$304,A36,'交易记录'!$X$5:$X$304,"已执行"),"")</f>
        <v/>
      </c>
      <c r="F36" s="30" t="n"/>
      <c r="G36" s="24" t="n"/>
      <c r="H36" s="53" t="str">
        <f>IF(NOT(ISNUMBER(A36)),"",IF(COUNTIFS('交易记录'!$Z$5:$Z$304,A36,'交易记录'!$AF$5:$AF$304,"已平仓")=0,"",SUMIFS('交易记录'!$AK$5:$AK$304,'交易记录'!$Z$5:$Z$304,A36,'交易记录'!$AF$5:$AF$304,"已平仓")))</f>
        <v/>
      </c>
      <c r="I36" s="38" t="str">
        <f>IF(NOT(ISNUMBER(H36)),"",IF(H36&lt;=-'参数'!$C$8,"触及停手线",""))</f>
        <v/>
      </c>
      <c r="J36" s="30" t="n"/>
      <c r="K36" s="30" t="n"/>
    </row>
    <row r="37">
      <c r="A37" s="29" t="n"/>
      <c r="B37" s="38" t="str">
        <f>IF(ISNUMBER(A37),"周"&amp;CHOOSE(WEEKDAY(A37,2),"一","二","三","四","五","六","日"),"")</f>
        <v/>
      </c>
      <c r="C37" s="31" t="n"/>
      <c r="D37" s="24" t="n"/>
      <c r="E37" s="52" t="str">
        <f>IF(ISNUMBER(A37),COUNTIFS('交易记录'!$B$5:$B$304,A37,'交易记录'!$X$5:$X$304,"已执行"),"")</f>
        <v/>
      </c>
      <c r="F37" s="30" t="n"/>
      <c r="G37" s="24" t="n"/>
      <c r="H37" s="53" t="str">
        <f>IF(NOT(ISNUMBER(A37)),"",IF(COUNTIFS('交易记录'!$Z$5:$Z$304,A37,'交易记录'!$AF$5:$AF$304,"已平仓")=0,"",SUMIFS('交易记录'!$AK$5:$AK$304,'交易记录'!$Z$5:$Z$304,A37,'交易记录'!$AF$5:$AF$304,"已平仓")))</f>
        <v/>
      </c>
      <c r="I37" s="38" t="str">
        <f>IF(NOT(ISNUMBER(H37)),"",IF(H37&lt;=-'参数'!$C$8,"触及停手线",""))</f>
        <v/>
      </c>
      <c r="J37" s="30" t="n"/>
      <c r="K37" s="30" t="n"/>
    </row>
    <row r="38">
      <c r="A38" s="29" t="n"/>
      <c r="B38" s="38" t="str">
        <f>IF(ISNUMBER(A38),"周"&amp;CHOOSE(WEEKDAY(A38,2),"一","二","三","四","五","六","日"),"")</f>
        <v/>
      </c>
      <c r="C38" s="31" t="n"/>
      <c r="D38" s="24" t="n"/>
      <c r="E38" s="52" t="str">
        <f>IF(ISNUMBER(A38),COUNTIFS('交易记录'!$B$5:$B$304,A38,'交易记录'!$X$5:$X$304,"已执行"),"")</f>
        <v/>
      </c>
      <c r="F38" s="30" t="n"/>
      <c r="G38" s="24" t="n"/>
      <c r="H38" s="53" t="str">
        <f>IF(NOT(ISNUMBER(A38)),"",IF(COUNTIFS('交易记录'!$Z$5:$Z$304,A38,'交易记录'!$AF$5:$AF$304,"已平仓")=0,"",SUMIFS('交易记录'!$AK$5:$AK$304,'交易记录'!$Z$5:$Z$304,A38,'交易记录'!$AF$5:$AF$304,"已平仓")))</f>
        <v/>
      </c>
      <c r="I38" s="38" t="str">
        <f>IF(NOT(ISNUMBER(H38)),"",IF(H38&lt;=-'参数'!$C$8,"触及停手线",""))</f>
        <v/>
      </c>
      <c r="J38" s="30" t="n"/>
      <c r="K38" s="30" t="n"/>
    </row>
    <row r="39">
      <c r="A39" s="29" t="n"/>
      <c r="B39" s="38" t="str">
        <f>IF(ISNUMBER(A39),"周"&amp;CHOOSE(WEEKDAY(A39,2),"一","二","三","四","五","六","日"),"")</f>
        <v/>
      </c>
      <c r="C39" s="31" t="n"/>
      <c r="D39" s="24" t="n"/>
      <c r="E39" s="52" t="str">
        <f>IF(ISNUMBER(A39),COUNTIFS('交易记录'!$B$5:$B$304,A39,'交易记录'!$X$5:$X$304,"已执行"),"")</f>
        <v/>
      </c>
      <c r="F39" s="30" t="n"/>
      <c r="G39" s="24" t="n"/>
      <c r="H39" s="53" t="str">
        <f>IF(NOT(ISNUMBER(A39)),"",IF(COUNTIFS('交易记录'!$Z$5:$Z$304,A39,'交易记录'!$AF$5:$AF$304,"已平仓")=0,"",SUMIFS('交易记录'!$AK$5:$AK$304,'交易记录'!$Z$5:$Z$304,A39,'交易记录'!$AF$5:$AF$304,"已平仓")))</f>
        <v/>
      </c>
      <c r="I39" s="38" t="str">
        <f>IF(NOT(ISNUMBER(H39)),"",IF(H39&lt;=-'参数'!$C$8,"触及停手线",""))</f>
        <v/>
      </c>
      <c r="J39" s="30" t="n"/>
      <c r="K39" s="30" t="n"/>
    </row>
    <row r="40">
      <c r="A40" s="29" t="n"/>
      <c r="B40" s="38" t="str">
        <f>IF(ISNUMBER(A40),"周"&amp;CHOOSE(WEEKDAY(A40,2),"一","二","三","四","五","六","日"),"")</f>
        <v/>
      </c>
      <c r="C40" s="31" t="n"/>
      <c r="D40" s="24" t="n"/>
      <c r="E40" s="52" t="str">
        <f>IF(ISNUMBER(A40),COUNTIFS('交易记录'!$B$5:$B$304,A40,'交易记录'!$X$5:$X$304,"已执行"),"")</f>
        <v/>
      </c>
      <c r="F40" s="30" t="n"/>
      <c r="G40" s="24" t="n"/>
      <c r="H40" s="53" t="str">
        <f>IF(NOT(ISNUMBER(A40)),"",IF(COUNTIFS('交易记录'!$Z$5:$Z$304,A40,'交易记录'!$AF$5:$AF$304,"已平仓")=0,"",SUMIFS('交易记录'!$AK$5:$AK$304,'交易记录'!$Z$5:$Z$304,A40,'交易记录'!$AF$5:$AF$304,"已平仓")))</f>
        <v/>
      </c>
      <c r="I40" s="38" t="str">
        <f>IF(NOT(ISNUMBER(H40)),"",IF(H40&lt;=-'参数'!$C$8,"触及停手线",""))</f>
        <v/>
      </c>
      <c r="J40" s="30" t="n"/>
      <c r="K40" s="30" t="n"/>
    </row>
    <row r="41">
      <c r="A41" s="29" t="n"/>
      <c r="B41" s="38" t="str">
        <f>IF(ISNUMBER(A41),"周"&amp;CHOOSE(WEEKDAY(A41,2),"一","二","三","四","五","六","日"),"")</f>
        <v/>
      </c>
      <c r="C41" s="31" t="n"/>
      <c r="D41" s="24" t="n"/>
      <c r="E41" s="52" t="str">
        <f>IF(ISNUMBER(A41),COUNTIFS('交易记录'!$B$5:$B$304,A41,'交易记录'!$X$5:$X$304,"已执行"),"")</f>
        <v/>
      </c>
      <c r="F41" s="30" t="n"/>
      <c r="G41" s="24" t="n"/>
      <c r="H41" s="53" t="str">
        <f>IF(NOT(ISNUMBER(A41)),"",IF(COUNTIFS('交易记录'!$Z$5:$Z$304,A41,'交易记录'!$AF$5:$AF$304,"已平仓")=0,"",SUMIFS('交易记录'!$AK$5:$AK$304,'交易记录'!$Z$5:$Z$304,A41,'交易记录'!$AF$5:$AF$304,"已平仓")))</f>
        <v/>
      </c>
      <c r="I41" s="38" t="str">
        <f>IF(NOT(ISNUMBER(H41)),"",IF(H41&lt;=-'参数'!$C$8,"触及停手线",""))</f>
        <v/>
      </c>
      <c r="J41" s="30" t="n"/>
      <c r="K41" s="30" t="n"/>
    </row>
    <row r="42">
      <c r="A42" s="29" t="n"/>
      <c r="B42" s="38" t="str">
        <f>IF(ISNUMBER(A42),"周"&amp;CHOOSE(WEEKDAY(A42,2),"一","二","三","四","五","六","日"),"")</f>
        <v/>
      </c>
      <c r="C42" s="31" t="n"/>
      <c r="D42" s="24" t="n"/>
      <c r="E42" s="52" t="str">
        <f>IF(ISNUMBER(A42),COUNTIFS('交易记录'!$B$5:$B$304,A42,'交易记录'!$X$5:$X$304,"已执行"),"")</f>
        <v/>
      </c>
      <c r="F42" s="30" t="n"/>
      <c r="G42" s="24" t="n"/>
      <c r="H42" s="53" t="str">
        <f>IF(NOT(ISNUMBER(A42)),"",IF(COUNTIFS('交易记录'!$Z$5:$Z$304,A42,'交易记录'!$AF$5:$AF$304,"已平仓")=0,"",SUMIFS('交易记录'!$AK$5:$AK$304,'交易记录'!$Z$5:$Z$304,A42,'交易记录'!$AF$5:$AF$304,"已平仓")))</f>
        <v/>
      </c>
      <c r="I42" s="38" t="str">
        <f>IF(NOT(ISNUMBER(H42)),"",IF(H42&lt;=-'参数'!$C$8,"触及停手线",""))</f>
        <v/>
      </c>
      <c r="J42" s="30" t="n"/>
      <c r="K42" s="30" t="n"/>
    </row>
    <row r="43">
      <c r="A43" s="29" t="n"/>
      <c r="B43" s="38" t="str">
        <f>IF(ISNUMBER(A43),"周"&amp;CHOOSE(WEEKDAY(A43,2),"一","二","三","四","五","六","日"),"")</f>
        <v/>
      </c>
      <c r="C43" s="31" t="n"/>
      <c r="D43" s="24" t="n"/>
      <c r="E43" s="52" t="str">
        <f>IF(ISNUMBER(A43),COUNTIFS('交易记录'!$B$5:$B$304,A43,'交易记录'!$X$5:$X$304,"已执行"),"")</f>
        <v/>
      </c>
      <c r="F43" s="30" t="n"/>
      <c r="G43" s="24" t="n"/>
      <c r="H43" s="53" t="str">
        <f>IF(NOT(ISNUMBER(A43)),"",IF(COUNTIFS('交易记录'!$Z$5:$Z$304,A43,'交易记录'!$AF$5:$AF$304,"已平仓")=0,"",SUMIFS('交易记录'!$AK$5:$AK$304,'交易记录'!$Z$5:$Z$304,A43,'交易记录'!$AF$5:$AF$304,"已平仓")))</f>
        <v/>
      </c>
      <c r="I43" s="38" t="str">
        <f>IF(NOT(ISNUMBER(H43)),"",IF(H43&lt;=-'参数'!$C$8,"触及停手线",""))</f>
        <v/>
      </c>
      <c r="J43" s="30" t="n"/>
      <c r="K43" s="30" t="n"/>
    </row>
    <row r="44">
      <c r="A44" s="29" t="n"/>
      <c r="B44" s="38" t="str">
        <f>IF(ISNUMBER(A44),"周"&amp;CHOOSE(WEEKDAY(A44,2),"一","二","三","四","五","六","日"),"")</f>
        <v/>
      </c>
      <c r="C44" s="31" t="n"/>
      <c r="D44" s="24" t="n"/>
      <c r="E44" s="52" t="str">
        <f>IF(ISNUMBER(A44),COUNTIFS('交易记录'!$B$5:$B$304,A44,'交易记录'!$X$5:$X$304,"已执行"),"")</f>
        <v/>
      </c>
      <c r="F44" s="30" t="n"/>
      <c r="G44" s="24" t="n"/>
      <c r="H44" s="53" t="str">
        <f>IF(NOT(ISNUMBER(A44)),"",IF(COUNTIFS('交易记录'!$Z$5:$Z$304,A44,'交易记录'!$AF$5:$AF$304,"已平仓")=0,"",SUMIFS('交易记录'!$AK$5:$AK$304,'交易记录'!$Z$5:$Z$304,A44,'交易记录'!$AF$5:$AF$304,"已平仓")))</f>
        <v/>
      </c>
      <c r="I44" s="38" t="str">
        <f>IF(NOT(ISNUMBER(H44)),"",IF(H44&lt;=-'参数'!$C$8,"触及停手线",""))</f>
        <v/>
      </c>
      <c r="J44" s="30" t="n"/>
      <c r="K44" s="30" t="n"/>
    </row>
    <row r="45">
      <c r="A45" s="29" t="n"/>
      <c r="B45" s="38" t="str">
        <f>IF(ISNUMBER(A45),"周"&amp;CHOOSE(WEEKDAY(A45,2),"一","二","三","四","五","六","日"),"")</f>
        <v/>
      </c>
      <c r="C45" s="31" t="n"/>
      <c r="D45" s="24" t="n"/>
      <c r="E45" s="52" t="str">
        <f>IF(ISNUMBER(A45),COUNTIFS('交易记录'!$B$5:$B$304,A45,'交易记录'!$X$5:$X$304,"已执行"),"")</f>
        <v/>
      </c>
      <c r="F45" s="30" t="n"/>
      <c r="G45" s="24" t="n"/>
      <c r="H45" s="53" t="str">
        <f>IF(NOT(ISNUMBER(A45)),"",IF(COUNTIFS('交易记录'!$Z$5:$Z$304,A45,'交易记录'!$AF$5:$AF$304,"已平仓")=0,"",SUMIFS('交易记录'!$AK$5:$AK$304,'交易记录'!$Z$5:$Z$304,A45,'交易记录'!$AF$5:$AF$304,"已平仓")))</f>
        <v/>
      </c>
      <c r="I45" s="38" t="str">
        <f>IF(NOT(ISNUMBER(H45)),"",IF(H45&lt;=-'参数'!$C$8,"触及停手线",""))</f>
        <v/>
      </c>
      <c r="J45" s="30" t="n"/>
      <c r="K45" s="30" t="n"/>
    </row>
    <row r="46">
      <c r="A46" s="29" t="n"/>
      <c r="B46" s="38" t="str">
        <f>IF(ISNUMBER(A46),"周"&amp;CHOOSE(WEEKDAY(A46,2),"一","二","三","四","五","六","日"),"")</f>
        <v/>
      </c>
      <c r="C46" s="31" t="n"/>
      <c r="D46" s="24" t="n"/>
      <c r="E46" s="52" t="str">
        <f>IF(ISNUMBER(A46),COUNTIFS('交易记录'!$B$5:$B$304,A46,'交易记录'!$X$5:$X$304,"已执行"),"")</f>
        <v/>
      </c>
      <c r="F46" s="30" t="n"/>
      <c r="G46" s="24" t="n"/>
      <c r="H46" s="53" t="str">
        <f>IF(NOT(ISNUMBER(A46)),"",IF(COUNTIFS('交易记录'!$Z$5:$Z$304,A46,'交易记录'!$AF$5:$AF$304,"已平仓")=0,"",SUMIFS('交易记录'!$AK$5:$AK$304,'交易记录'!$Z$5:$Z$304,A46,'交易记录'!$AF$5:$AF$304,"已平仓")))</f>
        <v/>
      </c>
      <c r="I46" s="38" t="str">
        <f>IF(NOT(ISNUMBER(H46)),"",IF(H46&lt;=-'参数'!$C$8,"触及停手线",""))</f>
        <v/>
      </c>
      <c r="J46" s="30" t="n"/>
      <c r="K46" s="30" t="n"/>
    </row>
    <row r="47">
      <c r="A47" s="29" t="n"/>
      <c r="B47" s="38" t="str">
        <f>IF(ISNUMBER(A47),"周"&amp;CHOOSE(WEEKDAY(A47,2),"一","二","三","四","五","六","日"),"")</f>
        <v/>
      </c>
      <c r="C47" s="31" t="n"/>
      <c r="D47" s="24" t="n"/>
      <c r="E47" s="52" t="str">
        <f>IF(ISNUMBER(A47),COUNTIFS('交易记录'!$B$5:$B$304,A47,'交易记录'!$X$5:$X$304,"已执行"),"")</f>
        <v/>
      </c>
      <c r="F47" s="30" t="n"/>
      <c r="G47" s="24" t="n"/>
      <c r="H47" s="53" t="str">
        <f>IF(NOT(ISNUMBER(A47)),"",IF(COUNTIFS('交易记录'!$Z$5:$Z$304,A47,'交易记录'!$AF$5:$AF$304,"已平仓")=0,"",SUMIFS('交易记录'!$AK$5:$AK$304,'交易记录'!$Z$5:$Z$304,A47,'交易记录'!$AF$5:$AF$304,"已平仓")))</f>
        <v/>
      </c>
      <c r="I47" s="38" t="str">
        <f>IF(NOT(ISNUMBER(H47)),"",IF(H47&lt;=-'参数'!$C$8,"触及停手线",""))</f>
        <v/>
      </c>
      <c r="J47" s="30" t="n"/>
      <c r="K47" s="30" t="n"/>
    </row>
    <row r="48">
      <c r="A48" s="29" t="n"/>
      <c r="B48" s="38" t="str">
        <f>IF(ISNUMBER(A48),"周"&amp;CHOOSE(WEEKDAY(A48,2),"一","二","三","四","五","六","日"),"")</f>
        <v/>
      </c>
      <c r="C48" s="31" t="n"/>
      <c r="D48" s="24" t="n"/>
      <c r="E48" s="52" t="str">
        <f>IF(ISNUMBER(A48),COUNTIFS('交易记录'!$B$5:$B$304,A48,'交易记录'!$X$5:$X$304,"已执行"),"")</f>
        <v/>
      </c>
      <c r="F48" s="30" t="n"/>
      <c r="G48" s="24" t="n"/>
      <c r="H48" s="53" t="str">
        <f>IF(NOT(ISNUMBER(A48)),"",IF(COUNTIFS('交易记录'!$Z$5:$Z$304,A48,'交易记录'!$AF$5:$AF$304,"已平仓")=0,"",SUMIFS('交易记录'!$AK$5:$AK$304,'交易记录'!$Z$5:$Z$304,A48,'交易记录'!$AF$5:$AF$304,"已平仓")))</f>
        <v/>
      </c>
      <c r="I48" s="38" t="str">
        <f>IF(NOT(ISNUMBER(H48)),"",IF(H48&lt;=-'参数'!$C$8,"触及停手线",""))</f>
        <v/>
      </c>
      <c r="J48" s="30" t="n"/>
      <c r="K48" s="30" t="n"/>
    </row>
    <row r="49">
      <c r="A49" s="29" t="n"/>
      <c r="B49" s="38" t="str">
        <f>IF(ISNUMBER(A49),"周"&amp;CHOOSE(WEEKDAY(A49,2),"一","二","三","四","五","六","日"),"")</f>
        <v/>
      </c>
      <c r="C49" s="31" t="n"/>
      <c r="D49" s="24" t="n"/>
      <c r="E49" s="52" t="str">
        <f>IF(ISNUMBER(A49),COUNTIFS('交易记录'!$B$5:$B$304,A49,'交易记录'!$X$5:$X$304,"已执行"),"")</f>
        <v/>
      </c>
      <c r="F49" s="30" t="n"/>
      <c r="G49" s="24" t="n"/>
      <c r="H49" s="53" t="str">
        <f>IF(NOT(ISNUMBER(A49)),"",IF(COUNTIFS('交易记录'!$Z$5:$Z$304,A49,'交易记录'!$AF$5:$AF$304,"已平仓")=0,"",SUMIFS('交易记录'!$AK$5:$AK$304,'交易记录'!$Z$5:$Z$304,A49,'交易记录'!$AF$5:$AF$304,"已平仓")))</f>
        <v/>
      </c>
      <c r="I49" s="38" t="str">
        <f>IF(NOT(ISNUMBER(H49)),"",IF(H49&lt;=-'参数'!$C$8,"触及停手线",""))</f>
        <v/>
      </c>
      <c r="J49" s="30" t="n"/>
      <c r="K49" s="30" t="n"/>
    </row>
    <row r="50">
      <c r="A50" s="29" t="n"/>
      <c r="B50" s="38" t="str">
        <f>IF(ISNUMBER(A50),"周"&amp;CHOOSE(WEEKDAY(A50,2),"一","二","三","四","五","六","日"),"")</f>
        <v/>
      </c>
      <c r="C50" s="31" t="n"/>
      <c r="D50" s="24" t="n"/>
      <c r="E50" s="52" t="str">
        <f>IF(ISNUMBER(A50),COUNTIFS('交易记录'!$B$5:$B$304,A50,'交易记录'!$X$5:$X$304,"已执行"),"")</f>
        <v/>
      </c>
      <c r="F50" s="30" t="n"/>
      <c r="G50" s="24" t="n"/>
      <c r="H50" s="53" t="str">
        <f>IF(NOT(ISNUMBER(A50)),"",IF(COUNTIFS('交易记录'!$Z$5:$Z$304,A50,'交易记录'!$AF$5:$AF$304,"已平仓")=0,"",SUMIFS('交易记录'!$AK$5:$AK$304,'交易记录'!$Z$5:$Z$304,A50,'交易记录'!$AF$5:$AF$304,"已平仓")))</f>
        <v/>
      </c>
      <c r="I50" s="38" t="str">
        <f>IF(NOT(ISNUMBER(H50)),"",IF(H50&lt;=-'参数'!$C$8,"触及停手线",""))</f>
        <v/>
      </c>
      <c r="J50" s="30" t="n"/>
      <c r="K50" s="30" t="n"/>
    </row>
    <row r="51">
      <c r="A51" s="29" t="n"/>
      <c r="B51" s="38" t="str">
        <f>IF(ISNUMBER(A51),"周"&amp;CHOOSE(WEEKDAY(A51,2),"一","二","三","四","五","六","日"),"")</f>
        <v/>
      </c>
      <c r="C51" s="31" t="n"/>
      <c r="D51" s="24" t="n"/>
      <c r="E51" s="52" t="str">
        <f>IF(ISNUMBER(A51),COUNTIFS('交易记录'!$B$5:$B$304,A51,'交易记录'!$X$5:$X$304,"已执行"),"")</f>
        <v/>
      </c>
      <c r="F51" s="30" t="n"/>
      <c r="G51" s="24" t="n"/>
      <c r="H51" s="53" t="str">
        <f>IF(NOT(ISNUMBER(A51)),"",IF(COUNTIFS('交易记录'!$Z$5:$Z$304,A51,'交易记录'!$AF$5:$AF$304,"已平仓")=0,"",SUMIFS('交易记录'!$AK$5:$AK$304,'交易记录'!$Z$5:$Z$304,A51,'交易记录'!$AF$5:$AF$304,"已平仓")))</f>
        <v/>
      </c>
      <c r="I51" s="38" t="str">
        <f>IF(NOT(ISNUMBER(H51)),"",IF(H51&lt;=-'参数'!$C$8,"触及停手线",""))</f>
        <v/>
      </c>
      <c r="J51" s="30" t="n"/>
      <c r="K51" s="30" t="n"/>
    </row>
    <row r="52">
      <c r="A52" s="29" t="n"/>
      <c r="B52" s="38" t="str">
        <f>IF(ISNUMBER(A52),"周"&amp;CHOOSE(WEEKDAY(A52,2),"一","二","三","四","五","六","日"),"")</f>
        <v/>
      </c>
      <c r="C52" s="31" t="n"/>
      <c r="D52" s="24" t="n"/>
      <c r="E52" s="52" t="str">
        <f>IF(ISNUMBER(A52),COUNTIFS('交易记录'!$B$5:$B$304,A52,'交易记录'!$X$5:$X$304,"已执行"),"")</f>
        <v/>
      </c>
      <c r="F52" s="30" t="n"/>
      <c r="G52" s="24" t="n"/>
      <c r="H52" s="53" t="str">
        <f>IF(NOT(ISNUMBER(A52)),"",IF(COUNTIFS('交易记录'!$Z$5:$Z$304,A52,'交易记录'!$AF$5:$AF$304,"已平仓")=0,"",SUMIFS('交易记录'!$AK$5:$AK$304,'交易记录'!$Z$5:$Z$304,A52,'交易记录'!$AF$5:$AF$304,"已平仓")))</f>
        <v/>
      </c>
      <c r="I52" s="38" t="str">
        <f>IF(NOT(ISNUMBER(H52)),"",IF(H52&lt;=-'参数'!$C$8,"触及停手线",""))</f>
        <v/>
      </c>
      <c r="J52" s="30" t="n"/>
      <c r="K52" s="30" t="n"/>
    </row>
    <row r="53">
      <c r="A53" s="29" t="n"/>
      <c r="B53" s="38" t="str">
        <f>IF(ISNUMBER(A53),"周"&amp;CHOOSE(WEEKDAY(A53,2),"一","二","三","四","五","六","日"),"")</f>
        <v/>
      </c>
      <c r="C53" s="31" t="n"/>
      <c r="D53" s="24" t="n"/>
      <c r="E53" s="52" t="str">
        <f>IF(ISNUMBER(A53),COUNTIFS('交易记录'!$B$5:$B$304,A53,'交易记录'!$X$5:$X$304,"已执行"),"")</f>
        <v/>
      </c>
      <c r="F53" s="30" t="n"/>
      <c r="G53" s="24" t="n"/>
      <c r="H53" s="53" t="str">
        <f>IF(NOT(ISNUMBER(A53)),"",IF(COUNTIFS('交易记录'!$Z$5:$Z$304,A53,'交易记录'!$AF$5:$AF$304,"已平仓")=0,"",SUMIFS('交易记录'!$AK$5:$AK$304,'交易记录'!$Z$5:$Z$304,A53,'交易记录'!$AF$5:$AF$304,"已平仓")))</f>
        <v/>
      </c>
      <c r="I53" s="38" t="str">
        <f>IF(NOT(ISNUMBER(H53)),"",IF(H53&lt;=-'参数'!$C$8,"触及停手线",""))</f>
        <v/>
      </c>
      <c r="J53" s="30" t="n"/>
      <c r="K53" s="30" t="n"/>
    </row>
    <row r="54">
      <c r="A54" s="29" t="n"/>
      <c r="B54" s="38" t="str">
        <f>IF(ISNUMBER(A54),"周"&amp;CHOOSE(WEEKDAY(A54,2),"一","二","三","四","五","六","日"),"")</f>
        <v/>
      </c>
      <c r="C54" s="31" t="n"/>
      <c r="D54" s="24" t="n"/>
      <c r="E54" s="52" t="str">
        <f>IF(ISNUMBER(A54),COUNTIFS('交易记录'!$B$5:$B$304,A54,'交易记录'!$X$5:$X$304,"已执行"),"")</f>
        <v/>
      </c>
      <c r="F54" s="30" t="n"/>
      <c r="G54" s="24" t="n"/>
      <c r="H54" s="53" t="str">
        <f>IF(NOT(ISNUMBER(A54)),"",IF(COUNTIFS('交易记录'!$Z$5:$Z$304,A54,'交易记录'!$AF$5:$AF$304,"已平仓")=0,"",SUMIFS('交易记录'!$AK$5:$AK$304,'交易记录'!$Z$5:$Z$304,A54,'交易记录'!$AF$5:$AF$304,"已平仓")))</f>
        <v/>
      </c>
      <c r="I54" s="38" t="str">
        <f>IF(NOT(ISNUMBER(H54)),"",IF(H54&lt;=-'参数'!$C$8,"触及停手线",""))</f>
        <v/>
      </c>
      <c r="J54" s="30" t="n"/>
      <c r="K54" s="30" t="n"/>
    </row>
    <row r="55">
      <c r="A55" s="29" t="n"/>
      <c r="B55" s="38" t="str">
        <f>IF(ISNUMBER(A55),"周"&amp;CHOOSE(WEEKDAY(A55,2),"一","二","三","四","五","六","日"),"")</f>
        <v/>
      </c>
      <c r="C55" s="31" t="n"/>
      <c r="D55" s="24" t="n"/>
      <c r="E55" s="52" t="str">
        <f>IF(ISNUMBER(A55),COUNTIFS('交易记录'!$B$5:$B$304,A55,'交易记录'!$X$5:$X$304,"已执行"),"")</f>
        <v/>
      </c>
      <c r="F55" s="30" t="n"/>
      <c r="G55" s="24" t="n"/>
      <c r="H55" s="53" t="str">
        <f>IF(NOT(ISNUMBER(A55)),"",IF(COUNTIFS('交易记录'!$Z$5:$Z$304,A55,'交易记录'!$AF$5:$AF$304,"已平仓")=0,"",SUMIFS('交易记录'!$AK$5:$AK$304,'交易记录'!$Z$5:$Z$304,A55,'交易记录'!$AF$5:$AF$304,"已平仓")))</f>
        <v/>
      </c>
      <c r="I55" s="38" t="str">
        <f>IF(NOT(ISNUMBER(H55)),"",IF(H55&lt;=-'参数'!$C$8,"触及停手线",""))</f>
        <v/>
      </c>
      <c r="J55" s="30" t="n"/>
      <c r="K55" s="30" t="n"/>
    </row>
    <row r="56">
      <c r="A56" s="29" t="n"/>
      <c r="B56" s="38" t="str">
        <f>IF(ISNUMBER(A56),"周"&amp;CHOOSE(WEEKDAY(A56,2),"一","二","三","四","五","六","日"),"")</f>
        <v/>
      </c>
      <c r="C56" s="31" t="n"/>
      <c r="D56" s="24" t="n"/>
      <c r="E56" s="52" t="str">
        <f>IF(ISNUMBER(A56),COUNTIFS('交易记录'!$B$5:$B$304,A56,'交易记录'!$X$5:$X$304,"已执行"),"")</f>
        <v/>
      </c>
      <c r="F56" s="30" t="n"/>
      <c r="G56" s="24" t="n"/>
      <c r="H56" s="53" t="str">
        <f>IF(NOT(ISNUMBER(A56)),"",IF(COUNTIFS('交易记录'!$Z$5:$Z$304,A56,'交易记录'!$AF$5:$AF$304,"已平仓")=0,"",SUMIFS('交易记录'!$AK$5:$AK$304,'交易记录'!$Z$5:$Z$304,A56,'交易记录'!$AF$5:$AF$304,"已平仓")))</f>
        <v/>
      </c>
      <c r="I56" s="38" t="str">
        <f>IF(NOT(ISNUMBER(H56)),"",IF(H56&lt;=-'参数'!$C$8,"触及停手线",""))</f>
        <v/>
      </c>
      <c r="J56" s="30" t="n"/>
      <c r="K56" s="30" t="n"/>
    </row>
    <row r="57">
      <c r="A57" s="29" t="n"/>
      <c r="B57" s="38" t="str">
        <f>IF(ISNUMBER(A57),"周"&amp;CHOOSE(WEEKDAY(A57,2),"一","二","三","四","五","六","日"),"")</f>
        <v/>
      </c>
      <c r="C57" s="31" t="n"/>
      <c r="D57" s="24" t="n"/>
      <c r="E57" s="52" t="str">
        <f>IF(ISNUMBER(A57),COUNTIFS('交易记录'!$B$5:$B$304,A57,'交易记录'!$X$5:$X$304,"已执行"),"")</f>
        <v/>
      </c>
      <c r="F57" s="30" t="n"/>
      <c r="G57" s="24" t="n"/>
      <c r="H57" s="53" t="str">
        <f>IF(NOT(ISNUMBER(A57)),"",IF(COUNTIFS('交易记录'!$Z$5:$Z$304,A57,'交易记录'!$AF$5:$AF$304,"已平仓")=0,"",SUMIFS('交易记录'!$AK$5:$AK$304,'交易记录'!$Z$5:$Z$304,A57,'交易记录'!$AF$5:$AF$304,"已平仓")))</f>
        <v/>
      </c>
      <c r="I57" s="38" t="str">
        <f>IF(NOT(ISNUMBER(H57)),"",IF(H57&lt;=-'参数'!$C$8,"触及停手线",""))</f>
        <v/>
      </c>
      <c r="J57" s="30" t="n"/>
      <c r="K57" s="30" t="n"/>
    </row>
    <row r="58">
      <c r="A58" s="29" t="n"/>
      <c r="B58" s="38" t="str">
        <f>IF(ISNUMBER(A58),"周"&amp;CHOOSE(WEEKDAY(A58,2),"一","二","三","四","五","六","日"),"")</f>
        <v/>
      </c>
      <c r="C58" s="31" t="n"/>
      <c r="D58" s="24" t="n"/>
      <c r="E58" s="52" t="str">
        <f>IF(ISNUMBER(A58),COUNTIFS('交易记录'!$B$5:$B$304,A58,'交易记录'!$X$5:$X$304,"已执行"),"")</f>
        <v/>
      </c>
      <c r="F58" s="30" t="n"/>
      <c r="G58" s="24" t="n"/>
      <c r="H58" s="53" t="str">
        <f>IF(NOT(ISNUMBER(A58)),"",IF(COUNTIFS('交易记录'!$Z$5:$Z$304,A58,'交易记录'!$AF$5:$AF$304,"已平仓")=0,"",SUMIFS('交易记录'!$AK$5:$AK$304,'交易记录'!$Z$5:$Z$304,A58,'交易记录'!$AF$5:$AF$304,"已平仓")))</f>
        <v/>
      </c>
      <c r="I58" s="38" t="str">
        <f>IF(NOT(ISNUMBER(H58)),"",IF(H58&lt;=-'参数'!$C$8,"触及停手线",""))</f>
        <v/>
      </c>
      <c r="J58" s="30" t="n"/>
      <c r="K58" s="30" t="n"/>
    </row>
    <row r="59">
      <c r="A59" s="29" t="n"/>
      <c r="B59" s="38" t="str">
        <f>IF(ISNUMBER(A59),"周"&amp;CHOOSE(WEEKDAY(A59,2),"一","二","三","四","五","六","日"),"")</f>
        <v/>
      </c>
      <c r="C59" s="31" t="n"/>
      <c r="D59" s="24" t="n"/>
      <c r="E59" s="52" t="str">
        <f>IF(ISNUMBER(A59),COUNTIFS('交易记录'!$B$5:$B$304,A59,'交易记录'!$X$5:$X$304,"已执行"),"")</f>
        <v/>
      </c>
      <c r="F59" s="30" t="n"/>
      <c r="G59" s="24" t="n"/>
      <c r="H59" s="53" t="str">
        <f>IF(NOT(ISNUMBER(A59)),"",IF(COUNTIFS('交易记录'!$Z$5:$Z$304,A59,'交易记录'!$AF$5:$AF$304,"已平仓")=0,"",SUMIFS('交易记录'!$AK$5:$AK$304,'交易记录'!$Z$5:$Z$304,A59,'交易记录'!$AF$5:$AF$304,"已平仓")))</f>
        <v/>
      </c>
      <c r="I59" s="38" t="str">
        <f>IF(NOT(ISNUMBER(H59)),"",IF(H59&lt;=-'参数'!$C$8,"触及停手线",""))</f>
        <v/>
      </c>
      <c r="J59" s="30" t="n"/>
      <c r="K59" s="30" t="n"/>
    </row>
    <row r="60">
      <c r="A60" s="29" t="n"/>
      <c r="B60" s="38" t="str">
        <f>IF(ISNUMBER(A60),"周"&amp;CHOOSE(WEEKDAY(A60,2),"一","二","三","四","五","六","日"),"")</f>
        <v/>
      </c>
      <c r="C60" s="31" t="n"/>
      <c r="D60" s="24" t="n"/>
      <c r="E60" s="52" t="str">
        <f>IF(ISNUMBER(A60),COUNTIFS('交易记录'!$B$5:$B$304,A60,'交易记录'!$X$5:$X$304,"已执行"),"")</f>
        <v/>
      </c>
      <c r="F60" s="30" t="n"/>
      <c r="G60" s="24" t="n"/>
      <c r="H60" s="53" t="str">
        <f>IF(NOT(ISNUMBER(A60)),"",IF(COUNTIFS('交易记录'!$Z$5:$Z$304,A60,'交易记录'!$AF$5:$AF$304,"已平仓")=0,"",SUMIFS('交易记录'!$AK$5:$AK$304,'交易记录'!$Z$5:$Z$304,A60,'交易记录'!$AF$5:$AF$304,"已平仓")))</f>
        <v/>
      </c>
      <c r="I60" s="38" t="str">
        <f>IF(NOT(ISNUMBER(H60)),"",IF(H60&lt;=-'参数'!$C$8,"触及停手线",""))</f>
        <v/>
      </c>
      <c r="J60" s="30" t="n"/>
      <c r="K60" s="30" t="n"/>
    </row>
    <row r="61">
      <c r="A61" s="29" t="n"/>
      <c r="B61" s="38" t="str">
        <f>IF(ISNUMBER(A61),"周"&amp;CHOOSE(WEEKDAY(A61,2),"一","二","三","四","五","六","日"),"")</f>
        <v/>
      </c>
      <c r="C61" s="31" t="n"/>
      <c r="D61" s="24" t="n"/>
      <c r="E61" s="52" t="str">
        <f>IF(ISNUMBER(A61),COUNTIFS('交易记录'!$B$5:$B$304,A61,'交易记录'!$X$5:$X$304,"已执行"),"")</f>
        <v/>
      </c>
      <c r="F61" s="30" t="n"/>
      <c r="G61" s="24" t="n"/>
      <c r="H61" s="53" t="str">
        <f>IF(NOT(ISNUMBER(A61)),"",IF(COUNTIFS('交易记录'!$Z$5:$Z$304,A61,'交易记录'!$AF$5:$AF$304,"已平仓")=0,"",SUMIFS('交易记录'!$AK$5:$AK$304,'交易记录'!$Z$5:$Z$304,A61,'交易记录'!$AF$5:$AF$304,"已平仓")))</f>
        <v/>
      </c>
      <c r="I61" s="38" t="str">
        <f>IF(NOT(ISNUMBER(H61)),"",IF(H61&lt;=-'参数'!$C$8,"触及停手线",""))</f>
        <v/>
      </c>
      <c r="J61" s="30" t="n"/>
      <c r="K61" s="30" t="n"/>
    </row>
    <row r="62">
      <c r="A62" s="29" t="n"/>
      <c r="B62" s="38" t="str">
        <f>IF(ISNUMBER(A62),"周"&amp;CHOOSE(WEEKDAY(A62,2),"一","二","三","四","五","六","日"),"")</f>
        <v/>
      </c>
      <c r="C62" s="31" t="n"/>
      <c r="D62" s="24" t="n"/>
      <c r="E62" s="52" t="str">
        <f>IF(ISNUMBER(A62),COUNTIFS('交易记录'!$B$5:$B$304,A62,'交易记录'!$X$5:$X$304,"已执行"),"")</f>
        <v/>
      </c>
      <c r="F62" s="30" t="n"/>
      <c r="G62" s="24" t="n"/>
      <c r="H62" s="53" t="str">
        <f>IF(NOT(ISNUMBER(A62)),"",IF(COUNTIFS('交易记录'!$Z$5:$Z$304,A62,'交易记录'!$AF$5:$AF$304,"已平仓")=0,"",SUMIFS('交易记录'!$AK$5:$AK$304,'交易记录'!$Z$5:$Z$304,A62,'交易记录'!$AF$5:$AF$304,"已平仓")))</f>
        <v/>
      </c>
      <c r="I62" s="38" t="str">
        <f>IF(NOT(ISNUMBER(H62)),"",IF(H62&lt;=-'参数'!$C$8,"触及停手线",""))</f>
        <v/>
      </c>
      <c r="J62" s="30" t="n"/>
      <c r="K62" s="30" t="n"/>
    </row>
    <row r="63">
      <c r="A63" s="29" t="n"/>
      <c r="B63" s="38" t="str">
        <f>IF(ISNUMBER(A63),"周"&amp;CHOOSE(WEEKDAY(A63,2),"一","二","三","四","五","六","日"),"")</f>
        <v/>
      </c>
      <c r="C63" s="31" t="n"/>
      <c r="D63" s="24" t="n"/>
      <c r="E63" s="52" t="str">
        <f>IF(ISNUMBER(A63),COUNTIFS('交易记录'!$B$5:$B$304,A63,'交易记录'!$X$5:$X$304,"已执行"),"")</f>
        <v/>
      </c>
      <c r="F63" s="30" t="n"/>
      <c r="G63" s="24" t="n"/>
      <c r="H63" s="53" t="str">
        <f>IF(NOT(ISNUMBER(A63)),"",IF(COUNTIFS('交易记录'!$Z$5:$Z$304,A63,'交易记录'!$AF$5:$AF$304,"已平仓")=0,"",SUMIFS('交易记录'!$AK$5:$AK$304,'交易记录'!$Z$5:$Z$304,A63,'交易记录'!$AF$5:$AF$304,"已平仓")))</f>
        <v/>
      </c>
      <c r="I63" s="38" t="str">
        <f>IF(NOT(ISNUMBER(H63)),"",IF(H63&lt;=-'参数'!$C$8,"触及停手线",""))</f>
        <v/>
      </c>
      <c r="J63" s="30" t="n"/>
      <c r="K63" s="30" t="n"/>
    </row>
    <row r="64">
      <c r="A64" s="29" t="n"/>
      <c r="B64" s="38" t="str">
        <f>IF(ISNUMBER(A64),"周"&amp;CHOOSE(WEEKDAY(A64,2),"一","二","三","四","五","六","日"),"")</f>
        <v/>
      </c>
      <c r="C64" s="31" t="n"/>
      <c r="D64" s="24" t="n"/>
      <c r="E64" s="52" t="str">
        <f>IF(ISNUMBER(A64),COUNTIFS('交易记录'!$B$5:$B$304,A64,'交易记录'!$X$5:$X$304,"已执行"),"")</f>
        <v/>
      </c>
      <c r="F64" s="30" t="n"/>
      <c r="G64" s="24" t="n"/>
      <c r="H64" s="53" t="str">
        <f>IF(NOT(ISNUMBER(A64)),"",IF(COUNTIFS('交易记录'!$Z$5:$Z$304,A64,'交易记录'!$AF$5:$AF$304,"已平仓")=0,"",SUMIFS('交易记录'!$AK$5:$AK$304,'交易记录'!$Z$5:$Z$304,A64,'交易记录'!$AF$5:$AF$304,"已平仓")))</f>
        <v/>
      </c>
      <c r="I64" s="38" t="str">
        <f>IF(NOT(ISNUMBER(H64)),"",IF(H64&lt;=-'参数'!$C$8,"触及停手线",""))</f>
        <v/>
      </c>
      <c r="J64" s="30" t="n"/>
      <c r="K64" s="30" t="n"/>
    </row>
    <row r="65">
      <c r="A65" s="29" t="n"/>
      <c r="B65" s="38" t="str">
        <f>IF(ISNUMBER(A65),"周"&amp;CHOOSE(WEEKDAY(A65,2),"一","二","三","四","五","六","日"),"")</f>
        <v/>
      </c>
      <c r="C65" s="31" t="n"/>
      <c r="D65" s="24" t="n"/>
      <c r="E65" s="52" t="str">
        <f>IF(ISNUMBER(A65),COUNTIFS('交易记录'!$B$5:$B$304,A65,'交易记录'!$X$5:$X$304,"已执行"),"")</f>
        <v/>
      </c>
      <c r="F65" s="30" t="n"/>
      <c r="G65" s="24" t="n"/>
      <c r="H65" s="53" t="str">
        <f>IF(NOT(ISNUMBER(A65)),"",IF(COUNTIFS('交易记录'!$Z$5:$Z$304,A65,'交易记录'!$AF$5:$AF$304,"已平仓")=0,"",SUMIFS('交易记录'!$AK$5:$AK$304,'交易记录'!$Z$5:$Z$304,A65,'交易记录'!$AF$5:$AF$304,"已平仓")))</f>
        <v/>
      </c>
      <c r="I65" s="38" t="str">
        <f>IF(NOT(ISNUMBER(H65)),"",IF(H65&lt;=-'参数'!$C$8,"触及停手线",""))</f>
        <v/>
      </c>
      <c r="J65" s="30" t="n"/>
      <c r="K65" s="30" t="n"/>
    </row>
    <row r="66">
      <c r="A66" s="29" t="n"/>
      <c r="B66" s="38" t="str">
        <f>IF(ISNUMBER(A66),"周"&amp;CHOOSE(WEEKDAY(A66,2),"一","二","三","四","五","六","日"),"")</f>
        <v/>
      </c>
      <c r="C66" s="31" t="n"/>
      <c r="D66" s="24" t="n"/>
      <c r="E66" s="52" t="str">
        <f>IF(ISNUMBER(A66),COUNTIFS('交易记录'!$B$5:$B$304,A66,'交易记录'!$X$5:$X$304,"已执行"),"")</f>
        <v/>
      </c>
      <c r="F66" s="30" t="n"/>
      <c r="G66" s="24" t="n"/>
      <c r="H66" s="53" t="str">
        <f>IF(NOT(ISNUMBER(A66)),"",IF(COUNTIFS('交易记录'!$Z$5:$Z$304,A66,'交易记录'!$AF$5:$AF$304,"已平仓")=0,"",SUMIFS('交易记录'!$AK$5:$AK$304,'交易记录'!$Z$5:$Z$304,A66,'交易记录'!$AF$5:$AF$304,"已平仓")))</f>
        <v/>
      </c>
      <c r="I66" s="38" t="str">
        <f>IF(NOT(ISNUMBER(H66)),"",IF(H66&lt;=-'参数'!$C$8,"触及停手线",""))</f>
        <v/>
      </c>
      <c r="J66" s="30" t="n"/>
      <c r="K66" s="30" t="n"/>
    </row>
    <row r="67">
      <c r="A67" s="29" t="n"/>
      <c r="B67" s="38" t="str">
        <f>IF(ISNUMBER(A67),"周"&amp;CHOOSE(WEEKDAY(A67,2),"一","二","三","四","五","六","日"),"")</f>
        <v/>
      </c>
      <c r="C67" s="31" t="n"/>
      <c r="D67" s="24" t="n"/>
      <c r="E67" s="52" t="str">
        <f>IF(ISNUMBER(A67),COUNTIFS('交易记录'!$B$5:$B$304,A67,'交易记录'!$X$5:$X$304,"已执行"),"")</f>
        <v/>
      </c>
      <c r="F67" s="30" t="n"/>
      <c r="G67" s="24" t="n"/>
      <c r="H67" s="53" t="str">
        <f>IF(NOT(ISNUMBER(A67)),"",IF(COUNTIFS('交易记录'!$Z$5:$Z$304,A67,'交易记录'!$AF$5:$AF$304,"已平仓")=0,"",SUMIFS('交易记录'!$AK$5:$AK$304,'交易记录'!$Z$5:$Z$304,A67,'交易记录'!$AF$5:$AF$304,"已平仓")))</f>
        <v/>
      </c>
      <c r="I67" s="38" t="str">
        <f>IF(NOT(ISNUMBER(H67)),"",IF(H67&lt;=-'参数'!$C$8,"触及停手线",""))</f>
        <v/>
      </c>
      <c r="J67" s="30" t="n"/>
      <c r="K67" s="30" t="n"/>
    </row>
    <row r="68">
      <c r="A68" s="29" t="n"/>
      <c r="B68" s="38" t="str">
        <f>IF(ISNUMBER(A68),"周"&amp;CHOOSE(WEEKDAY(A68,2),"一","二","三","四","五","六","日"),"")</f>
        <v/>
      </c>
      <c r="C68" s="31" t="n"/>
      <c r="D68" s="24" t="n"/>
      <c r="E68" s="52" t="str">
        <f>IF(ISNUMBER(A68),COUNTIFS('交易记录'!$B$5:$B$304,A68,'交易记录'!$X$5:$X$304,"已执行"),"")</f>
        <v/>
      </c>
      <c r="F68" s="30" t="n"/>
      <c r="G68" s="24" t="n"/>
      <c r="H68" s="53" t="str">
        <f>IF(NOT(ISNUMBER(A68)),"",IF(COUNTIFS('交易记录'!$Z$5:$Z$304,A68,'交易记录'!$AF$5:$AF$304,"已平仓")=0,"",SUMIFS('交易记录'!$AK$5:$AK$304,'交易记录'!$Z$5:$Z$304,A68,'交易记录'!$AF$5:$AF$304,"已平仓")))</f>
        <v/>
      </c>
      <c r="I68" s="38" t="str">
        <f>IF(NOT(ISNUMBER(H68)),"",IF(H68&lt;=-'参数'!$C$8,"触及停手线",""))</f>
        <v/>
      </c>
      <c r="J68" s="30" t="n"/>
      <c r="K68" s="30" t="n"/>
    </row>
    <row r="69">
      <c r="A69" s="29" t="n"/>
      <c r="B69" s="38" t="str">
        <f>IF(ISNUMBER(A69),"周"&amp;CHOOSE(WEEKDAY(A69,2),"一","二","三","四","五","六","日"),"")</f>
        <v/>
      </c>
      <c r="C69" s="31" t="n"/>
      <c r="D69" s="24" t="n"/>
      <c r="E69" s="52" t="str">
        <f>IF(ISNUMBER(A69),COUNTIFS('交易记录'!$B$5:$B$304,A69,'交易记录'!$X$5:$X$304,"已执行"),"")</f>
        <v/>
      </c>
      <c r="F69" s="30" t="n"/>
      <c r="G69" s="24" t="n"/>
      <c r="H69" s="53" t="str">
        <f>IF(NOT(ISNUMBER(A69)),"",IF(COUNTIFS('交易记录'!$Z$5:$Z$304,A69,'交易记录'!$AF$5:$AF$304,"已平仓")=0,"",SUMIFS('交易记录'!$AK$5:$AK$304,'交易记录'!$Z$5:$Z$304,A69,'交易记录'!$AF$5:$AF$304,"已平仓")))</f>
        <v/>
      </c>
      <c r="I69" s="38" t="str">
        <f>IF(NOT(ISNUMBER(H69)),"",IF(H69&lt;=-'参数'!$C$8,"触及停手线",""))</f>
        <v/>
      </c>
      <c r="J69" s="30" t="n"/>
      <c r="K69" s="30" t="n"/>
    </row>
    <row r="70">
      <c r="A70" s="29" t="n"/>
      <c r="B70" s="38" t="str">
        <f>IF(ISNUMBER(A70),"周"&amp;CHOOSE(WEEKDAY(A70,2),"一","二","三","四","五","六","日"),"")</f>
        <v/>
      </c>
      <c r="C70" s="31" t="n"/>
      <c r="D70" s="24" t="n"/>
      <c r="E70" s="52" t="str">
        <f>IF(ISNUMBER(A70),COUNTIFS('交易记录'!$B$5:$B$304,A70,'交易记录'!$X$5:$X$304,"已执行"),"")</f>
        <v/>
      </c>
      <c r="F70" s="30" t="n"/>
      <c r="G70" s="24" t="n"/>
      <c r="H70" s="53" t="str">
        <f>IF(NOT(ISNUMBER(A70)),"",IF(COUNTIFS('交易记录'!$Z$5:$Z$304,A70,'交易记录'!$AF$5:$AF$304,"已平仓")=0,"",SUMIFS('交易记录'!$AK$5:$AK$304,'交易记录'!$Z$5:$Z$304,A70,'交易记录'!$AF$5:$AF$304,"已平仓")))</f>
        <v/>
      </c>
      <c r="I70" s="38" t="str">
        <f>IF(NOT(ISNUMBER(H70)),"",IF(H70&lt;=-'参数'!$C$8,"触及停手线",""))</f>
        <v/>
      </c>
      <c r="J70" s="30" t="n"/>
      <c r="K70" s="30" t="n"/>
    </row>
    <row r="71">
      <c r="A71" s="29" t="n"/>
      <c r="B71" s="38" t="str">
        <f>IF(ISNUMBER(A71),"周"&amp;CHOOSE(WEEKDAY(A71,2),"一","二","三","四","五","六","日"),"")</f>
        <v/>
      </c>
      <c r="C71" s="31" t="n"/>
      <c r="D71" s="24" t="n"/>
      <c r="E71" s="52" t="str">
        <f>IF(ISNUMBER(A71),COUNTIFS('交易记录'!$B$5:$B$304,A71,'交易记录'!$X$5:$X$304,"已执行"),"")</f>
        <v/>
      </c>
      <c r="F71" s="30" t="n"/>
      <c r="G71" s="24" t="n"/>
      <c r="H71" s="53" t="str">
        <f>IF(NOT(ISNUMBER(A71)),"",IF(COUNTIFS('交易记录'!$Z$5:$Z$304,A71,'交易记录'!$AF$5:$AF$304,"已平仓")=0,"",SUMIFS('交易记录'!$AK$5:$AK$304,'交易记录'!$Z$5:$Z$304,A71,'交易记录'!$AF$5:$AF$304,"已平仓")))</f>
        <v/>
      </c>
      <c r="I71" s="38" t="str">
        <f>IF(NOT(ISNUMBER(H71)),"",IF(H71&lt;=-'参数'!$C$8,"触及停手线",""))</f>
        <v/>
      </c>
      <c r="J71" s="30" t="n"/>
      <c r="K71" s="30" t="n"/>
    </row>
    <row r="72">
      <c r="A72" s="29" t="n"/>
      <c r="B72" s="38" t="str">
        <f>IF(ISNUMBER(A72),"周"&amp;CHOOSE(WEEKDAY(A72,2),"一","二","三","四","五","六","日"),"")</f>
        <v/>
      </c>
      <c r="C72" s="31" t="n"/>
      <c r="D72" s="24" t="n"/>
      <c r="E72" s="52" t="str">
        <f>IF(ISNUMBER(A72),COUNTIFS('交易记录'!$B$5:$B$304,A72,'交易记录'!$X$5:$X$304,"已执行"),"")</f>
        <v/>
      </c>
      <c r="F72" s="30" t="n"/>
      <c r="G72" s="24" t="n"/>
      <c r="H72" s="53" t="str">
        <f>IF(NOT(ISNUMBER(A72)),"",IF(COUNTIFS('交易记录'!$Z$5:$Z$304,A72,'交易记录'!$AF$5:$AF$304,"已平仓")=0,"",SUMIFS('交易记录'!$AK$5:$AK$304,'交易记录'!$Z$5:$Z$304,A72,'交易记录'!$AF$5:$AF$304,"已平仓")))</f>
        <v/>
      </c>
      <c r="I72" s="38" t="str">
        <f>IF(NOT(ISNUMBER(H72)),"",IF(H72&lt;=-'参数'!$C$8,"触及停手线",""))</f>
        <v/>
      </c>
      <c r="J72" s="30" t="n"/>
      <c r="K72" s="30" t="n"/>
    </row>
    <row r="73">
      <c r="A73" s="29" t="n"/>
      <c r="B73" s="38" t="str">
        <f>IF(ISNUMBER(A73),"周"&amp;CHOOSE(WEEKDAY(A73,2),"一","二","三","四","五","六","日"),"")</f>
        <v/>
      </c>
      <c r="C73" s="31" t="n"/>
      <c r="D73" s="24" t="n"/>
      <c r="E73" s="52" t="str">
        <f>IF(ISNUMBER(A73),COUNTIFS('交易记录'!$B$5:$B$304,A73,'交易记录'!$X$5:$X$304,"已执行"),"")</f>
        <v/>
      </c>
      <c r="F73" s="30" t="n"/>
      <c r="G73" s="24" t="n"/>
      <c r="H73" s="53" t="str">
        <f>IF(NOT(ISNUMBER(A73)),"",IF(COUNTIFS('交易记录'!$Z$5:$Z$304,A73,'交易记录'!$AF$5:$AF$304,"已平仓")=0,"",SUMIFS('交易记录'!$AK$5:$AK$304,'交易记录'!$Z$5:$Z$304,A73,'交易记录'!$AF$5:$AF$304,"已平仓")))</f>
        <v/>
      </c>
      <c r="I73" s="38" t="str">
        <f>IF(NOT(ISNUMBER(H73)),"",IF(H73&lt;=-'参数'!$C$8,"触及停手线",""))</f>
        <v/>
      </c>
      <c r="J73" s="30" t="n"/>
      <c r="K73" s="30" t="n"/>
    </row>
    <row r="74">
      <c r="A74" s="29" t="n"/>
      <c r="B74" s="38" t="str">
        <f>IF(ISNUMBER(A74),"周"&amp;CHOOSE(WEEKDAY(A74,2),"一","二","三","四","五","六","日"),"")</f>
        <v/>
      </c>
      <c r="C74" s="31" t="n"/>
      <c r="D74" s="24" t="n"/>
      <c r="E74" s="52" t="str">
        <f>IF(ISNUMBER(A74),COUNTIFS('交易记录'!$B$5:$B$304,A74,'交易记录'!$X$5:$X$304,"已执行"),"")</f>
        <v/>
      </c>
      <c r="F74" s="30" t="n"/>
      <c r="G74" s="24" t="n"/>
      <c r="H74" s="53" t="str">
        <f>IF(NOT(ISNUMBER(A74)),"",IF(COUNTIFS('交易记录'!$Z$5:$Z$304,A74,'交易记录'!$AF$5:$AF$304,"已平仓")=0,"",SUMIFS('交易记录'!$AK$5:$AK$304,'交易记录'!$Z$5:$Z$304,A74,'交易记录'!$AF$5:$AF$304,"已平仓")))</f>
        <v/>
      </c>
      <c r="I74" s="38" t="str">
        <f>IF(NOT(ISNUMBER(H74)),"",IF(H74&lt;=-'参数'!$C$8,"触及停手线",""))</f>
        <v/>
      </c>
      <c r="J74" s="30" t="n"/>
      <c r="K74" s="30" t="n"/>
    </row>
    <row r="75">
      <c r="A75" s="29" t="n"/>
      <c r="B75" s="38" t="str">
        <f>IF(ISNUMBER(A75),"周"&amp;CHOOSE(WEEKDAY(A75,2),"一","二","三","四","五","六","日"),"")</f>
        <v/>
      </c>
      <c r="C75" s="31" t="n"/>
      <c r="D75" s="24" t="n"/>
      <c r="E75" s="52" t="str">
        <f>IF(ISNUMBER(A75),COUNTIFS('交易记录'!$B$5:$B$304,A75,'交易记录'!$X$5:$X$304,"已执行"),"")</f>
        <v/>
      </c>
      <c r="F75" s="30" t="n"/>
      <c r="G75" s="24" t="n"/>
      <c r="H75" s="53" t="str">
        <f>IF(NOT(ISNUMBER(A75)),"",IF(COUNTIFS('交易记录'!$Z$5:$Z$304,A75,'交易记录'!$AF$5:$AF$304,"已平仓")=0,"",SUMIFS('交易记录'!$AK$5:$AK$304,'交易记录'!$Z$5:$Z$304,A75,'交易记录'!$AF$5:$AF$304,"已平仓")))</f>
        <v/>
      </c>
      <c r="I75" s="38" t="str">
        <f>IF(NOT(ISNUMBER(H75)),"",IF(H75&lt;=-'参数'!$C$8,"触及停手线",""))</f>
        <v/>
      </c>
      <c r="J75" s="30" t="n"/>
      <c r="K75" s="30" t="n"/>
    </row>
    <row r="76">
      <c r="A76" s="29" t="n"/>
      <c r="B76" s="38" t="str">
        <f>IF(ISNUMBER(A76),"周"&amp;CHOOSE(WEEKDAY(A76,2),"一","二","三","四","五","六","日"),"")</f>
        <v/>
      </c>
      <c r="C76" s="31" t="n"/>
      <c r="D76" s="24" t="n"/>
      <c r="E76" s="52" t="str">
        <f>IF(ISNUMBER(A76),COUNTIFS('交易记录'!$B$5:$B$304,A76,'交易记录'!$X$5:$X$304,"已执行"),"")</f>
        <v/>
      </c>
      <c r="F76" s="30" t="n"/>
      <c r="G76" s="24" t="n"/>
      <c r="H76" s="53" t="str">
        <f>IF(NOT(ISNUMBER(A76)),"",IF(COUNTIFS('交易记录'!$Z$5:$Z$304,A76,'交易记录'!$AF$5:$AF$304,"已平仓")=0,"",SUMIFS('交易记录'!$AK$5:$AK$304,'交易记录'!$Z$5:$Z$304,A76,'交易记录'!$AF$5:$AF$304,"已平仓")))</f>
        <v/>
      </c>
      <c r="I76" s="38" t="str">
        <f>IF(NOT(ISNUMBER(H76)),"",IF(H76&lt;=-'参数'!$C$8,"触及停手线",""))</f>
        <v/>
      </c>
      <c r="J76" s="30" t="n"/>
      <c r="K76" s="30" t="n"/>
    </row>
    <row r="77">
      <c r="A77" s="29" t="n"/>
      <c r="B77" s="38" t="str">
        <f>IF(ISNUMBER(A77),"周"&amp;CHOOSE(WEEKDAY(A77,2),"一","二","三","四","五","六","日"),"")</f>
        <v/>
      </c>
      <c r="C77" s="31" t="n"/>
      <c r="D77" s="24" t="n"/>
      <c r="E77" s="52" t="str">
        <f>IF(ISNUMBER(A77),COUNTIFS('交易记录'!$B$5:$B$304,A77,'交易记录'!$X$5:$X$304,"已执行"),"")</f>
        <v/>
      </c>
      <c r="F77" s="30" t="n"/>
      <c r="G77" s="24" t="n"/>
      <c r="H77" s="53" t="str">
        <f>IF(NOT(ISNUMBER(A77)),"",IF(COUNTIFS('交易记录'!$Z$5:$Z$304,A77,'交易记录'!$AF$5:$AF$304,"已平仓")=0,"",SUMIFS('交易记录'!$AK$5:$AK$304,'交易记录'!$Z$5:$Z$304,A77,'交易记录'!$AF$5:$AF$304,"已平仓")))</f>
        <v/>
      </c>
      <c r="I77" s="38" t="str">
        <f>IF(NOT(ISNUMBER(H77)),"",IF(H77&lt;=-'参数'!$C$8,"触及停手线",""))</f>
        <v/>
      </c>
      <c r="J77" s="30" t="n"/>
      <c r="K77" s="30" t="n"/>
    </row>
    <row r="78">
      <c r="A78" s="29" t="n"/>
      <c r="B78" s="38" t="str">
        <f>IF(ISNUMBER(A78),"周"&amp;CHOOSE(WEEKDAY(A78,2),"一","二","三","四","五","六","日"),"")</f>
        <v/>
      </c>
      <c r="C78" s="31" t="n"/>
      <c r="D78" s="24" t="n"/>
      <c r="E78" s="52" t="str">
        <f>IF(ISNUMBER(A78),COUNTIFS('交易记录'!$B$5:$B$304,A78,'交易记录'!$X$5:$X$304,"已执行"),"")</f>
        <v/>
      </c>
      <c r="F78" s="30" t="n"/>
      <c r="G78" s="24" t="n"/>
      <c r="H78" s="53" t="str">
        <f>IF(NOT(ISNUMBER(A78)),"",IF(COUNTIFS('交易记录'!$Z$5:$Z$304,A78,'交易记录'!$AF$5:$AF$304,"已平仓")=0,"",SUMIFS('交易记录'!$AK$5:$AK$304,'交易记录'!$Z$5:$Z$304,A78,'交易记录'!$AF$5:$AF$304,"已平仓")))</f>
        <v/>
      </c>
      <c r="I78" s="38" t="str">
        <f>IF(NOT(ISNUMBER(H78)),"",IF(H78&lt;=-'参数'!$C$8,"触及停手线",""))</f>
        <v/>
      </c>
      <c r="J78" s="30" t="n"/>
      <c r="K78" s="30" t="n"/>
    </row>
    <row r="79">
      <c r="A79" s="29" t="n"/>
      <c r="B79" s="38" t="str">
        <f>IF(ISNUMBER(A79),"周"&amp;CHOOSE(WEEKDAY(A79,2),"一","二","三","四","五","六","日"),"")</f>
        <v/>
      </c>
      <c r="C79" s="31" t="n"/>
      <c r="D79" s="24" t="n"/>
      <c r="E79" s="52" t="str">
        <f>IF(ISNUMBER(A79),COUNTIFS('交易记录'!$B$5:$B$304,A79,'交易记录'!$X$5:$X$304,"已执行"),"")</f>
        <v/>
      </c>
      <c r="F79" s="30" t="n"/>
      <c r="G79" s="24" t="n"/>
      <c r="H79" s="53" t="str">
        <f>IF(NOT(ISNUMBER(A79)),"",IF(COUNTIFS('交易记录'!$Z$5:$Z$304,A79,'交易记录'!$AF$5:$AF$304,"已平仓")=0,"",SUMIFS('交易记录'!$AK$5:$AK$304,'交易记录'!$Z$5:$Z$304,A79,'交易记录'!$AF$5:$AF$304,"已平仓")))</f>
        <v/>
      </c>
      <c r="I79" s="38" t="str">
        <f>IF(NOT(ISNUMBER(H79)),"",IF(H79&lt;=-'参数'!$C$8,"触及停手线",""))</f>
        <v/>
      </c>
      <c r="J79" s="30" t="n"/>
      <c r="K79" s="30" t="n"/>
    </row>
    <row r="80">
      <c r="A80" s="29" t="n"/>
      <c r="B80" s="38" t="str">
        <f>IF(ISNUMBER(A80),"周"&amp;CHOOSE(WEEKDAY(A80,2),"一","二","三","四","五","六","日"),"")</f>
        <v/>
      </c>
      <c r="C80" s="31" t="n"/>
      <c r="D80" s="24" t="n"/>
      <c r="E80" s="52" t="str">
        <f>IF(ISNUMBER(A80),COUNTIFS('交易记录'!$B$5:$B$304,A80,'交易记录'!$X$5:$X$304,"已执行"),"")</f>
        <v/>
      </c>
      <c r="F80" s="30" t="n"/>
      <c r="G80" s="24" t="n"/>
      <c r="H80" s="53" t="str">
        <f>IF(NOT(ISNUMBER(A80)),"",IF(COUNTIFS('交易记录'!$Z$5:$Z$304,A80,'交易记录'!$AF$5:$AF$304,"已平仓")=0,"",SUMIFS('交易记录'!$AK$5:$AK$304,'交易记录'!$Z$5:$Z$304,A80,'交易记录'!$AF$5:$AF$304,"已平仓")))</f>
        <v/>
      </c>
      <c r="I80" s="38" t="str">
        <f>IF(NOT(ISNUMBER(H80)),"",IF(H80&lt;=-'参数'!$C$8,"触及停手线",""))</f>
        <v/>
      </c>
      <c r="J80" s="30" t="n"/>
      <c r="K80" s="30" t="n"/>
    </row>
    <row r="81">
      <c r="A81" s="29" t="n"/>
      <c r="B81" s="38" t="str">
        <f>IF(ISNUMBER(A81),"周"&amp;CHOOSE(WEEKDAY(A81,2),"一","二","三","四","五","六","日"),"")</f>
        <v/>
      </c>
      <c r="C81" s="31" t="n"/>
      <c r="D81" s="24" t="n"/>
      <c r="E81" s="52" t="str">
        <f>IF(ISNUMBER(A81),COUNTIFS('交易记录'!$B$5:$B$304,A81,'交易记录'!$X$5:$X$304,"已执行"),"")</f>
        <v/>
      </c>
      <c r="F81" s="30" t="n"/>
      <c r="G81" s="24" t="n"/>
      <c r="H81" s="53" t="str">
        <f>IF(NOT(ISNUMBER(A81)),"",IF(COUNTIFS('交易记录'!$Z$5:$Z$304,A81,'交易记录'!$AF$5:$AF$304,"已平仓")=0,"",SUMIFS('交易记录'!$AK$5:$AK$304,'交易记录'!$Z$5:$Z$304,A81,'交易记录'!$AF$5:$AF$304,"已平仓")))</f>
        <v/>
      </c>
      <c r="I81" s="38" t="str">
        <f>IF(NOT(ISNUMBER(H81)),"",IF(H81&lt;=-'参数'!$C$8,"触及停手线",""))</f>
        <v/>
      </c>
      <c r="J81" s="30" t="n"/>
      <c r="K81" s="30" t="n"/>
    </row>
    <row r="82">
      <c r="A82" s="29" t="n"/>
      <c r="B82" s="38" t="str">
        <f>IF(ISNUMBER(A82),"周"&amp;CHOOSE(WEEKDAY(A82,2),"一","二","三","四","五","六","日"),"")</f>
        <v/>
      </c>
      <c r="C82" s="31" t="n"/>
      <c r="D82" s="24" t="n"/>
      <c r="E82" s="52" t="str">
        <f>IF(ISNUMBER(A82),COUNTIFS('交易记录'!$B$5:$B$304,A82,'交易记录'!$X$5:$X$304,"已执行"),"")</f>
        <v/>
      </c>
      <c r="F82" s="30" t="n"/>
      <c r="G82" s="24" t="n"/>
      <c r="H82" s="53" t="str">
        <f>IF(NOT(ISNUMBER(A82)),"",IF(COUNTIFS('交易记录'!$Z$5:$Z$304,A82,'交易记录'!$AF$5:$AF$304,"已平仓")=0,"",SUMIFS('交易记录'!$AK$5:$AK$304,'交易记录'!$Z$5:$Z$304,A82,'交易记录'!$AF$5:$AF$304,"已平仓")))</f>
        <v/>
      </c>
      <c r="I82" s="38" t="str">
        <f>IF(NOT(ISNUMBER(H82)),"",IF(H82&lt;=-'参数'!$C$8,"触及停手线",""))</f>
        <v/>
      </c>
      <c r="J82" s="30" t="n"/>
      <c r="K82" s="30" t="n"/>
    </row>
    <row r="83">
      <c r="A83" s="29" t="n"/>
      <c r="B83" s="38" t="str">
        <f>IF(ISNUMBER(A83),"周"&amp;CHOOSE(WEEKDAY(A83,2),"一","二","三","四","五","六","日"),"")</f>
        <v/>
      </c>
      <c r="C83" s="31" t="n"/>
      <c r="D83" s="24" t="n"/>
      <c r="E83" s="52" t="str">
        <f>IF(ISNUMBER(A83),COUNTIFS('交易记录'!$B$5:$B$304,A83,'交易记录'!$X$5:$X$304,"已执行"),"")</f>
        <v/>
      </c>
      <c r="F83" s="30" t="n"/>
      <c r="G83" s="24" t="n"/>
      <c r="H83" s="53" t="str">
        <f>IF(NOT(ISNUMBER(A83)),"",IF(COUNTIFS('交易记录'!$Z$5:$Z$304,A83,'交易记录'!$AF$5:$AF$304,"已平仓")=0,"",SUMIFS('交易记录'!$AK$5:$AK$304,'交易记录'!$Z$5:$Z$304,A83,'交易记录'!$AF$5:$AF$304,"已平仓")))</f>
        <v/>
      </c>
      <c r="I83" s="38" t="str">
        <f>IF(NOT(ISNUMBER(H83)),"",IF(H83&lt;=-'参数'!$C$8,"触及停手线",""))</f>
        <v/>
      </c>
      <c r="J83" s="30" t="n"/>
      <c r="K83" s="30" t="n"/>
    </row>
    <row r="84">
      <c r="A84" s="29" t="n"/>
      <c r="B84" s="38" t="str">
        <f>IF(ISNUMBER(A84),"周"&amp;CHOOSE(WEEKDAY(A84,2),"一","二","三","四","五","六","日"),"")</f>
        <v/>
      </c>
      <c r="C84" s="31" t="n"/>
      <c r="D84" s="24" t="n"/>
      <c r="E84" s="52" t="str">
        <f>IF(ISNUMBER(A84),COUNTIFS('交易记录'!$B$5:$B$304,A84,'交易记录'!$X$5:$X$304,"已执行"),"")</f>
        <v/>
      </c>
      <c r="F84" s="30" t="n"/>
      <c r="G84" s="24" t="n"/>
      <c r="H84" s="53" t="str">
        <f>IF(NOT(ISNUMBER(A84)),"",IF(COUNTIFS('交易记录'!$Z$5:$Z$304,A84,'交易记录'!$AF$5:$AF$304,"已平仓")=0,"",SUMIFS('交易记录'!$AK$5:$AK$304,'交易记录'!$Z$5:$Z$304,A84,'交易记录'!$AF$5:$AF$304,"已平仓")))</f>
        <v/>
      </c>
      <c r="I84" s="38" t="str">
        <f>IF(NOT(ISNUMBER(H84)),"",IF(H84&lt;=-'参数'!$C$8,"触及停手线",""))</f>
        <v/>
      </c>
      <c r="J84" s="30" t="n"/>
      <c r="K84" s="30" t="n"/>
    </row>
    <row r="85">
      <c r="A85" s="29" t="n"/>
      <c r="B85" s="38" t="str">
        <f>IF(ISNUMBER(A85),"周"&amp;CHOOSE(WEEKDAY(A85,2),"一","二","三","四","五","六","日"),"")</f>
        <v/>
      </c>
      <c r="C85" s="31" t="n"/>
      <c r="D85" s="24" t="n"/>
      <c r="E85" s="52" t="str">
        <f>IF(ISNUMBER(A85),COUNTIFS('交易记录'!$B$5:$B$304,A85,'交易记录'!$X$5:$X$304,"已执行"),"")</f>
        <v/>
      </c>
      <c r="F85" s="30" t="n"/>
      <c r="G85" s="24" t="n"/>
      <c r="H85" s="53" t="str">
        <f>IF(NOT(ISNUMBER(A85)),"",IF(COUNTIFS('交易记录'!$Z$5:$Z$304,A85,'交易记录'!$AF$5:$AF$304,"已平仓")=0,"",SUMIFS('交易记录'!$AK$5:$AK$304,'交易记录'!$Z$5:$Z$304,A85,'交易记录'!$AF$5:$AF$304,"已平仓")))</f>
        <v/>
      </c>
      <c r="I85" s="38" t="str">
        <f>IF(NOT(ISNUMBER(H85)),"",IF(H85&lt;=-'参数'!$C$8,"触及停手线",""))</f>
        <v/>
      </c>
      <c r="J85" s="30" t="n"/>
      <c r="K85" s="30" t="n"/>
    </row>
    <row r="86">
      <c r="A86" s="29" t="n"/>
      <c r="B86" s="38" t="str">
        <f>IF(ISNUMBER(A86),"周"&amp;CHOOSE(WEEKDAY(A86,2),"一","二","三","四","五","六","日"),"")</f>
        <v/>
      </c>
      <c r="C86" s="31" t="n"/>
      <c r="D86" s="24" t="n"/>
      <c r="E86" s="52" t="str">
        <f>IF(ISNUMBER(A86),COUNTIFS('交易记录'!$B$5:$B$304,A86,'交易记录'!$X$5:$X$304,"已执行"),"")</f>
        <v/>
      </c>
      <c r="F86" s="30" t="n"/>
      <c r="G86" s="24" t="n"/>
      <c r="H86" s="53" t="str">
        <f>IF(NOT(ISNUMBER(A86)),"",IF(COUNTIFS('交易记录'!$Z$5:$Z$304,A86,'交易记录'!$AF$5:$AF$304,"已平仓")=0,"",SUMIFS('交易记录'!$AK$5:$AK$304,'交易记录'!$Z$5:$Z$304,A86,'交易记录'!$AF$5:$AF$304,"已平仓")))</f>
        <v/>
      </c>
      <c r="I86" s="38" t="str">
        <f>IF(NOT(ISNUMBER(H86)),"",IF(H86&lt;=-'参数'!$C$8,"触及停手线",""))</f>
        <v/>
      </c>
      <c r="J86" s="30" t="n"/>
      <c r="K86" s="30" t="n"/>
    </row>
    <row r="87">
      <c r="A87" s="29" t="n"/>
      <c r="B87" s="38" t="str">
        <f>IF(ISNUMBER(A87),"周"&amp;CHOOSE(WEEKDAY(A87,2),"一","二","三","四","五","六","日"),"")</f>
        <v/>
      </c>
      <c r="C87" s="31" t="n"/>
      <c r="D87" s="24" t="n"/>
      <c r="E87" s="52" t="str">
        <f>IF(ISNUMBER(A87),COUNTIFS('交易记录'!$B$5:$B$304,A87,'交易记录'!$X$5:$X$304,"已执行"),"")</f>
        <v/>
      </c>
      <c r="F87" s="30" t="n"/>
      <c r="G87" s="24" t="n"/>
      <c r="H87" s="53" t="str">
        <f>IF(NOT(ISNUMBER(A87)),"",IF(COUNTIFS('交易记录'!$Z$5:$Z$304,A87,'交易记录'!$AF$5:$AF$304,"已平仓")=0,"",SUMIFS('交易记录'!$AK$5:$AK$304,'交易记录'!$Z$5:$Z$304,A87,'交易记录'!$AF$5:$AF$304,"已平仓")))</f>
        <v/>
      </c>
      <c r="I87" s="38" t="str">
        <f>IF(NOT(ISNUMBER(H87)),"",IF(H87&lt;=-'参数'!$C$8,"触及停手线",""))</f>
        <v/>
      </c>
      <c r="J87" s="30" t="n"/>
      <c r="K87" s="30" t="n"/>
    </row>
    <row r="88">
      <c r="A88" s="29" t="n"/>
      <c r="B88" s="38" t="str">
        <f>IF(ISNUMBER(A88),"周"&amp;CHOOSE(WEEKDAY(A88,2),"一","二","三","四","五","六","日"),"")</f>
        <v/>
      </c>
      <c r="C88" s="31" t="n"/>
      <c r="D88" s="24" t="n"/>
      <c r="E88" s="52" t="str">
        <f>IF(ISNUMBER(A88),COUNTIFS('交易记录'!$B$5:$B$304,A88,'交易记录'!$X$5:$X$304,"已执行"),"")</f>
        <v/>
      </c>
      <c r="F88" s="30" t="n"/>
      <c r="G88" s="24" t="n"/>
      <c r="H88" s="53" t="str">
        <f>IF(NOT(ISNUMBER(A88)),"",IF(COUNTIFS('交易记录'!$Z$5:$Z$304,A88,'交易记录'!$AF$5:$AF$304,"已平仓")=0,"",SUMIFS('交易记录'!$AK$5:$AK$304,'交易记录'!$Z$5:$Z$304,A88,'交易记录'!$AF$5:$AF$304,"已平仓")))</f>
        <v/>
      </c>
      <c r="I88" s="38" t="str">
        <f>IF(NOT(ISNUMBER(H88)),"",IF(H88&lt;=-'参数'!$C$8,"触及停手线",""))</f>
        <v/>
      </c>
      <c r="J88" s="30" t="n"/>
      <c r="K88" s="30" t="n"/>
    </row>
    <row r="89">
      <c r="A89" s="29" t="n"/>
      <c r="B89" s="38" t="str">
        <f>IF(ISNUMBER(A89),"周"&amp;CHOOSE(WEEKDAY(A89,2),"一","二","三","四","五","六","日"),"")</f>
        <v/>
      </c>
      <c r="C89" s="31" t="n"/>
      <c r="D89" s="24" t="n"/>
      <c r="E89" s="52" t="str">
        <f>IF(ISNUMBER(A89),COUNTIFS('交易记录'!$B$5:$B$304,A89,'交易记录'!$X$5:$X$304,"已执行"),"")</f>
        <v/>
      </c>
      <c r="F89" s="30" t="n"/>
      <c r="G89" s="24" t="n"/>
      <c r="H89" s="53" t="str">
        <f>IF(NOT(ISNUMBER(A89)),"",IF(COUNTIFS('交易记录'!$Z$5:$Z$304,A89,'交易记录'!$AF$5:$AF$304,"已平仓")=0,"",SUMIFS('交易记录'!$AK$5:$AK$304,'交易记录'!$Z$5:$Z$304,A89,'交易记录'!$AF$5:$AF$304,"已平仓")))</f>
        <v/>
      </c>
      <c r="I89" s="38" t="str">
        <f>IF(NOT(ISNUMBER(H89)),"",IF(H89&lt;=-'参数'!$C$8,"触及停手线",""))</f>
        <v/>
      </c>
      <c r="J89" s="30" t="n"/>
      <c r="K89" s="30" t="n"/>
    </row>
    <row r="90">
      <c r="A90" s="29" t="n"/>
      <c r="B90" s="38" t="str">
        <f>IF(ISNUMBER(A90),"周"&amp;CHOOSE(WEEKDAY(A90,2),"一","二","三","四","五","六","日"),"")</f>
        <v/>
      </c>
      <c r="C90" s="31" t="n"/>
      <c r="D90" s="24" t="n"/>
      <c r="E90" s="52" t="str">
        <f>IF(ISNUMBER(A90),COUNTIFS('交易记录'!$B$5:$B$304,A90,'交易记录'!$X$5:$X$304,"已执行"),"")</f>
        <v/>
      </c>
      <c r="F90" s="30" t="n"/>
      <c r="G90" s="24" t="n"/>
      <c r="H90" s="53" t="str">
        <f>IF(NOT(ISNUMBER(A90)),"",IF(COUNTIFS('交易记录'!$Z$5:$Z$304,A90,'交易记录'!$AF$5:$AF$304,"已平仓")=0,"",SUMIFS('交易记录'!$AK$5:$AK$304,'交易记录'!$Z$5:$Z$304,A90,'交易记录'!$AF$5:$AF$304,"已平仓")))</f>
        <v/>
      </c>
      <c r="I90" s="38" t="str">
        <f>IF(NOT(ISNUMBER(H90)),"",IF(H90&lt;=-'参数'!$C$8,"触及停手线",""))</f>
        <v/>
      </c>
      <c r="J90" s="30" t="n"/>
      <c r="K90" s="30" t="n"/>
    </row>
    <row r="91">
      <c r="A91" s="29" t="n"/>
      <c r="B91" s="38" t="str">
        <f>IF(ISNUMBER(A91),"周"&amp;CHOOSE(WEEKDAY(A91,2),"一","二","三","四","五","六","日"),"")</f>
        <v/>
      </c>
      <c r="C91" s="31" t="n"/>
      <c r="D91" s="24" t="n"/>
      <c r="E91" s="52" t="str">
        <f>IF(ISNUMBER(A91),COUNTIFS('交易记录'!$B$5:$B$304,A91,'交易记录'!$X$5:$X$304,"已执行"),"")</f>
        <v/>
      </c>
      <c r="F91" s="30" t="n"/>
      <c r="G91" s="24" t="n"/>
      <c r="H91" s="53" t="str">
        <f>IF(NOT(ISNUMBER(A91)),"",IF(COUNTIFS('交易记录'!$Z$5:$Z$304,A91,'交易记录'!$AF$5:$AF$304,"已平仓")=0,"",SUMIFS('交易记录'!$AK$5:$AK$304,'交易记录'!$Z$5:$Z$304,A91,'交易记录'!$AF$5:$AF$304,"已平仓")))</f>
        <v/>
      </c>
      <c r="I91" s="38" t="str">
        <f>IF(NOT(ISNUMBER(H91)),"",IF(H91&lt;=-'参数'!$C$8,"触及停手线",""))</f>
        <v/>
      </c>
      <c r="J91" s="30" t="n"/>
      <c r="K91" s="30" t="n"/>
    </row>
    <row r="92">
      <c r="A92" s="29" t="n"/>
      <c r="B92" s="38" t="str">
        <f>IF(ISNUMBER(A92),"周"&amp;CHOOSE(WEEKDAY(A92,2),"一","二","三","四","五","六","日"),"")</f>
        <v/>
      </c>
      <c r="C92" s="31" t="n"/>
      <c r="D92" s="24" t="n"/>
      <c r="E92" s="52" t="str">
        <f>IF(ISNUMBER(A92),COUNTIFS('交易记录'!$B$5:$B$304,A92,'交易记录'!$X$5:$X$304,"已执行"),"")</f>
        <v/>
      </c>
      <c r="F92" s="30" t="n"/>
      <c r="G92" s="24" t="n"/>
      <c r="H92" s="53" t="str">
        <f>IF(NOT(ISNUMBER(A92)),"",IF(COUNTIFS('交易记录'!$Z$5:$Z$304,A92,'交易记录'!$AF$5:$AF$304,"已平仓")=0,"",SUMIFS('交易记录'!$AK$5:$AK$304,'交易记录'!$Z$5:$Z$304,A92,'交易记录'!$AF$5:$AF$304,"已平仓")))</f>
        <v/>
      </c>
      <c r="I92" s="38" t="str">
        <f>IF(NOT(ISNUMBER(H92)),"",IF(H92&lt;=-'参数'!$C$8,"触及停手线",""))</f>
        <v/>
      </c>
      <c r="J92" s="30" t="n"/>
      <c r="K92" s="30" t="n"/>
    </row>
    <row r="93">
      <c r="A93" s="29" t="n"/>
      <c r="B93" s="38" t="str">
        <f>IF(ISNUMBER(A93),"周"&amp;CHOOSE(WEEKDAY(A93,2),"一","二","三","四","五","六","日"),"")</f>
        <v/>
      </c>
      <c r="C93" s="31" t="n"/>
      <c r="D93" s="24" t="n"/>
      <c r="E93" s="52" t="str">
        <f>IF(ISNUMBER(A93),COUNTIFS('交易记录'!$B$5:$B$304,A93,'交易记录'!$X$5:$X$304,"已执行"),"")</f>
        <v/>
      </c>
      <c r="F93" s="30" t="n"/>
      <c r="G93" s="24" t="n"/>
      <c r="H93" s="53" t="str">
        <f>IF(NOT(ISNUMBER(A93)),"",IF(COUNTIFS('交易记录'!$Z$5:$Z$304,A93,'交易记录'!$AF$5:$AF$304,"已平仓")=0,"",SUMIFS('交易记录'!$AK$5:$AK$304,'交易记录'!$Z$5:$Z$304,A93,'交易记录'!$AF$5:$AF$304,"已平仓")))</f>
        <v/>
      </c>
      <c r="I93" s="38" t="str">
        <f>IF(NOT(ISNUMBER(H93)),"",IF(H93&lt;=-'参数'!$C$8,"触及停手线",""))</f>
        <v/>
      </c>
      <c r="J93" s="30" t="n"/>
      <c r="K93" s="30" t="n"/>
    </row>
    <row r="94">
      <c r="A94" s="29" t="n"/>
      <c r="B94" s="38" t="str">
        <f>IF(ISNUMBER(A94),"周"&amp;CHOOSE(WEEKDAY(A94,2),"一","二","三","四","五","六","日"),"")</f>
        <v/>
      </c>
      <c r="C94" s="31" t="n"/>
      <c r="D94" s="24" t="n"/>
      <c r="E94" s="52" t="str">
        <f>IF(ISNUMBER(A94),COUNTIFS('交易记录'!$B$5:$B$304,A94,'交易记录'!$X$5:$X$304,"已执行"),"")</f>
        <v/>
      </c>
      <c r="F94" s="30" t="n"/>
      <c r="G94" s="24" t="n"/>
      <c r="H94" s="53" t="str">
        <f>IF(NOT(ISNUMBER(A94)),"",IF(COUNTIFS('交易记录'!$Z$5:$Z$304,A94,'交易记录'!$AF$5:$AF$304,"已平仓")=0,"",SUMIFS('交易记录'!$AK$5:$AK$304,'交易记录'!$Z$5:$Z$304,A94,'交易记录'!$AF$5:$AF$304,"已平仓")))</f>
        <v/>
      </c>
      <c r="I94" s="38" t="str">
        <f>IF(NOT(ISNUMBER(H94)),"",IF(H94&lt;=-'参数'!$C$8,"触及停手线",""))</f>
        <v/>
      </c>
      <c r="J94" s="30" t="n"/>
      <c r="K94" s="30" t="n"/>
    </row>
    <row r="95">
      <c r="A95" s="29" t="n"/>
      <c r="B95" s="38" t="str">
        <f>IF(ISNUMBER(A95),"周"&amp;CHOOSE(WEEKDAY(A95,2),"一","二","三","四","五","六","日"),"")</f>
        <v/>
      </c>
      <c r="C95" s="31" t="n"/>
      <c r="D95" s="24" t="n"/>
      <c r="E95" s="52" t="str">
        <f>IF(ISNUMBER(A95),COUNTIFS('交易记录'!$B$5:$B$304,A95,'交易记录'!$X$5:$X$304,"已执行"),"")</f>
        <v/>
      </c>
      <c r="F95" s="30" t="n"/>
      <c r="G95" s="24" t="n"/>
      <c r="H95" s="53" t="str">
        <f>IF(NOT(ISNUMBER(A95)),"",IF(COUNTIFS('交易记录'!$Z$5:$Z$304,A95,'交易记录'!$AF$5:$AF$304,"已平仓")=0,"",SUMIFS('交易记录'!$AK$5:$AK$304,'交易记录'!$Z$5:$Z$304,A95,'交易记录'!$AF$5:$AF$304,"已平仓")))</f>
        <v/>
      </c>
      <c r="I95" s="38" t="str">
        <f>IF(NOT(ISNUMBER(H95)),"",IF(H95&lt;=-'参数'!$C$8,"触及停手线",""))</f>
        <v/>
      </c>
      <c r="J95" s="30" t="n"/>
      <c r="K95" s="30" t="n"/>
    </row>
    <row r="96">
      <c r="A96" s="29" t="n"/>
      <c r="B96" s="38" t="str">
        <f>IF(ISNUMBER(A96),"周"&amp;CHOOSE(WEEKDAY(A96,2),"一","二","三","四","五","六","日"),"")</f>
        <v/>
      </c>
      <c r="C96" s="31" t="n"/>
      <c r="D96" s="24" t="n"/>
      <c r="E96" s="52" t="str">
        <f>IF(ISNUMBER(A96),COUNTIFS('交易记录'!$B$5:$B$304,A96,'交易记录'!$X$5:$X$304,"已执行"),"")</f>
        <v/>
      </c>
      <c r="F96" s="30" t="n"/>
      <c r="G96" s="24" t="n"/>
      <c r="H96" s="53" t="str">
        <f>IF(NOT(ISNUMBER(A96)),"",IF(COUNTIFS('交易记录'!$Z$5:$Z$304,A96,'交易记录'!$AF$5:$AF$304,"已平仓")=0,"",SUMIFS('交易记录'!$AK$5:$AK$304,'交易记录'!$Z$5:$Z$304,A96,'交易记录'!$AF$5:$AF$304,"已平仓")))</f>
        <v/>
      </c>
      <c r="I96" s="38" t="str">
        <f>IF(NOT(ISNUMBER(H96)),"",IF(H96&lt;=-'参数'!$C$8,"触及停手线",""))</f>
        <v/>
      </c>
      <c r="J96" s="30" t="n"/>
      <c r="K96" s="30" t="n"/>
    </row>
    <row r="97">
      <c r="A97" s="29" t="n"/>
      <c r="B97" s="38" t="str">
        <f>IF(ISNUMBER(A97),"周"&amp;CHOOSE(WEEKDAY(A97,2),"一","二","三","四","五","六","日"),"")</f>
        <v/>
      </c>
      <c r="C97" s="31" t="n"/>
      <c r="D97" s="24" t="n"/>
      <c r="E97" s="52" t="str">
        <f>IF(ISNUMBER(A97),COUNTIFS('交易记录'!$B$5:$B$304,A97,'交易记录'!$X$5:$X$304,"已执行"),"")</f>
        <v/>
      </c>
      <c r="F97" s="30" t="n"/>
      <c r="G97" s="24" t="n"/>
      <c r="H97" s="53" t="str">
        <f>IF(NOT(ISNUMBER(A97)),"",IF(COUNTIFS('交易记录'!$Z$5:$Z$304,A97,'交易记录'!$AF$5:$AF$304,"已平仓")=0,"",SUMIFS('交易记录'!$AK$5:$AK$304,'交易记录'!$Z$5:$Z$304,A97,'交易记录'!$AF$5:$AF$304,"已平仓")))</f>
        <v/>
      </c>
      <c r="I97" s="38" t="str">
        <f>IF(NOT(ISNUMBER(H97)),"",IF(H97&lt;=-'参数'!$C$8,"触及停手线",""))</f>
        <v/>
      </c>
      <c r="J97" s="30" t="n"/>
      <c r="K97" s="30" t="n"/>
    </row>
    <row r="98">
      <c r="A98" s="29" t="n"/>
      <c r="B98" s="38" t="str">
        <f>IF(ISNUMBER(A98),"周"&amp;CHOOSE(WEEKDAY(A98,2),"一","二","三","四","五","六","日"),"")</f>
        <v/>
      </c>
      <c r="C98" s="31" t="n"/>
      <c r="D98" s="24" t="n"/>
      <c r="E98" s="52" t="str">
        <f>IF(ISNUMBER(A98),COUNTIFS('交易记录'!$B$5:$B$304,A98,'交易记录'!$X$5:$X$304,"已执行"),"")</f>
        <v/>
      </c>
      <c r="F98" s="30" t="n"/>
      <c r="G98" s="24" t="n"/>
      <c r="H98" s="53" t="str">
        <f>IF(NOT(ISNUMBER(A98)),"",IF(COUNTIFS('交易记录'!$Z$5:$Z$304,A98,'交易记录'!$AF$5:$AF$304,"已平仓")=0,"",SUMIFS('交易记录'!$AK$5:$AK$304,'交易记录'!$Z$5:$Z$304,A98,'交易记录'!$AF$5:$AF$304,"已平仓")))</f>
        <v/>
      </c>
      <c r="I98" s="38" t="str">
        <f>IF(NOT(ISNUMBER(H98)),"",IF(H98&lt;=-'参数'!$C$8,"触及停手线",""))</f>
        <v/>
      </c>
      <c r="J98" s="30" t="n"/>
      <c r="K98" s="30" t="n"/>
    </row>
    <row r="99">
      <c r="A99" s="29" t="n"/>
      <c r="B99" s="38" t="str">
        <f>IF(ISNUMBER(A99),"周"&amp;CHOOSE(WEEKDAY(A99,2),"一","二","三","四","五","六","日"),"")</f>
        <v/>
      </c>
      <c r="C99" s="31" t="n"/>
      <c r="D99" s="24" t="n"/>
      <c r="E99" s="52" t="str">
        <f>IF(ISNUMBER(A99),COUNTIFS('交易记录'!$B$5:$B$304,A99,'交易记录'!$X$5:$X$304,"已执行"),"")</f>
        <v/>
      </c>
      <c r="F99" s="30" t="n"/>
      <c r="G99" s="24" t="n"/>
      <c r="H99" s="53" t="str">
        <f>IF(NOT(ISNUMBER(A99)),"",IF(COUNTIFS('交易记录'!$Z$5:$Z$304,A99,'交易记录'!$AF$5:$AF$304,"已平仓")=0,"",SUMIFS('交易记录'!$AK$5:$AK$304,'交易记录'!$Z$5:$Z$304,A99,'交易记录'!$AF$5:$AF$304,"已平仓")))</f>
        <v/>
      </c>
      <c r="I99" s="38" t="str">
        <f>IF(NOT(ISNUMBER(H99)),"",IF(H99&lt;=-'参数'!$C$8,"触及停手线",""))</f>
        <v/>
      </c>
      <c r="J99" s="30" t="n"/>
      <c r="K99" s="30" t="n"/>
    </row>
    <row r="100">
      <c r="A100" s="29" t="n"/>
      <c r="B100" s="38" t="str">
        <f>IF(ISNUMBER(A100),"周"&amp;CHOOSE(WEEKDAY(A100,2),"一","二","三","四","五","六","日"),"")</f>
        <v/>
      </c>
      <c r="C100" s="31" t="n"/>
      <c r="D100" s="24" t="n"/>
      <c r="E100" s="52" t="str">
        <f>IF(ISNUMBER(A100),COUNTIFS('交易记录'!$B$5:$B$304,A100,'交易记录'!$X$5:$X$304,"已执行"),"")</f>
        <v/>
      </c>
      <c r="F100" s="30" t="n"/>
      <c r="G100" s="24" t="n"/>
      <c r="H100" s="53" t="str">
        <f>IF(NOT(ISNUMBER(A100)),"",IF(COUNTIFS('交易记录'!$Z$5:$Z$304,A100,'交易记录'!$AF$5:$AF$304,"已平仓")=0,"",SUMIFS('交易记录'!$AK$5:$AK$304,'交易记录'!$Z$5:$Z$304,A100,'交易记录'!$AF$5:$AF$304,"已平仓")))</f>
        <v/>
      </c>
      <c r="I100" s="38" t="str">
        <f>IF(NOT(ISNUMBER(H100)),"",IF(H100&lt;=-'参数'!$C$8,"触及停手线",""))</f>
        <v/>
      </c>
      <c r="J100" s="30" t="n"/>
      <c r="K100" s="30" t="n"/>
    </row>
    <row r="101">
      <c r="A101" s="29" t="n"/>
      <c r="B101" s="38" t="str">
        <f>IF(ISNUMBER(A101),"周"&amp;CHOOSE(WEEKDAY(A101,2),"一","二","三","四","五","六","日"),"")</f>
        <v/>
      </c>
      <c r="C101" s="31" t="n"/>
      <c r="D101" s="24" t="n"/>
      <c r="E101" s="52" t="str">
        <f>IF(ISNUMBER(A101),COUNTIFS('交易记录'!$B$5:$B$304,A101,'交易记录'!$X$5:$X$304,"已执行"),"")</f>
        <v/>
      </c>
      <c r="F101" s="30" t="n"/>
      <c r="G101" s="24" t="n"/>
      <c r="H101" s="53" t="str">
        <f>IF(NOT(ISNUMBER(A101)),"",IF(COUNTIFS('交易记录'!$Z$5:$Z$304,A101,'交易记录'!$AF$5:$AF$304,"已平仓")=0,"",SUMIFS('交易记录'!$AK$5:$AK$304,'交易记录'!$Z$5:$Z$304,A101,'交易记录'!$AF$5:$AF$304,"已平仓")))</f>
        <v/>
      </c>
      <c r="I101" s="38" t="str">
        <f>IF(NOT(ISNUMBER(H101)),"",IF(H101&lt;=-'参数'!$C$8,"触及停手线",""))</f>
        <v/>
      </c>
      <c r="J101" s="30" t="n"/>
      <c r="K101" s="30" t="n"/>
    </row>
    <row r="102">
      <c r="A102" s="29" t="n"/>
      <c r="B102" s="38" t="str">
        <f>IF(ISNUMBER(A102),"周"&amp;CHOOSE(WEEKDAY(A102,2),"一","二","三","四","五","六","日"),"")</f>
        <v/>
      </c>
      <c r="C102" s="31" t="n"/>
      <c r="D102" s="24" t="n"/>
      <c r="E102" s="52" t="str">
        <f>IF(ISNUMBER(A102),COUNTIFS('交易记录'!$B$5:$B$304,A102,'交易记录'!$X$5:$X$304,"已执行"),"")</f>
        <v/>
      </c>
      <c r="F102" s="30" t="n"/>
      <c r="G102" s="24" t="n"/>
      <c r="H102" s="53" t="str">
        <f>IF(NOT(ISNUMBER(A102)),"",IF(COUNTIFS('交易记录'!$Z$5:$Z$304,A102,'交易记录'!$AF$5:$AF$304,"已平仓")=0,"",SUMIFS('交易记录'!$AK$5:$AK$304,'交易记录'!$Z$5:$Z$304,A102,'交易记录'!$AF$5:$AF$304,"已平仓")))</f>
        <v/>
      </c>
      <c r="I102" s="38" t="str">
        <f>IF(NOT(ISNUMBER(H102)),"",IF(H102&lt;=-'参数'!$C$8,"触及停手线",""))</f>
        <v/>
      </c>
      <c r="J102" s="30" t="n"/>
      <c r="K102" s="30" t="n"/>
    </row>
    <row r="103">
      <c r="A103" s="29" t="n"/>
      <c r="B103" s="38" t="str">
        <f>IF(ISNUMBER(A103),"周"&amp;CHOOSE(WEEKDAY(A103,2),"一","二","三","四","五","六","日"),"")</f>
        <v/>
      </c>
      <c r="C103" s="31" t="n"/>
      <c r="D103" s="24" t="n"/>
      <c r="E103" s="52" t="str">
        <f>IF(ISNUMBER(A103),COUNTIFS('交易记录'!$B$5:$B$304,A103,'交易记录'!$X$5:$X$304,"已执行"),"")</f>
        <v/>
      </c>
      <c r="F103" s="30" t="n"/>
      <c r="G103" s="24" t="n"/>
      <c r="H103" s="53" t="str">
        <f>IF(NOT(ISNUMBER(A103)),"",IF(COUNTIFS('交易记录'!$Z$5:$Z$304,A103,'交易记录'!$AF$5:$AF$304,"已平仓")=0,"",SUMIFS('交易记录'!$AK$5:$AK$304,'交易记录'!$Z$5:$Z$304,A103,'交易记录'!$AF$5:$AF$304,"已平仓")))</f>
        <v/>
      </c>
      <c r="I103" s="38" t="str">
        <f>IF(NOT(ISNUMBER(H103)),"",IF(H103&lt;=-'参数'!$C$8,"触及停手线",""))</f>
        <v/>
      </c>
      <c r="J103" s="30" t="n"/>
      <c r="K103" s="30" t="n"/>
    </row>
    <row r="104">
      <c r="A104" s="29" t="n"/>
      <c r="B104" s="38" t="str">
        <f>IF(ISNUMBER(A104),"周"&amp;CHOOSE(WEEKDAY(A104,2),"一","二","三","四","五","六","日"),"")</f>
        <v/>
      </c>
      <c r="C104" s="31" t="n"/>
      <c r="D104" s="24" t="n"/>
      <c r="E104" s="52" t="str">
        <f>IF(ISNUMBER(A104),COUNTIFS('交易记录'!$B$5:$B$304,A104,'交易记录'!$X$5:$X$304,"已执行"),"")</f>
        <v/>
      </c>
      <c r="F104" s="30" t="n"/>
      <c r="G104" s="24" t="n"/>
      <c r="H104" s="53" t="str">
        <f>IF(NOT(ISNUMBER(A104)),"",IF(COUNTIFS('交易记录'!$Z$5:$Z$304,A104,'交易记录'!$AF$5:$AF$304,"已平仓")=0,"",SUMIFS('交易记录'!$AK$5:$AK$304,'交易记录'!$Z$5:$Z$304,A104,'交易记录'!$AF$5:$AF$304,"已平仓")))</f>
        <v/>
      </c>
      <c r="I104" s="38" t="str">
        <f>IF(NOT(ISNUMBER(H104)),"",IF(H104&lt;=-'参数'!$C$8,"触及停手线",""))</f>
        <v/>
      </c>
      <c r="J104" s="30" t="n"/>
      <c r="K104" s="30" t="n"/>
    </row>
    <row r="105">
      <c r="A105" s="29" t="n"/>
      <c r="B105" s="38" t="str">
        <f>IF(ISNUMBER(A105),"周"&amp;CHOOSE(WEEKDAY(A105,2),"一","二","三","四","五","六","日"),"")</f>
        <v/>
      </c>
      <c r="C105" s="31" t="n"/>
      <c r="D105" s="24" t="n"/>
      <c r="E105" s="52" t="str">
        <f>IF(ISNUMBER(A105),COUNTIFS('交易记录'!$B$5:$B$304,A105,'交易记录'!$X$5:$X$304,"已执行"),"")</f>
        <v/>
      </c>
      <c r="F105" s="30" t="n"/>
      <c r="G105" s="24" t="n"/>
      <c r="H105" s="53" t="str">
        <f>IF(NOT(ISNUMBER(A105)),"",IF(COUNTIFS('交易记录'!$Z$5:$Z$304,A105,'交易记录'!$AF$5:$AF$304,"已平仓")=0,"",SUMIFS('交易记录'!$AK$5:$AK$304,'交易记录'!$Z$5:$Z$304,A105,'交易记录'!$AF$5:$AF$304,"已平仓")))</f>
        <v/>
      </c>
      <c r="I105" s="38" t="str">
        <f>IF(NOT(ISNUMBER(H105)),"",IF(H105&lt;=-'参数'!$C$8,"触及停手线",""))</f>
        <v/>
      </c>
      <c r="J105" s="30" t="n"/>
      <c r="K105" s="30" t="n"/>
    </row>
    <row r="106">
      <c r="A106" s="29" t="n"/>
      <c r="B106" s="38" t="str">
        <f>IF(ISNUMBER(A106),"周"&amp;CHOOSE(WEEKDAY(A106,2),"一","二","三","四","五","六","日"),"")</f>
        <v/>
      </c>
      <c r="C106" s="31" t="n"/>
      <c r="D106" s="24" t="n"/>
      <c r="E106" s="52" t="str">
        <f>IF(ISNUMBER(A106),COUNTIFS('交易记录'!$B$5:$B$304,A106,'交易记录'!$X$5:$X$304,"已执行"),"")</f>
        <v/>
      </c>
      <c r="F106" s="30" t="n"/>
      <c r="G106" s="24" t="n"/>
      <c r="H106" s="53" t="str">
        <f>IF(NOT(ISNUMBER(A106)),"",IF(COUNTIFS('交易记录'!$Z$5:$Z$304,A106,'交易记录'!$AF$5:$AF$304,"已平仓")=0,"",SUMIFS('交易记录'!$AK$5:$AK$304,'交易记录'!$Z$5:$Z$304,A106,'交易记录'!$AF$5:$AF$304,"已平仓")))</f>
        <v/>
      </c>
      <c r="I106" s="38" t="str">
        <f>IF(NOT(ISNUMBER(H106)),"",IF(H106&lt;=-'参数'!$C$8,"触及停手线",""))</f>
        <v/>
      </c>
      <c r="J106" s="30" t="n"/>
      <c r="K106" s="30" t="n"/>
    </row>
    <row r="107">
      <c r="A107" s="29" t="n"/>
      <c r="B107" s="38" t="str">
        <f>IF(ISNUMBER(A107),"周"&amp;CHOOSE(WEEKDAY(A107,2),"一","二","三","四","五","六","日"),"")</f>
        <v/>
      </c>
      <c r="C107" s="31" t="n"/>
      <c r="D107" s="24" t="n"/>
      <c r="E107" s="52" t="str">
        <f>IF(ISNUMBER(A107),COUNTIFS('交易记录'!$B$5:$B$304,A107,'交易记录'!$X$5:$X$304,"已执行"),"")</f>
        <v/>
      </c>
      <c r="F107" s="30" t="n"/>
      <c r="G107" s="24" t="n"/>
      <c r="H107" s="53" t="str">
        <f>IF(NOT(ISNUMBER(A107)),"",IF(COUNTIFS('交易记录'!$Z$5:$Z$304,A107,'交易记录'!$AF$5:$AF$304,"已平仓")=0,"",SUMIFS('交易记录'!$AK$5:$AK$304,'交易记录'!$Z$5:$Z$304,A107,'交易记录'!$AF$5:$AF$304,"已平仓")))</f>
        <v/>
      </c>
      <c r="I107" s="38" t="str">
        <f>IF(NOT(ISNUMBER(H107)),"",IF(H107&lt;=-'参数'!$C$8,"触及停手线",""))</f>
        <v/>
      </c>
      <c r="J107" s="30" t="n"/>
      <c r="K107" s="30" t="n"/>
    </row>
    <row r="108">
      <c r="A108" s="29" t="n"/>
      <c r="B108" s="38" t="str">
        <f>IF(ISNUMBER(A108),"周"&amp;CHOOSE(WEEKDAY(A108,2),"一","二","三","四","五","六","日"),"")</f>
        <v/>
      </c>
      <c r="C108" s="31" t="n"/>
      <c r="D108" s="24" t="n"/>
      <c r="E108" s="52" t="str">
        <f>IF(ISNUMBER(A108),COUNTIFS('交易记录'!$B$5:$B$304,A108,'交易记录'!$X$5:$X$304,"已执行"),"")</f>
        <v/>
      </c>
      <c r="F108" s="30" t="n"/>
      <c r="G108" s="24" t="n"/>
      <c r="H108" s="53" t="str">
        <f>IF(NOT(ISNUMBER(A108)),"",IF(COUNTIFS('交易记录'!$Z$5:$Z$304,A108,'交易记录'!$AF$5:$AF$304,"已平仓")=0,"",SUMIFS('交易记录'!$AK$5:$AK$304,'交易记录'!$Z$5:$Z$304,A108,'交易记录'!$AF$5:$AF$304,"已平仓")))</f>
        <v/>
      </c>
      <c r="I108" s="38" t="str">
        <f>IF(NOT(ISNUMBER(H108)),"",IF(H108&lt;=-'参数'!$C$8,"触及停手线",""))</f>
        <v/>
      </c>
      <c r="J108" s="30" t="n"/>
      <c r="K108" s="30" t="n"/>
    </row>
    <row r="109">
      <c r="A109" s="29" t="n"/>
      <c r="B109" s="38" t="str">
        <f>IF(ISNUMBER(A109),"周"&amp;CHOOSE(WEEKDAY(A109,2),"一","二","三","四","五","六","日"),"")</f>
        <v/>
      </c>
      <c r="C109" s="31" t="n"/>
      <c r="D109" s="24" t="n"/>
      <c r="E109" s="52" t="str">
        <f>IF(ISNUMBER(A109),COUNTIFS('交易记录'!$B$5:$B$304,A109,'交易记录'!$X$5:$X$304,"已执行"),"")</f>
        <v/>
      </c>
      <c r="F109" s="30" t="n"/>
      <c r="G109" s="24" t="n"/>
      <c r="H109" s="53" t="str">
        <f>IF(NOT(ISNUMBER(A109)),"",IF(COUNTIFS('交易记录'!$Z$5:$Z$304,A109,'交易记录'!$AF$5:$AF$304,"已平仓")=0,"",SUMIFS('交易记录'!$AK$5:$AK$304,'交易记录'!$Z$5:$Z$304,A109,'交易记录'!$AF$5:$AF$304,"已平仓")))</f>
        <v/>
      </c>
      <c r="I109" s="38" t="str">
        <f>IF(NOT(ISNUMBER(H109)),"",IF(H109&lt;=-'参数'!$C$8,"触及停手线",""))</f>
        <v/>
      </c>
      <c r="J109" s="30" t="n"/>
      <c r="K109" s="30" t="n"/>
    </row>
    <row r="110">
      <c r="A110" s="29" t="n"/>
      <c r="B110" s="38" t="str">
        <f>IF(ISNUMBER(A110),"周"&amp;CHOOSE(WEEKDAY(A110,2),"一","二","三","四","五","六","日"),"")</f>
        <v/>
      </c>
      <c r="C110" s="31" t="n"/>
      <c r="D110" s="24" t="n"/>
      <c r="E110" s="52" t="str">
        <f>IF(ISNUMBER(A110),COUNTIFS('交易记录'!$B$5:$B$304,A110,'交易记录'!$X$5:$X$304,"已执行"),"")</f>
        <v/>
      </c>
      <c r="F110" s="30" t="n"/>
      <c r="G110" s="24" t="n"/>
      <c r="H110" s="53" t="str">
        <f>IF(NOT(ISNUMBER(A110)),"",IF(COUNTIFS('交易记录'!$Z$5:$Z$304,A110,'交易记录'!$AF$5:$AF$304,"已平仓")=0,"",SUMIFS('交易记录'!$AK$5:$AK$304,'交易记录'!$Z$5:$Z$304,A110,'交易记录'!$AF$5:$AF$304,"已平仓")))</f>
        <v/>
      </c>
      <c r="I110" s="38" t="str">
        <f>IF(NOT(ISNUMBER(H110)),"",IF(H110&lt;=-'参数'!$C$8,"触及停手线",""))</f>
        <v/>
      </c>
      <c r="J110" s="30" t="n"/>
      <c r="K110" s="30" t="n"/>
    </row>
    <row r="111">
      <c r="A111" s="29" t="n"/>
      <c r="B111" s="38" t="str">
        <f>IF(ISNUMBER(A111),"周"&amp;CHOOSE(WEEKDAY(A111,2),"一","二","三","四","五","六","日"),"")</f>
        <v/>
      </c>
      <c r="C111" s="31" t="n"/>
      <c r="D111" s="24" t="n"/>
      <c r="E111" s="52" t="str">
        <f>IF(ISNUMBER(A111),COUNTIFS('交易记录'!$B$5:$B$304,A111,'交易记录'!$X$5:$X$304,"已执行"),"")</f>
        <v/>
      </c>
      <c r="F111" s="30" t="n"/>
      <c r="G111" s="24" t="n"/>
      <c r="H111" s="53" t="str">
        <f>IF(NOT(ISNUMBER(A111)),"",IF(COUNTIFS('交易记录'!$Z$5:$Z$304,A111,'交易记录'!$AF$5:$AF$304,"已平仓")=0,"",SUMIFS('交易记录'!$AK$5:$AK$304,'交易记录'!$Z$5:$Z$304,A111,'交易记录'!$AF$5:$AF$304,"已平仓")))</f>
        <v/>
      </c>
      <c r="I111" s="38" t="str">
        <f>IF(NOT(ISNUMBER(H111)),"",IF(H111&lt;=-'参数'!$C$8,"触及停手线",""))</f>
        <v/>
      </c>
      <c r="J111" s="30" t="n"/>
      <c r="K111" s="30" t="n"/>
    </row>
    <row r="112">
      <c r="A112" s="29" t="n"/>
      <c r="B112" s="38" t="str">
        <f>IF(ISNUMBER(A112),"周"&amp;CHOOSE(WEEKDAY(A112,2),"一","二","三","四","五","六","日"),"")</f>
        <v/>
      </c>
      <c r="C112" s="31" t="n"/>
      <c r="D112" s="24" t="n"/>
      <c r="E112" s="52" t="str">
        <f>IF(ISNUMBER(A112),COUNTIFS('交易记录'!$B$5:$B$304,A112,'交易记录'!$X$5:$X$304,"已执行"),"")</f>
        <v/>
      </c>
      <c r="F112" s="30" t="n"/>
      <c r="G112" s="24" t="n"/>
      <c r="H112" s="53" t="str">
        <f>IF(NOT(ISNUMBER(A112)),"",IF(COUNTIFS('交易记录'!$Z$5:$Z$304,A112,'交易记录'!$AF$5:$AF$304,"已平仓")=0,"",SUMIFS('交易记录'!$AK$5:$AK$304,'交易记录'!$Z$5:$Z$304,A112,'交易记录'!$AF$5:$AF$304,"已平仓")))</f>
        <v/>
      </c>
      <c r="I112" s="38" t="str">
        <f>IF(NOT(ISNUMBER(H112)),"",IF(H112&lt;=-'参数'!$C$8,"触及停手线",""))</f>
        <v/>
      </c>
      <c r="J112" s="30" t="n"/>
      <c r="K112" s="30" t="n"/>
    </row>
    <row r="113">
      <c r="A113" s="29" t="n"/>
      <c r="B113" s="38" t="str">
        <f>IF(ISNUMBER(A113),"周"&amp;CHOOSE(WEEKDAY(A113,2),"一","二","三","四","五","六","日"),"")</f>
        <v/>
      </c>
      <c r="C113" s="31" t="n"/>
      <c r="D113" s="24" t="n"/>
      <c r="E113" s="52" t="str">
        <f>IF(ISNUMBER(A113),COUNTIFS('交易记录'!$B$5:$B$304,A113,'交易记录'!$X$5:$X$304,"已执行"),"")</f>
        <v/>
      </c>
      <c r="F113" s="30" t="n"/>
      <c r="G113" s="24" t="n"/>
      <c r="H113" s="53" t="str">
        <f>IF(NOT(ISNUMBER(A113)),"",IF(COUNTIFS('交易记录'!$Z$5:$Z$304,A113,'交易记录'!$AF$5:$AF$304,"已平仓")=0,"",SUMIFS('交易记录'!$AK$5:$AK$304,'交易记录'!$Z$5:$Z$304,A113,'交易记录'!$AF$5:$AF$304,"已平仓")))</f>
        <v/>
      </c>
      <c r="I113" s="38" t="str">
        <f>IF(NOT(ISNUMBER(H113)),"",IF(H113&lt;=-'参数'!$C$8,"触及停手线",""))</f>
        <v/>
      </c>
      <c r="J113" s="30" t="n"/>
      <c r="K113" s="30" t="n"/>
    </row>
    <row r="114">
      <c r="A114" s="29" t="n"/>
      <c r="B114" s="38" t="str">
        <f>IF(ISNUMBER(A114),"周"&amp;CHOOSE(WEEKDAY(A114,2),"一","二","三","四","五","六","日"),"")</f>
        <v/>
      </c>
      <c r="C114" s="31" t="n"/>
      <c r="D114" s="24" t="n"/>
      <c r="E114" s="52" t="str">
        <f>IF(ISNUMBER(A114),COUNTIFS('交易记录'!$B$5:$B$304,A114,'交易记录'!$X$5:$X$304,"已执行"),"")</f>
        <v/>
      </c>
      <c r="F114" s="30" t="n"/>
      <c r="G114" s="24" t="n"/>
      <c r="H114" s="53" t="str">
        <f>IF(NOT(ISNUMBER(A114)),"",IF(COUNTIFS('交易记录'!$Z$5:$Z$304,A114,'交易记录'!$AF$5:$AF$304,"已平仓")=0,"",SUMIFS('交易记录'!$AK$5:$AK$304,'交易记录'!$Z$5:$Z$304,A114,'交易记录'!$AF$5:$AF$304,"已平仓")))</f>
        <v/>
      </c>
      <c r="I114" s="38" t="str">
        <f>IF(NOT(ISNUMBER(H114)),"",IF(H114&lt;=-'参数'!$C$8,"触及停手线",""))</f>
        <v/>
      </c>
      <c r="J114" s="30" t="n"/>
      <c r="K114" s="30" t="n"/>
    </row>
    <row r="115">
      <c r="A115" s="29" t="n"/>
      <c r="B115" s="38" t="str">
        <f>IF(ISNUMBER(A115),"周"&amp;CHOOSE(WEEKDAY(A115,2),"一","二","三","四","五","六","日"),"")</f>
        <v/>
      </c>
      <c r="C115" s="31" t="n"/>
      <c r="D115" s="24" t="n"/>
      <c r="E115" s="52" t="str">
        <f>IF(ISNUMBER(A115),COUNTIFS('交易记录'!$B$5:$B$304,A115,'交易记录'!$X$5:$X$304,"已执行"),"")</f>
        <v/>
      </c>
      <c r="F115" s="30" t="n"/>
      <c r="G115" s="24" t="n"/>
      <c r="H115" s="53" t="str">
        <f>IF(NOT(ISNUMBER(A115)),"",IF(COUNTIFS('交易记录'!$Z$5:$Z$304,A115,'交易记录'!$AF$5:$AF$304,"已平仓")=0,"",SUMIFS('交易记录'!$AK$5:$AK$304,'交易记录'!$Z$5:$Z$304,A115,'交易记录'!$AF$5:$AF$304,"已平仓")))</f>
        <v/>
      </c>
      <c r="I115" s="38" t="str">
        <f>IF(NOT(ISNUMBER(H115)),"",IF(H115&lt;=-'参数'!$C$8,"触及停手线",""))</f>
        <v/>
      </c>
      <c r="J115" s="30" t="n"/>
      <c r="K115" s="30" t="n"/>
    </row>
    <row r="116">
      <c r="A116" s="29" t="n"/>
      <c r="B116" s="38" t="str">
        <f>IF(ISNUMBER(A116),"周"&amp;CHOOSE(WEEKDAY(A116,2),"一","二","三","四","五","六","日"),"")</f>
        <v/>
      </c>
      <c r="C116" s="31" t="n"/>
      <c r="D116" s="24" t="n"/>
      <c r="E116" s="52" t="str">
        <f>IF(ISNUMBER(A116),COUNTIFS('交易记录'!$B$5:$B$304,A116,'交易记录'!$X$5:$X$304,"已执行"),"")</f>
        <v/>
      </c>
      <c r="F116" s="30" t="n"/>
      <c r="G116" s="24" t="n"/>
      <c r="H116" s="53" t="str">
        <f>IF(NOT(ISNUMBER(A116)),"",IF(COUNTIFS('交易记录'!$Z$5:$Z$304,A116,'交易记录'!$AF$5:$AF$304,"已平仓")=0,"",SUMIFS('交易记录'!$AK$5:$AK$304,'交易记录'!$Z$5:$Z$304,A116,'交易记录'!$AF$5:$AF$304,"已平仓")))</f>
        <v/>
      </c>
      <c r="I116" s="38" t="str">
        <f>IF(NOT(ISNUMBER(H116)),"",IF(H116&lt;=-'参数'!$C$8,"触及停手线",""))</f>
        <v/>
      </c>
      <c r="J116" s="30" t="n"/>
      <c r="K116" s="30" t="n"/>
    </row>
    <row r="117">
      <c r="A117" s="29" t="n"/>
      <c r="B117" s="38" t="str">
        <f>IF(ISNUMBER(A117),"周"&amp;CHOOSE(WEEKDAY(A117,2),"一","二","三","四","五","六","日"),"")</f>
        <v/>
      </c>
      <c r="C117" s="31" t="n"/>
      <c r="D117" s="24" t="n"/>
      <c r="E117" s="52" t="str">
        <f>IF(ISNUMBER(A117),COUNTIFS('交易记录'!$B$5:$B$304,A117,'交易记录'!$X$5:$X$304,"已执行"),"")</f>
        <v/>
      </c>
      <c r="F117" s="30" t="n"/>
      <c r="G117" s="24" t="n"/>
      <c r="H117" s="53" t="str">
        <f>IF(NOT(ISNUMBER(A117)),"",IF(COUNTIFS('交易记录'!$Z$5:$Z$304,A117,'交易记录'!$AF$5:$AF$304,"已平仓")=0,"",SUMIFS('交易记录'!$AK$5:$AK$304,'交易记录'!$Z$5:$Z$304,A117,'交易记录'!$AF$5:$AF$304,"已平仓")))</f>
        <v/>
      </c>
      <c r="I117" s="38" t="str">
        <f>IF(NOT(ISNUMBER(H117)),"",IF(H117&lt;=-'参数'!$C$8,"触及停手线",""))</f>
        <v/>
      </c>
      <c r="J117" s="30" t="n"/>
      <c r="K117" s="30" t="n"/>
    </row>
    <row r="118">
      <c r="A118" s="29" t="n"/>
      <c r="B118" s="38" t="str">
        <f>IF(ISNUMBER(A118),"周"&amp;CHOOSE(WEEKDAY(A118,2),"一","二","三","四","五","六","日"),"")</f>
        <v/>
      </c>
      <c r="C118" s="31" t="n"/>
      <c r="D118" s="24" t="n"/>
      <c r="E118" s="52" t="str">
        <f>IF(ISNUMBER(A118),COUNTIFS('交易记录'!$B$5:$B$304,A118,'交易记录'!$X$5:$X$304,"已执行"),"")</f>
        <v/>
      </c>
      <c r="F118" s="30" t="n"/>
      <c r="G118" s="24" t="n"/>
      <c r="H118" s="53" t="str">
        <f>IF(NOT(ISNUMBER(A118)),"",IF(COUNTIFS('交易记录'!$Z$5:$Z$304,A118,'交易记录'!$AF$5:$AF$304,"已平仓")=0,"",SUMIFS('交易记录'!$AK$5:$AK$304,'交易记录'!$Z$5:$Z$304,A118,'交易记录'!$AF$5:$AF$304,"已平仓")))</f>
        <v/>
      </c>
      <c r="I118" s="38" t="str">
        <f>IF(NOT(ISNUMBER(H118)),"",IF(H118&lt;=-'参数'!$C$8,"触及停手线",""))</f>
        <v/>
      </c>
      <c r="J118" s="30" t="n"/>
      <c r="K118" s="30" t="n"/>
    </row>
    <row r="119">
      <c r="A119" s="29" t="n"/>
      <c r="B119" s="38" t="str">
        <f>IF(ISNUMBER(A119),"周"&amp;CHOOSE(WEEKDAY(A119,2),"一","二","三","四","五","六","日"),"")</f>
        <v/>
      </c>
      <c r="C119" s="31" t="n"/>
      <c r="D119" s="24" t="n"/>
      <c r="E119" s="52" t="str">
        <f>IF(ISNUMBER(A119),COUNTIFS('交易记录'!$B$5:$B$304,A119,'交易记录'!$X$5:$X$304,"已执行"),"")</f>
        <v/>
      </c>
      <c r="F119" s="30" t="n"/>
      <c r="G119" s="24" t="n"/>
      <c r="H119" s="53" t="str">
        <f>IF(NOT(ISNUMBER(A119)),"",IF(COUNTIFS('交易记录'!$Z$5:$Z$304,A119,'交易记录'!$AF$5:$AF$304,"已平仓")=0,"",SUMIFS('交易记录'!$AK$5:$AK$304,'交易记录'!$Z$5:$Z$304,A119,'交易记录'!$AF$5:$AF$304,"已平仓")))</f>
        <v/>
      </c>
      <c r="I119" s="38" t="str">
        <f>IF(NOT(ISNUMBER(H119)),"",IF(H119&lt;=-'参数'!$C$8,"触及停手线",""))</f>
        <v/>
      </c>
      <c r="J119" s="30" t="n"/>
      <c r="K119" s="30" t="n"/>
    </row>
    <row r="120">
      <c r="A120" s="29" t="n"/>
      <c r="B120" s="38" t="str">
        <f>IF(ISNUMBER(A120),"周"&amp;CHOOSE(WEEKDAY(A120,2),"一","二","三","四","五","六","日"),"")</f>
        <v/>
      </c>
      <c r="C120" s="31" t="n"/>
      <c r="D120" s="24" t="n"/>
      <c r="E120" s="52" t="str">
        <f>IF(ISNUMBER(A120),COUNTIFS('交易记录'!$B$5:$B$304,A120,'交易记录'!$X$5:$X$304,"已执行"),"")</f>
        <v/>
      </c>
      <c r="F120" s="30" t="n"/>
      <c r="G120" s="24" t="n"/>
      <c r="H120" s="53" t="str">
        <f>IF(NOT(ISNUMBER(A120)),"",IF(COUNTIFS('交易记录'!$Z$5:$Z$304,A120,'交易记录'!$AF$5:$AF$304,"已平仓")=0,"",SUMIFS('交易记录'!$AK$5:$AK$304,'交易记录'!$Z$5:$Z$304,A120,'交易记录'!$AF$5:$AF$304,"已平仓")))</f>
        <v/>
      </c>
      <c r="I120" s="38" t="str">
        <f>IF(NOT(ISNUMBER(H120)),"",IF(H120&lt;=-'参数'!$C$8,"触及停手线",""))</f>
        <v/>
      </c>
      <c r="J120" s="30" t="n"/>
      <c r="K120" s="30" t="n"/>
    </row>
    <row r="121">
      <c r="A121" s="29" t="n"/>
      <c r="B121" s="38" t="str">
        <f>IF(ISNUMBER(A121),"周"&amp;CHOOSE(WEEKDAY(A121,2),"一","二","三","四","五","六","日"),"")</f>
        <v/>
      </c>
      <c r="C121" s="31" t="n"/>
      <c r="D121" s="24" t="n"/>
      <c r="E121" s="52" t="str">
        <f>IF(ISNUMBER(A121),COUNTIFS('交易记录'!$B$5:$B$304,A121,'交易记录'!$X$5:$X$304,"已执行"),"")</f>
        <v/>
      </c>
      <c r="F121" s="30" t="n"/>
      <c r="G121" s="24" t="n"/>
      <c r="H121" s="53" t="str">
        <f>IF(NOT(ISNUMBER(A121)),"",IF(COUNTIFS('交易记录'!$Z$5:$Z$304,A121,'交易记录'!$AF$5:$AF$304,"已平仓")=0,"",SUMIFS('交易记录'!$AK$5:$AK$304,'交易记录'!$Z$5:$Z$304,A121,'交易记录'!$AF$5:$AF$304,"已平仓")))</f>
        <v/>
      </c>
      <c r="I121" s="38" t="str">
        <f>IF(NOT(ISNUMBER(H121)),"",IF(H121&lt;=-'参数'!$C$8,"触及停手线",""))</f>
        <v/>
      </c>
      <c r="J121" s="30" t="n"/>
      <c r="K121" s="30" t="n"/>
    </row>
    <row r="122">
      <c r="A122" s="29" t="n"/>
      <c r="B122" s="38" t="str">
        <f>IF(ISNUMBER(A122),"周"&amp;CHOOSE(WEEKDAY(A122,2),"一","二","三","四","五","六","日"),"")</f>
        <v/>
      </c>
      <c r="C122" s="31" t="n"/>
      <c r="D122" s="24" t="n"/>
      <c r="E122" s="52" t="str">
        <f>IF(ISNUMBER(A122),COUNTIFS('交易记录'!$B$5:$B$304,A122,'交易记录'!$X$5:$X$304,"已执行"),"")</f>
        <v/>
      </c>
      <c r="F122" s="30" t="n"/>
      <c r="G122" s="24" t="n"/>
      <c r="H122" s="53" t="str">
        <f>IF(NOT(ISNUMBER(A122)),"",IF(COUNTIFS('交易记录'!$Z$5:$Z$304,A122,'交易记录'!$AF$5:$AF$304,"已平仓")=0,"",SUMIFS('交易记录'!$AK$5:$AK$304,'交易记录'!$Z$5:$Z$304,A122,'交易记录'!$AF$5:$AF$304,"已平仓")))</f>
        <v/>
      </c>
      <c r="I122" s="38" t="str">
        <f>IF(NOT(ISNUMBER(H122)),"",IF(H122&lt;=-'参数'!$C$8,"触及停手线",""))</f>
        <v/>
      </c>
      <c r="J122" s="30" t="n"/>
      <c r="K122" s="30" t="n"/>
    </row>
    <row r="123">
      <c r="A123" s="29" t="n"/>
      <c r="B123" s="38" t="str">
        <f>IF(ISNUMBER(A123),"周"&amp;CHOOSE(WEEKDAY(A123,2),"一","二","三","四","五","六","日"),"")</f>
        <v/>
      </c>
      <c r="C123" s="31" t="n"/>
      <c r="D123" s="24" t="n"/>
      <c r="E123" s="52" t="str">
        <f>IF(ISNUMBER(A123),COUNTIFS('交易记录'!$B$5:$B$304,A123,'交易记录'!$X$5:$X$304,"已执行"),"")</f>
        <v/>
      </c>
      <c r="F123" s="30" t="n"/>
      <c r="G123" s="24" t="n"/>
      <c r="H123" s="53" t="str">
        <f>IF(NOT(ISNUMBER(A123)),"",IF(COUNTIFS('交易记录'!$Z$5:$Z$304,A123,'交易记录'!$AF$5:$AF$304,"已平仓")=0,"",SUMIFS('交易记录'!$AK$5:$AK$304,'交易记录'!$Z$5:$Z$304,A123,'交易记录'!$AF$5:$AF$304,"已平仓")))</f>
        <v/>
      </c>
      <c r="I123" s="38" t="str">
        <f>IF(NOT(ISNUMBER(H123)),"",IF(H123&lt;=-'参数'!$C$8,"触及停手线",""))</f>
        <v/>
      </c>
      <c r="J123" s="30" t="n"/>
      <c r="K123" s="30" t="n"/>
    </row>
    <row r="124">
      <c r="A124" s="29" t="n"/>
      <c r="B124" s="38" t="str">
        <f>IF(ISNUMBER(A124),"周"&amp;CHOOSE(WEEKDAY(A124,2),"一","二","三","四","五","六","日"),"")</f>
        <v/>
      </c>
      <c r="C124" s="31" t="n"/>
      <c r="D124" s="24" t="n"/>
      <c r="E124" s="52" t="str">
        <f>IF(ISNUMBER(A124),COUNTIFS('交易记录'!$B$5:$B$304,A124,'交易记录'!$X$5:$X$304,"已执行"),"")</f>
        <v/>
      </c>
      <c r="F124" s="30" t="n"/>
      <c r="G124" s="24" t="n"/>
      <c r="H124" s="53" t="str">
        <f>IF(NOT(ISNUMBER(A124)),"",IF(COUNTIFS('交易记录'!$Z$5:$Z$304,A124,'交易记录'!$AF$5:$AF$304,"已平仓")=0,"",SUMIFS('交易记录'!$AK$5:$AK$304,'交易记录'!$Z$5:$Z$304,A124,'交易记录'!$AF$5:$AF$304,"已平仓")))</f>
        <v/>
      </c>
      <c r="I124" s="38" t="str">
        <f>IF(NOT(ISNUMBER(H124)),"",IF(H124&lt;=-'参数'!$C$8,"触及停手线",""))</f>
        <v/>
      </c>
      <c r="J124" s="30" t="n"/>
      <c r="K124" s="30" t="n"/>
    </row>
    <row r="125">
      <c r="A125" s="29" t="n"/>
      <c r="B125" s="38" t="str">
        <f>IF(ISNUMBER(A125),"周"&amp;CHOOSE(WEEKDAY(A125,2),"一","二","三","四","五","六","日"),"")</f>
        <v/>
      </c>
      <c r="C125" s="31" t="n"/>
      <c r="D125" s="24" t="n"/>
      <c r="E125" s="52" t="str">
        <f>IF(ISNUMBER(A125),COUNTIFS('交易记录'!$B$5:$B$304,A125,'交易记录'!$X$5:$X$304,"已执行"),"")</f>
        <v/>
      </c>
      <c r="F125" s="30" t="n"/>
      <c r="G125" s="24" t="n"/>
      <c r="H125" s="53" t="str">
        <f>IF(NOT(ISNUMBER(A125)),"",IF(COUNTIFS('交易记录'!$Z$5:$Z$304,A125,'交易记录'!$AF$5:$AF$304,"已平仓")=0,"",SUMIFS('交易记录'!$AK$5:$AK$304,'交易记录'!$Z$5:$Z$304,A125,'交易记录'!$AF$5:$AF$304,"已平仓")))</f>
        <v/>
      </c>
      <c r="I125" s="38" t="str">
        <f>IF(NOT(ISNUMBER(H125)),"",IF(H125&lt;=-'参数'!$C$8,"触及停手线",""))</f>
        <v/>
      </c>
      <c r="J125" s="30" t="n"/>
      <c r="K125" s="30" t="n"/>
    </row>
    <row r="126">
      <c r="A126" s="29" t="n"/>
      <c r="B126" s="38" t="str">
        <f>IF(ISNUMBER(A126),"周"&amp;CHOOSE(WEEKDAY(A126,2),"一","二","三","四","五","六","日"),"")</f>
        <v/>
      </c>
      <c r="C126" s="31" t="n"/>
      <c r="D126" s="24" t="n"/>
      <c r="E126" s="52" t="str">
        <f>IF(ISNUMBER(A126),COUNTIFS('交易记录'!$B$5:$B$304,A126,'交易记录'!$X$5:$X$304,"已执行"),"")</f>
        <v/>
      </c>
      <c r="F126" s="30" t="n"/>
      <c r="G126" s="24" t="n"/>
      <c r="H126" s="53" t="str">
        <f>IF(NOT(ISNUMBER(A126)),"",IF(COUNTIFS('交易记录'!$Z$5:$Z$304,A126,'交易记录'!$AF$5:$AF$304,"已平仓")=0,"",SUMIFS('交易记录'!$AK$5:$AK$304,'交易记录'!$Z$5:$Z$304,A126,'交易记录'!$AF$5:$AF$304,"已平仓")))</f>
        <v/>
      </c>
      <c r="I126" s="38" t="str">
        <f>IF(NOT(ISNUMBER(H126)),"",IF(H126&lt;=-'参数'!$C$8,"触及停手线",""))</f>
        <v/>
      </c>
      <c r="J126" s="30" t="n"/>
      <c r="K126" s="30" t="n"/>
    </row>
    <row r="127">
      <c r="A127" s="29" t="n"/>
      <c r="B127" s="38" t="str">
        <f>IF(ISNUMBER(A127),"周"&amp;CHOOSE(WEEKDAY(A127,2),"一","二","三","四","五","六","日"),"")</f>
        <v/>
      </c>
      <c r="C127" s="31" t="n"/>
      <c r="D127" s="24" t="n"/>
      <c r="E127" s="52" t="str">
        <f>IF(ISNUMBER(A127),COUNTIFS('交易记录'!$B$5:$B$304,A127,'交易记录'!$X$5:$X$304,"已执行"),"")</f>
        <v/>
      </c>
      <c r="F127" s="30" t="n"/>
      <c r="G127" s="24" t="n"/>
      <c r="H127" s="53" t="str">
        <f>IF(NOT(ISNUMBER(A127)),"",IF(COUNTIFS('交易记录'!$Z$5:$Z$304,A127,'交易记录'!$AF$5:$AF$304,"已平仓")=0,"",SUMIFS('交易记录'!$AK$5:$AK$304,'交易记录'!$Z$5:$Z$304,A127,'交易记录'!$AF$5:$AF$304,"已平仓")))</f>
        <v/>
      </c>
      <c r="I127" s="38" t="str">
        <f>IF(NOT(ISNUMBER(H127)),"",IF(H127&lt;=-'参数'!$C$8,"触及停手线",""))</f>
        <v/>
      </c>
      <c r="J127" s="30" t="n"/>
      <c r="K127" s="30" t="n"/>
    </row>
    <row r="128">
      <c r="A128" s="29" t="n"/>
      <c r="B128" s="38" t="str">
        <f>IF(ISNUMBER(A128),"周"&amp;CHOOSE(WEEKDAY(A128,2),"一","二","三","四","五","六","日"),"")</f>
        <v/>
      </c>
      <c r="C128" s="31" t="n"/>
      <c r="D128" s="24" t="n"/>
      <c r="E128" s="52" t="str">
        <f>IF(ISNUMBER(A128),COUNTIFS('交易记录'!$B$5:$B$304,A128,'交易记录'!$X$5:$X$304,"已执行"),"")</f>
        <v/>
      </c>
      <c r="F128" s="30" t="n"/>
      <c r="G128" s="24" t="n"/>
      <c r="H128" s="53" t="str">
        <f>IF(NOT(ISNUMBER(A128)),"",IF(COUNTIFS('交易记录'!$Z$5:$Z$304,A128,'交易记录'!$AF$5:$AF$304,"已平仓")=0,"",SUMIFS('交易记录'!$AK$5:$AK$304,'交易记录'!$Z$5:$Z$304,A128,'交易记录'!$AF$5:$AF$304,"已平仓")))</f>
        <v/>
      </c>
      <c r="I128" s="38" t="str">
        <f>IF(NOT(ISNUMBER(H128)),"",IF(H128&lt;=-'参数'!$C$8,"触及停手线",""))</f>
        <v/>
      </c>
      <c r="J128" s="30" t="n"/>
      <c r="K128" s="30" t="n"/>
    </row>
    <row r="129">
      <c r="A129" s="29" t="n"/>
      <c r="B129" s="38" t="str">
        <f>IF(ISNUMBER(A129),"周"&amp;CHOOSE(WEEKDAY(A129,2),"一","二","三","四","五","六","日"),"")</f>
        <v/>
      </c>
      <c r="C129" s="31" t="n"/>
      <c r="D129" s="24" t="n"/>
      <c r="E129" s="52" t="str">
        <f>IF(ISNUMBER(A129),COUNTIFS('交易记录'!$B$5:$B$304,A129,'交易记录'!$X$5:$X$304,"已执行"),"")</f>
        <v/>
      </c>
      <c r="F129" s="30" t="n"/>
      <c r="G129" s="24" t="n"/>
      <c r="H129" s="53" t="str">
        <f>IF(NOT(ISNUMBER(A129)),"",IF(COUNTIFS('交易记录'!$Z$5:$Z$304,A129,'交易记录'!$AF$5:$AF$304,"已平仓")=0,"",SUMIFS('交易记录'!$AK$5:$AK$304,'交易记录'!$Z$5:$Z$304,A129,'交易记录'!$AF$5:$AF$304,"已平仓")))</f>
        <v/>
      </c>
      <c r="I129" s="38" t="str">
        <f>IF(NOT(ISNUMBER(H129)),"",IF(H129&lt;=-'参数'!$C$8,"触及停手线",""))</f>
        <v/>
      </c>
      <c r="J129" s="30" t="n"/>
      <c r="K129" s="30" t="n"/>
    </row>
    <row r="130">
      <c r="A130" s="29" t="n"/>
      <c r="B130" s="38" t="str">
        <f>IF(ISNUMBER(A130),"周"&amp;CHOOSE(WEEKDAY(A130,2),"一","二","三","四","五","六","日"),"")</f>
        <v/>
      </c>
      <c r="C130" s="31" t="n"/>
      <c r="D130" s="24" t="n"/>
      <c r="E130" s="52" t="str">
        <f>IF(ISNUMBER(A130),COUNTIFS('交易记录'!$B$5:$B$304,A130,'交易记录'!$X$5:$X$304,"已执行"),"")</f>
        <v/>
      </c>
      <c r="F130" s="30" t="n"/>
      <c r="G130" s="24" t="n"/>
      <c r="H130" s="53" t="str">
        <f>IF(NOT(ISNUMBER(A130)),"",IF(COUNTIFS('交易记录'!$Z$5:$Z$304,A130,'交易记录'!$AF$5:$AF$304,"已平仓")=0,"",SUMIFS('交易记录'!$AK$5:$AK$304,'交易记录'!$Z$5:$Z$304,A130,'交易记录'!$AF$5:$AF$304,"已平仓")))</f>
        <v/>
      </c>
      <c r="I130" s="38" t="str">
        <f>IF(NOT(ISNUMBER(H130)),"",IF(H130&lt;=-'参数'!$C$8,"触及停手线",""))</f>
        <v/>
      </c>
      <c r="J130" s="30" t="n"/>
      <c r="K130" s="30" t="n"/>
    </row>
    <row r="131">
      <c r="A131" s="29" t="n"/>
      <c r="B131" s="38" t="str">
        <f>IF(ISNUMBER(A131),"周"&amp;CHOOSE(WEEKDAY(A131,2),"一","二","三","四","五","六","日"),"")</f>
        <v/>
      </c>
      <c r="C131" s="31" t="n"/>
      <c r="D131" s="24" t="n"/>
      <c r="E131" s="52" t="str">
        <f>IF(ISNUMBER(A131),COUNTIFS('交易记录'!$B$5:$B$304,A131,'交易记录'!$X$5:$X$304,"已执行"),"")</f>
        <v/>
      </c>
      <c r="F131" s="30" t="n"/>
      <c r="G131" s="24" t="n"/>
      <c r="H131" s="53" t="str">
        <f>IF(NOT(ISNUMBER(A131)),"",IF(COUNTIFS('交易记录'!$Z$5:$Z$304,A131,'交易记录'!$AF$5:$AF$304,"已平仓")=0,"",SUMIFS('交易记录'!$AK$5:$AK$304,'交易记录'!$Z$5:$Z$304,A131,'交易记录'!$AF$5:$AF$304,"已平仓")))</f>
        <v/>
      </c>
      <c r="I131" s="38" t="str">
        <f>IF(NOT(ISNUMBER(H131)),"",IF(H131&lt;=-'参数'!$C$8,"触及停手线",""))</f>
        <v/>
      </c>
      <c r="J131" s="30" t="n"/>
      <c r="K131" s="30" t="n"/>
    </row>
    <row r="132">
      <c r="A132" s="29" t="n"/>
      <c r="B132" s="38" t="str">
        <f>IF(ISNUMBER(A132),"周"&amp;CHOOSE(WEEKDAY(A132,2),"一","二","三","四","五","六","日"),"")</f>
        <v/>
      </c>
      <c r="C132" s="31" t="n"/>
      <c r="D132" s="24" t="n"/>
      <c r="E132" s="52" t="str">
        <f>IF(ISNUMBER(A132),COUNTIFS('交易记录'!$B$5:$B$304,A132,'交易记录'!$X$5:$X$304,"已执行"),"")</f>
        <v/>
      </c>
      <c r="F132" s="30" t="n"/>
      <c r="G132" s="24" t="n"/>
      <c r="H132" s="53" t="str">
        <f>IF(NOT(ISNUMBER(A132)),"",IF(COUNTIFS('交易记录'!$Z$5:$Z$304,A132,'交易记录'!$AF$5:$AF$304,"已平仓")=0,"",SUMIFS('交易记录'!$AK$5:$AK$304,'交易记录'!$Z$5:$Z$304,A132,'交易记录'!$AF$5:$AF$304,"已平仓")))</f>
        <v/>
      </c>
      <c r="I132" s="38" t="str">
        <f>IF(NOT(ISNUMBER(H132)),"",IF(H132&lt;=-'参数'!$C$8,"触及停手线",""))</f>
        <v/>
      </c>
      <c r="J132" s="30" t="n"/>
      <c r="K132" s="30" t="n"/>
    </row>
    <row r="133">
      <c r="A133" s="29" t="n"/>
      <c r="B133" s="38" t="str">
        <f>IF(ISNUMBER(A133),"周"&amp;CHOOSE(WEEKDAY(A133,2),"一","二","三","四","五","六","日"),"")</f>
        <v/>
      </c>
      <c r="C133" s="31" t="n"/>
      <c r="D133" s="24" t="n"/>
      <c r="E133" s="52" t="str">
        <f>IF(ISNUMBER(A133),COUNTIFS('交易记录'!$B$5:$B$304,A133,'交易记录'!$X$5:$X$304,"已执行"),"")</f>
        <v/>
      </c>
      <c r="F133" s="30" t="n"/>
      <c r="G133" s="24" t="n"/>
      <c r="H133" s="53" t="str">
        <f>IF(NOT(ISNUMBER(A133)),"",IF(COUNTIFS('交易记录'!$Z$5:$Z$304,A133,'交易记录'!$AF$5:$AF$304,"已平仓")=0,"",SUMIFS('交易记录'!$AK$5:$AK$304,'交易记录'!$Z$5:$Z$304,A133,'交易记录'!$AF$5:$AF$304,"已平仓")))</f>
        <v/>
      </c>
      <c r="I133" s="38" t="str">
        <f>IF(NOT(ISNUMBER(H133)),"",IF(H133&lt;=-'参数'!$C$8,"触及停手线",""))</f>
        <v/>
      </c>
      <c r="J133" s="30" t="n"/>
      <c r="K133" s="30" t="n"/>
    </row>
    <row r="134">
      <c r="A134" s="29" t="n"/>
      <c r="B134" s="38" t="str">
        <f>IF(ISNUMBER(A134),"周"&amp;CHOOSE(WEEKDAY(A134,2),"一","二","三","四","五","六","日"),"")</f>
        <v/>
      </c>
      <c r="C134" s="31" t="n"/>
      <c r="D134" s="24" t="n"/>
      <c r="E134" s="52" t="str">
        <f>IF(ISNUMBER(A134),COUNTIFS('交易记录'!$B$5:$B$304,A134,'交易记录'!$X$5:$X$304,"已执行"),"")</f>
        <v/>
      </c>
      <c r="F134" s="30" t="n"/>
      <c r="G134" s="24" t="n"/>
      <c r="H134" s="53" t="str">
        <f>IF(NOT(ISNUMBER(A134)),"",IF(COUNTIFS('交易记录'!$Z$5:$Z$304,A134,'交易记录'!$AF$5:$AF$304,"已平仓")=0,"",SUMIFS('交易记录'!$AK$5:$AK$304,'交易记录'!$Z$5:$Z$304,A134,'交易记录'!$AF$5:$AF$304,"已平仓")))</f>
        <v/>
      </c>
      <c r="I134" s="38" t="str">
        <f>IF(NOT(ISNUMBER(H134)),"",IF(H134&lt;=-'参数'!$C$8,"触及停手线",""))</f>
        <v/>
      </c>
      <c r="J134" s="30" t="n"/>
      <c r="K134" s="30" t="n"/>
    </row>
    <row r="135">
      <c r="A135" s="29" t="n"/>
      <c r="B135" s="38" t="str">
        <f>IF(ISNUMBER(A135),"周"&amp;CHOOSE(WEEKDAY(A135,2),"一","二","三","四","五","六","日"),"")</f>
        <v/>
      </c>
      <c r="C135" s="31" t="n"/>
      <c r="D135" s="24" t="n"/>
      <c r="E135" s="52" t="str">
        <f>IF(ISNUMBER(A135),COUNTIFS('交易记录'!$B$5:$B$304,A135,'交易记录'!$X$5:$X$304,"已执行"),"")</f>
        <v/>
      </c>
      <c r="F135" s="30" t="n"/>
      <c r="G135" s="24" t="n"/>
      <c r="H135" s="53" t="str">
        <f>IF(NOT(ISNUMBER(A135)),"",IF(COUNTIFS('交易记录'!$Z$5:$Z$304,A135,'交易记录'!$AF$5:$AF$304,"已平仓")=0,"",SUMIFS('交易记录'!$AK$5:$AK$304,'交易记录'!$Z$5:$Z$304,A135,'交易记录'!$AF$5:$AF$304,"已平仓")))</f>
        <v/>
      </c>
      <c r="I135" s="38" t="str">
        <f>IF(NOT(ISNUMBER(H135)),"",IF(H135&lt;=-'参数'!$C$8,"触及停手线",""))</f>
        <v/>
      </c>
      <c r="J135" s="30" t="n"/>
      <c r="K135" s="30" t="n"/>
    </row>
    <row r="136">
      <c r="A136" s="29" t="n"/>
      <c r="B136" s="38" t="str">
        <f>IF(ISNUMBER(A136),"周"&amp;CHOOSE(WEEKDAY(A136,2),"一","二","三","四","五","六","日"),"")</f>
        <v/>
      </c>
      <c r="C136" s="31" t="n"/>
      <c r="D136" s="24" t="n"/>
      <c r="E136" s="52" t="str">
        <f>IF(ISNUMBER(A136),COUNTIFS('交易记录'!$B$5:$B$304,A136,'交易记录'!$X$5:$X$304,"已执行"),"")</f>
        <v/>
      </c>
      <c r="F136" s="30" t="n"/>
      <c r="G136" s="24" t="n"/>
      <c r="H136" s="53" t="str">
        <f>IF(NOT(ISNUMBER(A136)),"",IF(COUNTIFS('交易记录'!$Z$5:$Z$304,A136,'交易记录'!$AF$5:$AF$304,"已平仓")=0,"",SUMIFS('交易记录'!$AK$5:$AK$304,'交易记录'!$Z$5:$Z$304,A136,'交易记录'!$AF$5:$AF$304,"已平仓")))</f>
        <v/>
      </c>
      <c r="I136" s="38" t="str">
        <f>IF(NOT(ISNUMBER(H136)),"",IF(H136&lt;=-'参数'!$C$8,"触及停手线",""))</f>
        <v/>
      </c>
      <c r="J136" s="30" t="n"/>
      <c r="K136" s="30" t="n"/>
    </row>
    <row r="137">
      <c r="A137" s="29" t="n"/>
      <c r="B137" s="38" t="str">
        <f>IF(ISNUMBER(A137),"周"&amp;CHOOSE(WEEKDAY(A137,2),"一","二","三","四","五","六","日"),"")</f>
        <v/>
      </c>
      <c r="C137" s="31" t="n"/>
      <c r="D137" s="24" t="n"/>
      <c r="E137" s="52" t="str">
        <f>IF(ISNUMBER(A137),COUNTIFS('交易记录'!$B$5:$B$304,A137,'交易记录'!$X$5:$X$304,"已执行"),"")</f>
        <v/>
      </c>
      <c r="F137" s="30" t="n"/>
      <c r="G137" s="24" t="n"/>
      <c r="H137" s="53" t="str">
        <f>IF(NOT(ISNUMBER(A137)),"",IF(COUNTIFS('交易记录'!$Z$5:$Z$304,A137,'交易记录'!$AF$5:$AF$304,"已平仓")=0,"",SUMIFS('交易记录'!$AK$5:$AK$304,'交易记录'!$Z$5:$Z$304,A137,'交易记录'!$AF$5:$AF$304,"已平仓")))</f>
        <v/>
      </c>
      <c r="I137" s="38" t="str">
        <f>IF(NOT(ISNUMBER(H137)),"",IF(H137&lt;=-'参数'!$C$8,"触及停手线",""))</f>
        <v/>
      </c>
      <c r="J137" s="30" t="n"/>
      <c r="K137" s="30" t="n"/>
    </row>
    <row r="138">
      <c r="A138" s="29" t="n"/>
      <c r="B138" s="38" t="str">
        <f>IF(ISNUMBER(A138),"周"&amp;CHOOSE(WEEKDAY(A138,2),"一","二","三","四","五","六","日"),"")</f>
        <v/>
      </c>
      <c r="C138" s="31" t="n"/>
      <c r="D138" s="24" t="n"/>
      <c r="E138" s="52" t="str">
        <f>IF(ISNUMBER(A138),COUNTIFS('交易记录'!$B$5:$B$304,A138,'交易记录'!$X$5:$X$304,"已执行"),"")</f>
        <v/>
      </c>
      <c r="F138" s="30" t="n"/>
      <c r="G138" s="24" t="n"/>
      <c r="H138" s="53" t="str">
        <f>IF(NOT(ISNUMBER(A138)),"",IF(COUNTIFS('交易记录'!$Z$5:$Z$304,A138,'交易记录'!$AF$5:$AF$304,"已平仓")=0,"",SUMIFS('交易记录'!$AK$5:$AK$304,'交易记录'!$Z$5:$Z$304,A138,'交易记录'!$AF$5:$AF$304,"已平仓")))</f>
        <v/>
      </c>
      <c r="I138" s="38" t="str">
        <f>IF(NOT(ISNUMBER(H138)),"",IF(H138&lt;=-'参数'!$C$8,"触及停手线",""))</f>
        <v/>
      </c>
      <c r="J138" s="30" t="n"/>
      <c r="K138" s="30" t="n"/>
    </row>
    <row r="139">
      <c r="A139" s="29" t="n"/>
      <c r="B139" s="38" t="str">
        <f>IF(ISNUMBER(A139),"周"&amp;CHOOSE(WEEKDAY(A139,2),"一","二","三","四","五","六","日"),"")</f>
        <v/>
      </c>
      <c r="C139" s="31" t="n"/>
      <c r="D139" s="24" t="n"/>
      <c r="E139" s="52" t="str">
        <f>IF(ISNUMBER(A139),COUNTIFS('交易记录'!$B$5:$B$304,A139,'交易记录'!$X$5:$X$304,"已执行"),"")</f>
        <v/>
      </c>
      <c r="F139" s="30" t="n"/>
      <c r="G139" s="24" t="n"/>
      <c r="H139" s="53" t="str">
        <f>IF(NOT(ISNUMBER(A139)),"",IF(COUNTIFS('交易记录'!$Z$5:$Z$304,A139,'交易记录'!$AF$5:$AF$304,"已平仓")=0,"",SUMIFS('交易记录'!$AK$5:$AK$304,'交易记录'!$Z$5:$Z$304,A139,'交易记录'!$AF$5:$AF$304,"已平仓")))</f>
        <v/>
      </c>
      <c r="I139" s="38" t="str">
        <f>IF(NOT(ISNUMBER(H139)),"",IF(H139&lt;=-'参数'!$C$8,"触及停手线",""))</f>
        <v/>
      </c>
      <c r="J139" s="30" t="n"/>
      <c r="K139" s="30" t="n"/>
    </row>
    <row r="140">
      <c r="A140" s="29" t="n"/>
      <c r="B140" s="38" t="str">
        <f>IF(ISNUMBER(A140),"周"&amp;CHOOSE(WEEKDAY(A140,2),"一","二","三","四","五","六","日"),"")</f>
        <v/>
      </c>
      <c r="C140" s="31" t="n"/>
      <c r="D140" s="24" t="n"/>
      <c r="E140" s="52" t="str">
        <f>IF(ISNUMBER(A140),COUNTIFS('交易记录'!$B$5:$B$304,A140,'交易记录'!$X$5:$X$304,"已执行"),"")</f>
        <v/>
      </c>
      <c r="F140" s="30" t="n"/>
      <c r="G140" s="24" t="n"/>
      <c r="H140" s="53" t="str">
        <f>IF(NOT(ISNUMBER(A140)),"",IF(COUNTIFS('交易记录'!$Z$5:$Z$304,A140,'交易记录'!$AF$5:$AF$304,"已平仓")=0,"",SUMIFS('交易记录'!$AK$5:$AK$304,'交易记录'!$Z$5:$Z$304,A140,'交易记录'!$AF$5:$AF$304,"已平仓")))</f>
        <v/>
      </c>
      <c r="I140" s="38" t="str">
        <f>IF(NOT(ISNUMBER(H140)),"",IF(H140&lt;=-'参数'!$C$8,"触及停手线",""))</f>
        <v/>
      </c>
      <c r="J140" s="30" t="n"/>
      <c r="K140" s="30" t="n"/>
    </row>
    <row r="141">
      <c r="A141" s="29" t="n"/>
      <c r="B141" s="38" t="str">
        <f>IF(ISNUMBER(A141),"周"&amp;CHOOSE(WEEKDAY(A141,2),"一","二","三","四","五","六","日"),"")</f>
        <v/>
      </c>
      <c r="C141" s="31" t="n"/>
      <c r="D141" s="24" t="n"/>
      <c r="E141" s="52" t="str">
        <f>IF(ISNUMBER(A141),COUNTIFS('交易记录'!$B$5:$B$304,A141,'交易记录'!$X$5:$X$304,"已执行"),"")</f>
        <v/>
      </c>
      <c r="F141" s="30" t="n"/>
      <c r="G141" s="24" t="n"/>
      <c r="H141" s="53" t="str">
        <f>IF(NOT(ISNUMBER(A141)),"",IF(COUNTIFS('交易记录'!$Z$5:$Z$304,A141,'交易记录'!$AF$5:$AF$304,"已平仓")=0,"",SUMIFS('交易记录'!$AK$5:$AK$304,'交易记录'!$Z$5:$Z$304,A141,'交易记录'!$AF$5:$AF$304,"已平仓")))</f>
        <v/>
      </c>
      <c r="I141" s="38" t="str">
        <f>IF(NOT(ISNUMBER(H141)),"",IF(H141&lt;=-'参数'!$C$8,"触及停手线",""))</f>
        <v/>
      </c>
      <c r="J141" s="30" t="n"/>
      <c r="K141" s="30" t="n"/>
    </row>
    <row r="142">
      <c r="A142" s="29" t="n"/>
      <c r="B142" s="38" t="str">
        <f>IF(ISNUMBER(A142),"周"&amp;CHOOSE(WEEKDAY(A142,2),"一","二","三","四","五","六","日"),"")</f>
        <v/>
      </c>
      <c r="C142" s="31" t="n"/>
      <c r="D142" s="24" t="n"/>
      <c r="E142" s="52" t="str">
        <f>IF(ISNUMBER(A142),COUNTIFS('交易记录'!$B$5:$B$304,A142,'交易记录'!$X$5:$X$304,"已执行"),"")</f>
        <v/>
      </c>
      <c r="F142" s="30" t="n"/>
      <c r="G142" s="24" t="n"/>
      <c r="H142" s="53" t="str">
        <f>IF(NOT(ISNUMBER(A142)),"",IF(COUNTIFS('交易记录'!$Z$5:$Z$304,A142,'交易记录'!$AF$5:$AF$304,"已平仓")=0,"",SUMIFS('交易记录'!$AK$5:$AK$304,'交易记录'!$Z$5:$Z$304,A142,'交易记录'!$AF$5:$AF$304,"已平仓")))</f>
        <v/>
      </c>
      <c r="I142" s="38" t="str">
        <f>IF(NOT(ISNUMBER(H142)),"",IF(H142&lt;=-'参数'!$C$8,"触及停手线",""))</f>
        <v/>
      </c>
      <c r="J142" s="30" t="n"/>
      <c r="K142" s="30" t="n"/>
    </row>
    <row r="143">
      <c r="A143" s="29" t="n"/>
      <c r="B143" s="38" t="str">
        <f>IF(ISNUMBER(A143),"周"&amp;CHOOSE(WEEKDAY(A143,2),"一","二","三","四","五","六","日"),"")</f>
        <v/>
      </c>
      <c r="C143" s="31" t="n"/>
      <c r="D143" s="24" t="n"/>
      <c r="E143" s="52" t="str">
        <f>IF(ISNUMBER(A143),COUNTIFS('交易记录'!$B$5:$B$304,A143,'交易记录'!$X$5:$X$304,"已执行"),"")</f>
        <v/>
      </c>
      <c r="F143" s="30" t="n"/>
      <c r="G143" s="24" t="n"/>
      <c r="H143" s="53" t="str">
        <f>IF(NOT(ISNUMBER(A143)),"",IF(COUNTIFS('交易记录'!$Z$5:$Z$304,A143,'交易记录'!$AF$5:$AF$304,"已平仓")=0,"",SUMIFS('交易记录'!$AK$5:$AK$304,'交易记录'!$Z$5:$Z$304,A143,'交易记录'!$AF$5:$AF$304,"已平仓")))</f>
        <v/>
      </c>
      <c r="I143" s="38" t="str">
        <f>IF(NOT(ISNUMBER(H143)),"",IF(H143&lt;=-'参数'!$C$8,"触及停手线",""))</f>
        <v/>
      </c>
      <c r="J143" s="30" t="n"/>
      <c r="K143" s="30" t="n"/>
    </row>
    <row r="144">
      <c r="A144" s="29" t="n"/>
      <c r="B144" s="38" t="str">
        <f>IF(ISNUMBER(A144),"周"&amp;CHOOSE(WEEKDAY(A144,2),"一","二","三","四","五","六","日"),"")</f>
        <v/>
      </c>
      <c r="C144" s="31" t="n"/>
      <c r="D144" s="24" t="n"/>
      <c r="E144" s="52" t="str">
        <f>IF(ISNUMBER(A144),COUNTIFS('交易记录'!$B$5:$B$304,A144,'交易记录'!$X$5:$X$304,"已执行"),"")</f>
        <v/>
      </c>
      <c r="F144" s="30" t="n"/>
      <c r="G144" s="24" t="n"/>
      <c r="H144" s="53" t="str">
        <f>IF(NOT(ISNUMBER(A144)),"",IF(COUNTIFS('交易记录'!$Z$5:$Z$304,A144,'交易记录'!$AF$5:$AF$304,"已平仓")=0,"",SUMIFS('交易记录'!$AK$5:$AK$304,'交易记录'!$Z$5:$Z$304,A144,'交易记录'!$AF$5:$AF$304,"已平仓")))</f>
        <v/>
      </c>
      <c r="I144" s="38" t="str">
        <f>IF(NOT(ISNUMBER(H144)),"",IF(H144&lt;=-'参数'!$C$8,"触及停手线",""))</f>
        <v/>
      </c>
      <c r="J144" s="30" t="n"/>
      <c r="K144" s="30" t="n"/>
    </row>
    <row r="145">
      <c r="A145" s="29" t="n"/>
      <c r="B145" s="38" t="str">
        <f>IF(ISNUMBER(A145),"周"&amp;CHOOSE(WEEKDAY(A145,2),"一","二","三","四","五","六","日"),"")</f>
        <v/>
      </c>
      <c r="C145" s="31" t="n"/>
      <c r="D145" s="24" t="n"/>
      <c r="E145" s="52" t="str">
        <f>IF(ISNUMBER(A145),COUNTIFS('交易记录'!$B$5:$B$304,A145,'交易记录'!$X$5:$X$304,"已执行"),"")</f>
        <v/>
      </c>
      <c r="F145" s="30" t="n"/>
      <c r="G145" s="24" t="n"/>
      <c r="H145" s="53" t="str">
        <f>IF(NOT(ISNUMBER(A145)),"",IF(COUNTIFS('交易记录'!$Z$5:$Z$304,A145,'交易记录'!$AF$5:$AF$304,"已平仓")=0,"",SUMIFS('交易记录'!$AK$5:$AK$304,'交易记录'!$Z$5:$Z$304,A145,'交易记录'!$AF$5:$AF$304,"已平仓")))</f>
        <v/>
      </c>
      <c r="I145" s="38" t="str">
        <f>IF(NOT(ISNUMBER(H145)),"",IF(H145&lt;=-'参数'!$C$8,"触及停手线",""))</f>
        <v/>
      </c>
      <c r="J145" s="30" t="n"/>
      <c r="K145" s="30" t="n"/>
    </row>
    <row r="146">
      <c r="A146" s="29" t="n"/>
      <c r="B146" s="38" t="str">
        <f>IF(ISNUMBER(A146),"周"&amp;CHOOSE(WEEKDAY(A146,2),"一","二","三","四","五","六","日"),"")</f>
        <v/>
      </c>
      <c r="C146" s="31" t="n"/>
      <c r="D146" s="24" t="n"/>
      <c r="E146" s="52" t="str">
        <f>IF(ISNUMBER(A146),COUNTIFS('交易记录'!$B$5:$B$304,A146,'交易记录'!$X$5:$X$304,"已执行"),"")</f>
        <v/>
      </c>
      <c r="F146" s="30" t="n"/>
      <c r="G146" s="24" t="n"/>
      <c r="H146" s="53" t="str">
        <f>IF(NOT(ISNUMBER(A146)),"",IF(COUNTIFS('交易记录'!$Z$5:$Z$304,A146,'交易记录'!$AF$5:$AF$304,"已平仓")=0,"",SUMIFS('交易记录'!$AK$5:$AK$304,'交易记录'!$Z$5:$Z$304,A146,'交易记录'!$AF$5:$AF$304,"已平仓")))</f>
        <v/>
      </c>
      <c r="I146" s="38" t="str">
        <f>IF(NOT(ISNUMBER(H146)),"",IF(H146&lt;=-'参数'!$C$8,"触及停手线",""))</f>
        <v/>
      </c>
      <c r="J146" s="30" t="n"/>
      <c r="K146" s="30" t="n"/>
    </row>
    <row r="147">
      <c r="A147" s="29" t="n"/>
      <c r="B147" s="38" t="str">
        <f>IF(ISNUMBER(A147),"周"&amp;CHOOSE(WEEKDAY(A147,2),"一","二","三","四","五","六","日"),"")</f>
        <v/>
      </c>
      <c r="C147" s="31" t="n"/>
      <c r="D147" s="24" t="n"/>
      <c r="E147" s="52" t="str">
        <f>IF(ISNUMBER(A147),COUNTIFS('交易记录'!$B$5:$B$304,A147,'交易记录'!$X$5:$X$304,"已执行"),"")</f>
        <v/>
      </c>
      <c r="F147" s="30" t="n"/>
      <c r="G147" s="24" t="n"/>
      <c r="H147" s="53" t="str">
        <f>IF(NOT(ISNUMBER(A147)),"",IF(COUNTIFS('交易记录'!$Z$5:$Z$304,A147,'交易记录'!$AF$5:$AF$304,"已平仓")=0,"",SUMIFS('交易记录'!$AK$5:$AK$304,'交易记录'!$Z$5:$Z$304,A147,'交易记录'!$AF$5:$AF$304,"已平仓")))</f>
        <v/>
      </c>
      <c r="I147" s="38" t="str">
        <f>IF(NOT(ISNUMBER(H147)),"",IF(H147&lt;=-'参数'!$C$8,"触及停手线",""))</f>
        <v/>
      </c>
      <c r="J147" s="30" t="n"/>
      <c r="K147" s="30" t="n"/>
    </row>
    <row r="148">
      <c r="A148" s="29" t="n"/>
      <c r="B148" s="38" t="str">
        <f>IF(ISNUMBER(A148),"周"&amp;CHOOSE(WEEKDAY(A148,2),"一","二","三","四","五","六","日"),"")</f>
        <v/>
      </c>
      <c r="C148" s="31" t="n"/>
      <c r="D148" s="24" t="n"/>
      <c r="E148" s="52" t="str">
        <f>IF(ISNUMBER(A148),COUNTIFS('交易记录'!$B$5:$B$304,A148,'交易记录'!$X$5:$X$304,"已执行"),"")</f>
        <v/>
      </c>
      <c r="F148" s="30" t="n"/>
      <c r="G148" s="24" t="n"/>
      <c r="H148" s="53" t="str">
        <f>IF(NOT(ISNUMBER(A148)),"",IF(COUNTIFS('交易记录'!$Z$5:$Z$304,A148,'交易记录'!$AF$5:$AF$304,"已平仓")=0,"",SUMIFS('交易记录'!$AK$5:$AK$304,'交易记录'!$Z$5:$Z$304,A148,'交易记录'!$AF$5:$AF$304,"已平仓")))</f>
        <v/>
      </c>
      <c r="I148" s="38" t="str">
        <f>IF(NOT(ISNUMBER(H148)),"",IF(H148&lt;=-'参数'!$C$8,"触及停手线",""))</f>
        <v/>
      </c>
      <c r="J148" s="30" t="n"/>
      <c r="K148" s="30" t="n"/>
    </row>
    <row r="149">
      <c r="A149" s="29" t="n"/>
      <c r="B149" s="38" t="str">
        <f>IF(ISNUMBER(A149),"周"&amp;CHOOSE(WEEKDAY(A149,2),"一","二","三","四","五","六","日"),"")</f>
        <v/>
      </c>
      <c r="C149" s="31" t="n"/>
      <c r="D149" s="24" t="n"/>
      <c r="E149" s="52" t="str">
        <f>IF(ISNUMBER(A149),COUNTIFS('交易记录'!$B$5:$B$304,A149,'交易记录'!$X$5:$X$304,"已执行"),"")</f>
        <v/>
      </c>
      <c r="F149" s="30" t="n"/>
      <c r="G149" s="24" t="n"/>
      <c r="H149" s="53" t="str">
        <f>IF(NOT(ISNUMBER(A149)),"",IF(COUNTIFS('交易记录'!$Z$5:$Z$304,A149,'交易记录'!$AF$5:$AF$304,"已平仓")=0,"",SUMIFS('交易记录'!$AK$5:$AK$304,'交易记录'!$Z$5:$Z$304,A149,'交易记录'!$AF$5:$AF$304,"已平仓")))</f>
        <v/>
      </c>
      <c r="I149" s="38" t="str">
        <f>IF(NOT(ISNUMBER(H149)),"",IF(H149&lt;=-'参数'!$C$8,"触及停手线",""))</f>
        <v/>
      </c>
      <c r="J149" s="30" t="n"/>
      <c r="K149" s="30" t="n"/>
    </row>
    <row r="150">
      <c r="A150" s="29" t="n"/>
      <c r="B150" s="38" t="str">
        <f>IF(ISNUMBER(A150),"周"&amp;CHOOSE(WEEKDAY(A150,2),"一","二","三","四","五","六","日"),"")</f>
        <v/>
      </c>
      <c r="C150" s="31" t="n"/>
      <c r="D150" s="24" t="n"/>
      <c r="E150" s="52" t="str">
        <f>IF(ISNUMBER(A150),COUNTIFS('交易记录'!$B$5:$B$304,A150,'交易记录'!$X$5:$X$304,"已执行"),"")</f>
        <v/>
      </c>
      <c r="F150" s="30" t="n"/>
      <c r="G150" s="24" t="n"/>
      <c r="H150" s="53" t="str">
        <f>IF(NOT(ISNUMBER(A150)),"",IF(COUNTIFS('交易记录'!$Z$5:$Z$304,A150,'交易记录'!$AF$5:$AF$304,"已平仓")=0,"",SUMIFS('交易记录'!$AK$5:$AK$304,'交易记录'!$Z$5:$Z$304,A150,'交易记录'!$AF$5:$AF$304,"已平仓")))</f>
        <v/>
      </c>
      <c r="I150" s="38" t="str">
        <f>IF(NOT(ISNUMBER(H150)),"",IF(H150&lt;=-'参数'!$C$8,"触及停手线",""))</f>
        <v/>
      </c>
      <c r="J150" s="30" t="n"/>
      <c r="K150" s="30" t="n"/>
    </row>
    <row r="151">
      <c r="A151" s="29" t="n"/>
      <c r="B151" s="38" t="str">
        <f>IF(ISNUMBER(A151),"周"&amp;CHOOSE(WEEKDAY(A151,2),"一","二","三","四","五","六","日"),"")</f>
        <v/>
      </c>
      <c r="C151" s="31" t="n"/>
      <c r="D151" s="24" t="n"/>
      <c r="E151" s="52" t="str">
        <f>IF(ISNUMBER(A151),COUNTIFS('交易记录'!$B$5:$B$304,A151,'交易记录'!$X$5:$X$304,"已执行"),"")</f>
        <v/>
      </c>
      <c r="F151" s="30" t="n"/>
      <c r="G151" s="24" t="n"/>
      <c r="H151" s="53" t="str">
        <f>IF(NOT(ISNUMBER(A151)),"",IF(COUNTIFS('交易记录'!$Z$5:$Z$304,A151,'交易记录'!$AF$5:$AF$304,"已平仓")=0,"",SUMIFS('交易记录'!$AK$5:$AK$304,'交易记录'!$Z$5:$Z$304,A151,'交易记录'!$AF$5:$AF$304,"已平仓")))</f>
        <v/>
      </c>
      <c r="I151" s="38" t="str">
        <f>IF(NOT(ISNUMBER(H151)),"",IF(H151&lt;=-'参数'!$C$8,"触及停手线",""))</f>
        <v/>
      </c>
      <c r="J151" s="30" t="n"/>
      <c r="K151" s="30" t="n"/>
    </row>
    <row r="152">
      <c r="A152" s="29" t="n"/>
      <c r="B152" s="38" t="str">
        <f>IF(ISNUMBER(A152),"周"&amp;CHOOSE(WEEKDAY(A152,2),"一","二","三","四","五","六","日"),"")</f>
        <v/>
      </c>
      <c r="C152" s="31" t="n"/>
      <c r="D152" s="24" t="n"/>
      <c r="E152" s="52" t="str">
        <f>IF(ISNUMBER(A152),COUNTIFS('交易记录'!$B$5:$B$304,A152,'交易记录'!$X$5:$X$304,"已执行"),"")</f>
        <v/>
      </c>
      <c r="F152" s="30" t="n"/>
      <c r="G152" s="24" t="n"/>
      <c r="H152" s="53" t="str">
        <f>IF(NOT(ISNUMBER(A152)),"",IF(COUNTIFS('交易记录'!$Z$5:$Z$304,A152,'交易记录'!$AF$5:$AF$304,"已平仓")=0,"",SUMIFS('交易记录'!$AK$5:$AK$304,'交易记录'!$Z$5:$Z$304,A152,'交易记录'!$AF$5:$AF$304,"已平仓")))</f>
        <v/>
      </c>
      <c r="I152" s="38" t="str">
        <f>IF(NOT(ISNUMBER(H152)),"",IF(H152&lt;=-'参数'!$C$8,"触及停手线",""))</f>
        <v/>
      </c>
      <c r="J152" s="30" t="n"/>
      <c r="K152" s="30" t="n"/>
    </row>
    <row r="153">
      <c r="A153" s="29" t="n"/>
      <c r="B153" s="38" t="str">
        <f>IF(ISNUMBER(A153),"周"&amp;CHOOSE(WEEKDAY(A153,2),"一","二","三","四","五","六","日"),"")</f>
        <v/>
      </c>
      <c r="C153" s="31" t="n"/>
      <c r="D153" s="24" t="n"/>
      <c r="E153" s="52" t="str">
        <f>IF(ISNUMBER(A153),COUNTIFS('交易记录'!$B$5:$B$304,A153,'交易记录'!$X$5:$X$304,"已执行"),"")</f>
        <v/>
      </c>
      <c r="F153" s="30" t="n"/>
      <c r="G153" s="24" t="n"/>
      <c r="H153" s="53" t="str">
        <f>IF(NOT(ISNUMBER(A153)),"",IF(COUNTIFS('交易记录'!$Z$5:$Z$304,A153,'交易记录'!$AF$5:$AF$304,"已平仓")=0,"",SUMIFS('交易记录'!$AK$5:$AK$304,'交易记录'!$Z$5:$Z$304,A153,'交易记录'!$AF$5:$AF$304,"已平仓")))</f>
        <v/>
      </c>
      <c r="I153" s="38" t="str">
        <f>IF(NOT(ISNUMBER(H153)),"",IF(H153&lt;=-'参数'!$C$8,"触及停手线",""))</f>
        <v/>
      </c>
      <c r="J153" s="30" t="n"/>
      <c r="K153" s="30" t="n"/>
    </row>
    <row r="154">
      <c r="A154" s="29" t="n"/>
      <c r="B154" s="38" t="str">
        <f>IF(ISNUMBER(A154),"周"&amp;CHOOSE(WEEKDAY(A154,2),"一","二","三","四","五","六","日"),"")</f>
        <v/>
      </c>
      <c r="C154" s="31" t="n"/>
      <c r="D154" s="24" t="n"/>
      <c r="E154" s="52" t="str">
        <f>IF(ISNUMBER(A154),COUNTIFS('交易记录'!$B$5:$B$304,A154,'交易记录'!$X$5:$X$304,"已执行"),"")</f>
        <v/>
      </c>
      <c r="F154" s="30" t="n"/>
      <c r="G154" s="24" t="n"/>
      <c r="H154" s="53" t="str">
        <f>IF(NOT(ISNUMBER(A154)),"",IF(COUNTIFS('交易记录'!$Z$5:$Z$304,A154,'交易记录'!$AF$5:$AF$304,"已平仓")=0,"",SUMIFS('交易记录'!$AK$5:$AK$304,'交易记录'!$Z$5:$Z$304,A154,'交易记录'!$AF$5:$AF$304,"已平仓")))</f>
        <v/>
      </c>
      <c r="I154" s="38" t="str">
        <f>IF(NOT(ISNUMBER(H154)),"",IF(H154&lt;=-'参数'!$C$8,"触及停手线",""))</f>
        <v/>
      </c>
      <c r="J154" s="30" t="n"/>
      <c r="K154" s="30" t="n"/>
    </row>
    <row r="155">
      <c r="A155" s="29" t="n"/>
      <c r="B155" s="38" t="str">
        <f>IF(ISNUMBER(A155),"周"&amp;CHOOSE(WEEKDAY(A155,2),"一","二","三","四","五","六","日"),"")</f>
        <v/>
      </c>
      <c r="C155" s="31" t="n"/>
      <c r="D155" s="24" t="n"/>
      <c r="E155" s="52" t="str">
        <f>IF(ISNUMBER(A155),COUNTIFS('交易记录'!$B$5:$B$304,A155,'交易记录'!$X$5:$X$304,"已执行"),"")</f>
        <v/>
      </c>
      <c r="F155" s="30" t="n"/>
      <c r="G155" s="24" t="n"/>
      <c r="H155" s="53" t="str">
        <f>IF(NOT(ISNUMBER(A155)),"",IF(COUNTIFS('交易记录'!$Z$5:$Z$304,A155,'交易记录'!$AF$5:$AF$304,"已平仓")=0,"",SUMIFS('交易记录'!$AK$5:$AK$304,'交易记录'!$Z$5:$Z$304,A155,'交易记录'!$AF$5:$AF$304,"已平仓")))</f>
        <v/>
      </c>
      <c r="I155" s="38" t="str">
        <f>IF(NOT(ISNUMBER(H155)),"",IF(H155&lt;=-'参数'!$C$8,"触及停手线",""))</f>
        <v/>
      </c>
      <c r="J155" s="30" t="n"/>
      <c r="K155" s="30" t="n"/>
    </row>
    <row r="156">
      <c r="A156" s="29" t="n"/>
      <c r="B156" s="38" t="str">
        <f>IF(ISNUMBER(A156),"周"&amp;CHOOSE(WEEKDAY(A156,2),"一","二","三","四","五","六","日"),"")</f>
        <v/>
      </c>
      <c r="C156" s="31" t="n"/>
      <c r="D156" s="24" t="n"/>
      <c r="E156" s="52" t="str">
        <f>IF(ISNUMBER(A156),COUNTIFS('交易记录'!$B$5:$B$304,A156,'交易记录'!$X$5:$X$304,"已执行"),"")</f>
        <v/>
      </c>
      <c r="F156" s="30" t="n"/>
      <c r="G156" s="24" t="n"/>
      <c r="H156" s="53" t="str">
        <f>IF(NOT(ISNUMBER(A156)),"",IF(COUNTIFS('交易记录'!$Z$5:$Z$304,A156,'交易记录'!$AF$5:$AF$304,"已平仓")=0,"",SUMIFS('交易记录'!$AK$5:$AK$304,'交易记录'!$Z$5:$Z$304,A156,'交易记录'!$AF$5:$AF$304,"已平仓")))</f>
        <v/>
      </c>
      <c r="I156" s="38" t="str">
        <f>IF(NOT(ISNUMBER(H156)),"",IF(H156&lt;=-'参数'!$C$8,"触及停手线",""))</f>
        <v/>
      </c>
      <c r="J156" s="30" t="n"/>
      <c r="K156" s="30" t="n"/>
    </row>
    <row r="157">
      <c r="A157" s="29" t="n"/>
      <c r="B157" s="38" t="str">
        <f>IF(ISNUMBER(A157),"周"&amp;CHOOSE(WEEKDAY(A157,2),"一","二","三","四","五","六","日"),"")</f>
        <v/>
      </c>
      <c r="C157" s="31" t="n"/>
      <c r="D157" s="24" t="n"/>
      <c r="E157" s="52" t="str">
        <f>IF(ISNUMBER(A157),COUNTIFS('交易记录'!$B$5:$B$304,A157,'交易记录'!$X$5:$X$304,"已执行"),"")</f>
        <v/>
      </c>
      <c r="F157" s="30" t="n"/>
      <c r="G157" s="24" t="n"/>
      <c r="H157" s="53" t="str">
        <f>IF(NOT(ISNUMBER(A157)),"",IF(COUNTIFS('交易记录'!$Z$5:$Z$304,A157,'交易记录'!$AF$5:$AF$304,"已平仓")=0,"",SUMIFS('交易记录'!$AK$5:$AK$304,'交易记录'!$Z$5:$Z$304,A157,'交易记录'!$AF$5:$AF$304,"已平仓")))</f>
        <v/>
      </c>
      <c r="I157" s="38" t="str">
        <f>IF(NOT(ISNUMBER(H157)),"",IF(H157&lt;=-'参数'!$C$8,"触及停手线",""))</f>
        <v/>
      </c>
      <c r="J157" s="30" t="n"/>
      <c r="K157" s="30" t="n"/>
    </row>
    <row r="158">
      <c r="A158" s="29" t="n"/>
      <c r="B158" s="38" t="str">
        <f>IF(ISNUMBER(A158),"周"&amp;CHOOSE(WEEKDAY(A158,2),"一","二","三","四","五","六","日"),"")</f>
        <v/>
      </c>
      <c r="C158" s="31" t="n"/>
      <c r="D158" s="24" t="n"/>
      <c r="E158" s="52" t="str">
        <f>IF(ISNUMBER(A158),COUNTIFS('交易记录'!$B$5:$B$304,A158,'交易记录'!$X$5:$X$304,"已执行"),"")</f>
        <v/>
      </c>
      <c r="F158" s="30" t="n"/>
      <c r="G158" s="24" t="n"/>
      <c r="H158" s="53" t="str">
        <f>IF(NOT(ISNUMBER(A158)),"",IF(COUNTIFS('交易记录'!$Z$5:$Z$304,A158,'交易记录'!$AF$5:$AF$304,"已平仓")=0,"",SUMIFS('交易记录'!$AK$5:$AK$304,'交易记录'!$Z$5:$Z$304,A158,'交易记录'!$AF$5:$AF$304,"已平仓")))</f>
        <v/>
      </c>
      <c r="I158" s="38" t="str">
        <f>IF(NOT(ISNUMBER(H158)),"",IF(H158&lt;=-'参数'!$C$8,"触及停手线",""))</f>
        <v/>
      </c>
      <c r="J158" s="30" t="n"/>
      <c r="K158" s="30" t="n"/>
    </row>
    <row r="159">
      <c r="A159" s="29" t="n"/>
      <c r="B159" s="38" t="str">
        <f>IF(ISNUMBER(A159),"周"&amp;CHOOSE(WEEKDAY(A159,2),"一","二","三","四","五","六","日"),"")</f>
        <v/>
      </c>
      <c r="C159" s="31" t="n"/>
      <c r="D159" s="24" t="n"/>
      <c r="E159" s="52" t="str">
        <f>IF(ISNUMBER(A159),COUNTIFS('交易记录'!$B$5:$B$304,A159,'交易记录'!$X$5:$X$304,"已执行"),"")</f>
        <v/>
      </c>
      <c r="F159" s="30" t="n"/>
      <c r="G159" s="24" t="n"/>
      <c r="H159" s="53" t="str">
        <f>IF(NOT(ISNUMBER(A159)),"",IF(COUNTIFS('交易记录'!$Z$5:$Z$304,A159,'交易记录'!$AF$5:$AF$304,"已平仓")=0,"",SUMIFS('交易记录'!$AK$5:$AK$304,'交易记录'!$Z$5:$Z$304,A159,'交易记录'!$AF$5:$AF$304,"已平仓")))</f>
        <v/>
      </c>
      <c r="I159" s="38" t="str">
        <f>IF(NOT(ISNUMBER(H159)),"",IF(H159&lt;=-'参数'!$C$8,"触及停手线",""))</f>
        <v/>
      </c>
      <c r="J159" s="30" t="n"/>
      <c r="K159" s="30" t="n"/>
    </row>
    <row r="160">
      <c r="A160" s="29" t="n"/>
      <c r="B160" s="38" t="str">
        <f>IF(ISNUMBER(A160),"周"&amp;CHOOSE(WEEKDAY(A160,2),"一","二","三","四","五","六","日"),"")</f>
        <v/>
      </c>
      <c r="C160" s="31" t="n"/>
      <c r="D160" s="24" t="n"/>
      <c r="E160" s="52" t="str">
        <f>IF(ISNUMBER(A160),COUNTIFS('交易记录'!$B$5:$B$304,A160,'交易记录'!$X$5:$X$304,"已执行"),"")</f>
        <v/>
      </c>
      <c r="F160" s="30" t="n"/>
      <c r="G160" s="24" t="n"/>
      <c r="H160" s="53" t="str">
        <f>IF(NOT(ISNUMBER(A160)),"",IF(COUNTIFS('交易记录'!$Z$5:$Z$304,A160,'交易记录'!$AF$5:$AF$304,"已平仓")=0,"",SUMIFS('交易记录'!$AK$5:$AK$304,'交易记录'!$Z$5:$Z$304,A160,'交易记录'!$AF$5:$AF$304,"已平仓")))</f>
        <v/>
      </c>
      <c r="I160" s="38" t="str">
        <f>IF(NOT(ISNUMBER(H160)),"",IF(H160&lt;=-'参数'!$C$8,"触及停手线",""))</f>
        <v/>
      </c>
      <c r="J160" s="30" t="n"/>
      <c r="K160" s="30" t="n"/>
    </row>
    <row r="161">
      <c r="A161" s="29" t="n"/>
      <c r="B161" s="38" t="str">
        <f>IF(ISNUMBER(A161),"周"&amp;CHOOSE(WEEKDAY(A161,2),"一","二","三","四","五","六","日"),"")</f>
        <v/>
      </c>
      <c r="C161" s="31" t="n"/>
      <c r="D161" s="24" t="n"/>
      <c r="E161" s="52" t="str">
        <f>IF(ISNUMBER(A161),COUNTIFS('交易记录'!$B$5:$B$304,A161,'交易记录'!$X$5:$X$304,"已执行"),"")</f>
        <v/>
      </c>
      <c r="F161" s="30" t="n"/>
      <c r="G161" s="24" t="n"/>
      <c r="H161" s="53" t="str">
        <f>IF(NOT(ISNUMBER(A161)),"",IF(COUNTIFS('交易记录'!$Z$5:$Z$304,A161,'交易记录'!$AF$5:$AF$304,"已平仓")=0,"",SUMIFS('交易记录'!$AK$5:$AK$304,'交易记录'!$Z$5:$Z$304,A161,'交易记录'!$AF$5:$AF$304,"已平仓")))</f>
        <v/>
      </c>
      <c r="I161" s="38" t="str">
        <f>IF(NOT(ISNUMBER(H161)),"",IF(H161&lt;=-'参数'!$C$8,"触及停手线",""))</f>
        <v/>
      </c>
      <c r="J161" s="30" t="n"/>
      <c r="K161" s="30" t="n"/>
    </row>
    <row r="162">
      <c r="A162" s="29" t="n"/>
      <c r="B162" s="38" t="str">
        <f>IF(ISNUMBER(A162),"周"&amp;CHOOSE(WEEKDAY(A162,2),"一","二","三","四","五","六","日"),"")</f>
        <v/>
      </c>
      <c r="C162" s="31" t="n"/>
      <c r="D162" s="24" t="n"/>
      <c r="E162" s="52" t="str">
        <f>IF(ISNUMBER(A162),COUNTIFS('交易记录'!$B$5:$B$304,A162,'交易记录'!$X$5:$X$304,"已执行"),"")</f>
        <v/>
      </c>
      <c r="F162" s="30" t="n"/>
      <c r="G162" s="24" t="n"/>
      <c r="H162" s="53" t="str">
        <f>IF(NOT(ISNUMBER(A162)),"",IF(COUNTIFS('交易记录'!$Z$5:$Z$304,A162,'交易记录'!$AF$5:$AF$304,"已平仓")=0,"",SUMIFS('交易记录'!$AK$5:$AK$304,'交易记录'!$Z$5:$Z$304,A162,'交易记录'!$AF$5:$AF$304,"已平仓")))</f>
        <v/>
      </c>
      <c r="I162" s="38" t="str">
        <f>IF(NOT(ISNUMBER(H162)),"",IF(H162&lt;=-'参数'!$C$8,"触及停手线",""))</f>
        <v/>
      </c>
      <c r="J162" s="30" t="n"/>
      <c r="K162" s="30" t="n"/>
    </row>
    <row r="163">
      <c r="A163" s="29" t="n"/>
      <c r="B163" s="38" t="str">
        <f>IF(ISNUMBER(A163),"周"&amp;CHOOSE(WEEKDAY(A163,2),"一","二","三","四","五","六","日"),"")</f>
        <v/>
      </c>
      <c r="C163" s="31" t="n"/>
      <c r="D163" s="24" t="n"/>
      <c r="E163" s="52" t="str">
        <f>IF(ISNUMBER(A163),COUNTIFS('交易记录'!$B$5:$B$304,A163,'交易记录'!$X$5:$X$304,"已执行"),"")</f>
        <v/>
      </c>
      <c r="F163" s="30" t="n"/>
      <c r="G163" s="24" t="n"/>
      <c r="H163" s="53" t="str">
        <f>IF(NOT(ISNUMBER(A163)),"",IF(COUNTIFS('交易记录'!$Z$5:$Z$304,A163,'交易记录'!$AF$5:$AF$304,"已平仓")=0,"",SUMIFS('交易记录'!$AK$5:$AK$304,'交易记录'!$Z$5:$Z$304,A163,'交易记录'!$AF$5:$AF$304,"已平仓")))</f>
        <v/>
      </c>
      <c r="I163" s="38" t="str">
        <f>IF(NOT(ISNUMBER(H163)),"",IF(H163&lt;=-'参数'!$C$8,"触及停手线",""))</f>
        <v/>
      </c>
      <c r="J163" s="30" t="n"/>
      <c r="K163" s="30" t="n"/>
    </row>
    <row r="164">
      <c r="A164" s="29" t="n"/>
      <c r="B164" s="38" t="str">
        <f>IF(ISNUMBER(A164),"周"&amp;CHOOSE(WEEKDAY(A164,2),"一","二","三","四","五","六","日"),"")</f>
        <v/>
      </c>
      <c r="C164" s="31" t="n"/>
      <c r="D164" s="24" t="n"/>
      <c r="E164" s="52" t="str">
        <f>IF(ISNUMBER(A164),COUNTIFS('交易记录'!$B$5:$B$304,A164,'交易记录'!$X$5:$X$304,"已执行"),"")</f>
        <v/>
      </c>
      <c r="F164" s="30" t="n"/>
      <c r="G164" s="24" t="n"/>
      <c r="H164" s="53" t="str">
        <f>IF(NOT(ISNUMBER(A164)),"",IF(COUNTIFS('交易记录'!$Z$5:$Z$304,A164,'交易记录'!$AF$5:$AF$304,"已平仓")=0,"",SUMIFS('交易记录'!$AK$5:$AK$304,'交易记录'!$Z$5:$Z$304,A164,'交易记录'!$AF$5:$AF$304,"已平仓")))</f>
        <v/>
      </c>
      <c r="I164" s="38" t="str">
        <f>IF(NOT(ISNUMBER(H164)),"",IF(H164&lt;=-'参数'!$C$8,"触及停手线",""))</f>
        <v/>
      </c>
      <c r="J164" s="30" t="n"/>
      <c r="K164" s="30" t="n"/>
    </row>
    <row r="165">
      <c r="A165" s="29" t="n"/>
      <c r="B165" s="38" t="str">
        <f>IF(ISNUMBER(A165),"周"&amp;CHOOSE(WEEKDAY(A165,2),"一","二","三","四","五","六","日"),"")</f>
        <v/>
      </c>
      <c r="C165" s="31" t="n"/>
      <c r="D165" s="24" t="n"/>
      <c r="E165" s="52" t="str">
        <f>IF(ISNUMBER(A165),COUNTIFS('交易记录'!$B$5:$B$304,A165,'交易记录'!$X$5:$X$304,"已执行"),"")</f>
        <v/>
      </c>
      <c r="F165" s="30" t="n"/>
      <c r="G165" s="24" t="n"/>
      <c r="H165" s="53" t="str">
        <f>IF(NOT(ISNUMBER(A165)),"",IF(COUNTIFS('交易记录'!$Z$5:$Z$304,A165,'交易记录'!$AF$5:$AF$304,"已平仓")=0,"",SUMIFS('交易记录'!$AK$5:$AK$304,'交易记录'!$Z$5:$Z$304,A165,'交易记录'!$AF$5:$AF$304,"已平仓")))</f>
        <v/>
      </c>
      <c r="I165" s="38" t="str">
        <f>IF(NOT(ISNUMBER(H165)),"",IF(H165&lt;=-'参数'!$C$8,"触及停手线",""))</f>
        <v/>
      </c>
      <c r="J165" s="30" t="n"/>
      <c r="K165" s="30" t="n"/>
    </row>
    <row r="166">
      <c r="A166" s="29" t="n"/>
      <c r="B166" s="38" t="str">
        <f>IF(ISNUMBER(A166),"周"&amp;CHOOSE(WEEKDAY(A166,2),"一","二","三","四","五","六","日"),"")</f>
        <v/>
      </c>
      <c r="C166" s="31" t="n"/>
      <c r="D166" s="24" t="n"/>
      <c r="E166" s="52" t="str">
        <f>IF(ISNUMBER(A166),COUNTIFS('交易记录'!$B$5:$B$304,A166,'交易记录'!$X$5:$X$304,"已执行"),"")</f>
        <v/>
      </c>
      <c r="F166" s="30" t="n"/>
      <c r="G166" s="24" t="n"/>
      <c r="H166" s="53" t="str">
        <f>IF(NOT(ISNUMBER(A166)),"",IF(COUNTIFS('交易记录'!$Z$5:$Z$304,A166,'交易记录'!$AF$5:$AF$304,"已平仓")=0,"",SUMIFS('交易记录'!$AK$5:$AK$304,'交易记录'!$Z$5:$Z$304,A166,'交易记录'!$AF$5:$AF$304,"已平仓")))</f>
        <v/>
      </c>
      <c r="I166" s="38" t="str">
        <f>IF(NOT(ISNUMBER(H166)),"",IF(H166&lt;=-'参数'!$C$8,"触及停手线",""))</f>
        <v/>
      </c>
      <c r="J166" s="30" t="n"/>
      <c r="K166" s="30" t="n"/>
    </row>
    <row r="167">
      <c r="A167" s="29" t="n"/>
      <c r="B167" s="38" t="str">
        <f>IF(ISNUMBER(A167),"周"&amp;CHOOSE(WEEKDAY(A167,2),"一","二","三","四","五","六","日"),"")</f>
        <v/>
      </c>
      <c r="C167" s="31" t="n"/>
      <c r="D167" s="24" t="n"/>
      <c r="E167" s="52" t="str">
        <f>IF(ISNUMBER(A167),COUNTIFS('交易记录'!$B$5:$B$304,A167,'交易记录'!$X$5:$X$304,"已执行"),"")</f>
        <v/>
      </c>
      <c r="F167" s="30" t="n"/>
      <c r="G167" s="24" t="n"/>
      <c r="H167" s="53" t="str">
        <f>IF(NOT(ISNUMBER(A167)),"",IF(COUNTIFS('交易记录'!$Z$5:$Z$304,A167,'交易记录'!$AF$5:$AF$304,"已平仓")=0,"",SUMIFS('交易记录'!$AK$5:$AK$304,'交易记录'!$Z$5:$Z$304,A167,'交易记录'!$AF$5:$AF$304,"已平仓")))</f>
        <v/>
      </c>
      <c r="I167" s="38" t="str">
        <f>IF(NOT(ISNUMBER(H167)),"",IF(H167&lt;=-'参数'!$C$8,"触及停手线",""))</f>
        <v/>
      </c>
      <c r="J167" s="30" t="n"/>
      <c r="K167" s="30" t="n"/>
    </row>
    <row r="168">
      <c r="A168" s="29" t="n"/>
      <c r="B168" s="38" t="str">
        <f>IF(ISNUMBER(A168),"周"&amp;CHOOSE(WEEKDAY(A168,2),"一","二","三","四","五","六","日"),"")</f>
        <v/>
      </c>
      <c r="C168" s="31" t="n"/>
      <c r="D168" s="24" t="n"/>
      <c r="E168" s="52" t="str">
        <f>IF(ISNUMBER(A168),COUNTIFS('交易记录'!$B$5:$B$304,A168,'交易记录'!$X$5:$X$304,"已执行"),"")</f>
        <v/>
      </c>
      <c r="F168" s="30" t="n"/>
      <c r="G168" s="24" t="n"/>
      <c r="H168" s="53" t="str">
        <f>IF(NOT(ISNUMBER(A168)),"",IF(COUNTIFS('交易记录'!$Z$5:$Z$304,A168,'交易记录'!$AF$5:$AF$304,"已平仓")=0,"",SUMIFS('交易记录'!$AK$5:$AK$304,'交易记录'!$Z$5:$Z$304,A168,'交易记录'!$AF$5:$AF$304,"已平仓")))</f>
        <v/>
      </c>
      <c r="I168" s="38" t="str">
        <f>IF(NOT(ISNUMBER(H168)),"",IF(H168&lt;=-'参数'!$C$8,"触及停手线",""))</f>
        <v/>
      </c>
      <c r="J168" s="30" t="n"/>
      <c r="K168" s="30" t="n"/>
    </row>
    <row r="169">
      <c r="A169" s="29" t="n"/>
      <c r="B169" s="38" t="str">
        <f>IF(ISNUMBER(A169),"周"&amp;CHOOSE(WEEKDAY(A169,2),"一","二","三","四","五","六","日"),"")</f>
        <v/>
      </c>
      <c r="C169" s="31" t="n"/>
      <c r="D169" s="24" t="n"/>
      <c r="E169" s="52" t="str">
        <f>IF(ISNUMBER(A169),COUNTIFS('交易记录'!$B$5:$B$304,A169,'交易记录'!$X$5:$X$304,"已执行"),"")</f>
        <v/>
      </c>
      <c r="F169" s="30" t="n"/>
      <c r="G169" s="24" t="n"/>
      <c r="H169" s="53" t="str">
        <f>IF(NOT(ISNUMBER(A169)),"",IF(COUNTIFS('交易记录'!$Z$5:$Z$304,A169,'交易记录'!$AF$5:$AF$304,"已平仓")=0,"",SUMIFS('交易记录'!$AK$5:$AK$304,'交易记录'!$Z$5:$Z$304,A169,'交易记录'!$AF$5:$AF$304,"已平仓")))</f>
        <v/>
      </c>
      <c r="I169" s="38" t="str">
        <f>IF(NOT(ISNUMBER(H169)),"",IF(H169&lt;=-'参数'!$C$8,"触及停手线",""))</f>
        <v/>
      </c>
      <c r="J169" s="30" t="n"/>
      <c r="K169" s="30" t="n"/>
    </row>
    <row r="170">
      <c r="A170" s="29" t="n"/>
      <c r="B170" s="38" t="str">
        <f>IF(ISNUMBER(A170),"周"&amp;CHOOSE(WEEKDAY(A170,2),"一","二","三","四","五","六","日"),"")</f>
        <v/>
      </c>
      <c r="C170" s="31" t="n"/>
      <c r="D170" s="24" t="n"/>
      <c r="E170" s="52" t="str">
        <f>IF(ISNUMBER(A170),COUNTIFS('交易记录'!$B$5:$B$304,A170,'交易记录'!$X$5:$X$304,"已执行"),"")</f>
        <v/>
      </c>
      <c r="F170" s="30" t="n"/>
      <c r="G170" s="24" t="n"/>
      <c r="H170" s="53" t="str">
        <f>IF(NOT(ISNUMBER(A170)),"",IF(COUNTIFS('交易记录'!$Z$5:$Z$304,A170,'交易记录'!$AF$5:$AF$304,"已平仓")=0,"",SUMIFS('交易记录'!$AK$5:$AK$304,'交易记录'!$Z$5:$Z$304,A170,'交易记录'!$AF$5:$AF$304,"已平仓")))</f>
        <v/>
      </c>
      <c r="I170" s="38" t="str">
        <f>IF(NOT(ISNUMBER(H170)),"",IF(H170&lt;=-'参数'!$C$8,"触及停手线",""))</f>
        <v/>
      </c>
      <c r="J170" s="30" t="n"/>
      <c r="K170" s="30" t="n"/>
    </row>
    <row r="171">
      <c r="A171" s="29" t="n"/>
      <c r="B171" s="38" t="str">
        <f>IF(ISNUMBER(A171),"周"&amp;CHOOSE(WEEKDAY(A171,2),"一","二","三","四","五","六","日"),"")</f>
        <v/>
      </c>
      <c r="C171" s="31" t="n"/>
      <c r="D171" s="24" t="n"/>
      <c r="E171" s="52" t="str">
        <f>IF(ISNUMBER(A171),COUNTIFS('交易记录'!$B$5:$B$304,A171,'交易记录'!$X$5:$X$304,"已执行"),"")</f>
        <v/>
      </c>
      <c r="F171" s="30" t="n"/>
      <c r="G171" s="24" t="n"/>
      <c r="H171" s="53" t="str">
        <f>IF(NOT(ISNUMBER(A171)),"",IF(COUNTIFS('交易记录'!$Z$5:$Z$304,A171,'交易记录'!$AF$5:$AF$304,"已平仓")=0,"",SUMIFS('交易记录'!$AK$5:$AK$304,'交易记录'!$Z$5:$Z$304,A171,'交易记录'!$AF$5:$AF$304,"已平仓")))</f>
        <v/>
      </c>
      <c r="I171" s="38" t="str">
        <f>IF(NOT(ISNUMBER(H171)),"",IF(H171&lt;=-'参数'!$C$8,"触及停手线",""))</f>
        <v/>
      </c>
      <c r="J171" s="30" t="n"/>
      <c r="K171" s="30" t="n"/>
    </row>
    <row r="172">
      <c r="A172" s="29" t="n"/>
      <c r="B172" s="38" t="str">
        <f>IF(ISNUMBER(A172),"周"&amp;CHOOSE(WEEKDAY(A172,2),"一","二","三","四","五","六","日"),"")</f>
        <v/>
      </c>
      <c r="C172" s="31" t="n"/>
      <c r="D172" s="24" t="n"/>
      <c r="E172" s="52" t="str">
        <f>IF(ISNUMBER(A172),COUNTIFS('交易记录'!$B$5:$B$304,A172,'交易记录'!$X$5:$X$304,"已执行"),"")</f>
        <v/>
      </c>
      <c r="F172" s="30" t="n"/>
      <c r="G172" s="24" t="n"/>
      <c r="H172" s="53" t="str">
        <f>IF(NOT(ISNUMBER(A172)),"",IF(COUNTIFS('交易记录'!$Z$5:$Z$304,A172,'交易记录'!$AF$5:$AF$304,"已平仓")=0,"",SUMIFS('交易记录'!$AK$5:$AK$304,'交易记录'!$Z$5:$Z$304,A172,'交易记录'!$AF$5:$AF$304,"已平仓")))</f>
        <v/>
      </c>
      <c r="I172" s="38" t="str">
        <f>IF(NOT(ISNUMBER(H172)),"",IF(H172&lt;=-'参数'!$C$8,"触及停手线",""))</f>
        <v/>
      </c>
      <c r="J172" s="30" t="n"/>
      <c r="K172" s="30" t="n"/>
    </row>
    <row r="173">
      <c r="A173" s="29" t="n"/>
      <c r="B173" s="38" t="str">
        <f>IF(ISNUMBER(A173),"周"&amp;CHOOSE(WEEKDAY(A173,2),"一","二","三","四","五","六","日"),"")</f>
        <v/>
      </c>
      <c r="C173" s="31" t="n"/>
      <c r="D173" s="24" t="n"/>
      <c r="E173" s="52" t="str">
        <f>IF(ISNUMBER(A173),COUNTIFS('交易记录'!$B$5:$B$304,A173,'交易记录'!$X$5:$X$304,"已执行"),"")</f>
        <v/>
      </c>
      <c r="F173" s="30" t="n"/>
      <c r="G173" s="24" t="n"/>
      <c r="H173" s="53" t="str">
        <f>IF(NOT(ISNUMBER(A173)),"",IF(COUNTIFS('交易记录'!$Z$5:$Z$304,A173,'交易记录'!$AF$5:$AF$304,"已平仓")=0,"",SUMIFS('交易记录'!$AK$5:$AK$304,'交易记录'!$Z$5:$Z$304,A173,'交易记录'!$AF$5:$AF$304,"已平仓")))</f>
        <v/>
      </c>
      <c r="I173" s="38" t="str">
        <f>IF(NOT(ISNUMBER(H173)),"",IF(H173&lt;=-'参数'!$C$8,"触及停手线",""))</f>
        <v/>
      </c>
      <c r="J173" s="30" t="n"/>
      <c r="K173" s="30" t="n"/>
    </row>
    <row r="174">
      <c r="A174" s="29" t="n"/>
      <c r="B174" s="38" t="str">
        <f>IF(ISNUMBER(A174),"周"&amp;CHOOSE(WEEKDAY(A174,2),"一","二","三","四","五","六","日"),"")</f>
        <v/>
      </c>
      <c r="C174" s="31" t="n"/>
      <c r="D174" s="24" t="n"/>
      <c r="E174" s="52" t="str">
        <f>IF(ISNUMBER(A174),COUNTIFS('交易记录'!$B$5:$B$304,A174,'交易记录'!$X$5:$X$304,"已执行"),"")</f>
        <v/>
      </c>
      <c r="F174" s="30" t="n"/>
      <c r="G174" s="24" t="n"/>
      <c r="H174" s="53" t="str">
        <f>IF(NOT(ISNUMBER(A174)),"",IF(COUNTIFS('交易记录'!$Z$5:$Z$304,A174,'交易记录'!$AF$5:$AF$304,"已平仓")=0,"",SUMIFS('交易记录'!$AK$5:$AK$304,'交易记录'!$Z$5:$Z$304,A174,'交易记录'!$AF$5:$AF$304,"已平仓")))</f>
        <v/>
      </c>
      <c r="I174" s="38" t="str">
        <f>IF(NOT(ISNUMBER(H174)),"",IF(H174&lt;=-'参数'!$C$8,"触及停手线",""))</f>
        <v/>
      </c>
      <c r="J174" s="30" t="n"/>
      <c r="K174" s="30" t="n"/>
    </row>
    <row r="175">
      <c r="A175" s="29" t="n"/>
      <c r="B175" s="38" t="str">
        <f>IF(ISNUMBER(A175),"周"&amp;CHOOSE(WEEKDAY(A175,2),"一","二","三","四","五","六","日"),"")</f>
        <v/>
      </c>
      <c r="C175" s="31" t="n"/>
      <c r="D175" s="24" t="n"/>
      <c r="E175" s="52" t="str">
        <f>IF(ISNUMBER(A175),COUNTIFS('交易记录'!$B$5:$B$304,A175,'交易记录'!$X$5:$X$304,"已执行"),"")</f>
        <v/>
      </c>
      <c r="F175" s="30" t="n"/>
      <c r="G175" s="24" t="n"/>
      <c r="H175" s="53" t="str">
        <f>IF(NOT(ISNUMBER(A175)),"",IF(COUNTIFS('交易记录'!$Z$5:$Z$304,A175,'交易记录'!$AF$5:$AF$304,"已平仓")=0,"",SUMIFS('交易记录'!$AK$5:$AK$304,'交易记录'!$Z$5:$Z$304,A175,'交易记录'!$AF$5:$AF$304,"已平仓")))</f>
        <v/>
      </c>
      <c r="I175" s="38" t="str">
        <f>IF(NOT(ISNUMBER(H175)),"",IF(H175&lt;=-'参数'!$C$8,"触及停手线",""))</f>
        <v/>
      </c>
      <c r="J175" s="30" t="n"/>
      <c r="K175" s="30" t="n"/>
    </row>
    <row r="176">
      <c r="A176" s="29" t="n"/>
      <c r="B176" s="38" t="str">
        <f>IF(ISNUMBER(A176),"周"&amp;CHOOSE(WEEKDAY(A176,2),"一","二","三","四","五","六","日"),"")</f>
        <v/>
      </c>
      <c r="C176" s="31" t="n"/>
      <c r="D176" s="24" t="n"/>
      <c r="E176" s="52" t="str">
        <f>IF(ISNUMBER(A176),COUNTIFS('交易记录'!$B$5:$B$304,A176,'交易记录'!$X$5:$X$304,"已执行"),"")</f>
        <v/>
      </c>
      <c r="F176" s="30" t="n"/>
      <c r="G176" s="24" t="n"/>
      <c r="H176" s="53" t="str">
        <f>IF(NOT(ISNUMBER(A176)),"",IF(COUNTIFS('交易记录'!$Z$5:$Z$304,A176,'交易记录'!$AF$5:$AF$304,"已平仓")=0,"",SUMIFS('交易记录'!$AK$5:$AK$304,'交易记录'!$Z$5:$Z$304,A176,'交易记录'!$AF$5:$AF$304,"已平仓")))</f>
        <v/>
      </c>
      <c r="I176" s="38" t="str">
        <f>IF(NOT(ISNUMBER(H176)),"",IF(H176&lt;=-'参数'!$C$8,"触及停手线",""))</f>
        <v/>
      </c>
      <c r="J176" s="30" t="n"/>
      <c r="K176" s="30" t="n"/>
    </row>
    <row r="177">
      <c r="A177" s="29" t="n"/>
      <c r="B177" s="38" t="str">
        <f>IF(ISNUMBER(A177),"周"&amp;CHOOSE(WEEKDAY(A177,2),"一","二","三","四","五","六","日"),"")</f>
        <v/>
      </c>
      <c r="C177" s="31" t="n"/>
      <c r="D177" s="24" t="n"/>
      <c r="E177" s="52" t="str">
        <f>IF(ISNUMBER(A177),COUNTIFS('交易记录'!$B$5:$B$304,A177,'交易记录'!$X$5:$X$304,"已执行"),"")</f>
        <v/>
      </c>
      <c r="F177" s="30" t="n"/>
      <c r="G177" s="24" t="n"/>
      <c r="H177" s="53" t="str">
        <f>IF(NOT(ISNUMBER(A177)),"",IF(COUNTIFS('交易记录'!$Z$5:$Z$304,A177,'交易记录'!$AF$5:$AF$304,"已平仓")=0,"",SUMIFS('交易记录'!$AK$5:$AK$304,'交易记录'!$Z$5:$Z$304,A177,'交易记录'!$AF$5:$AF$304,"已平仓")))</f>
        <v/>
      </c>
      <c r="I177" s="38" t="str">
        <f>IF(NOT(ISNUMBER(H177)),"",IF(H177&lt;=-'参数'!$C$8,"触及停手线",""))</f>
        <v/>
      </c>
      <c r="J177" s="30" t="n"/>
      <c r="K177" s="30" t="n"/>
    </row>
    <row r="178">
      <c r="A178" s="29" t="n"/>
      <c r="B178" s="38" t="str">
        <f>IF(ISNUMBER(A178),"周"&amp;CHOOSE(WEEKDAY(A178,2),"一","二","三","四","五","六","日"),"")</f>
        <v/>
      </c>
      <c r="C178" s="31" t="n"/>
      <c r="D178" s="24" t="n"/>
      <c r="E178" s="52" t="str">
        <f>IF(ISNUMBER(A178),COUNTIFS('交易记录'!$B$5:$B$304,A178,'交易记录'!$X$5:$X$304,"已执行"),"")</f>
        <v/>
      </c>
      <c r="F178" s="30" t="n"/>
      <c r="G178" s="24" t="n"/>
      <c r="H178" s="53" t="str">
        <f>IF(NOT(ISNUMBER(A178)),"",IF(COUNTIFS('交易记录'!$Z$5:$Z$304,A178,'交易记录'!$AF$5:$AF$304,"已平仓")=0,"",SUMIFS('交易记录'!$AK$5:$AK$304,'交易记录'!$Z$5:$Z$304,A178,'交易记录'!$AF$5:$AF$304,"已平仓")))</f>
        <v/>
      </c>
      <c r="I178" s="38" t="str">
        <f>IF(NOT(ISNUMBER(H178)),"",IF(H178&lt;=-'参数'!$C$8,"触及停手线",""))</f>
        <v/>
      </c>
      <c r="J178" s="30" t="n"/>
      <c r="K178" s="30" t="n"/>
    </row>
    <row r="179">
      <c r="A179" s="29" t="n"/>
      <c r="B179" s="38" t="str">
        <f>IF(ISNUMBER(A179),"周"&amp;CHOOSE(WEEKDAY(A179,2),"一","二","三","四","五","六","日"),"")</f>
        <v/>
      </c>
      <c r="C179" s="31" t="n"/>
      <c r="D179" s="24" t="n"/>
      <c r="E179" s="52" t="str">
        <f>IF(ISNUMBER(A179),COUNTIFS('交易记录'!$B$5:$B$304,A179,'交易记录'!$X$5:$X$304,"已执行"),"")</f>
        <v/>
      </c>
      <c r="F179" s="30" t="n"/>
      <c r="G179" s="24" t="n"/>
      <c r="H179" s="53" t="str">
        <f>IF(NOT(ISNUMBER(A179)),"",IF(COUNTIFS('交易记录'!$Z$5:$Z$304,A179,'交易记录'!$AF$5:$AF$304,"已平仓")=0,"",SUMIFS('交易记录'!$AK$5:$AK$304,'交易记录'!$Z$5:$Z$304,A179,'交易记录'!$AF$5:$AF$304,"已平仓")))</f>
        <v/>
      </c>
      <c r="I179" s="38" t="str">
        <f>IF(NOT(ISNUMBER(H179)),"",IF(H179&lt;=-'参数'!$C$8,"触及停手线",""))</f>
        <v/>
      </c>
      <c r="J179" s="30" t="n"/>
      <c r="K179" s="30" t="n"/>
    </row>
    <row r="180">
      <c r="A180" s="29" t="n"/>
      <c r="B180" s="38" t="str">
        <f>IF(ISNUMBER(A180),"周"&amp;CHOOSE(WEEKDAY(A180,2),"一","二","三","四","五","六","日"),"")</f>
        <v/>
      </c>
      <c r="C180" s="31" t="n"/>
      <c r="D180" s="24" t="n"/>
      <c r="E180" s="52" t="str">
        <f>IF(ISNUMBER(A180),COUNTIFS('交易记录'!$B$5:$B$304,A180,'交易记录'!$X$5:$X$304,"已执行"),"")</f>
        <v/>
      </c>
      <c r="F180" s="30" t="n"/>
      <c r="G180" s="24" t="n"/>
      <c r="H180" s="53" t="str">
        <f>IF(NOT(ISNUMBER(A180)),"",IF(COUNTIFS('交易记录'!$Z$5:$Z$304,A180,'交易记录'!$AF$5:$AF$304,"已平仓")=0,"",SUMIFS('交易记录'!$AK$5:$AK$304,'交易记录'!$Z$5:$Z$304,A180,'交易记录'!$AF$5:$AF$304,"已平仓")))</f>
        <v/>
      </c>
      <c r="I180" s="38" t="str">
        <f>IF(NOT(ISNUMBER(H180)),"",IF(H180&lt;=-'参数'!$C$8,"触及停手线",""))</f>
        <v/>
      </c>
      <c r="J180" s="30" t="n"/>
      <c r="K180" s="30" t="n"/>
    </row>
    <row r="181">
      <c r="A181" s="29" t="n"/>
      <c r="B181" s="38" t="str">
        <f>IF(ISNUMBER(A181),"周"&amp;CHOOSE(WEEKDAY(A181,2),"一","二","三","四","五","六","日"),"")</f>
        <v/>
      </c>
      <c r="C181" s="31" t="n"/>
      <c r="D181" s="24" t="n"/>
      <c r="E181" s="52" t="str">
        <f>IF(ISNUMBER(A181),COUNTIFS('交易记录'!$B$5:$B$304,A181,'交易记录'!$X$5:$X$304,"已执行"),"")</f>
        <v/>
      </c>
      <c r="F181" s="30" t="n"/>
      <c r="G181" s="24" t="n"/>
      <c r="H181" s="53" t="str">
        <f>IF(NOT(ISNUMBER(A181)),"",IF(COUNTIFS('交易记录'!$Z$5:$Z$304,A181,'交易记录'!$AF$5:$AF$304,"已平仓")=0,"",SUMIFS('交易记录'!$AK$5:$AK$304,'交易记录'!$Z$5:$Z$304,A181,'交易记录'!$AF$5:$AF$304,"已平仓")))</f>
        <v/>
      </c>
      <c r="I181" s="38" t="str">
        <f>IF(NOT(ISNUMBER(H181)),"",IF(H181&lt;=-'参数'!$C$8,"触及停手线",""))</f>
        <v/>
      </c>
      <c r="J181" s="30" t="n"/>
      <c r="K181" s="30" t="n"/>
    </row>
    <row r="182">
      <c r="A182" s="29" t="n"/>
      <c r="B182" s="38" t="str">
        <f>IF(ISNUMBER(A182),"周"&amp;CHOOSE(WEEKDAY(A182,2),"一","二","三","四","五","六","日"),"")</f>
        <v/>
      </c>
      <c r="C182" s="31" t="n"/>
      <c r="D182" s="24" t="n"/>
      <c r="E182" s="52" t="str">
        <f>IF(ISNUMBER(A182),COUNTIFS('交易记录'!$B$5:$B$304,A182,'交易记录'!$X$5:$X$304,"已执行"),"")</f>
        <v/>
      </c>
      <c r="F182" s="30" t="n"/>
      <c r="G182" s="24" t="n"/>
      <c r="H182" s="53" t="str">
        <f>IF(NOT(ISNUMBER(A182)),"",IF(COUNTIFS('交易记录'!$Z$5:$Z$304,A182,'交易记录'!$AF$5:$AF$304,"已平仓")=0,"",SUMIFS('交易记录'!$AK$5:$AK$304,'交易记录'!$Z$5:$Z$304,A182,'交易记录'!$AF$5:$AF$304,"已平仓")))</f>
        <v/>
      </c>
      <c r="I182" s="38" t="str">
        <f>IF(NOT(ISNUMBER(H182)),"",IF(H182&lt;=-'参数'!$C$8,"触及停手线",""))</f>
        <v/>
      </c>
      <c r="J182" s="30" t="n"/>
      <c r="K182" s="30" t="n"/>
    </row>
    <row r="183">
      <c r="A183" s="29" t="n"/>
      <c r="B183" s="38" t="str">
        <f>IF(ISNUMBER(A183),"周"&amp;CHOOSE(WEEKDAY(A183,2),"一","二","三","四","五","六","日"),"")</f>
        <v/>
      </c>
      <c r="C183" s="31" t="n"/>
      <c r="D183" s="24" t="n"/>
      <c r="E183" s="52" t="str">
        <f>IF(ISNUMBER(A183),COUNTIFS('交易记录'!$B$5:$B$304,A183,'交易记录'!$X$5:$X$304,"已执行"),"")</f>
        <v/>
      </c>
      <c r="F183" s="30" t="n"/>
      <c r="G183" s="24" t="n"/>
      <c r="H183" s="53" t="str">
        <f>IF(NOT(ISNUMBER(A183)),"",IF(COUNTIFS('交易记录'!$Z$5:$Z$304,A183,'交易记录'!$AF$5:$AF$304,"已平仓")=0,"",SUMIFS('交易记录'!$AK$5:$AK$304,'交易记录'!$Z$5:$Z$304,A183,'交易记录'!$AF$5:$AF$304,"已平仓")))</f>
        <v/>
      </c>
      <c r="I183" s="38" t="str">
        <f>IF(NOT(ISNUMBER(H183)),"",IF(H183&lt;=-'参数'!$C$8,"触及停手线",""))</f>
        <v/>
      </c>
      <c r="J183" s="30" t="n"/>
      <c r="K183" s="30" t="n"/>
    </row>
    <row r="184">
      <c r="A184" s="29" t="n"/>
      <c r="B184" s="38" t="str">
        <f>IF(ISNUMBER(A184),"周"&amp;CHOOSE(WEEKDAY(A184,2),"一","二","三","四","五","六","日"),"")</f>
        <v/>
      </c>
      <c r="C184" s="31" t="n"/>
      <c r="D184" s="24" t="n"/>
      <c r="E184" s="52" t="str">
        <f>IF(ISNUMBER(A184),COUNTIFS('交易记录'!$B$5:$B$304,A184,'交易记录'!$X$5:$X$304,"已执行"),"")</f>
        <v/>
      </c>
      <c r="F184" s="30" t="n"/>
      <c r="G184" s="24" t="n"/>
      <c r="H184" s="53" t="str">
        <f>IF(NOT(ISNUMBER(A184)),"",IF(COUNTIFS('交易记录'!$Z$5:$Z$304,A184,'交易记录'!$AF$5:$AF$304,"已平仓")=0,"",SUMIFS('交易记录'!$AK$5:$AK$304,'交易记录'!$Z$5:$Z$304,A184,'交易记录'!$AF$5:$AF$304,"已平仓")))</f>
        <v/>
      </c>
      <c r="I184" s="38" t="str">
        <f>IF(NOT(ISNUMBER(H184)),"",IF(H184&lt;=-'参数'!$C$8,"触及停手线",""))</f>
        <v/>
      </c>
      <c r="J184" s="30" t="n"/>
      <c r="K184" s="30" t="n"/>
    </row>
    <row r="185">
      <c r="A185" s="29" t="n"/>
      <c r="B185" s="38" t="str">
        <f>IF(ISNUMBER(A185),"周"&amp;CHOOSE(WEEKDAY(A185,2),"一","二","三","四","五","六","日"),"")</f>
        <v/>
      </c>
      <c r="C185" s="31" t="n"/>
      <c r="D185" s="24" t="n"/>
      <c r="E185" s="52" t="str">
        <f>IF(ISNUMBER(A185),COUNTIFS('交易记录'!$B$5:$B$304,A185,'交易记录'!$X$5:$X$304,"已执行"),"")</f>
        <v/>
      </c>
      <c r="F185" s="30" t="n"/>
      <c r="G185" s="24" t="n"/>
      <c r="H185" s="53" t="str">
        <f>IF(NOT(ISNUMBER(A185)),"",IF(COUNTIFS('交易记录'!$Z$5:$Z$304,A185,'交易记录'!$AF$5:$AF$304,"已平仓")=0,"",SUMIFS('交易记录'!$AK$5:$AK$304,'交易记录'!$Z$5:$Z$304,A185,'交易记录'!$AF$5:$AF$304,"已平仓")))</f>
        <v/>
      </c>
      <c r="I185" s="38" t="str">
        <f>IF(NOT(ISNUMBER(H185)),"",IF(H185&lt;=-'参数'!$C$8,"触及停手线",""))</f>
        <v/>
      </c>
      <c r="J185" s="30" t="n"/>
      <c r="K185" s="30" t="n"/>
    </row>
    <row r="186">
      <c r="A186" s="29" t="n"/>
      <c r="B186" s="38" t="str">
        <f>IF(ISNUMBER(A186),"周"&amp;CHOOSE(WEEKDAY(A186,2),"一","二","三","四","五","六","日"),"")</f>
        <v/>
      </c>
      <c r="C186" s="31" t="n"/>
      <c r="D186" s="24" t="n"/>
      <c r="E186" s="52" t="str">
        <f>IF(ISNUMBER(A186),COUNTIFS('交易记录'!$B$5:$B$304,A186,'交易记录'!$X$5:$X$304,"已执行"),"")</f>
        <v/>
      </c>
      <c r="F186" s="30" t="n"/>
      <c r="G186" s="24" t="n"/>
      <c r="H186" s="53" t="str">
        <f>IF(NOT(ISNUMBER(A186)),"",IF(COUNTIFS('交易记录'!$Z$5:$Z$304,A186,'交易记录'!$AF$5:$AF$304,"已平仓")=0,"",SUMIFS('交易记录'!$AK$5:$AK$304,'交易记录'!$Z$5:$Z$304,A186,'交易记录'!$AF$5:$AF$304,"已平仓")))</f>
        <v/>
      </c>
      <c r="I186" s="38" t="str">
        <f>IF(NOT(ISNUMBER(H186)),"",IF(H186&lt;=-'参数'!$C$8,"触及停手线",""))</f>
        <v/>
      </c>
      <c r="J186" s="30" t="n"/>
      <c r="K186" s="30" t="n"/>
    </row>
    <row r="187">
      <c r="A187" s="29" t="n"/>
      <c r="B187" s="38" t="str">
        <f>IF(ISNUMBER(A187),"周"&amp;CHOOSE(WEEKDAY(A187,2),"一","二","三","四","五","六","日"),"")</f>
        <v/>
      </c>
      <c r="C187" s="31" t="n"/>
      <c r="D187" s="24" t="n"/>
      <c r="E187" s="52" t="str">
        <f>IF(ISNUMBER(A187),COUNTIFS('交易记录'!$B$5:$B$304,A187,'交易记录'!$X$5:$X$304,"已执行"),"")</f>
        <v/>
      </c>
      <c r="F187" s="30" t="n"/>
      <c r="G187" s="24" t="n"/>
      <c r="H187" s="53" t="str">
        <f>IF(NOT(ISNUMBER(A187)),"",IF(COUNTIFS('交易记录'!$Z$5:$Z$304,A187,'交易记录'!$AF$5:$AF$304,"已平仓")=0,"",SUMIFS('交易记录'!$AK$5:$AK$304,'交易记录'!$Z$5:$Z$304,A187,'交易记录'!$AF$5:$AF$304,"已平仓")))</f>
        <v/>
      </c>
      <c r="I187" s="38" t="str">
        <f>IF(NOT(ISNUMBER(H187)),"",IF(H187&lt;=-'参数'!$C$8,"触及停手线",""))</f>
        <v/>
      </c>
      <c r="J187" s="30" t="n"/>
      <c r="K187" s="30" t="n"/>
    </row>
    <row r="188">
      <c r="A188" s="29" t="n"/>
      <c r="B188" s="38" t="str">
        <f>IF(ISNUMBER(A188),"周"&amp;CHOOSE(WEEKDAY(A188,2),"一","二","三","四","五","六","日"),"")</f>
        <v/>
      </c>
      <c r="C188" s="31" t="n"/>
      <c r="D188" s="24" t="n"/>
      <c r="E188" s="52" t="str">
        <f>IF(ISNUMBER(A188),COUNTIFS('交易记录'!$B$5:$B$304,A188,'交易记录'!$X$5:$X$304,"已执行"),"")</f>
        <v/>
      </c>
      <c r="F188" s="30" t="n"/>
      <c r="G188" s="24" t="n"/>
      <c r="H188" s="53" t="str">
        <f>IF(NOT(ISNUMBER(A188)),"",IF(COUNTIFS('交易记录'!$Z$5:$Z$304,A188,'交易记录'!$AF$5:$AF$304,"已平仓")=0,"",SUMIFS('交易记录'!$AK$5:$AK$304,'交易记录'!$Z$5:$Z$304,A188,'交易记录'!$AF$5:$AF$304,"已平仓")))</f>
        <v/>
      </c>
      <c r="I188" s="38" t="str">
        <f>IF(NOT(ISNUMBER(H188)),"",IF(H188&lt;=-'参数'!$C$8,"触及停手线",""))</f>
        <v/>
      </c>
      <c r="J188" s="30" t="n"/>
      <c r="K188" s="30" t="n"/>
    </row>
    <row r="189">
      <c r="A189" s="29" t="n"/>
      <c r="B189" s="38" t="str">
        <f>IF(ISNUMBER(A189),"周"&amp;CHOOSE(WEEKDAY(A189,2),"一","二","三","四","五","六","日"),"")</f>
        <v/>
      </c>
      <c r="C189" s="31" t="n"/>
      <c r="D189" s="24" t="n"/>
      <c r="E189" s="52" t="str">
        <f>IF(ISNUMBER(A189),COUNTIFS('交易记录'!$B$5:$B$304,A189,'交易记录'!$X$5:$X$304,"已执行"),"")</f>
        <v/>
      </c>
      <c r="F189" s="30" t="n"/>
      <c r="G189" s="24" t="n"/>
      <c r="H189" s="53" t="str">
        <f>IF(NOT(ISNUMBER(A189)),"",IF(COUNTIFS('交易记录'!$Z$5:$Z$304,A189,'交易记录'!$AF$5:$AF$304,"已平仓")=0,"",SUMIFS('交易记录'!$AK$5:$AK$304,'交易记录'!$Z$5:$Z$304,A189,'交易记录'!$AF$5:$AF$304,"已平仓")))</f>
        <v/>
      </c>
      <c r="I189" s="38" t="str">
        <f>IF(NOT(ISNUMBER(H189)),"",IF(H189&lt;=-'参数'!$C$8,"触及停手线",""))</f>
        <v/>
      </c>
      <c r="J189" s="30" t="n"/>
      <c r="K189" s="30" t="n"/>
    </row>
    <row r="190">
      <c r="A190" s="29" t="n"/>
      <c r="B190" s="38" t="str">
        <f>IF(ISNUMBER(A190),"周"&amp;CHOOSE(WEEKDAY(A190,2),"一","二","三","四","五","六","日"),"")</f>
        <v/>
      </c>
      <c r="C190" s="31" t="n"/>
      <c r="D190" s="24" t="n"/>
      <c r="E190" s="52" t="str">
        <f>IF(ISNUMBER(A190),COUNTIFS('交易记录'!$B$5:$B$304,A190,'交易记录'!$X$5:$X$304,"已执行"),"")</f>
        <v/>
      </c>
      <c r="F190" s="30" t="n"/>
      <c r="G190" s="24" t="n"/>
      <c r="H190" s="53" t="str">
        <f>IF(NOT(ISNUMBER(A190)),"",IF(COUNTIFS('交易记录'!$Z$5:$Z$304,A190,'交易记录'!$AF$5:$AF$304,"已平仓")=0,"",SUMIFS('交易记录'!$AK$5:$AK$304,'交易记录'!$Z$5:$Z$304,A190,'交易记录'!$AF$5:$AF$304,"已平仓")))</f>
        <v/>
      </c>
      <c r="I190" s="38" t="str">
        <f>IF(NOT(ISNUMBER(H190)),"",IF(H190&lt;=-'参数'!$C$8,"触及停手线",""))</f>
        <v/>
      </c>
      <c r="J190" s="30" t="n"/>
      <c r="K190" s="30" t="n"/>
    </row>
    <row r="191">
      <c r="A191" s="29" t="n"/>
      <c r="B191" s="38" t="str">
        <f>IF(ISNUMBER(A191),"周"&amp;CHOOSE(WEEKDAY(A191,2),"一","二","三","四","五","六","日"),"")</f>
        <v/>
      </c>
      <c r="C191" s="31" t="n"/>
      <c r="D191" s="24" t="n"/>
      <c r="E191" s="52" t="str">
        <f>IF(ISNUMBER(A191),COUNTIFS('交易记录'!$B$5:$B$304,A191,'交易记录'!$X$5:$X$304,"已执行"),"")</f>
        <v/>
      </c>
      <c r="F191" s="30" t="n"/>
      <c r="G191" s="24" t="n"/>
      <c r="H191" s="53" t="str">
        <f>IF(NOT(ISNUMBER(A191)),"",IF(COUNTIFS('交易记录'!$Z$5:$Z$304,A191,'交易记录'!$AF$5:$AF$304,"已平仓")=0,"",SUMIFS('交易记录'!$AK$5:$AK$304,'交易记录'!$Z$5:$Z$304,A191,'交易记录'!$AF$5:$AF$304,"已平仓")))</f>
        <v/>
      </c>
      <c r="I191" s="38" t="str">
        <f>IF(NOT(ISNUMBER(H191)),"",IF(H191&lt;=-'参数'!$C$8,"触及停手线",""))</f>
        <v/>
      </c>
      <c r="J191" s="30" t="n"/>
      <c r="K191" s="30" t="n"/>
    </row>
    <row r="192">
      <c r="A192" s="29" t="n"/>
      <c r="B192" s="38" t="str">
        <f>IF(ISNUMBER(A192),"周"&amp;CHOOSE(WEEKDAY(A192,2),"一","二","三","四","五","六","日"),"")</f>
        <v/>
      </c>
      <c r="C192" s="31" t="n"/>
      <c r="D192" s="24" t="n"/>
      <c r="E192" s="52" t="str">
        <f>IF(ISNUMBER(A192),COUNTIFS('交易记录'!$B$5:$B$304,A192,'交易记录'!$X$5:$X$304,"已执行"),"")</f>
        <v/>
      </c>
      <c r="F192" s="30" t="n"/>
      <c r="G192" s="24" t="n"/>
      <c r="H192" s="53" t="str">
        <f>IF(NOT(ISNUMBER(A192)),"",IF(COUNTIFS('交易记录'!$Z$5:$Z$304,A192,'交易记录'!$AF$5:$AF$304,"已平仓")=0,"",SUMIFS('交易记录'!$AK$5:$AK$304,'交易记录'!$Z$5:$Z$304,A192,'交易记录'!$AF$5:$AF$304,"已平仓")))</f>
        <v/>
      </c>
      <c r="I192" s="38" t="str">
        <f>IF(NOT(ISNUMBER(H192)),"",IF(H192&lt;=-'参数'!$C$8,"触及停手线",""))</f>
        <v/>
      </c>
      <c r="J192" s="30" t="n"/>
      <c r="K192" s="30" t="n"/>
    </row>
    <row r="193">
      <c r="A193" s="29" t="n"/>
      <c r="B193" s="38" t="str">
        <f>IF(ISNUMBER(A193),"周"&amp;CHOOSE(WEEKDAY(A193,2),"一","二","三","四","五","六","日"),"")</f>
        <v/>
      </c>
      <c r="C193" s="31" t="n"/>
      <c r="D193" s="24" t="n"/>
      <c r="E193" s="52" t="str">
        <f>IF(ISNUMBER(A193),COUNTIFS('交易记录'!$B$5:$B$304,A193,'交易记录'!$X$5:$X$304,"已执行"),"")</f>
        <v/>
      </c>
      <c r="F193" s="30" t="n"/>
      <c r="G193" s="24" t="n"/>
      <c r="H193" s="53" t="str">
        <f>IF(NOT(ISNUMBER(A193)),"",IF(COUNTIFS('交易记录'!$Z$5:$Z$304,A193,'交易记录'!$AF$5:$AF$304,"已平仓")=0,"",SUMIFS('交易记录'!$AK$5:$AK$304,'交易记录'!$Z$5:$Z$304,A193,'交易记录'!$AF$5:$AF$304,"已平仓")))</f>
        <v/>
      </c>
      <c r="I193" s="38" t="str">
        <f>IF(NOT(ISNUMBER(H193)),"",IF(H193&lt;=-'参数'!$C$8,"触及停手线",""))</f>
        <v/>
      </c>
      <c r="J193" s="30" t="n"/>
      <c r="K193" s="30" t="n"/>
    </row>
    <row r="194">
      <c r="A194" s="29" t="n"/>
      <c r="B194" s="38" t="str">
        <f>IF(ISNUMBER(A194),"周"&amp;CHOOSE(WEEKDAY(A194,2),"一","二","三","四","五","六","日"),"")</f>
        <v/>
      </c>
      <c r="C194" s="31" t="n"/>
      <c r="D194" s="24" t="n"/>
      <c r="E194" s="52" t="str">
        <f>IF(ISNUMBER(A194),COUNTIFS('交易记录'!$B$5:$B$304,A194,'交易记录'!$X$5:$X$304,"已执行"),"")</f>
        <v/>
      </c>
      <c r="F194" s="30" t="n"/>
      <c r="G194" s="24" t="n"/>
      <c r="H194" s="53" t="str">
        <f>IF(NOT(ISNUMBER(A194)),"",IF(COUNTIFS('交易记录'!$Z$5:$Z$304,A194,'交易记录'!$AF$5:$AF$304,"已平仓")=0,"",SUMIFS('交易记录'!$AK$5:$AK$304,'交易记录'!$Z$5:$Z$304,A194,'交易记录'!$AF$5:$AF$304,"已平仓")))</f>
        <v/>
      </c>
      <c r="I194" s="38" t="str">
        <f>IF(NOT(ISNUMBER(H194)),"",IF(H194&lt;=-'参数'!$C$8,"触及停手线",""))</f>
        <v/>
      </c>
      <c r="J194" s="30" t="n"/>
      <c r="K194" s="30" t="n"/>
    </row>
    <row r="195">
      <c r="A195" s="29" t="n"/>
      <c r="B195" s="38" t="str">
        <f>IF(ISNUMBER(A195),"周"&amp;CHOOSE(WEEKDAY(A195,2),"一","二","三","四","五","六","日"),"")</f>
        <v/>
      </c>
      <c r="C195" s="31" t="n"/>
      <c r="D195" s="24" t="n"/>
      <c r="E195" s="52" t="str">
        <f>IF(ISNUMBER(A195),COUNTIFS('交易记录'!$B$5:$B$304,A195,'交易记录'!$X$5:$X$304,"已执行"),"")</f>
        <v/>
      </c>
      <c r="F195" s="30" t="n"/>
      <c r="G195" s="24" t="n"/>
      <c r="H195" s="53" t="str">
        <f>IF(NOT(ISNUMBER(A195)),"",IF(COUNTIFS('交易记录'!$Z$5:$Z$304,A195,'交易记录'!$AF$5:$AF$304,"已平仓")=0,"",SUMIFS('交易记录'!$AK$5:$AK$304,'交易记录'!$Z$5:$Z$304,A195,'交易记录'!$AF$5:$AF$304,"已平仓")))</f>
        <v/>
      </c>
      <c r="I195" s="38" t="str">
        <f>IF(NOT(ISNUMBER(H195)),"",IF(H195&lt;=-'参数'!$C$8,"触及停手线",""))</f>
        <v/>
      </c>
      <c r="J195" s="30" t="n"/>
      <c r="K195" s="30" t="n"/>
    </row>
    <row r="196">
      <c r="A196" s="29" t="n"/>
      <c r="B196" s="38" t="str">
        <f>IF(ISNUMBER(A196),"周"&amp;CHOOSE(WEEKDAY(A196,2),"一","二","三","四","五","六","日"),"")</f>
        <v/>
      </c>
      <c r="C196" s="31" t="n"/>
      <c r="D196" s="24" t="n"/>
      <c r="E196" s="52" t="str">
        <f>IF(ISNUMBER(A196),COUNTIFS('交易记录'!$B$5:$B$304,A196,'交易记录'!$X$5:$X$304,"已执行"),"")</f>
        <v/>
      </c>
      <c r="F196" s="30" t="n"/>
      <c r="G196" s="24" t="n"/>
      <c r="H196" s="53" t="str">
        <f>IF(NOT(ISNUMBER(A196)),"",IF(COUNTIFS('交易记录'!$Z$5:$Z$304,A196,'交易记录'!$AF$5:$AF$304,"已平仓")=0,"",SUMIFS('交易记录'!$AK$5:$AK$304,'交易记录'!$Z$5:$Z$304,A196,'交易记录'!$AF$5:$AF$304,"已平仓")))</f>
        <v/>
      </c>
      <c r="I196" s="38" t="str">
        <f>IF(NOT(ISNUMBER(H196)),"",IF(H196&lt;=-'参数'!$C$8,"触及停手线",""))</f>
        <v/>
      </c>
      <c r="J196" s="30" t="n"/>
      <c r="K196" s="30" t="n"/>
    </row>
    <row r="197">
      <c r="A197" s="29" t="n"/>
      <c r="B197" s="38" t="str">
        <f>IF(ISNUMBER(A197),"周"&amp;CHOOSE(WEEKDAY(A197,2),"一","二","三","四","五","六","日"),"")</f>
        <v/>
      </c>
      <c r="C197" s="31" t="n"/>
      <c r="D197" s="24" t="n"/>
      <c r="E197" s="52" t="str">
        <f>IF(ISNUMBER(A197),COUNTIFS('交易记录'!$B$5:$B$304,A197,'交易记录'!$X$5:$X$304,"已执行"),"")</f>
        <v/>
      </c>
      <c r="F197" s="30" t="n"/>
      <c r="G197" s="24" t="n"/>
      <c r="H197" s="53" t="str">
        <f>IF(NOT(ISNUMBER(A197)),"",IF(COUNTIFS('交易记录'!$Z$5:$Z$304,A197,'交易记录'!$AF$5:$AF$304,"已平仓")=0,"",SUMIFS('交易记录'!$AK$5:$AK$304,'交易记录'!$Z$5:$Z$304,A197,'交易记录'!$AF$5:$AF$304,"已平仓")))</f>
        <v/>
      </c>
      <c r="I197" s="38" t="str">
        <f>IF(NOT(ISNUMBER(H197)),"",IF(H197&lt;=-'参数'!$C$8,"触及停手线",""))</f>
        <v/>
      </c>
      <c r="J197" s="30" t="n"/>
      <c r="K197" s="30" t="n"/>
    </row>
    <row r="198">
      <c r="A198" s="29" t="n"/>
      <c r="B198" s="38" t="str">
        <f>IF(ISNUMBER(A198),"周"&amp;CHOOSE(WEEKDAY(A198,2),"一","二","三","四","五","六","日"),"")</f>
        <v/>
      </c>
      <c r="C198" s="31" t="n"/>
      <c r="D198" s="24" t="n"/>
      <c r="E198" s="52" t="str">
        <f>IF(ISNUMBER(A198),COUNTIFS('交易记录'!$B$5:$B$304,A198,'交易记录'!$X$5:$X$304,"已执行"),"")</f>
        <v/>
      </c>
      <c r="F198" s="30" t="n"/>
      <c r="G198" s="24" t="n"/>
      <c r="H198" s="53" t="str">
        <f>IF(NOT(ISNUMBER(A198)),"",IF(COUNTIFS('交易记录'!$Z$5:$Z$304,A198,'交易记录'!$AF$5:$AF$304,"已平仓")=0,"",SUMIFS('交易记录'!$AK$5:$AK$304,'交易记录'!$Z$5:$Z$304,A198,'交易记录'!$AF$5:$AF$304,"已平仓")))</f>
        <v/>
      </c>
      <c r="I198" s="38" t="str">
        <f>IF(NOT(ISNUMBER(H198)),"",IF(H198&lt;=-'参数'!$C$8,"触及停手线",""))</f>
        <v/>
      </c>
      <c r="J198" s="30" t="n"/>
      <c r="K198" s="30" t="n"/>
    </row>
    <row r="199">
      <c r="A199" s="29" t="n"/>
      <c r="B199" s="38" t="str">
        <f>IF(ISNUMBER(A199),"周"&amp;CHOOSE(WEEKDAY(A199,2),"一","二","三","四","五","六","日"),"")</f>
        <v/>
      </c>
      <c r="C199" s="31" t="n"/>
      <c r="D199" s="24" t="n"/>
      <c r="E199" s="52" t="str">
        <f>IF(ISNUMBER(A199),COUNTIFS('交易记录'!$B$5:$B$304,A199,'交易记录'!$X$5:$X$304,"已执行"),"")</f>
        <v/>
      </c>
      <c r="F199" s="30" t="n"/>
      <c r="G199" s="24" t="n"/>
      <c r="H199" s="53" t="str">
        <f>IF(NOT(ISNUMBER(A199)),"",IF(COUNTIFS('交易记录'!$Z$5:$Z$304,A199,'交易记录'!$AF$5:$AF$304,"已平仓")=0,"",SUMIFS('交易记录'!$AK$5:$AK$304,'交易记录'!$Z$5:$Z$304,A199,'交易记录'!$AF$5:$AF$304,"已平仓")))</f>
        <v/>
      </c>
      <c r="I199" s="38" t="str">
        <f>IF(NOT(ISNUMBER(H199)),"",IF(H199&lt;=-'参数'!$C$8,"触及停手线",""))</f>
        <v/>
      </c>
      <c r="J199" s="30" t="n"/>
      <c r="K199" s="30" t="n"/>
    </row>
    <row r="200">
      <c r="A200" s="29" t="n"/>
      <c r="B200" s="38" t="str">
        <f>IF(ISNUMBER(A200),"周"&amp;CHOOSE(WEEKDAY(A200,2),"一","二","三","四","五","六","日"),"")</f>
        <v/>
      </c>
      <c r="C200" s="31" t="n"/>
      <c r="D200" s="24" t="n"/>
      <c r="E200" s="52" t="str">
        <f>IF(ISNUMBER(A200),COUNTIFS('交易记录'!$B$5:$B$304,A200,'交易记录'!$X$5:$X$304,"已执行"),"")</f>
        <v/>
      </c>
      <c r="F200" s="30" t="n"/>
      <c r="G200" s="24" t="n"/>
      <c r="H200" s="53" t="str">
        <f>IF(NOT(ISNUMBER(A200)),"",IF(COUNTIFS('交易记录'!$Z$5:$Z$304,A200,'交易记录'!$AF$5:$AF$304,"已平仓")=0,"",SUMIFS('交易记录'!$AK$5:$AK$304,'交易记录'!$Z$5:$Z$304,A200,'交易记录'!$AF$5:$AF$304,"已平仓")))</f>
        <v/>
      </c>
      <c r="I200" s="38" t="str">
        <f>IF(NOT(ISNUMBER(H200)),"",IF(H200&lt;=-'参数'!$C$8,"触及停手线",""))</f>
        <v/>
      </c>
      <c r="J200" s="30" t="n"/>
      <c r="K200" s="30" t="n"/>
    </row>
    <row r="201">
      <c r="A201" s="29" t="n"/>
      <c r="B201" s="38" t="str">
        <f>IF(ISNUMBER(A201),"周"&amp;CHOOSE(WEEKDAY(A201,2),"一","二","三","四","五","六","日"),"")</f>
        <v/>
      </c>
      <c r="C201" s="31" t="n"/>
      <c r="D201" s="24" t="n"/>
      <c r="E201" s="52" t="str">
        <f>IF(ISNUMBER(A201),COUNTIFS('交易记录'!$B$5:$B$304,A201,'交易记录'!$X$5:$X$304,"已执行"),"")</f>
        <v/>
      </c>
      <c r="F201" s="30" t="n"/>
      <c r="G201" s="24" t="n"/>
      <c r="H201" s="53" t="str">
        <f>IF(NOT(ISNUMBER(A201)),"",IF(COUNTIFS('交易记录'!$Z$5:$Z$304,A201,'交易记录'!$AF$5:$AF$304,"已平仓")=0,"",SUMIFS('交易记录'!$AK$5:$AK$304,'交易记录'!$Z$5:$Z$304,A201,'交易记录'!$AF$5:$AF$304,"已平仓")))</f>
        <v/>
      </c>
      <c r="I201" s="38" t="str">
        <f>IF(NOT(ISNUMBER(H201)),"",IF(H201&lt;=-'参数'!$C$8,"触及停手线",""))</f>
        <v/>
      </c>
      <c r="J201" s="30" t="n"/>
      <c r="K201" s="30" t="n"/>
    </row>
    <row r="202">
      <c r="A202" s="29" t="n"/>
      <c r="B202" s="38" t="str">
        <f>IF(ISNUMBER(A202),"周"&amp;CHOOSE(WEEKDAY(A202,2),"一","二","三","四","五","六","日"),"")</f>
        <v/>
      </c>
      <c r="C202" s="31" t="n"/>
      <c r="D202" s="24" t="n"/>
      <c r="E202" s="52" t="str">
        <f>IF(ISNUMBER(A202),COUNTIFS('交易记录'!$B$5:$B$304,A202,'交易记录'!$X$5:$X$304,"已执行"),"")</f>
        <v/>
      </c>
      <c r="F202" s="30" t="n"/>
      <c r="G202" s="24" t="n"/>
      <c r="H202" s="53" t="str">
        <f>IF(NOT(ISNUMBER(A202)),"",IF(COUNTIFS('交易记录'!$Z$5:$Z$304,A202,'交易记录'!$AF$5:$AF$304,"已平仓")=0,"",SUMIFS('交易记录'!$AK$5:$AK$304,'交易记录'!$Z$5:$Z$304,A202,'交易记录'!$AF$5:$AF$304,"已平仓")))</f>
        <v/>
      </c>
      <c r="I202" s="38" t="str">
        <f>IF(NOT(ISNUMBER(H202)),"",IF(H202&lt;=-'参数'!$C$8,"触及停手线",""))</f>
        <v/>
      </c>
      <c r="J202" s="30" t="n"/>
      <c r="K202" s="30" t="n"/>
    </row>
    <row r="203">
      <c r="A203" s="29" t="n"/>
      <c r="B203" s="38" t="str">
        <f>IF(ISNUMBER(A203),"周"&amp;CHOOSE(WEEKDAY(A203,2),"一","二","三","四","五","六","日"),"")</f>
        <v/>
      </c>
      <c r="C203" s="31" t="n"/>
      <c r="D203" s="24" t="n"/>
      <c r="E203" s="52" t="str">
        <f>IF(ISNUMBER(A203),COUNTIFS('交易记录'!$B$5:$B$304,A203,'交易记录'!$X$5:$X$304,"已执行"),"")</f>
        <v/>
      </c>
      <c r="F203" s="30" t="n"/>
      <c r="G203" s="24" t="n"/>
      <c r="H203" s="53" t="str">
        <f>IF(NOT(ISNUMBER(A203)),"",IF(COUNTIFS('交易记录'!$Z$5:$Z$304,A203,'交易记录'!$AF$5:$AF$304,"已平仓")=0,"",SUMIFS('交易记录'!$AK$5:$AK$304,'交易记录'!$Z$5:$Z$304,A203,'交易记录'!$AF$5:$AF$304,"已平仓")))</f>
        <v/>
      </c>
      <c r="I203" s="38" t="str">
        <f>IF(NOT(ISNUMBER(H203)),"",IF(H203&lt;=-'参数'!$C$8,"触及停手线",""))</f>
        <v/>
      </c>
      <c r="J203" s="30" t="n"/>
      <c r="K203" s="30" t="n"/>
    </row>
    <row r="204">
      <c r="A204" s="29" t="n"/>
      <c r="B204" s="38" t="str">
        <f>IF(ISNUMBER(A204),"周"&amp;CHOOSE(WEEKDAY(A204,2),"一","二","三","四","五","六","日"),"")</f>
        <v/>
      </c>
      <c r="C204" s="31" t="n"/>
      <c r="D204" s="24" t="n"/>
      <c r="E204" s="52" t="str">
        <f>IF(ISNUMBER(A204),COUNTIFS('交易记录'!$B$5:$B$304,A204,'交易记录'!$X$5:$X$304,"已执行"),"")</f>
        <v/>
      </c>
      <c r="F204" s="30" t="n"/>
      <c r="G204" s="24" t="n"/>
      <c r="H204" s="53" t="str">
        <f>IF(NOT(ISNUMBER(A204)),"",IF(COUNTIFS('交易记录'!$Z$5:$Z$304,A204,'交易记录'!$AF$5:$AF$304,"已平仓")=0,"",SUMIFS('交易记录'!$AK$5:$AK$304,'交易记录'!$Z$5:$Z$304,A204,'交易记录'!$AF$5:$AF$304,"已平仓")))</f>
        <v/>
      </c>
      <c r="I204" s="38" t="str">
        <f>IF(NOT(ISNUMBER(H204)),"",IF(H204&lt;=-'参数'!$C$8,"触及停手线",""))</f>
        <v/>
      </c>
      <c r="J204" s="30" t="n"/>
      <c r="K204" s="30" t="n"/>
    </row>
    <row r="205">
      <c r="A205" s="29" t="n"/>
      <c r="B205" s="38" t="str">
        <f>IF(ISNUMBER(A205),"周"&amp;CHOOSE(WEEKDAY(A205,2),"一","二","三","四","五","六","日"),"")</f>
        <v/>
      </c>
      <c r="C205" s="31" t="n"/>
      <c r="D205" s="24" t="n"/>
      <c r="E205" s="52" t="str">
        <f>IF(ISNUMBER(A205),COUNTIFS('交易记录'!$B$5:$B$304,A205,'交易记录'!$X$5:$X$304,"已执行"),"")</f>
        <v/>
      </c>
      <c r="F205" s="30" t="n"/>
      <c r="G205" s="24" t="n"/>
      <c r="H205" s="53" t="str">
        <f>IF(NOT(ISNUMBER(A205)),"",IF(COUNTIFS('交易记录'!$Z$5:$Z$304,A205,'交易记录'!$AF$5:$AF$304,"已平仓")=0,"",SUMIFS('交易记录'!$AK$5:$AK$304,'交易记录'!$Z$5:$Z$304,A205,'交易记录'!$AF$5:$AF$304,"已平仓")))</f>
        <v/>
      </c>
      <c r="I205" s="38" t="str">
        <f>IF(NOT(ISNUMBER(H205)),"",IF(H205&lt;=-'参数'!$C$8,"触及停手线",""))</f>
        <v/>
      </c>
      <c r="J205" s="30" t="n"/>
      <c r="K205" s="30" t="n"/>
    </row>
    <row r="206">
      <c r="A206" s="29" t="n"/>
      <c r="B206" s="38" t="str">
        <f>IF(ISNUMBER(A206),"周"&amp;CHOOSE(WEEKDAY(A206,2),"一","二","三","四","五","六","日"),"")</f>
        <v/>
      </c>
      <c r="C206" s="31" t="n"/>
      <c r="D206" s="24" t="n"/>
      <c r="E206" s="52" t="str">
        <f>IF(ISNUMBER(A206),COUNTIFS('交易记录'!$B$5:$B$304,A206,'交易记录'!$X$5:$X$304,"已执行"),"")</f>
        <v/>
      </c>
      <c r="F206" s="30" t="n"/>
      <c r="G206" s="24" t="n"/>
      <c r="H206" s="53" t="str">
        <f>IF(NOT(ISNUMBER(A206)),"",IF(COUNTIFS('交易记录'!$Z$5:$Z$304,A206,'交易记录'!$AF$5:$AF$304,"已平仓")=0,"",SUMIFS('交易记录'!$AK$5:$AK$304,'交易记录'!$Z$5:$Z$304,A206,'交易记录'!$AF$5:$AF$304,"已平仓")))</f>
        <v/>
      </c>
      <c r="I206" s="38" t="str">
        <f>IF(NOT(ISNUMBER(H206)),"",IF(H206&lt;=-'参数'!$C$8,"触及停手线",""))</f>
        <v/>
      </c>
      <c r="J206" s="30" t="n"/>
      <c r="K206" s="30" t="n"/>
    </row>
    <row r="207">
      <c r="A207" s="29" t="n"/>
      <c r="B207" s="38" t="str">
        <f>IF(ISNUMBER(A207),"周"&amp;CHOOSE(WEEKDAY(A207,2),"一","二","三","四","五","六","日"),"")</f>
        <v/>
      </c>
      <c r="C207" s="31" t="n"/>
      <c r="D207" s="24" t="n"/>
      <c r="E207" s="52" t="str">
        <f>IF(ISNUMBER(A207),COUNTIFS('交易记录'!$B$5:$B$304,A207,'交易记录'!$X$5:$X$304,"已执行"),"")</f>
        <v/>
      </c>
      <c r="F207" s="30" t="n"/>
      <c r="G207" s="24" t="n"/>
      <c r="H207" s="53" t="str">
        <f>IF(NOT(ISNUMBER(A207)),"",IF(COUNTIFS('交易记录'!$Z$5:$Z$304,A207,'交易记录'!$AF$5:$AF$304,"已平仓")=0,"",SUMIFS('交易记录'!$AK$5:$AK$304,'交易记录'!$Z$5:$Z$304,A207,'交易记录'!$AF$5:$AF$304,"已平仓")))</f>
        <v/>
      </c>
      <c r="I207" s="38" t="str">
        <f>IF(NOT(ISNUMBER(H207)),"",IF(H207&lt;=-'参数'!$C$8,"触及停手线",""))</f>
        <v/>
      </c>
      <c r="J207" s="30" t="n"/>
      <c r="K207" s="30" t="n"/>
    </row>
    <row r="208">
      <c r="A208" s="29" t="n"/>
      <c r="B208" s="38" t="str">
        <f>IF(ISNUMBER(A208),"周"&amp;CHOOSE(WEEKDAY(A208,2),"一","二","三","四","五","六","日"),"")</f>
        <v/>
      </c>
      <c r="C208" s="31" t="n"/>
      <c r="D208" s="24" t="n"/>
      <c r="E208" s="52" t="str">
        <f>IF(ISNUMBER(A208),COUNTIFS('交易记录'!$B$5:$B$304,A208,'交易记录'!$X$5:$X$304,"已执行"),"")</f>
        <v/>
      </c>
      <c r="F208" s="30" t="n"/>
      <c r="G208" s="24" t="n"/>
      <c r="H208" s="53" t="str">
        <f>IF(NOT(ISNUMBER(A208)),"",IF(COUNTIFS('交易记录'!$Z$5:$Z$304,A208,'交易记录'!$AF$5:$AF$304,"已平仓")=0,"",SUMIFS('交易记录'!$AK$5:$AK$304,'交易记录'!$Z$5:$Z$304,A208,'交易记录'!$AF$5:$AF$304,"已平仓")))</f>
        <v/>
      </c>
      <c r="I208" s="38" t="str">
        <f>IF(NOT(ISNUMBER(H208)),"",IF(H208&lt;=-'参数'!$C$8,"触及停手线",""))</f>
        <v/>
      </c>
      <c r="J208" s="30" t="n"/>
      <c r="K208" s="30" t="n"/>
    </row>
    <row r="209">
      <c r="A209" s="29" t="n"/>
      <c r="B209" s="38" t="str">
        <f>IF(ISNUMBER(A209),"周"&amp;CHOOSE(WEEKDAY(A209,2),"一","二","三","四","五","六","日"),"")</f>
        <v/>
      </c>
      <c r="C209" s="31" t="n"/>
      <c r="D209" s="24" t="n"/>
      <c r="E209" s="52" t="str">
        <f>IF(ISNUMBER(A209),COUNTIFS('交易记录'!$B$5:$B$304,A209,'交易记录'!$X$5:$X$304,"已执行"),"")</f>
        <v/>
      </c>
      <c r="F209" s="30" t="n"/>
      <c r="G209" s="24" t="n"/>
      <c r="H209" s="53" t="str">
        <f>IF(NOT(ISNUMBER(A209)),"",IF(COUNTIFS('交易记录'!$Z$5:$Z$304,A209,'交易记录'!$AF$5:$AF$304,"已平仓")=0,"",SUMIFS('交易记录'!$AK$5:$AK$304,'交易记录'!$Z$5:$Z$304,A209,'交易记录'!$AF$5:$AF$304,"已平仓")))</f>
        <v/>
      </c>
      <c r="I209" s="38" t="str">
        <f>IF(NOT(ISNUMBER(H209)),"",IF(H209&lt;=-'参数'!$C$8,"触及停手线",""))</f>
        <v/>
      </c>
      <c r="J209" s="30" t="n"/>
      <c r="K209" s="30" t="n"/>
    </row>
    <row r="210">
      <c r="A210" s="29" t="n"/>
      <c r="B210" s="38" t="str">
        <f>IF(ISNUMBER(A210),"周"&amp;CHOOSE(WEEKDAY(A210,2),"一","二","三","四","五","六","日"),"")</f>
        <v/>
      </c>
      <c r="C210" s="31" t="n"/>
      <c r="D210" s="24" t="n"/>
      <c r="E210" s="52" t="str">
        <f>IF(ISNUMBER(A210),COUNTIFS('交易记录'!$B$5:$B$304,A210,'交易记录'!$X$5:$X$304,"已执行"),"")</f>
        <v/>
      </c>
      <c r="F210" s="30" t="n"/>
      <c r="G210" s="24" t="n"/>
      <c r="H210" s="53" t="str">
        <f>IF(NOT(ISNUMBER(A210)),"",IF(COUNTIFS('交易记录'!$Z$5:$Z$304,A210,'交易记录'!$AF$5:$AF$304,"已平仓")=0,"",SUMIFS('交易记录'!$AK$5:$AK$304,'交易记录'!$Z$5:$Z$304,A210,'交易记录'!$AF$5:$AF$304,"已平仓")))</f>
        <v/>
      </c>
      <c r="I210" s="38" t="str">
        <f>IF(NOT(ISNUMBER(H210)),"",IF(H210&lt;=-'参数'!$C$8,"触及停手线",""))</f>
        <v/>
      </c>
      <c r="J210" s="30" t="n"/>
      <c r="K210" s="30" t="n"/>
    </row>
    <row r="211">
      <c r="A211" s="29" t="n"/>
      <c r="B211" s="38" t="str">
        <f>IF(ISNUMBER(A211),"周"&amp;CHOOSE(WEEKDAY(A211,2),"一","二","三","四","五","六","日"),"")</f>
        <v/>
      </c>
      <c r="C211" s="31" t="n"/>
      <c r="D211" s="24" t="n"/>
      <c r="E211" s="52" t="str">
        <f>IF(ISNUMBER(A211),COUNTIFS('交易记录'!$B$5:$B$304,A211,'交易记录'!$X$5:$X$304,"已执行"),"")</f>
        <v/>
      </c>
      <c r="F211" s="30" t="n"/>
      <c r="G211" s="24" t="n"/>
      <c r="H211" s="53" t="str">
        <f>IF(NOT(ISNUMBER(A211)),"",IF(COUNTIFS('交易记录'!$Z$5:$Z$304,A211,'交易记录'!$AF$5:$AF$304,"已平仓")=0,"",SUMIFS('交易记录'!$AK$5:$AK$304,'交易记录'!$Z$5:$Z$304,A211,'交易记录'!$AF$5:$AF$304,"已平仓")))</f>
        <v/>
      </c>
      <c r="I211" s="38" t="str">
        <f>IF(NOT(ISNUMBER(H211)),"",IF(H211&lt;=-'参数'!$C$8,"触及停手线",""))</f>
        <v/>
      </c>
      <c r="J211" s="30" t="n"/>
      <c r="K211" s="30" t="n"/>
    </row>
    <row r="212">
      <c r="A212" s="29" t="n"/>
      <c r="B212" s="38" t="str">
        <f>IF(ISNUMBER(A212),"周"&amp;CHOOSE(WEEKDAY(A212,2),"一","二","三","四","五","六","日"),"")</f>
        <v/>
      </c>
      <c r="C212" s="31" t="n"/>
      <c r="D212" s="24" t="n"/>
      <c r="E212" s="52" t="str">
        <f>IF(ISNUMBER(A212),COUNTIFS('交易记录'!$B$5:$B$304,A212,'交易记录'!$X$5:$X$304,"已执行"),"")</f>
        <v/>
      </c>
      <c r="F212" s="30" t="n"/>
      <c r="G212" s="24" t="n"/>
      <c r="H212" s="53" t="str">
        <f>IF(NOT(ISNUMBER(A212)),"",IF(COUNTIFS('交易记录'!$Z$5:$Z$304,A212,'交易记录'!$AF$5:$AF$304,"已平仓")=0,"",SUMIFS('交易记录'!$AK$5:$AK$304,'交易记录'!$Z$5:$Z$304,A212,'交易记录'!$AF$5:$AF$304,"已平仓")))</f>
        <v/>
      </c>
      <c r="I212" s="38" t="str">
        <f>IF(NOT(ISNUMBER(H212)),"",IF(H212&lt;=-'参数'!$C$8,"触及停手线",""))</f>
        <v/>
      </c>
      <c r="J212" s="30" t="n"/>
      <c r="K212" s="30" t="n"/>
    </row>
    <row r="213">
      <c r="A213" s="29" t="n"/>
      <c r="B213" s="38" t="str">
        <f>IF(ISNUMBER(A213),"周"&amp;CHOOSE(WEEKDAY(A213,2),"一","二","三","四","五","六","日"),"")</f>
        <v/>
      </c>
      <c r="C213" s="31" t="n"/>
      <c r="D213" s="24" t="n"/>
      <c r="E213" s="52" t="str">
        <f>IF(ISNUMBER(A213),COUNTIFS('交易记录'!$B$5:$B$304,A213,'交易记录'!$X$5:$X$304,"已执行"),"")</f>
        <v/>
      </c>
      <c r="F213" s="30" t="n"/>
      <c r="G213" s="24" t="n"/>
      <c r="H213" s="53" t="str">
        <f>IF(NOT(ISNUMBER(A213)),"",IF(COUNTIFS('交易记录'!$Z$5:$Z$304,A213,'交易记录'!$AF$5:$AF$304,"已平仓")=0,"",SUMIFS('交易记录'!$AK$5:$AK$304,'交易记录'!$Z$5:$Z$304,A213,'交易记录'!$AF$5:$AF$304,"已平仓")))</f>
        <v/>
      </c>
      <c r="I213" s="38" t="str">
        <f>IF(NOT(ISNUMBER(H213)),"",IF(H213&lt;=-'参数'!$C$8,"触及停手线",""))</f>
        <v/>
      </c>
      <c r="J213" s="30" t="n"/>
      <c r="K213" s="30" t="n"/>
    </row>
    <row r="214">
      <c r="A214" s="29" t="n"/>
      <c r="B214" s="38" t="str">
        <f>IF(ISNUMBER(A214),"周"&amp;CHOOSE(WEEKDAY(A214,2),"一","二","三","四","五","六","日"),"")</f>
        <v/>
      </c>
      <c r="C214" s="31" t="n"/>
      <c r="D214" s="24" t="n"/>
      <c r="E214" s="52" t="str">
        <f>IF(ISNUMBER(A214),COUNTIFS('交易记录'!$B$5:$B$304,A214,'交易记录'!$X$5:$X$304,"已执行"),"")</f>
        <v/>
      </c>
      <c r="F214" s="30" t="n"/>
      <c r="G214" s="24" t="n"/>
      <c r="H214" s="53" t="str">
        <f>IF(NOT(ISNUMBER(A214)),"",IF(COUNTIFS('交易记录'!$Z$5:$Z$304,A214,'交易记录'!$AF$5:$AF$304,"已平仓")=0,"",SUMIFS('交易记录'!$AK$5:$AK$304,'交易记录'!$Z$5:$Z$304,A214,'交易记录'!$AF$5:$AF$304,"已平仓")))</f>
        <v/>
      </c>
      <c r="I214" s="38" t="str">
        <f>IF(NOT(ISNUMBER(H214)),"",IF(H214&lt;=-'参数'!$C$8,"触及停手线",""))</f>
        <v/>
      </c>
      <c r="J214" s="30" t="n"/>
      <c r="K214" s="30" t="n"/>
    </row>
    <row r="215">
      <c r="A215" s="29" t="n"/>
      <c r="B215" s="38" t="str">
        <f>IF(ISNUMBER(A215),"周"&amp;CHOOSE(WEEKDAY(A215,2),"一","二","三","四","五","六","日"),"")</f>
        <v/>
      </c>
      <c r="C215" s="31" t="n"/>
      <c r="D215" s="24" t="n"/>
      <c r="E215" s="52" t="str">
        <f>IF(ISNUMBER(A215),COUNTIFS('交易记录'!$B$5:$B$304,A215,'交易记录'!$X$5:$X$304,"已执行"),"")</f>
        <v/>
      </c>
      <c r="F215" s="30" t="n"/>
      <c r="G215" s="24" t="n"/>
      <c r="H215" s="53" t="str">
        <f>IF(NOT(ISNUMBER(A215)),"",IF(COUNTIFS('交易记录'!$Z$5:$Z$304,A215,'交易记录'!$AF$5:$AF$304,"已平仓")=0,"",SUMIFS('交易记录'!$AK$5:$AK$304,'交易记录'!$Z$5:$Z$304,A215,'交易记录'!$AF$5:$AF$304,"已平仓")))</f>
        <v/>
      </c>
      <c r="I215" s="38" t="str">
        <f>IF(NOT(ISNUMBER(H215)),"",IF(H215&lt;=-'参数'!$C$8,"触及停手线",""))</f>
        <v/>
      </c>
      <c r="J215" s="30" t="n"/>
      <c r="K215" s="30" t="n"/>
    </row>
    <row r="216">
      <c r="A216" s="29" t="n"/>
      <c r="B216" s="38" t="str">
        <f>IF(ISNUMBER(A216),"周"&amp;CHOOSE(WEEKDAY(A216,2),"一","二","三","四","五","六","日"),"")</f>
        <v/>
      </c>
      <c r="C216" s="31" t="n"/>
      <c r="D216" s="24" t="n"/>
      <c r="E216" s="52" t="str">
        <f>IF(ISNUMBER(A216),COUNTIFS('交易记录'!$B$5:$B$304,A216,'交易记录'!$X$5:$X$304,"已执行"),"")</f>
        <v/>
      </c>
      <c r="F216" s="30" t="n"/>
      <c r="G216" s="24" t="n"/>
      <c r="H216" s="53" t="str">
        <f>IF(NOT(ISNUMBER(A216)),"",IF(COUNTIFS('交易记录'!$Z$5:$Z$304,A216,'交易记录'!$AF$5:$AF$304,"已平仓")=0,"",SUMIFS('交易记录'!$AK$5:$AK$304,'交易记录'!$Z$5:$Z$304,A216,'交易记录'!$AF$5:$AF$304,"已平仓")))</f>
        <v/>
      </c>
      <c r="I216" s="38" t="str">
        <f>IF(NOT(ISNUMBER(H216)),"",IF(H216&lt;=-'参数'!$C$8,"触及停手线",""))</f>
        <v/>
      </c>
      <c r="J216" s="30" t="n"/>
      <c r="K216" s="30" t="n"/>
    </row>
    <row r="217">
      <c r="A217" s="29" t="n"/>
      <c r="B217" s="38" t="str">
        <f>IF(ISNUMBER(A217),"周"&amp;CHOOSE(WEEKDAY(A217,2),"一","二","三","四","五","六","日"),"")</f>
        <v/>
      </c>
      <c r="C217" s="31" t="n"/>
      <c r="D217" s="24" t="n"/>
      <c r="E217" s="52" t="str">
        <f>IF(ISNUMBER(A217),COUNTIFS('交易记录'!$B$5:$B$304,A217,'交易记录'!$X$5:$X$304,"已执行"),"")</f>
        <v/>
      </c>
      <c r="F217" s="30" t="n"/>
      <c r="G217" s="24" t="n"/>
      <c r="H217" s="53" t="str">
        <f>IF(NOT(ISNUMBER(A217)),"",IF(COUNTIFS('交易记录'!$Z$5:$Z$304,A217,'交易记录'!$AF$5:$AF$304,"已平仓")=0,"",SUMIFS('交易记录'!$AK$5:$AK$304,'交易记录'!$Z$5:$Z$304,A217,'交易记录'!$AF$5:$AF$304,"已平仓")))</f>
        <v/>
      </c>
      <c r="I217" s="38" t="str">
        <f>IF(NOT(ISNUMBER(H217)),"",IF(H217&lt;=-'参数'!$C$8,"触及停手线",""))</f>
        <v/>
      </c>
      <c r="J217" s="30" t="n"/>
      <c r="K217" s="30" t="n"/>
    </row>
    <row r="218">
      <c r="A218" s="29" t="n"/>
      <c r="B218" s="38" t="str">
        <f>IF(ISNUMBER(A218),"周"&amp;CHOOSE(WEEKDAY(A218,2),"一","二","三","四","五","六","日"),"")</f>
        <v/>
      </c>
      <c r="C218" s="31" t="n"/>
      <c r="D218" s="24" t="n"/>
      <c r="E218" s="52" t="str">
        <f>IF(ISNUMBER(A218),COUNTIFS('交易记录'!$B$5:$B$304,A218,'交易记录'!$X$5:$X$304,"已执行"),"")</f>
        <v/>
      </c>
      <c r="F218" s="30" t="n"/>
      <c r="G218" s="24" t="n"/>
      <c r="H218" s="53" t="str">
        <f>IF(NOT(ISNUMBER(A218)),"",IF(COUNTIFS('交易记录'!$Z$5:$Z$304,A218,'交易记录'!$AF$5:$AF$304,"已平仓")=0,"",SUMIFS('交易记录'!$AK$5:$AK$304,'交易记录'!$Z$5:$Z$304,A218,'交易记录'!$AF$5:$AF$304,"已平仓")))</f>
        <v/>
      </c>
      <c r="I218" s="38" t="str">
        <f>IF(NOT(ISNUMBER(H218)),"",IF(H218&lt;=-'参数'!$C$8,"触及停手线",""))</f>
        <v/>
      </c>
      <c r="J218" s="30" t="n"/>
      <c r="K218" s="30" t="n"/>
    </row>
    <row r="219">
      <c r="A219" s="29" t="n"/>
      <c r="B219" s="38" t="str">
        <f>IF(ISNUMBER(A219),"周"&amp;CHOOSE(WEEKDAY(A219,2),"一","二","三","四","五","六","日"),"")</f>
        <v/>
      </c>
      <c r="C219" s="31" t="n"/>
      <c r="D219" s="24" t="n"/>
      <c r="E219" s="52" t="str">
        <f>IF(ISNUMBER(A219),COUNTIFS('交易记录'!$B$5:$B$304,A219,'交易记录'!$X$5:$X$304,"已执行"),"")</f>
        <v/>
      </c>
      <c r="F219" s="30" t="n"/>
      <c r="G219" s="24" t="n"/>
      <c r="H219" s="53" t="str">
        <f>IF(NOT(ISNUMBER(A219)),"",IF(COUNTIFS('交易记录'!$Z$5:$Z$304,A219,'交易记录'!$AF$5:$AF$304,"已平仓")=0,"",SUMIFS('交易记录'!$AK$5:$AK$304,'交易记录'!$Z$5:$Z$304,A219,'交易记录'!$AF$5:$AF$304,"已平仓")))</f>
        <v/>
      </c>
      <c r="I219" s="38" t="str">
        <f>IF(NOT(ISNUMBER(H219)),"",IF(H219&lt;=-'参数'!$C$8,"触及停手线",""))</f>
        <v/>
      </c>
      <c r="J219" s="30" t="n"/>
      <c r="K219" s="30" t="n"/>
    </row>
    <row r="220">
      <c r="A220" s="29" t="n"/>
      <c r="B220" s="38" t="str">
        <f>IF(ISNUMBER(A220),"周"&amp;CHOOSE(WEEKDAY(A220,2),"一","二","三","四","五","六","日"),"")</f>
        <v/>
      </c>
      <c r="C220" s="31" t="n"/>
      <c r="D220" s="24" t="n"/>
      <c r="E220" s="52" t="str">
        <f>IF(ISNUMBER(A220),COUNTIFS('交易记录'!$B$5:$B$304,A220,'交易记录'!$X$5:$X$304,"已执行"),"")</f>
        <v/>
      </c>
      <c r="F220" s="30" t="n"/>
      <c r="G220" s="24" t="n"/>
      <c r="H220" s="53" t="str">
        <f>IF(NOT(ISNUMBER(A220)),"",IF(COUNTIFS('交易记录'!$Z$5:$Z$304,A220,'交易记录'!$AF$5:$AF$304,"已平仓")=0,"",SUMIFS('交易记录'!$AK$5:$AK$304,'交易记录'!$Z$5:$Z$304,A220,'交易记录'!$AF$5:$AF$304,"已平仓")))</f>
        <v/>
      </c>
      <c r="I220" s="38" t="str">
        <f>IF(NOT(ISNUMBER(H220)),"",IF(H220&lt;=-'参数'!$C$8,"触及停手线",""))</f>
        <v/>
      </c>
      <c r="J220" s="30" t="n"/>
      <c r="K220" s="30" t="n"/>
    </row>
    <row r="221">
      <c r="A221" s="29" t="n"/>
      <c r="B221" s="38" t="str">
        <f>IF(ISNUMBER(A221),"周"&amp;CHOOSE(WEEKDAY(A221,2),"一","二","三","四","五","六","日"),"")</f>
        <v/>
      </c>
      <c r="C221" s="31" t="n"/>
      <c r="D221" s="24" t="n"/>
      <c r="E221" s="52" t="str">
        <f>IF(ISNUMBER(A221),COUNTIFS('交易记录'!$B$5:$B$304,A221,'交易记录'!$X$5:$X$304,"已执行"),"")</f>
        <v/>
      </c>
      <c r="F221" s="30" t="n"/>
      <c r="G221" s="24" t="n"/>
      <c r="H221" s="53" t="str">
        <f>IF(NOT(ISNUMBER(A221)),"",IF(COUNTIFS('交易记录'!$Z$5:$Z$304,A221,'交易记录'!$AF$5:$AF$304,"已平仓")=0,"",SUMIFS('交易记录'!$AK$5:$AK$304,'交易记录'!$Z$5:$Z$304,A221,'交易记录'!$AF$5:$AF$304,"已平仓")))</f>
        <v/>
      </c>
      <c r="I221" s="38" t="str">
        <f>IF(NOT(ISNUMBER(H221)),"",IF(H221&lt;=-'参数'!$C$8,"触及停手线",""))</f>
        <v/>
      </c>
      <c r="J221" s="30" t="n"/>
      <c r="K221" s="30" t="n"/>
    </row>
    <row r="222">
      <c r="A222" s="29" t="n"/>
      <c r="B222" s="38" t="str">
        <f>IF(ISNUMBER(A222),"周"&amp;CHOOSE(WEEKDAY(A222,2),"一","二","三","四","五","六","日"),"")</f>
        <v/>
      </c>
      <c r="C222" s="31" t="n"/>
      <c r="D222" s="24" t="n"/>
      <c r="E222" s="52" t="str">
        <f>IF(ISNUMBER(A222),COUNTIFS('交易记录'!$B$5:$B$304,A222,'交易记录'!$X$5:$X$304,"已执行"),"")</f>
        <v/>
      </c>
      <c r="F222" s="30" t="n"/>
      <c r="G222" s="24" t="n"/>
      <c r="H222" s="53" t="str">
        <f>IF(NOT(ISNUMBER(A222)),"",IF(COUNTIFS('交易记录'!$Z$5:$Z$304,A222,'交易记录'!$AF$5:$AF$304,"已平仓")=0,"",SUMIFS('交易记录'!$AK$5:$AK$304,'交易记录'!$Z$5:$Z$304,A222,'交易记录'!$AF$5:$AF$304,"已平仓")))</f>
        <v/>
      </c>
      <c r="I222" s="38" t="str">
        <f>IF(NOT(ISNUMBER(H222)),"",IF(H222&lt;=-'参数'!$C$8,"触及停手线",""))</f>
        <v/>
      </c>
      <c r="J222" s="30" t="n"/>
      <c r="K222" s="30" t="n"/>
    </row>
    <row r="223">
      <c r="A223" s="29" t="n"/>
      <c r="B223" s="38" t="str">
        <f>IF(ISNUMBER(A223),"周"&amp;CHOOSE(WEEKDAY(A223,2),"一","二","三","四","五","六","日"),"")</f>
        <v/>
      </c>
      <c r="C223" s="31" t="n"/>
      <c r="D223" s="24" t="n"/>
      <c r="E223" s="52" t="str">
        <f>IF(ISNUMBER(A223),COUNTIFS('交易记录'!$B$5:$B$304,A223,'交易记录'!$X$5:$X$304,"已执行"),"")</f>
        <v/>
      </c>
      <c r="F223" s="30" t="n"/>
      <c r="G223" s="24" t="n"/>
      <c r="H223" s="53" t="str">
        <f>IF(NOT(ISNUMBER(A223)),"",IF(COUNTIFS('交易记录'!$Z$5:$Z$304,A223,'交易记录'!$AF$5:$AF$304,"已平仓")=0,"",SUMIFS('交易记录'!$AK$5:$AK$304,'交易记录'!$Z$5:$Z$304,A223,'交易记录'!$AF$5:$AF$304,"已平仓")))</f>
        <v/>
      </c>
      <c r="I223" s="38" t="str">
        <f>IF(NOT(ISNUMBER(H223)),"",IF(H223&lt;=-'参数'!$C$8,"触及停手线",""))</f>
        <v/>
      </c>
      <c r="J223" s="30" t="n"/>
      <c r="K223" s="30" t="n"/>
    </row>
    <row r="224">
      <c r="A224" s="29" t="n"/>
      <c r="B224" s="38" t="str">
        <f>IF(ISNUMBER(A224),"周"&amp;CHOOSE(WEEKDAY(A224,2),"一","二","三","四","五","六","日"),"")</f>
        <v/>
      </c>
      <c r="C224" s="31" t="n"/>
      <c r="D224" s="24" t="n"/>
      <c r="E224" s="52" t="str">
        <f>IF(ISNUMBER(A224),COUNTIFS('交易记录'!$B$5:$B$304,A224,'交易记录'!$X$5:$X$304,"已执行"),"")</f>
        <v/>
      </c>
      <c r="F224" s="30" t="n"/>
      <c r="G224" s="24" t="n"/>
      <c r="H224" s="53" t="str">
        <f>IF(NOT(ISNUMBER(A224)),"",IF(COUNTIFS('交易记录'!$Z$5:$Z$304,A224,'交易记录'!$AF$5:$AF$304,"已平仓")=0,"",SUMIFS('交易记录'!$AK$5:$AK$304,'交易记录'!$Z$5:$Z$304,A224,'交易记录'!$AF$5:$AF$304,"已平仓")))</f>
        <v/>
      </c>
      <c r="I224" s="38" t="str">
        <f>IF(NOT(ISNUMBER(H224)),"",IF(H224&lt;=-'参数'!$C$8,"触及停手线",""))</f>
        <v/>
      </c>
      <c r="J224" s="30" t="n"/>
      <c r="K224" s="30" t="n"/>
    </row>
    <row r="225">
      <c r="A225" s="29" t="n"/>
      <c r="B225" s="38" t="str">
        <f>IF(ISNUMBER(A225),"周"&amp;CHOOSE(WEEKDAY(A225,2),"一","二","三","四","五","六","日"),"")</f>
        <v/>
      </c>
      <c r="C225" s="31" t="n"/>
      <c r="D225" s="24" t="n"/>
      <c r="E225" s="52" t="str">
        <f>IF(ISNUMBER(A225),COUNTIFS('交易记录'!$B$5:$B$304,A225,'交易记录'!$X$5:$X$304,"已执行"),"")</f>
        <v/>
      </c>
      <c r="F225" s="30" t="n"/>
      <c r="G225" s="24" t="n"/>
      <c r="H225" s="53" t="str">
        <f>IF(NOT(ISNUMBER(A225)),"",IF(COUNTIFS('交易记录'!$Z$5:$Z$304,A225,'交易记录'!$AF$5:$AF$304,"已平仓")=0,"",SUMIFS('交易记录'!$AK$5:$AK$304,'交易记录'!$Z$5:$Z$304,A225,'交易记录'!$AF$5:$AF$304,"已平仓")))</f>
        <v/>
      </c>
      <c r="I225" s="38" t="str">
        <f>IF(NOT(ISNUMBER(H225)),"",IF(H225&lt;=-'参数'!$C$8,"触及停手线",""))</f>
        <v/>
      </c>
      <c r="J225" s="30" t="n"/>
      <c r="K225" s="30" t="n"/>
    </row>
    <row r="226">
      <c r="A226" s="29" t="n"/>
      <c r="B226" s="38" t="str">
        <f>IF(ISNUMBER(A226),"周"&amp;CHOOSE(WEEKDAY(A226,2),"一","二","三","四","五","六","日"),"")</f>
        <v/>
      </c>
      <c r="C226" s="31" t="n"/>
      <c r="D226" s="24" t="n"/>
      <c r="E226" s="52" t="str">
        <f>IF(ISNUMBER(A226),COUNTIFS('交易记录'!$B$5:$B$304,A226,'交易记录'!$X$5:$X$304,"已执行"),"")</f>
        <v/>
      </c>
      <c r="F226" s="30" t="n"/>
      <c r="G226" s="24" t="n"/>
      <c r="H226" s="53" t="str">
        <f>IF(NOT(ISNUMBER(A226)),"",IF(COUNTIFS('交易记录'!$Z$5:$Z$304,A226,'交易记录'!$AF$5:$AF$304,"已平仓")=0,"",SUMIFS('交易记录'!$AK$5:$AK$304,'交易记录'!$Z$5:$Z$304,A226,'交易记录'!$AF$5:$AF$304,"已平仓")))</f>
        <v/>
      </c>
      <c r="I226" s="38" t="str">
        <f>IF(NOT(ISNUMBER(H226)),"",IF(H226&lt;=-'参数'!$C$8,"触及停手线",""))</f>
        <v/>
      </c>
      <c r="J226" s="30" t="n"/>
      <c r="K226" s="30" t="n"/>
    </row>
    <row r="227">
      <c r="A227" s="29" t="n"/>
      <c r="B227" s="38" t="str">
        <f>IF(ISNUMBER(A227),"周"&amp;CHOOSE(WEEKDAY(A227,2),"一","二","三","四","五","六","日"),"")</f>
        <v/>
      </c>
      <c r="C227" s="31" t="n"/>
      <c r="D227" s="24" t="n"/>
      <c r="E227" s="52" t="str">
        <f>IF(ISNUMBER(A227),COUNTIFS('交易记录'!$B$5:$B$304,A227,'交易记录'!$X$5:$X$304,"已执行"),"")</f>
        <v/>
      </c>
      <c r="F227" s="30" t="n"/>
      <c r="G227" s="24" t="n"/>
      <c r="H227" s="53" t="str">
        <f>IF(NOT(ISNUMBER(A227)),"",IF(COUNTIFS('交易记录'!$Z$5:$Z$304,A227,'交易记录'!$AF$5:$AF$304,"已平仓")=0,"",SUMIFS('交易记录'!$AK$5:$AK$304,'交易记录'!$Z$5:$Z$304,A227,'交易记录'!$AF$5:$AF$304,"已平仓")))</f>
        <v/>
      </c>
      <c r="I227" s="38" t="str">
        <f>IF(NOT(ISNUMBER(H227)),"",IF(H227&lt;=-'参数'!$C$8,"触及停手线",""))</f>
        <v/>
      </c>
      <c r="J227" s="30" t="n"/>
      <c r="K227" s="30" t="n"/>
    </row>
    <row r="228">
      <c r="A228" s="29" t="n"/>
      <c r="B228" s="38" t="str">
        <f>IF(ISNUMBER(A228),"周"&amp;CHOOSE(WEEKDAY(A228,2),"一","二","三","四","五","六","日"),"")</f>
        <v/>
      </c>
      <c r="C228" s="31" t="n"/>
      <c r="D228" s="24" t="n"/>
      <c r="E228" s="52" t="str">
        <f>IF(ISNUMBER(A228),COUNTIFS('交易记录'!$B$5:$B$304,A228,'交易记录'!$X$5:$X$304,"已执行"),"")</f>
        <v/>
      </c>
      <c r="F228" s="30" t="n"/>
      <c r="G228" s="24" t="n"/>
      <c r="H228" s="53" t="str">
        <f>IF(NOT(ISNUMBER(A228)),"",IF(COUNTIFS('交易记录'!$Z$5:$Z$304,A228,'交易记录'!$AF$5:$AF$304,"已平仓")=0,"",SUMIFS('交易记录'!$AK$5:$AK$304,'交易记录'!$Z$5:$Z$304,A228,'交易记录'!$AF$5:$AF$304,"已平仓")))</f>
        <v/>
      </c>
      <c r="I228" s="38" t="str">
        <f>IF(NOT(ISNUMBER(H228)),"",IF(H228&lt;=-'参数'!$C$8,"触及停手线",""))</f>
        <v/>
      </c>
      <c r="J228" s="30" t="n"/>
      <c r="K228" s="30" t="n"/>
    </row>
    <row r="229">
      <c r="A229" s="29" t="n"/>
      <c r="B229" s="38" t="str">
        <f>IF(ISNUMBER(A229),"周"&amp;CHOOSE(WEEKDAY(A229,2),"一","二","三","四","五","六","日"),"")</f>
        <v/>
      </c>
      <c r="C229" s="31" t="n"/>
      <c r="D229" s="24" t="n"/>
      <c r="E229" s="52" t="str">
        <f>IF(ISNUMBER(A229),COUNTIFS('交易记录'!$B$5:$B$304,A229,'交易记录'!$X$5:$X$304,"已执行"),"")</f>
        <v/>
      </c>
      <c r="F229" s="30" t="n"/>
      <c r="G229" s="24" t="n"/>
      <c r="H229" s="53" t="str">
        <f>IF(NOT(ISNUMBER(A229)),"",IF(COUNTIFS('交易记录'!$Z$5:$Z$304,A229,'交易记录'!$AF$5:$AF$304,"已平仓")=0,"",SUMIFS('交易记录'!$AK$5:$AK$304,'交易记录'!$Z$5:$Z$304,A229,'交易记录'!$AF$5:$AF$304,"已平仓")))</f>
        <v/>
      </c>
      <c r="I229" s="38" t="str">
        <f>IF(NOT(ISNUMBER(H229)),"",IF(H229&lt;=-'参数'!$C$8,"触及停手线",""))</f>
        <v/>
      </c>
      <c r="J229" s="30" t="n"/>
      <c r="K229" s="30" t="n"/>
    </row>
    <row r="230">
      <c r="A230" s="29" t="n"/>
      <c r="B230" s="38" t="str">
        <f>IF(ISNUMBER(A230),"周"&amp;CHOOSE(WEEKDAY(A230,2),"一","二","三","四","五","六","日"),"")</f>
        <v/>
      </c>
      <c r="C230" s="31" t="n"/>
      <c r="D230" s="24" t="n"/>
      <c r="E230" s="52" t="str">
        <f>IF(ISNUMBER(A230),COUNTIFS('交易记录'!$B$5:$B$304,A230,'交易记录'!$X$5:$X$304,"已执行"),"")</f>
        <v/>
      </c>
      <c r="F230" s="30" t="n"/>
      <c r="G230" s="24" t="n"/>
      <c r="H230" s="53" t="str">
        <f>IF(NOT(ISNUMBER(A230)),"",IF(COUNTIFS('交易记录'!$Z$5:$Z$304,A230,'交易记录'!$AF$5:$AF$304,"已平仓")=0,"",SUMIFS('交易记录'!$AK$5:$AK$304,'交易记录'!$Z$5:$Z$304,A230,'交易记录'!$AF$5:$AF$304,"已平仓")))</f>
        <v/>
      </c>
      <c r="I230" s="38" t="str">
        <f>IF(NOT(ISNUMBER(H230)),"",IF(H230&lt;=-'参数'!$C$8,"触及停手线",""))</f>
        <v/>
      </c>
      <c r="J230" s="30" t="n"/>
      <c r="K230" s="30" t="n"/>
    </row>
    <row r="231">
      <c r="A231" s="29" t="n"/>
      <c r="B231" s="38" t="str">
        <f>IF(ISNUMBER(A231),"周"&amp;CHOOSE(WEEKDAY(A231,2),"一","二","三","四","五","六","日"),"")</f>
        <v/>
      </c>
      <c r="C231" s="31" t="n"/>
      <c r="D231" s="24" t="n"/>
      <c r="E231" s="52" t="str">
        <f>IF(ISNUMBER(A231),COUNTIFS('交易记录'!$B$5:$B$304,A231,'交易记录'!$X$5:$X$304,"已执行"),"")</f>
        <v/>
      </c>
      <c r="F231" s="30" t="n"/>
      <c r="G231" s="24" t="n"/>
      <c r="H231" s="53" t="str">
        <f>IF(NOT(ISNUMBER(A231)),"",IF(COUNTIFS('交易记录'!$Z$5:$Z$304,A231,'交易记录'!$AF$5:$AF$304,"已平仓")=0,"",SUMIFS('交易记录'!$AK$5:$AK$304,'交易记录'!$Z$5:$Z$304,A231,'交易记录'!$AF$5:$AF$304,"已平仓")))</f>
        <v/>
      </c>
      <c r="I231" s="38" t="str">
        <f>IF(NOT(ISNUMBER(H231)),"",IF(H231&lt;=-'参数'!$C$8,"触及停手线",""))</f>
        <v/>
      </c>
      <c r="J231" s="30" t="n"/>
      <c r="K231" s="30" t="n"/>
    </row>
    <row r="232">
      <c r="A232" s="29" t="n"/>
      <c r="B232" s="38" t="str">
        <f>IF(ISNUMBER(A232),"周"&amp;CHOOSE(WEEKDAY(A232,2),"一","二","三","四","五","六","日"),"")</f>
        <v/>
      </c>
      <c r="C232" s="31" t="n"/>
      <c r="D232" s="24" t="n"/>
      <c r="E232" s="52" t="str">
        <f>IF(ISNUMBER(A232),COUNTIFS('交易记录'!$B$5:$B$304,A232,'交易记录'!$X$5:$X$304,"已执行"),"")</f>
        <v/>
      </c>
      <c r="F232" s="30" t="n"/>
      <c r="G232" s="24" t="n"/>
      <c r="H232" s="53" t="str">
        <f>IF(NOT(ISNUMBER(A232)),"",IF(COUNTIFS('交易记录'!$Z$5:$Z$304,A232,'交易记录'!$AF$5:$AF$304,"已平仓")=0,"",SUMIFS('交易记录'!$AK$5:$AK$304,'交易记录'!$Z$5:$Z$304,A232,'交易记录'!$AF$5:$AF$304,"已平仓")))</f>
        <v/>
      </c>
      <c r="I232" s="38" t="str">
        <f>IF(NOT(ISNUMBER(H232)),"",IF(H232&lt;=-'参数'!$C$8,"触及停手线",""))</f>
        <v/>
      </c>
      <c r="J232" s="30" t="n"/>
      <c r="K232" s="30" t="n"/>
    </row>
    <row r="233">
      <c r="A233" s="29" t="n"/>
      <c r="B233" s="38" t="str">
        <f>IF(ISNUMBER(A233),"周"&amp;CHOOSE(WEEKDAY(A233,2),"一","二","三","四","五","六","日"),"")</f>
        <v/>
      </c>
      <c r="C233" s="31" t="n"/>
      <c r="D233" s="24" t="n"/>
      <c r="E233" s="52" t="str">
        <f>IF(ISNUMBER(A233),COUNTIFS('交易记录'!$B$5:$B$304,A233,'交易记录'!$X$5:$X$304,"已执行"),"")</f>
        <v/>
      </c>
      <c r="F233" s="30" t="n"/>
      <c r="G233" s="24" t="n"/>
      <c r="H233" s="53" t="str">
        <f>IF(NOT(ISNUMBER(A233)),"",IF(COUNTIFS('交易记录'!$Z$5:$Z$304,A233,'交易记录'!$AF$5:$AF$304,"已平仓")=0,"",SUMIFS('交易记录'!$AK$5:$AK$304,'交易记录'!$Z$5:$Z$304,A233,'交易记录'!$AF$5:$AF$304,"已平仓")))</f>
        <v/>
      </c>
      <c r="I233" s="38" t="str">
        <f>IF(NOT(ISNUMBER(H233)),"",IF(H233&lt;=-'参数'!$C$8,"触及停手线",""))</f>
        <v/>
      </c>
      <c r="J233" s="30" t="n"/>
      <c r="K233" s="30" t="n"/>
    </row>
    <row r="234">
      <c r="A234" s="29" t="n"/>
      <c r="B234" s="38" t="str">
        <f>IF(ISNUMBER(A234),"周"&amp;CHOOSE(WEEKDAY(A234,2),"一","二","三","四","五","六","日"),"")</f>
        <v/>
      </c>
      <c r="C234" s="31" t="n"/>
      <c r="D234" s="24" t="n"/>
      <c r="E234" s="52" t="str">
        <f>IF(ISNUMBER(A234),COUNTIFS('交易记录'!$B$5:$B$304,A234,'交易记录'!$X$5:$X$304,"已执行"),"")</f>
        <v/>
      </c>
      <c r="F234" s="30" t="n"/>
      <c r="G234" s="24" t="n"/>
      <c r="H234" s="53" t="str">
        <f>IF(NOT(ISNUMBER(A234)),"",IF(COUNTIFS('交易记录'!$Z$5:$Z$304,A234,'交易记录'!$AF$5:$AF$304,"已平仓")=0,"",SUMIFS('交易记录'!$AK$5:$AK$304,'交易记录'!$Z$5:$Z$304,A234,'交易记录'!$AF$5:$AF$304,"已平仓")))</f>
        <v/>
      </c>
      <c r="I234" s="38" t="str">
        <f>IF(NOT(ISNUMBER(H234)),"",IF(H234&lt;=-'参数'!$C$8,"触及停手线",""))</f>
        <v/>
      </c>
      <c r="J234" s="30" t="n"/>
      <c r="K234" s="30" t="n"/>
    </row>
    <row r="235">
      <c r="A235" s="29" t="n"/>
      <c r="B235" s="38" t="str">
        <f>IF(ISNUMBER(A235),"周"&amp;CHOOSE(WEEKDAY(A235,2),"一","二","三","四","五","六","日"),"")</f>
        <v/>
      </c>
      <c r="C235" s="31" t="n"/>
      <c r="D235" s="24" t="n"/>
      <c r="E235" s="52" t="str">
        <f>IF(ISNUMBER(A235),COUNTIFS('交易记录'!$B$5:$B$304,A235,'交易记录'!$X$5:$X$304,"已执行"),"")</f>
        <v/>
      </c>
      <c r="F235" s="30" t="n"/>
      <c r="G235" s="24" t="n"/>
      <c r="H235" s="53" t="str">
        <f>IF(NOT(ISNUMBER(A235)),"",IF(COUNTIFS('交易记录'!$Z$5:$Z$304,A235,'交易记录'!$AF$5:$AF$304,"已平仓")=0,"",SUMIFS('交易记录'!$AK$5:$AK$304,'交易记录'!$Z$5:$Z$304,A235,'交易记录'!$AF$5:$AF$304,"已平仓")))</f>
        <v/>
      </c>
      <c r="I235" s="38" t="str">
        <f>IF(NOT(ISNUMBER(H235)),"",IF(H235&lt;=-'参数'!$C$8,"触及停手线",""))</f>
        <v/>
      </c>
      <c r="J235" s="30" t="n"/>
      <c r="K235" s="30" t="n"/>
    </row>
    <row r="236">
      <c r="A236" s="29" t="n"/>
      <c r="B236" s="38" t="str">
        <f>IF(ISNUMBER(A236),"周"&amp;CHOOSE(WEEKDAY(A236,2),"一","二","三","四","五","六","日"),"")</f>
        <v/>
      </c>
      <c r="C236" s="31" t="n"/>
      <c r="D236" s="24" t="n"/>
      <c r="E236" s="52" t="str">
        <f>IF(ISNUMBER(A236),COUNTIFS('交易记录'!$B$5:$B$304,A236,'交易记录'!$X$5:$X$304,"已执行"),"")</f>
        <v/>
      </c>
      <c r="F236" s="30" t="n"/>
      <c r="G236" s="24" t="n"/>
      <c r="H236" s="53" t="str">
        <f>IF(NOT(ISNUMBER(A236)),"",IF(COUNTIFS('交易记录'!$Z$5:$Z$304,A236,'交易记录'!$AF$5:$AF$304,"已平仓")=0,"",SUMIFS('交易记录'!$AK$5:$AK$304,'交易记录'!$Z$5:$Z$304,A236,'交易记录'!$AF$5:$AF$304,"已平仓")))</f>
        <v/>
      </c>
      <c r="I236" s="38" t="str">
        <f>IF(NOT(ISNUMBER(H236)),"",IF(H236&lt;=-'参数'!$C$8,"触及停手线",""))</f>
        <v/>
      </c>
      <c r="J236" s="30" t="n"/>
      <c r="K236" s="30" t="n"/>
    </row>
    <row r="237">
      <c r="A237" s="29" t="n"/>
      <c r="B237" s="38" t="str">
        <f>IF(ISNUMBER(A237),"周"&amp;CHOOSE(WEEKDAY(A237,2),"一","二","三","四","五","六","日"),"")</f>
        <v/>
      </c>
      <c r="C237" s="31" t="n"/>
      <c r="D237" s="24" t="n"/>
      <c r="E237" s="52" t="str">
        <f>IF(ISNUMBER(A237),COUNTIFS('交易记录'!$B$5:$B$304,A237,'交易记录'!$X$5:$X$304,"已执行"),"")</f>
        <v/>
      </c>
      <c r="F237" s="30" t="n"/>
      <c r="G237" s="24" t="n"/>
      <c r="H237" s="53" t="str">
        <f>IF(NOT(ISNUMBER(A237)),"",IF(COUNTIFS('交易记录'!$Z$5:$Z$304,A237,'交易记录'!$AF$5:$AF$304,"已平仓")=0,"",SUMIFS('交易记录'!$AK$5:$AK$304,'交易记录'!$Z$5:$Z$304,A237,'交易记录'!$AF$5:$AF$304,"已平仓")))</f>
        <v/>
      </c>
      <c r="I237" s="38" t="str">
        <f>IF(NOT(ISNUMBER(H237)),"",IF(H237&lt;=-'参数'!$C$8,"触及停手线",""))</f>
        <v/>
      </c>
      <c r="J237" s="30" t="n"/>
      <c r="K237" s="30" t="n"/>
    </row>
    <row r="238">
      <c r="A238" s="29" t="n"/>
      <c r="B238" s="38" t="str">
        <f>IF(ISNUMBER(A238),"周"&amp;CHOOSE(WEEKDAY(A238,2),"一","二","三","四","五","六","日"),"")</f>
        <v/>
      </c>
      <c r="C238" s="31" t="n"/>
      <c r="D238" s="24" t="n"/>
      <c r="E238" s="52" t="str">
        <f>IF(ISNUMBER(A238),COUNTIFS('交易记录'!$B$5:$B$304,A238,'交易记录'!$X$5:$X$304,"已执行"),"")</f>
        <v/>
      </c>
      <c r="F238" s="30" t="n"/>
      <c r="G238" s="24" t="n"/>
      <c r="H238" s="53" t="str">
        <f>IF(NOT(ISNUMBER(A238)),"",IF(COUNTIFS('交易记录'!$Z$5:$Z$304,A238,'交易记录'!$AF$5:$AF$304,"已平仓")=0,"",SUMIFS('交易记录'!$AK$5:$AK$304,'交易记录'!$Z$5:$Z$304,A238,'交易记录'!$AF$5:$AF$304,"已平仓")))</f>
        <v/>
      </c>
      <c r="I238" s="38" t="str">
        <f>IF(NOT(ISNUMBER(H238)),"",IF(H238&lt;=-'参数'!$C$8,"触及停手线",""))</f>
        <v/>
      </c>
      <c r="J238" s="30" t="n"/>
      <c r="K238" s="30" t="n"/>
    </row>
    <row r="239">
      <c r="A239" s="29" t="n"/>
      <c r="B239" s="38" t="str">
        <f>IF(ISNUMBER(A239),"周"&amp;CHOOSE(WEEKDAY(A239,2),"一","二","三","四","五","六","日"),"")</f>
        <v/>
      </c>
      <c r="C239" s="31" t="n"/>
      <c r="D239" s="24" t="n"/>
      <c r="E239" s="52" t="str">
        <f>IF(ISNUMBER(A239),COUNTIFS('交易记录'!$B$5:$B$304,A239,'交易记录'!$X$5:$X$304,"已执行"),"")</f>
        <v/>
      </c>
      <c r="F239" s="30" t="n"/>
      <c r="G239" s="24" t="n"/>
      <c r="H239" s="53" t="str">
        <f>IF(NOT(ISNUMBER(A239)),"",IF(COUNTIFS('交易记录'!$Z$5:$Z$304,A239,'交易记录'!$AF$5:$AF$304,"已平仓")=0,"",SUMIFS('交易记录'!$AK$5:$AK$304,'交易记录'!$Z$5:$Z$304,A239,'交易记录'!$AF$5:$AF$304,"已平仓")))</f>
        <v/>
      </c>
      <c r="I239" s="38" t="str">
        <f>IF(NOT(ISNUMBER(H239)),"",IF(H239&lt;=-'参数'!$C$8,"触及停手线",""))</f>
        <v/>
      </c>
      <c r="J239" s="30" t="n"/>
      <c r="K239" s="30" t="n"/>
    </row>
    <row r="240">
      <c r="A240" s="29" t="n"/>
      <c r="B240" s="38" t="str">
        <f>IF(ISNUMBER(A240),"周"&amp;CHOOSE(WEEKDAY(A240,2),"一","二","三","四","五","六","日"),"")</f>
        <v/>
      </c>
      <c r="C240" s="31" t="n"/>
      <c r="D240" s="24" t="n"/>
      <c r="E240" s="52" t="str">
        <f>IF(ISNUMBER(A240),COUNTIFS('交易记录'!$B$5:$B$304,A240,'交易记录'!$X$5:$X$304,"已执行"),"")</f>
        <v/>
      </c>
      <c r="F240" s="30" t="n"/>
      <c r="G240" s="24" t="n"/>
      <c r="H240" s="53" t="str">
        <f>IF(NOT(ISNUMBER(A240)),"",IF(COUNTIFS('交易记录'!$Z$5:$Z$304,A240,'交易记录'!$AF$5:$AF$304,"已平仓")=0,"",SUMIFS('交易记录'!$AK$5:$AK$304,'交易记录'!$Z$5:$Z$304,A240,'交易记录'!$AF$5:$AF$304,"已平仓")))</f>
        <v/>
      </c>
      <c r="I240" s="38" t="str">
        <f>IF(NOT(ISNUMBER(H240)),"",IF(H240&lt;=-'参数'!$C$8,"触及停手线",""))</f>
        <v/>
      </c>
      <c r="J240" s="30" t="n"/>
      <c r="K240" s="30" t="n"/>
    </row>
    <row r="241">
      <c r="A241" s="29" t="n"/>
      <c r="B241" s="38" t="str">
        <f>IF(ISNUMBER(A241),"周"&amp;CHOOSE(WEEKDAY(A241,2),"一","二","三","四","五","六","日"),"")</f>
        <v/>
      </c>
      <c r="C241" s="31" t="n"/>
      <c r="D241" s="24" t="n"/>
      <c r="E241" s="52" t="str">
        <f>IF(ISNUMBER(A241),COUNTIFS('交易记录'!$B$5:$B$304,A241,'交易记录'!$X$5:$X$304,"已执行"),"")</f>
        <v/>
      </c>
      <c r="F241" s="30" t="n"/>
      <c r="G241" s="24" t="n"/>
      <c r="H241" s="53" t="str">
        <f>IF(NOT(ISNUMBER(A241)),"",IF(COUNTIFS('交易记录'!$Z$5:$Z$304,A241,'交易记录'!$AF$5:$AF$304,"已平仓")=0,"",SUMIFS('交易记录'!$AK$5:$AK$304,'交易记录'!$Z$5:$Z$304,A241,'交易记录'!$AF$5:$AF$304,"已平仓")))</f>
        <v/>
      </c>
      <c r="I241" s="38" t="str">
        <f>IF(NOT(ISNUMBER(H241)),"",IF(H241&lt;=-'参数'!$C$8,"触及停手线",""))</f>
        <v/>
      </c>
      <c r="J241" s="30" t="n"/>
      <c r="K241" s="30" t="n"/>
    </row>
    <row r="242">
      <c r="A242" s="29" t="n"/>
      <c r="B242" s="38" t="str">
        <f>IF(ISNUMBER(A242),"周"&amp;CHOOSE(WEEKDAY(A242,2),"一","二","三","四","五","六","日"),"")</f>
        <v/>
      </c>
      <c r="C242" s="31" t="n"/>
      <c r="D242" s="24" t="n"/>
      <c r="E242" s="52" t="str">
        <f>IF(ISNUMBER(A242),COUNTIFS('交易记录'!$B$5:$B$304,A242,'交易记录'!$X$5:$X$304,"已执行"),"")</f>
        <v/>
      </c>
      <c r="F242" s="30" t="n"/>
      <c r="G242" s="24" t="n"/>
      <c r="H242" s="53" t="str">
        <f>IF(NOT(ISNUMBER(A242)),"",IF(COUNTIFS('交易记录'!$Z$5:$Z$304,A242,'交易记录'!$AF$5:$AF$304,"已平仓")=0,"",SUMIFS('交易记录'!$AK$5:$AK$304,'交易记录'!$Z$5:$Z$304,A242,'交易记录'!$AF$5:$AF$304,"已平仓")))</f>
        <v/>
      </c>
      <c r="I242" s="38" t="str">
        <f>IF(NOT(ISNUMBER(H242)),"",IF(H242&lt;=-'参数'!$C$8,"触及停手线",""))</f>
        <v/>
      </c>
      <c r="J242" s="30" t="n"/>
      <c r="K242" s="30" t="n"/>
    </row>
    <row r="243">
      <c r="A243" s="29" t="n"/>
      <c r="B243" s="38" t="str">
        <f>IF(ISNUMBER(A243),"周"&amp;CHOOSE(WEEKDAY(A243,2),"一","二","三","四","五","六","日"),"")</f>
        <v/>
      </c>
      <c r="C243" s="31" t="n"/>
      <c r="D243" s="24" t="n"/>
      <c r="E243" s="52" t="str">
        <f>IF(ISNUMBER(A243),COUNTIFS('交易记录'!$B$5:$B$304,A243,'交易记录'!$X$5:$X$304,"已执行"),"")</f>
        <v/>
      </c>
      <c r="F243" s="30" t="n"/>
      <c r="G243" s="24" t="n"/>
      <c r="H243" s="53" t="str">
        <f>IF(NOT(ISNUMBER(A243)),"",IF(COUNTIFS('交易记录'!$Z$5:$Z$304,A243,'交易记录'!$AF$5:$AF$304,"已平仓")=0,"",SUMIFS('交易记录'!$AK$5:$AK$304,'交易记录'!$Z$5:$Z$304,A243,'交易记录'!$AF$5:$AF$304,"已平仓")))</f>
        <v/>
      </c>
      <c r="I243" s="38" t="str">
        <f>IF(NOT(ISNUMBER(H243)),"",IF(H243&lt;=-'参数'!$C$8,"触及停手线",""))</f>
        <v/>
      </c>
      <c r="J243" s="30" t="n"/>
      <c r="K243" s="30" t="n"/>
    </row>
    <row r="244">
      <c r="A244" s="29" t="n"/>
      <c r="B244" s="38" t="str">
        <f>IF(ISNUMBER(A244),"周"&amp;CHOOSE(WEEKDAY(A244,2),"一","二","三","四","五","六","日"),"")</f>
        <v/>
      </c>
      <c r="C244" s="31" t="n"/>
      <c r="D244" s="24" t="n"/>
      <c r="E244" s="52" t="str">
        <f>IF(ISNUMBER(A244),COUNTIFS('交易记录'!$B$5:$B$304,A244,'交易记录'!$X$5:$X$304,"已执行"),"")</f>
        <v/>
      </c>
      <c r="F244" s="30" t="n"/>
      <c r="G244" s="24" t="n"/>
      <c r="H244" s="53" t="str">
        <f>IF(NOT(ISNUMBER(A244)),"",IF(COUNTIFS('交易记录'!$Z$5:$Z$304,A244,'交易记录'!$AF$5:$AF$304,"已平仓")=0,"",SUMIFS('交易记录'!$AK$5:$AK$304,'交易记录'!$Z$5:$Z$304,A244,'交易记录'!$AF$5:$AF$304,"已平仓")))</f>
        <v/>
      </c>
      <c r="I244" s="38" t="str">
        <f>IF(NOT(ISNUMBER(H244)),"",IF(H244&lt;=-'参数'!$C$8,"触及停手线",""))</f>
        <v/>
      </c>
      <c r="J244" s="30" t="n"/>
      <c r="K244" s="30" t="n"/>
    </row>
    <row r="245">
      <c r="A245" s="29" t="n"/>
      <c r="B245" s="38" t="str">
        <f>IF(ISNUMBER(A245),"周"&amp;CHOOSE(WEEKDAY(A245,2),"一","二","三","四","五","六","日"),"")</f>
        <v/>
      </c>
      <c r="C245" s="31" t="n"/>
      <c r="D245" s="24" t="n"/>
      <c r="E245" s="52" t="str">
        <f>IF(ISNUMBER(A245),COUNTIFS('交易记录'!$B$5:$B$304,A245,'交易记录'!$X$5:$X$304,"已执行"),"")</f>
        <v/>
      </c>
      <c r="F245" s="30" t="n"/>
      <c r="G245" s="24" t="n"/>
      <c r="H245" s="53" t="str">
        <f>IF(NOT(ISNUMBER(A245)),"",IF(COUNTIFS('交易记录'!$Z$5:$Z$304,A245,'交易记录'!$AF$5:$AF$304,"已平仓")=0,"",SUMIFS('交易记录'!$AK$5:$AK$304,'交易记录'!$Z$5:$Z$304,A245,'交易记录'!$AF$5:$AF$304,"已平仓")))</f>
        <v/>
      </c>
      <c r="I245" s="38" t="str">
        <f>IF(NOT(ISNUMBER(H245)),"",IF(H245&lt;=-'参数'!$C$8,"触及停手线",""))</f>
        <v/>
      </c>
      <c r="J245" s="30" t="n"/>
      <c r="K245" s="30" t="n"/>
    </row>
    <row r="246">
      <c r="A246" s="29" t="n"/>
      <c r="B246" s="38" t="str">
        <f>IF(ISNUMBER(A246),"周"&amp;CHOOSE(WEEKDAY(A246,2),"一","二","三","四","五","六","日"),"")</f>
        <v/>
      </c>
      <c r="C246" s="31" t="n"/>
      <c r="D246" s="24" t="n"/>
      <c r="E246" s="52" t="str">
        <f>IF(ISNUMBER(A246),COUNTIFS('交易记录'!$B$5:$B$304,A246,'交易记录'!$X$5:$X$304,"已执行"),"")</f>
        <v/>
      </c>
      <c r="F246" s="30" t="n"/>
      <c r="G246" s="24" t="n"/>
      <c r="H246" s="53" t="str">
        <f>IF(NOT(ISNUMBER(A246)),"",IF(COUNTIFS('交易记录'!$Z$5:$Z$304,A246,'交易记录'!$AF$5:$AF$304,"已平仓")=0,"",SUMIFS('交易记录'!$AK$5:$AK$304,'交易记录'!$Z$5:$Z$304,A246,'交易记录'!$AF$5:$AF$304,"已平仓")))</f>
        <v/>
      </c>
      <c r="I246" s="38" t="str">
        <f>IF(NOT(ISNUMBER(H246)),"",IF(H246&lt;=-'参数'!$C$8,"触及停手线",""))</f>
        <v/>
      </c>
      <c r="J246" s="30" t="n"/>
      <c r="K246" s="30" t="n"/>
    </row>
    <row r="247">
      <c r="A247" s="29" t="n"/>
      <c r="B247" s="38" t="str">
        <f>IF(ISNUMBER(A247),"周"&amp;CHOOSE(WEEKDAY(A247,2),"一","二","三","四","五","六","日"),"")</f>
        <v/>
      </c>
      <c r="C247" s="31" t="n"/>
      <c r="D247" s="24" t="n"/>
      <c r="E247" s="52" t="str">
        <f>IF(ISNUMBER(A247),COUNTIFS('交易记录'!$B$5:$B$304,A247,'交易记录'!$X$5:$X$304,"已执行"),"")</f>
        <v/>
      </c>
      <c r="F247" s="30" t="n"/>
      <c r="G247" s="24" t="n"/>
      <c r="H247" s="53" t="str">
        <f>IF(NOT(ISNUMBER(A247)),"",IF(COUNTIFS('交易记录'!$Z$5:$Z$304,A247,'交易记录'!$AF$5:$AF$304,"已平仓")=0,"",SUMIFS('交易记录'!$AK$5:$AK$304,'交易记录'!$Z$5:$Z$304,A247,'交易记录'!$AF$5:$AF$304,"已平仓")))</f>
        <v/>
      </c>
      <c r="I247" s="38" t="str">
        <f>IF(NOT(ISNUMBER(H247)),"",IF(H247&lt;=-'参数'!$C$8,"触及停手线",""))</f>
        <v/>
      </c>
      <c r="J247" s="30" t="n"/>
      <c r="K247" s="30" t="n"/>
    </row>
    <row r="248">
      <c r="A248" s="29" t="n"/>
      <c r="B248" s="38" t="str">
        <f>IF(ISNUMBER(A248),"周"&amp;CHOOSE(WEEKDAY(A248,2),"一","二","三","四","五","六","日"),"")</f>
        <v/>
      </c>
      <c r="C248" s="31" t="n"/>
      <c r="D248" s="24" t="n"/>
      <c r="E248" s="52" t="str">
        <f>IF(ISNUMBER(A248),COUNTIFS('交易记录'!$B$5:$B$304,A248,'交易记录'!$X$5:$X$304,"已执行"),"")</f>
        <v/>
      </c>
      <c r="F248" s="30" t="n"/>
      <c r="G248" s="24" t="n"/>
      <c r="H248" s="53" t="str">
        <f>IF(NOT(ISNUMBER(A248)),"",IF(COUNTIFS('交易记录'!$Z$5:$Z$304,A248,'交易记录'!$AF$5:$AF$304,"已平仓")=0,"",SUMIFS('交易记录'!$AK$5:$AK$304,'交易记录'!$Z$5:$Z$304,A248,'交易记录'!$AF$5:$AF$304,"已平仓")))</f>
        <v/>
      </c>
      <c r="I248" s="38" t="str">
        <f>IF(NOT(ISNUMBER(H248)),"",IF(H248&lt;=-'参数'!$C$8,"触及停手线",""))</f>
        <v/>
      </c>
      <c r="J248" s="30" t="n"/>
      <c r="K248" s="30" t="n"/>
    </row>
    <row r="249">
      <c r="A249" s="29" t="n"/>
      <c r="B249" s="38" t="str">
        <f>IF(ISNUMBER(A249),"周"&amp;CHOOSE(WEEKDAY(A249,2),"一","二","三","四","五","六","日"),"")</f>
        <v/>
      </c>
      <c r="C249" s="31" t="n"/>
      <c r="D249" s="24" t="n"/>
      <c r="E249" s="52" t="str">
        <f>IF(ISNUMBER(A249),COUNTIFS('交易记录'!$B$5:$B$304,A249,'交易记录'!$X$5:$X$304,"已执行"),"")</f>
        <v/>
      </c>
      <c r="F249" s="30" t="n"/>
      <c r="G249" s="24" t="n"/>
      <c r="H249" s="53" t="str">
        <f>IF(NOT(ISNUMBER(A249)),"",IF(COUNTIFS('交易记录'!$Z$5:$Z$304,A249,'交易记录'!$AF$5:$AF$304,"已平仓")=0,"",SUMIFS('交易记录'!$AK$5:$AK$304,'交易记录'!$Z$5:$Z$304,A249,'交易记录'!$AF$5:$AF$304,"已平仓")))</f>
        <v/>
      </c>
      <c r="I249" s="38" t="str">
        <f>IF(NOT(ISNUMBER(H249)),"",IF(H249&lt;=-'参数'!$C$8,"触及停手线",""))</f>
        <v/>
      </c>
      <c r="J249" s="30" t="n"/>
      <c r="K249" s="30" t="n"/>
    </row>
    <row r="250">
      <c r="A250" s="29" t="n"/>
      <c r="B250" s="38" t="str">
        <f>IF(ISNUMBER(A250),"周"&amp;CHOOSE(WEEKDAY(A250,2),"一","二","三","四","五","六","日"),"")</f>
        <v/>
      </c>
      <c r="C250" s="31" t="n"/>
      <c r="D250" s="24" t="n"/>
      <c r="E250" s="52" t="str">
        <f>IF(ISNUMBER(A250),COUNTIFS('交易记录'!$B$5:$B$304,A250,'交易记录'!$X$5:$X$304,"已执行"),"")</f>
        <v/>
      </c>
      <c r="F250" s="30" t="n"/>
      <c r="G250" s="24" t="n"/>
      <c r="H250" s="53" t="str">
        <f>IF(NOT(ISNUMBER(A250)),"",IF(COUNTIFS('交易记录'!$Z$5:$Z$304,A250,'交易记录'!$AF$5:$AF$304,"已平仓")=0,"",SUMIFS('交易记录'!$AK$5:$AK$304,'交易记录'!$Z$5:$Z$304,A250,'交易记录'!$AF$5:$AF$304,"已平仓")))</f>
        <v/>
      </c>
      <c r="I250" s="38" t="str">
        <f>IF(NOT(ISNUMBER(H250)),"",IF(H250&lt;=-'参数'!$C$8,"触及停手线",""))</f>
        <v/>
      </c>
      <c r="J250" s="30" t="n"/>
      <c r="K250" s="30" t="n"/>
    </row>
    <row r="251">
      <c r="A251" s="29" t="n"/>
      <c r="B251" s="38" t="str">
        <f>IF(ISNUMBER(A251),"周"&amp;CHOOSE(WEEKDAY(A251,2),"一","二","三","四","五","六","日"),"")</f>
        <v/>
      </c>
      <c r="C251" s="31" t="n"/>
      <c r="D251" s="24" t="n"/>
      <c r="E251" s="52" t="str">
        <f>IF(ISNUMBER(A251),COUNTIFS('交易记录'!$B$5:$B$304,A251,'交易记录'!$X$5:$X$304,"已执行"),"")</f>
        <v/>
      </c>
      <c r="F251" s="30" t="n"/>
      <c r="G251" s="24" t="n"/>
      <c r="H251" s="53" t="str">
        <f>IF(NOT(ISNUMBER(A251)),"",IF(COUNTIFS('交易记录'!$Z$5:$Z$304,A251,'交易记录'!$AF$5:$AF$304,"已平仓")=0,"",SUMIFS('交易记录'!$AK$5:$AK$304,'交易记录'!$Z$5:$Z$304,A251,'交易记录'!$AF$5:$AF$304,"已平仓")))</f>
        <v/>
      </c>
      <c r="I251" s="38" t="str">
        <f>IF(NOT(ISNUMBER(H251)),"",IF(H251&lt;=-'参数'!$C$8,"触及停手线",""))</f>
        <v/>
      </c>
      <c r="J251" s="30" t="n"/>
      <c r="K251" s="30" t="n"/>
    </row>
    <row r="252">
      <c r="A252" s="29" t="n"/>
      <c r="B252" s="38" t="str">
        <f>IF(ISNUMBER(A252),"周"&amp;CHOOSE(WEEKDAY(A252,2),"一","二","三","四","五","六","日"),"")</f>
        <v/>
      </c>
      <c r="C252" s="31" t="n"/>
      <c r="D252" s="24" t="n"/>
      <c r="E252" s="52" t="str">
        <f>IF(ISNUMBER(A252),COUNTIFS('交易记录'!$B$5:$B$304,A252,'交易记录'!$X$5:$X$304,"已执行"),"")</f>
        <v/>
      </c>
      <c r="F252" s="30" t="n"/>
      <c r="G252" s="24" t="n"/>
      <c r="H252" s="53" t="str">
        <f>IF(NOT(ISNUMBER(A252)),"",IF(COUNTIFS('交易记录'!$Z$5:$Z$304,A252,'交易记录'!$AF$5:$AF$304,"已平仓")=0,"",SUMIFS('交易记录'!$AK$5:$AK$304,'交易记录'!$Z$5:$Z$304,A252,'交易记录'!$AF$5:$AF$304,"已平仓")))</f>
        <v/>
      </c>
      <c r="I252" s="38" t="str">
        <f>IF(NOT(ISNUMBER(H252)),"",IF(H252&lt;=-'参数'!$C$8,"触及停手线",""))</f>
        <v/>
      </c>
      <c r="J252" s="30" t="n"/>
      <c r="K252" s="30" t="n"/>
    </row>
    <row r="253">
      <c r="A253" s="29" t="n"/>
      <c r="B253" s="38" t="str">
        <f>IF(ISNUMBER(A253),"周"&amp;CHOOSE(WEEKDAY(A253,2),"一","二","三","四","五","六","日"),"")</f>
        <v/>
      </c>
      <c r="C253" s="31" t="n"/>
      <c r="D253" s="24" t="n"/>
      <c r="E253" s="52" t="str">
        <f>IF(ISNUMBER(A253),COUNTIFS('交易记录'!$B$5:$B$304,A253,'交易记录'!$X$5:$X$304,"已执行"),"")</f>
        <v/>
      </c>
      <c r="F253" s="30" t="n"/>
      <c r="G253" s="24" t="n"/>
      <c r="H253" s="53" t="str">
        <f>IF(NOT(ISNUMBER(A253)),"",IF(COUNTIFS('交易记录'!$Z$5:$Z$304,A253,'交易记录'!$AF$5:$AF$304,"已平仓")=0,"",SUMIFS('交易记录'!$AK$5:$AK$304,'交易记录'!$Z$5:$Z$304,A253,'交易记录'!$AF$5:$AF$304,"已平仓")))</f>
        <v/>
      </c>
      <c r="I253" s="38" t="str">
        <f>IF(NOT(ISNUMBER(H253)),"",IF(H253&lt;=-'参数'!$C$8,"触及停手线",""))</f>
        <v/>
      </c>
      <c r="J253" s="30" t="n"/>
      <c r="K253" s="30" t="n"/>
    </row>
    <row r="254">
      <c r="A254" s="29" t="n"/>
      <c r="B254" s="38" t="str">
        <f>IF(ISNUMBER(A254),"周"&amp;CHOOSE(WEEKDAY(A254,2),"一","二","三","四","五","六","日"),"")</f>
        <v/>
      </c>
      <c r="C254" s="31" t="n"/>
      <c r="D254" s="24" t="n"/>
      <c r="E254" s="52" t="str">
        <f>IF(ISNUMBER(A254),COUNTIFS('交易记录'!$B$5:$B$304,A254,'交易记录'!$X$5:$X$304,"已执行"),"")</f>
        <v/>
      </c>
      <c r="F254" s="30" t="n"/>
      <c r="G254" s="24" t="n"/>
      <c r="H254" s="53" t="str">
        <f>IF(NOT(ISNUMBER(A254)),"",IF(COUNTIFS('交易记录'!$Z$5:$Z$304,A254,'交易记录'!$AF$5:$AF$304,"已平仓")=0,"",SUMIFS('交易记录'!$AK$5:$AK$304,'交易记录'!$Z$5:$Z$304,A254,'交易记录'!$AF$5:$AF$304,"已平仓")))</f>
        <v/>
      </c>
      <c r="I254" s="38" t="str">
        <f>IF(NOT(ISNUMBER(H254)),"",IF(H254&lt;=-'参数'!$C$8,"触及停手线",""))</f>
        <v/>
      </c>
      <c r="J254" s="30" t="n"/>
      <c r="K254" s="30" t="n"/>
    </row>
    <row r="255">
      <c r="A255" s="29" t="n"/>
      <c r="B255" s="38" t="str">
        <f>IF(ISNUMBER(A255),"周"&amp;CHOOSE(WEEKDAY(A255,2),"一","二","三","四","五","六","日"),"")</f>
        <v/>
      </c>
      <c r="C255" s="31" t="n"/>
      <c r="D255" s="24" t="n"/>
      <c r="E255" s="52" t="str">
        <f>IF(ISNUMBER(A255),COUNTIFS('交易记录'!$B$5:$B$304,A255,'交易记录'!$X$5:$X$304,"已执行"),"")</f>
        <v/>
      </c>
      <c r="F255" s="30" t="n"/>
      <c r="G255" s="24" t="n"/>
      <c r="H255" s="53" t="str">
        <f>IF(NOT(ISNUMBER(A255)),"",IF(COUNTIFS('交易记录'!$Z$5:$Z$304,A255,'交易记录'!$AF$5:$AF$304,"已平仓")=0,"",SUMIFS('交易记录'!$AK$5:$AK$304,'交易记录'!$Z$5:$Z$304,A255,'交易记录'!$AF$5:$AF$304,"已平仓")))</f>
        <v/>
      </c>
      <c r="I255" s="38" t="str">
        <f>IF(NOT(ISNUMBER(H255)),"",IF(H255&lt;=-'参数'!$C$8,"触及停手线",""))</f>
        <v/>
      </c>
      <c r="J255" s="30" t="n"/>
      <c r="K255" s="30" t="n"/>
    </row>
    <row r="256">
      <c r="A256" s="29" t="n"/>
      <c r="B256" s="38" t="str">
        <f>IF(ISNUMBER(A256),"周"&amp;CHOOSE(WEEKDAY(A256,2),"一","二","三","四","五","六","日"),"")</f>
        <v/>
      </c>
      <c r="C256" s="31" t="n"/>
      <c r="D256" s="24" t="n"/>
      <c r="E256" s="52" t="str">
        <f>IF(ISNUMBER(A256),COUNTIFS('交易记录'!$B$5:$B$304,A256,'交易记录'!$X$5:$X$304,"已执行"),"")</f>
        <v/>
      </c>
      <c r="F256" s="30" t="n"/>
      <c r="G256" s="24" t="n"/>
      <c r="H256" s="53" t="str">
        <f>IF(NOT(ISNUMBER(A256)),"",IF(COUNTIFS('交易记录'!$Z$5:$Z$304,A256,'交易记录'!$AF$5:$AF$304,"已平仓")=0,"",SUMIFS('交易记录'!$AK$5:$AK$304,'交易记录'!$Z$5:$Z$304,A256,'交易记录'!$AF$5:$AF$304,"已平仓")))</f>
        <v/>
      </c>
      <c r="I256" s="38" t="str">
        <f>IF(NOT(ISNUMBER(H256)),"",IF(H256&lt;=-'参数'!$C$8,"触及停手线",""))</f>
        <v/>
      </c>
      <c r="J256" s="30" t="n"/>
      <c r="K256" s="30" t="n"/>
    </row>
    <row r="257">
      <c r="A257" s="29" t="n"/>
      <c r="B257" s="38" t="str">
        <f>IF(ISNUMBER(A257),"周"&amp;CHOOSE(WEEKDAY(A257,2),"一","二","三","四","五","六","日"),"")</f>
        <v/>
      </c>
      <c r="C257" s="31" t="n"/>
      <c r="D257" s="24" t="n"/>
      <c r="E257" s="52" t="str">
        <f>IF(ISNUMBER(A257),COUNTIFS('交易记录'!$B$5:$B$304,A257,'交易记录'!$X$5:$X$304,"已执行"),"")</f>
        <v/>
      </c>
      <c r="F257" s="30" t="n"/>
      <c r="G257" s="24" t="n"/>
      <c r="H257" s="53" t="str">
        <f>IF(NOT(ISNUMBER(A257)),"",IF(COUNTIFS('交易记录'!$Z$5:$Z$304,A257,'交易记录'!$AF$5:$AF$304,"已平仓")=0,"",SUMIFS('交易记录'!$AK$5:$AK$304,'交易记录'!$Z$5:$Z$304,A257,'交易记录'!$AF$5:$AF$304,"已平仓")))</f>
        <v/>
      </c>
      <c r="I257" s="38" t="str">
        <f>IF(NOT(ISNUMBER(H257)),"",IF(H257&lt;=-'参数'!$C$8,"触及停手线",""))</f>
        <v/>
      </c>
      <c r="J257" s="30" t="n"/>
      <c r="K257" s="30" t="n"/>
    </row>
    <row r="258">
      <c r="A258" s="29" t="n"/>
      <c r="B258" s="38" t="str">
        <f>IF(ISNUMBER(A258),"周"&amp;CHOOSE(WEEKDAY(A258,2),"一","二","三","四","五","六","日"),"")</f>
        <v/>
      </c>
      <c r="C258" s="31" t="n"/>
      <c r="D258" s="24" t="n"/>
      <c r="E258" s="52" t="str">
        <f>IF(ISNUMBER(A258),COUNTIFS('交易记录'!$B$5:$B$304,A258,'交易记录'!$X$5:$X$304,"已执行"),"")</f>
        <v/>
      </c>
      <c r="F258" s="30" t="n"/>
      <c r="G258" s="24" t="n"/>
      <c r="H258" s="53" t="str">
        <f>IF(NOT(ISNUMBER(A258)),"",IF(COUNTIFS('交易记录'!$Z$5:$Z$304,A258,'交易记录'!$AF$5:$AF$304,"已平仓")=0,"",SUMIFS('交易记录'!$AK$5:$AK$304,'交易记录'!$Z$5:$Z$304,A258,'交易记录'!$AF$5:$AF$304,"已平仓")))</f>
        <v/>
      </c>
      <c r="I258" s="38" t="str">
        <f>IF(NOT(ISNUMBER(H258)),"",IF(H258&lt;=-'参数'!$C$8,"触及停手线",""))</f>
        <v/>
      </c>
      <c r="J258" s="30" t="n"/>
      <c r="K258" s="30" t="n"/>
    </row>
    <row r="259">
      <c r="A259" s="29" t="n"/>
      <c r="B259" s="38" t="str">
        <f>IF(ISNUMBER(A259),"周"&amp;CHOOSE(WEEKDAY(A259,2),"一","二","三","四","五","六","日"),"")</f>
        <v/>
      </c>
      <c r="C259" s="31" t="n"/>
      <c r="D259" s="24" t="n"/>
      <c r="E259" s="52" t="str">
        <f>IF(ISNUMBER(A259),COUNTIFS('交易记录'!$B$5:$B$304,A259,'交易记录'!$X$5:$X$304,"已执行"),"")</f>
        <v/>
      </c>
      <c r="F259" s="30" t="n"/>
      <c r="G259" s="24" t="n"/>
      <c r="H259" s="53" t="str">
        <f>IF(NOT(ISNUMBER(A259)),"",IF(COUNTIFS('交易记录'!$Z$5:$Z$304,A259,'交易记录'!$AF$5:$AF$304,"已平仓")=0,"",SUMIFS('交易记录'!$AK$5:$AK$304,'交易记录'!$Z$5:$Z$304,A259,'交易记录'!$AF$5:$AF$304,"已平仓")))</f>
        <v/>
      </c>
      <c r="I259" s="38" t="str">
        <f>IF(NOT(ISNUMBER(H259)),"",IF(H259&lt;=-'参数'!$C$8,"触及停手线",""))</f>
        <v/>
      </c>
      <c r="J259" s="30" t="n"/>
      <c r="K259" s="30" t="n"/>
    </row>
    <row r="260">
      <c r="A260" s="29" t="n"/>
      <c r="B260" s="38" t="str">
        <f>IF(ISNUMBER(A260),"周"&amp;CHOOSE(WEEKDAY(A260,2),"一","二","三","四","五","六","日"),"")</f>
        <v/>
      </c>
      <c r="C260" s="31" t="n"/>
      <c r="D260" s="24" t="n"/>
      <c r="E260" s="52" t="str">
        <f>IF(ISNUMBER(A260),COUNTIFS('交易记录'!$B$5:$B$304,A260,'交易记录'!$X$5:$X$304,"已执行"),"")</f>
        <v/>
      </c>
      <c r="F260" s="30" t="n"/>
      <c r="G260" s="24" t="n"/>
      <c r="H260" s="53" t="str">
        <f>IF(NOT(ISNUMBER(A260)),"",IF(COUNTIFS('交易记录'!$Z$5:$Z$304,A260,'交易记录'!$AF$5:$AF$304,"已平仓")=0,"",SUMIFS('交易记录'!$AK$5:$AK$304,'交易记录'!$Z$5:$Z$304,A260,'交易记录'!$AF$5:$AF$304,"已平仓")))</f>
        <v/>
      </c>
      <c r="I260" s="38" t="str">
        <f>IF(NOT(ISNUMBER(H260)),"",IF(H260&lt;=-'参数'!$C$8,"触及停手线",""))</f>
        <v/>
      </c>
      <c r="J260" s="30" t="n"/>
      <c r="K260" s="30" t="n"/>
    </row>
    <row r="261">
      <c r="A261" s="29" t="n"/>
      <c r="B261" s="38" t="str">
        <f>IF(ISNUMBER(A261),"周"&amp;CHOOSE(WEEKDAY(A261,2),"一","二","三","四","五","六","日"),"")</f>
        <v/>
      </c>
      <c r="C261" s="31" t="n"/>
      <c r="D261" s="24" t="n"/>
      <c r="E261" s="52" t="str">
        <f>IF(ISNUMBER(A261),COUNTIFS('交易记录'!$B$5:$B$304,A261,'交易记录'!$X$5:$X$304,"已执行"),"")</f>
        <v/>
      </c>
      <c r="F261" s="30" t="n"/>
      <c r="G261" s="24" t="n"/>
      <c r="H261" s="53" t="str">
        <f>IF(NOT(ISNUMBER(A261)),"",IF(COUNTIFS('交易记录'!$Z$5:$Z$304,A261,'交易记录'!$AF$5:$AF$304,"已平仓")=0,"",SUMIFS('交易记录'!$AK$5:$AK$304,'交易记录'!$Z$5:$Z$304,A261,'交易记录'!$AF$5:$AF$304,"已平仓")))</f>
        <v/>
      </c>
      <c r="I261" s="38" t="str">
        <f>IF(NOT(ISNUMBER(H261)),"",IF(H261&lt;=-'参数'!$C$8,"触及停手线",""))</f>
        <v/>
      </c>
      <c r="J261" s="30" t="n"/>
      <c r="K261" s="30" t="n"/>
    </row>
    <row r="262">
      <c r="A262" s="29" t="n"/>
      <c r="B262" s="38" t="str">
        <f>IF(ISNUMBER(A262),"周"&amp;CHOOSE(WEEKDAY(A262,2),"一","二","三","四","五","六","日"),"")</f>
        <v/>
      </c>
      <c r="C262" s="31" t="n"/>
      <c r="D262" s="24" t="n"/>
      <c r="E262" s="52" t="str">
        <f>IF(ISNUMBER(A262),COUNTIFS('交易记录'!$B$5:$B$304,A262,'交易记录'!$X$5:$X$304,"已执行"),"")</f>
        <v/>
      </c>
      <c r="F262" s="30" t="n"/>
      <c r="G262" s="24" t="n"/>
      <c r="H262" s="53" t="str">
        <f>IF(NOT(ISNUMBER(A262)),"",IF(COUNTIFS('交易记录'!$Z$5:$Z$304,A262,'交易记录'!$AF$5:$AF$304,"已平仓")=0,"",SUMIFS('交易记录'!$AK$5:$AK$304,'交易记录'!$Z$5:$Z$304,A262,'交易记录'!$AF$5:$AF$304,"已平仓")))</f>
        <v/>
      </c>
      <c r="I262" s="38" t="str">
        <f>IF(NOT(ISNUMBER(H262)),"",IF(H262&lt;=-'参数'!$C$8,"触及停手线",""))</f>
        <v/>
      </c>
      <c r="J262" s="30" t="n"/>
      <c r="K262" s="30" t="n"/>
    </row>
    <row r="263">
      <c r="A263" s="29" t="n"/>
      <c r="B263" s="38" t="str">
        <f>IF(ISNUMBER(A263),"周"&amp;CHOOSE(WEEKDAY(A263,2),"一","二","三","四","五","六","日"),"")</f>
        <v/>
      </c>
      <c r="C263" s="31" t="n"/>
      <c r="D263" s="24" t="n"/>
      <c r="E263" s="52" t="str">
        <f>IF(ISNUMBER(A263),COUNTIFS('交易记录'!$B$5:$B$304,A263,'交易记录'!$X$5:$X$304,"已执行"),"")</f>
        <v/>
      </c>
      <c r="F263" s="30" t="n"/>
      <c r="G263" s="24" t="n"/>
      <c r="H263" s="53" t="str">
        <f>IF(NOT(ISNUMBER(A263)),"",IF(COUNTIFS('交易记录'!$Z$5:$Z$304,A263,'交易记录'!$AF$5:$AF$304,"已平仓")=0,"",SUMIFS('交易记录'!$AK$5:$AK$304,'交易记录'!$Z$5:$Z$304,A263,'交易记录'!$AF$5:$AF$304,"已平仓")))</f>
        <v/>
      </c>
      <c r="I263" s="38" t="str">
        <f>IF(NOT(ISNUMBER(H263)),"",IF(H263&lt;=-'参数'!$C$8,"触及停手线",""))</f>
        <v/>
      </c>
      <c r="J263" s="30" t="n"/>
      <c r="K263" s="30" t="n"/>
    </row>
    <row r="264">
      <c r="A264" s="29" t="n"/>
      <c r="B264" s="38" t="str">
        <f>IF(ISNUMBER(A264),"周"&amp;CHOOSE(WEEKDAY(A264,2),"一","二","三","四","五","六","日"),"")</f>
        <v/>
      </c>
      <c r="C264" s="31" t="n"/>
      <c r="D264" s="24" t="n"/>
      <c r="E264" s="52" t="str">
        <f>IF(ISNUMBER(A264),COUNTIFS('交易记录'!$B$5:$B$304,A264,'交易记录'!$X$5:$X$304,"已执行"),"")</f>
        <v/>
      </c>
      <c r="F264" s="30" t="n"/>
      <c r="G264" s="24" t="n"/>
      <c r="H264" s="53" t="str">
        <f>IF(NOT(ISNUMBER(A264)),"",IF(COUNTIFS('交易记录'!$Z$5:$Z$304,A264,'交易记录'!$AF$5:$AF$304,"已平仓")=0,"",SUMIFS('交易记录'!$AK$5:$AK$304,'交易记录'!$Z$5:$Z$304,A264,'交易记录'!$AF$5:$AF$304,"已平仓")))</f>
        <v/>
      </c>
      <c r="I264" s="38" t="str">
        <f>IF(NOT(ISNUMBER(H264)),"",IF(H264&lt;=-'参数'!$C$8,"触及停手线",""))</f>
        <v/>
      </c>
      <c r="J264" s="30" t="n"/>
      <c r="K264" s="30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6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64">
    <cfRule type="cellIs" priority="3" operator="equal" dxfId="6">
      <formula>"触及停手线"</formula>
    </cfRule>
  </conditionalFormatting>
  <dataValidations count="3">
    <dataValidation sqref="A5:A26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64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64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7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L8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周复盘：先看过程，再看成绩</t>
        </is>
      </c>
      <c r="H1" s="14" t="inlineStr">
        <is>
          <t>TradeLearn · XtradingTime 交易内训</t>
        </is>
      </c>
    </row>
    <row r="2" ht="20" customHeight="1">
      <c r="A2" s="2" t="inlineStr">
        <is>
          <t>填统计区间的开始和结束日期（默认一周），下面的数都会跟着变。成绩按平仓日期算，计划和执行按计划日期算。少于 20 笔只看执行问题，别急着下结论。</t>
        </is>
      </c>
    </row>
    <row r="4">
      <c r="B4" s="54" t="inlineStr">
        <is>
          <t>统计区间：开始日期</t>
        </is>
      </c>
      <c r="C4" s="29" t="n"/>
      <c r="D4" s="55" t="inlineStr">
        <is>
          <t>结束日期</t>
        </is>
      </c>
      <c r="E4" s="29" t="n"/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今天做了什么</t>
        </is>
      </c>
      <c r="E7" s="25" t="inlineStr">
        <is>
          <t>看到几次机会</t>
        </is>
      </c>
      <c r="F7" s="25" t="inlineStr">
        <is>
          <t>下了几笔</t>
        </is>
      </c>
      <c r="G7" s="25" t="inlineStr">
        <is>
          <t>状态</t>
        </is>
      </c>
      <c r="H7" s="25" t="inlineStr">
        <is>
          <t>当日平仓净R</t>
        </is>
      </c>
      <c r="I7" s="25" t="inlineStr">
        <is>
          <t>明天的条件</t>
        </is>
      </c>
      <c r="J7" s="25" t="n"/>
    </row>
    <row r="8">
      <c r="B8" s="56" t="str">
        <f>IF(ISNUMBER($C$4),IF($C$4+0&lt;=$E$4,$C$4+0,""),"")</f>
        <v/>
      </c>
      <c r="C8" s="38" t="str">
        <f>IF(ISNUMBER(B8),"周"&amp;CHOOSE(WEEKDAY(B8,2),"一","二","三","四","五","六","日"),"")</f>
        <v/>
      </c>
      <c r="D8" s="40" t="str">
        <f>IF(ISNUMBER($B8),IFERROR(T(VLOOKUP($B8,'每日记录'!$A$5:$K$264,3,FALSE)),"未记"),"")</f>
        <v/>
      </c>
      <c r="E8" s="52" t="str">
        <f>IF(ISNUMBER($B8),IFERROR(IF(ISNUMBER(VLOOKUP($B8,'每日记录'!$A$5:$K$264,4,FALSE)),VLOOKUP($B8,'每日记录'!$A$5:$K$264,4,FALSE),""),""),"")</f>
        <v/>
      </c>
      <c r="F8" s="52" t="str">
        <f>IF(ISNUMBER($B8),IFERROR(VLOOKUP($B8,'每日记录'!$A$5:$K$264,5,FALSE),""),"")</f>
        <v/>
      </c>
      <c r="G8" s="52" t="str">
        <f>IF(ISNUMBER($B8),IFERROR(IF(ISNUMBER(VLOOKUP($B8,'每日记录'!$A$5:$K$264,7,FALSE)),VLOOKUP($B8,'每日记录'!$A$5:$K$264,7,FALSE),""),""),"")</f>
        <v/>
      </c>
      <c r="H8" s="53" t="str">
        <f>IF(ISNUMBER($B8),IFERROR(VLOOKUP($B8,'每日记录'!$A$5:$K$264,8,FALSE),""),"")</f>
        <v/>
      </c>
      <c r="I8" s="57" t="str">
        <f>IF(ISNUMBER($B8),IFERROR(T(VLOOKUP($B8,'每日记录'!$A$5:$K$264,10,FALSE)),""),"")</f>
        <v/>
      </c>
      <c r="J8" s="57" t="n"/>
    </row>
    <row r="9">
      <c r="B9" s="56" t="str">
        <f>IF(ISNUMBER($C$4),IF($C$4+1&lt;=$E$4,$C$4+1,""),"")</f>
        <v/>
      </c>
      <c r="C9" s="38" t="str">
        <f>IF(ISNUMBER(B9),"周"&amp;CHOOSE(WEEKDAY(B9,2),"一","二","三","四","五","六","日"),"")</f>
        <v/>
      </c>
      <c r="D9" s="40" t="str">
        <f>IF(ISNUMBER($B9),IFERROR(T(VLOOKUP($B9,'每日记录'!$A$5:$K$264,3,FALSE)),"未记"),"")</f>
        <v/>
      </c>
      <c r="E9" s="52" t="str">
        <f>IF(ISNUMBER($B9),IFERROR(IF(ISNUMBER(VLOOKUP($B9,'每日记录'!$A$5:$K$264,4,FALSE)),VLOOKUP($B9,'每日记录'!$A$5:$K$264,4,FALSE),""),""),"")</f>
        <v/>
      </c>
      <c r="F9" s="52" t="str">
        <f>IF(ISNUMBER($B9),IFERROR(VLOOKUP($B9,'每日记录'!$A$5:$K$264,5,FALSE),""),"")</f>
        <v/>
      </c>
      <c r="G9" s="52" t="str">
        <f>IF(ISNUMBER($B9),IFERROR(IF(ISNUMBER(VLOOKUP($B9,'每日记录'!$A$5:$K$264,7,FALSE)),VLOOKUP($B9,'每日记录'!$A$5:$K$264,7,FALSE),""),""),"")</f>
        <v/>
      </c>
      <c r="H9" s="53" t="str">
        <f>IF(ISNUMBER($B9),IFERROR(VLOOKUP($B9,'每日记录'!$A$5:$K$264,8,FALSE),""),"")</f>
        <v/>
      </c>
      <c r="I9" s="57" t="str">
        <f>IF(ISNUMBER($B9),IFERROR(T(VLOOKUP($B9,'每日记录'!$A$5:$K$264,10,FALSE)),""),"")</f>
        <v/>
      </c>
      <c r="J9" s="57" t="n"/>
    </row>
    <row r="10">
      <c r="B10" s="56" t="str">
        <f>IF(ISNUMBER($C$4),IF($C$4+2&lt;=$E$4,$C$4+2,""),"")</f>
        <v/>
      </c>
      <c r="C10" s="38" t="str">
        <f>IF(ISNUMBER(B10),"周"&amp;CHOOSE(WEEKDAY(B10,2),"一","二","三","四","五","六","日"),"")</f>
        <v/>
      </c>
      <c r="D10" s="40" t="str">
        <f>IF(ISNUMBER($B10),IFERROR(T(VLOOKUP($B10,'每日记录'!$A$5:$K$264,3,FALSE)),"未记"),"")</f>
        <v/>
      </c>
      <c r="E10" s="52" t="str">
        <f>IF(ISNUMBER($B10),IFERROR(IF(ISNUMBER(VLOOKUP($B10,'每日记录'!$A$5:$K$264,4,FALSE)),VLOOKUP($B10,'每日记录'!$A$5:$K$264,4,FALSE),""),""),"")</f>
        <v/>
      </c>
      <c r="F10" s="52" t="str">
        <f>IF(ISNUMBER($B10),IFERROR(VLOOKUP($B10,'每日记录'!$A$5:$K$264,5,FALSE),""),"")</f>
        <v/>
      </c>
      <c r="G10" s="52" t="str">
        <f>IF(ISNUMBER($B10),IFERROR(IF(ISNUMBER(VLOOKUP($B10,'每日记录'!$A$5:$K$264,7,FALSE)),VLOOKUP($B10,'每日记录'!$A$5:$K$264,7,FALSE),""),""),"")</f>
        <v/>
      </c>
      <c r="H10" s="53" t="str">
        <f>IF(ISNUMBER($B10),IFERROR(VLOOKUP($B10,'每日记录'!$A$5:$K$264,8,FALSE),""),"")</f>
        <v/>
      </c>
      <c r="I10" s="57" t="str">
        <f>IF(ISNUMBER($B10),IFERROR(T(VLOOKUP($B10,'每日记录'!$A$5:$K$264,10,FALSE)),""),"")</f>
        <v/>
      </c>
      <c r="J10" s="57" t="n"/>
    </row>
    <row r="11">
      <c r="B11" s="56" t="str">
        <f>IF(ISNUMBER($C$4),IF($C$4+3&lt;=$E$4,$C$4+3,""),"")</f>
        <v/>
      </c>
      <c r="C11" s="38" t="str">
        <f>IF(ISNUMBER(B11),"周"&amp;CHOOSE(WEEKDAY(B11,2),"一","二","三","四","五","六","日"),"")</f>
        <v/>
      </c>
      <c r="D11" s="40" t="str">
        <f>IF(ISNUMBER($B11),IFERROR(T(VLOOKUP($B11,'每日记录'!$A$5:$K$264,3,FALSE)),"未记"),"")</f>
        <v/>
      </c>
      <c r="E11" s="52" t="str">
        <f>IF(ISNUMBER($B11),IFERROR(IF(ISNUMBER(VLOOKUP($B11,'每日记录'!$A$5:$K$264,4,FALSE)),VLOOKUP($B11,'每日记录'!$A$5:$K$264,4,FALSE),""),""),"")</f>
        <v/>
      </c>
      <c r="F11" s="52" t="str">
        <f>IF(ISNUMBER($B11),IFERROR(VLOOKUP($B11,'每日记录'!$A$5:$K$264,5,FALSE),""),"")</f>
        <v/>
      </c>
      <c r="G11" s="52" t="str">
        <f>IF(ISNUMBER($B11),IFERROR(IF(ISNUMBER(VLOOKUP($B11,'每日记录'!$A$5:$K$264,7,FALSE)),VLOOKUP($B11,'每日记录'!$A$5:$K$264,7,FALSE),""),""),"")</f>
        <v/>
      </c>
      <c r="H11" s="53" t="str">
        <f>IF(ISNUMBER($B11),IFERROR(VLOOKUP($B11,'每日记录'!$A$5:$K$264,8,FALSE),""),"")</f>
        <v/>
      </c>
      <c r="I11" s="57" t="str">
        <f>IF(ISNUMBER($B11),IFERROR(T(VLOOKUP($B11,'每日记录'!$A$5:$K$264,10,FALSE)),""),"")</f>
        <v/>
      </c>
      <c r="J11" s="57" t="n"/>
    </row>
    <row r="12">
      <c r="B12" s="56" t="str">
        <f>IF(ISNUMBER($C$4),IF($C$4+4&lt;=$E$4,$C$4+4,""),"")</f>
        <v/>
      </c>
      <c r="C12" s="38" t="str">
        <f>IF(ISNUMBER(B12),"周"&amp;CHOOSE(WEEKDAY(B12,2),"一","二","三","四","五","六","日"),"")</f>
        <v/>
      </c>
      <c r="D12" s="40" t="str">
        <f>IF(ISNUMBER($B12),IFERROR(T(VLOOKUP($B12,'每日记录'!$A$5:$K$264,3,FALSE)),"未记"),"")</f>
        <v/>
      </c>
      <c r="E12" s="52" t="str">
        <f>IF(ISNUMBER($B12),IFERROR(IF(ISNUMBER(VLOOKUP($B12,'每日记录'!$A$5:$K$264,4,FALSE)),VLOOKUP($B12,'每日记录'!$A$5:$K$264,4,FALSE),""),""),"")</f>
        <v/>
      </c>
      <c r="F12" s="52" t="str">
        <f>IF(ISNUMBER($B12),IFERROR(VLOOKUP($B12,'每日记录'!$A$5:$K$264,5,FALSE),""),"")</f>
        <v/>
      </c>
      <c r="G12" s="52" t="str">
        <f>IF(ISNUMBER($B12),IFERROR(IF(ISNUMBER(VLOOKUP($B12,'每日记录'!$A$5:$K$264,7,FALSE)),VLOOKUP($B12,'每日记录'!$A$5:$K$264,7,FALSE),""),""),"")</f>
        <v/>
      </c>
      <c r="H12" s="53" t="str">
        <f>IF(ISNUMBER($B12),IFERROR(VLOOKUP($B12,'每日记录'!$A$5:$K$264,8,FALSE),""),"")</f>
        <v/>
      </c>
      <c r="I12" s="57" t="str">
        <f>IF(ISNUMBER($B12),IFERROR(T(VLOOKUP($B12,'每日记录'!$A$5:$K$264,10,FALSE)),""),"")</f>
        <v/>
      </c>
      <c r="J12" s="57" t="n"/>
    </row>
    <row r="13">
      <c r="B13" s="56" t="str">
        <f>IF(ISNUMBER($C$4),IF($C$4+5&lt;=$E$4,$C$4+5,""),"")</f>
        <v/>
      </c>
      <c r="C13" s="38" t="str">
        <f>IF(ISNUMBER(B13),"周"&amp;CHOOSE(WEEKDAY(B13,2),"一","二","三","四","五","六","日"),"")</f>
        <v/>
      </c>
      <c r="D13" s="40" t="str">
        <f>IF(ISNUMBER($B13),IFERROR(T(VLOOKUP($B13,'每日记录'!$A$5:$K$264,3,FALSE)),"未记"),"")</f>
        <v/>
      </c>
      <c r="E13" s="52" t="str">
        <f>IF(ISNUMBER($B13),IFERROR(IF(ISNUMBER(VLOOKUP($B13,'每日记录'!$A$5:$K$264,4,FALSE)),VLOOKUP($B13,'每日记录'!$A$5:$K$264,4,FALSE),""),""),"")</f>
        <v/>
      </c>
      <c r="F13" s="52" t="str">
        <f>IF(ISNUMBER($B13),IFERROR(VLOOKUP($B13,'每日记录'!$A$5:$K$264,5,FALSE),""),"")</f>
        <v/>
      </c>
      <c r="G13" s="52" t="str">
        <f>IF(ISNUMBER($B13),IFERROR(IF(ISNUMBER(VLOOKUP($B13,'每日记录'!$A$5:$K$264,7,FALSE)),VLOOKUP($B13,'每日记录'!$A$5:$K$264,7,FALSE),""),""),"")</f>
        <v/>
      </c>
      <c r="H13" s="53" t="str">
        <f>IF(ISNUMBER($B13),IFERROR(VLOOKUP($B13,'每日记录'!$A$5:$K$264,8,FALSE),""),"")</f>
        <v/>
      </c>
      <c r="I13" s="57" t="str">
        <f>IF(ISNUMBER($B13),IFERROR(T(VLOOKUP($B13,'每日记录'!$A$5:$K$264,10,FALSE)),""),"")</f>
        <v/>
      </c>
      <c r="J13" s="57" t="n"/>
    </row>
    <row r="14">
      <c r="B14" s="56" t="str">
        <f>IF(ISNUMBER($C$4),IF($C$4+6&lt;=$E$4,$C$4+6,""),"")</f>
        <v/>
      </c>
      <c r="C14" s="38" t="str">
        <f>IF(ISNUMBER(B14),"周"&amp;CHOOSE(WEEKDAY(B14,2),"一","二","三","四","五","六","日"),"")</f>
        <v/>
      </c>
      <c r="D14" s="40" t="str">
        <f>IF(ISNUMBER($B14),IFERROR(T(VLOOKUP($B14,'每日记录'!$A$5:$K$264,3,FALSE)),"未记"),"")</f>
        <v/>
      </c>
      <c r="E14" s="52" t="str">
        <f>IF(ISNUMBER($B14),IFERROR(IF(ISNUMBER(VLOOKUP($B14,'每日记录'!$A$5:$K$264,4,FALSE)),VLOOKUP($B14,'每日记录'!$A$5:$K$264,4,FALSE),""),""),"")</f>
        <v/>
      </c>
      <c r="F14" s="52" t="str">
        <f>IF(ISNUMBER($B14),IFERROR(VLOOKUP($B14,'每日记录'!$A$5:$K$264,5,FALSE),""),"")</f>
        <v/>
      </c>
      <c r="G14" s="52" t="str">
        <f>IF(ISNUMBER($B14),IFERROR(IF(ISNUMBER(VLOOKUP($B14,'每日记录'!$A$5:$K$264,7,FALSE)),VLOOKUP($B14,'每日记录'!$A$5:$K$264,7,FALSE),""),""),"")</f>
        <v/>
      </c>
      <c r="H14" s="53" t="str">
        <f>IF(ISNUMBER($B14),IFERROR(VLOOKUP($B14,'每日记录'!$A$5:$K$264,8,FALSE),""),"")</f>
        <v/>
      </c>
      <c r="I14" s="57" t="str">
        <f>IF(ISNUMBER($B14),IFERROR(T(VLOOKUP($B14,'每日记录'!$A$5:$K$264,10,FALSE)),""),"")</f>
        <v/>
      </c>
      <c r="J14" s="57" t="n"/>
    </row>
    <row r="16">
      <c r="B16" s="15" t="inlineStr">
        <is>
          <t>2. 成绩与执行</t>
        </is>
      </c>
    </row>
    <row r="17">
      <c r="B17" s="25" t="inlineStr">
        <is>
          <t>指标</t>
        </is>
      </c>
      <c r="C17" s="25" t="inlineStr">
        <is>
          <t>本区间</t>
        </is>
      </c>
      <c r="D17" s="25" t="inlineStr">
        <is>
          <t>全部记录</t>
        </is>
      </c>
      <c r="E17" s="25" t="inlineStr">
        <is>
          <t>怎么看</t>
        </is>
      </c>
      <c r="F17" s="25" t="n"/>
      <c r="G17" s="25" t="n"/>
      <c r="H17" s="25" t="n"/>
      <c r="I17" s="25" t="n"/>
      <c r="J17" s="25" t="n"/>
    </row>
    <row r="18">
      <c r="B18" s="16" t="inlineStr">
        <is>
          <t>写了计划的笔数</t>
        </is>
      </c>
      <c r="C18" s="58" t="str">
        <f>IF(AND(ISNUMBER($C$4),ISNUMBER($E$4)),COUNTIFS('交易记录'!$B$5:$B$304,"&gt;="&amp;$C$4,'交易记录'!$B$5:$B$304,"&lt;="&amp;$E$4),"")</f>
        <v/>
      </c>
      <c r="D18" s="58">
        <f>COUNT('交易记录'!$B$5:$B$304)</f>
        <v>0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8" t="str">
        <f>IF(AND(ISNUMBER($C$4),ISNUMBER($E$4)),COUNTIFS('交易记录'!$B$5:$B$304,"&gt;="&amp;$C$4,'交易记录'!$B$5:$B$304,"&lt;="&amp;$E$4,'交易记录'!$X$5:$X$304,"已执行"),"")</f>
        <v/>
      </c>
      <c r="D19" s="58">
        <f>COUNTIF('交易记录'!$X$5:$X$304,"已执行")</f>
        <v>0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8" t="str">
        <f>IF(AND(ISNUMBER($C$4),ISNUMBER($E$4)),COUNTIFS('交易记录'!$B$5:$B$304,"&gt;="&amp;$C$4,'交易记录'!$B$5:$B$304,"&lt;="&amp;$E$4,'交易记录'!$X$5:$X$304,"未成交"),"")</f>
        <v/>
      </c>
      <c r="D20" s="58">
        <f>COUNTIF('交易记录'!$X$5:$X$304,"未成交")</f>
        <v>0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8" t="str">
        <f>IF(AND(ISNUMBER($C$4),ISNUMBER($E$4)),COUNTIFS('交易记录'!$B$5:$B$304,"&gt;="&amp;$C$4,'交易记录'!$B$5:$B$304,"&lt;="&amp;$E$4,'交易记录'!$X$5:$X$304,"主动放弃"),"")</f>
        <v/>
      </c>
      <c r="D21" s="58">
        <f>COUNTIF('交易记录'!$X$5:$X$304,"主动放弃")</f>
        <v>0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8" t="str">
        <f>IF(AND(ISNUMBER($C$4),ISNUMBER($E$4)),COUNTIFS('交易记录'!$B$5:$B$304,"&gt;="&amp;$C$4,'交易记录'!$B$5:$B$304,"&lt;="&amp;$E$4,'交易记录'!$X$5:$X$304,"漏单"),"")</f>
        <v/>
      </c>
      <c r="D22" s="58">
        <f>COUNTIF('交易记录'!$X$5:$X$304,"漏单")</f>
        <v>0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8" t="str">
        <f>IF(AND(ISNUMBER($C$4),ISNUMBER($E$4)),COUNTIFS('交易记录'!$Z$5:$Z$304,"&gt;="&amp;$C$4,'交易记录'!$Z$5:$Z$304,"&lt;="&amp;$E$4,'交易记录'!$AF$5:$AF$304,"已平仓"),"")</f>
        <v/>
      </c>
      <c r="D23" s="58">
        <f>COUNTIF('交易记录'!$AF$5:$AF$304,"已平仓")</f>
        <v>0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8" t="str">
        <f>IF(AND(ISNUMBER($C$4),ISNUMBER($E$4)),COUNTIFS('交易记录'!$Z$5:$Z$304,"&gt;="&amp;$C$4,'交易记录'!$Z$5:$Z$304,"&lt;="&amp;$E$4,'交易记录'!$AF$5:$AF$304,"已平仓",'交易记录'!$AK$5:$AK$304,"&gt;0"),"")</f>
        <v/>
      </c>
      <c r="D24" s="58">
        <f>COUNTIFS('交易记录'!$AF$5:$AF$304,"已平仓",'交易记录'!$AK$5:$AK$304,"&gt;0")</f>
        <v>0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8" t="str">
        <f>IF(AND(ISNUMBER($C$4),ISNUMBER($E$4)),COUNTIFS('交易记录'!$Z$5:$Z$304,"&gt;="&amp;$C$4,'交易记录'!$Z$5:$Z$304,"&lt;="&amp;$E$4,'交易记录'!$AF$5:$AF$304,"已平仓",'交易记录'!$AK$5:$AK$304,"&lt;0"),"")</f>
        <v/>
      </c>
      <c r="D25" s="58">
        <f>COUNTIFS('交易记录'!$AF$5:$AF$304,"已平仓",'交易记录'!$AK$5:$AK$304,"&lt;0")</f>
        <v>0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59" t="str">
        <f>IF(AND(ISNUMBER($C$4),ISNUMBER($E$4)),IF(N(C23)&gt;0,C24/C23,""),"")</f>
        <v/>
      </c>
      <c r="D26" s="59" t="str">
        <f>IF(N(D23)&gt;0,D24/D23,"")</f>
        <v/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53" t="str">
        <f>IF(AND(ISNUMBER($C$4),ISNUMBER($E$4)),IF(N(C24)&gt;0,SUMIFS('交易记录'!$AK$5:$AK$304,'交易记录'!$Z$5:$Z$304,"&gt;="&amp;$C$4,'交易记录'!$Z$5:$Z$304,"&lt;="&amp;$E$4,'交易记录'!$AF$5:$AF$304,"已平仓",'交易记录'!$AK$5:$AK$304,"&gt;0")/C24,""),"")</f>
        <v/>
      </c>
      <c r="D27" s="53" t="str">
        <f>IF(N(D24)&gt;0,SUMIFS('交易记录'!$AK$5:$AK$304,'交易记录'!$AF$5:$AF$304,"已平仓",'交易记录'!$AK$5:$AK$304,"&gt;0")/D24,"")</f>
        <v/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53" t="str">
        <f>IF(AND(ISNUMBER($C$4),ISNUMBER($E$4)),IF(N(C25)&gt;0,SUMIFS('交易记录'!$AK$5:$AK$304,'交易记录'!$Z$5:$Z$304,"&gt;="&amp;$C$4,'交易记录'!$Z$5:$Z$304,"&lt;="&amp;$E$4,'交易记录'!$AF$5:$AF$304,"已平仓",'交易记录'!$AK$5:$AK$304,"&lt;0")/C25,""),"")</f>
        <v/>
      </c>
      <c r="D28" s="53" t="str">
        <f>IF(N(D25)&gt;0,SUMIFS('交易记录'!$AK$5:$AK$304,'交易记录'!$AF$5:$AF$304,"已平仓",'交易记录'!$AK$5:$AK$304,"&lt;0")/D25,"")</f>
        <v/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53" t="str">
        <f>IF(AND(ISNUMBER($C$4),ISNUMBER($E$4)),IF(N(C23)&gt;0,SUMIFS('交易记录'!$AK$5:$AK$304,'交易记录'!$Z$5:$Z$304,"&gt;="&amp;$C$4,'交易记录'!$Z$5:$Z$304,"&lt;="&amp;$E$4,'交易记录'!$AF$5:$AF$304,"已平仓")/C23,""),"")</f>
        <v/>
      </c>
      <c r="D29" s="53" t="str">
        <f>IF(N(D23)&gt;0,SUMIFS('交易记录'!$AK$5:$AK$304,'交易记录'!$AF$5:$AF$304,"已平仓")/D23,"")</f>
        <v/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53" t="str">
        <f>IF(AND(ISNUMBER($C$4),ISNUMBER($E$4)),IF(N(C23)&gt;0,SUMIFS('交易记录'!$AJ$5:$AJ$304,'交易记录'!$Z$5:$Z$304,"&gt;="&amp;$C$4,'交易记录'!$Z$5:$Z$304,"&lt;="&amp;$E$4,'交易记录'!$AF$5:$AF$304,"已平仓"),""),"")</f>
        <v/>
      </c>
      <c r="D30" s="53" t="str">
        <f>IF(N(D23)&gt;0,SUMIFS('交易记录'!$AJ$5:$AJ$304,'交易记录'!$AF$5:$AF$304,"已平仓"),"")</f>
        <v/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53" t="str">
        <f>IF(AND(ISNUMBER($C$4),ISNUMBER($E$4)),IF(N(C23)&gt;0,SUMIFS('交易记录'!$AK$5:$AK$304,'交易记录'!$Z$5:$Z$304,"&gt;="&amp;$C$4,'交易记录'!$Z$5:$Z$304,"&lt;="&amp;$E$4,'交易记录'!$AF$5:$AF$304,"已平仓"),""),"")</f>
        <v/>
      </c>
      <c r="D31" s="53" t="str">
        <f>IF(N(D23)&gt;0,SUMIFS('交易记录'!$AK$5:$AK$304,'交易记录'!$AF$5:$AF$304,"已平仓"),"")</f>
        <v/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60" t="str">
        <f>IF(AND(ISNUMBER($C$4),ISNUMBER($E$4)),IF(N(C23)&gt;0,C30-C31,""),"")</f>
        <v/>
      </c>
      <c r="D32" s="60" t="str">
        <f>IF(N(D23)&gt;0,D30-D31,"")</f>
        <v/>
      </c>
      <c r="E32" s="19" t="inlineStr">
        <is>
          <t>做得越勤，这一行越大。资金费也算在里面。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合计净盈亏（USDT）</t>
        </is>
      </c>
      <c r="C33" s="43" t="str">
        <f>IF(AND(ISNUMBER($C$4),ISNUMBER($E$4)),IF(N(C23)&gt;0,SUMIFS('交易记录'!$AI$5:$AI$304,'交易记录'!$Z$5:$Z$304,"&gt;="&amp;$C$4,'交易记录'!$Z$5:$Z$304,"&lt;="&amp;$E$4,'交易记录'!$AF$5:$AF$304,"已平仓"),""),"")</f>
        <v/>
      </c>
      <c r="D33" s="43" t="str">
        <f>IF(N(D23)&gt;0,SUMIFS('交易记录'!$AI$5:$AI$304,'交易记录'!$AF$5:$AF$304,"已平仓"),"")</f>
        <v/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合计费用（USDT）</t>
        </is>
      </c>
      <c r="C34" s="42" t="str">
        <f>IF(AND(ISNUMBER($C$4),ISNUMBER($E$4)),IF(N(C23)&gt;0,SUMIFS('交易记录'!$AG$5:$AG$304,'交易记录'!$Z$5:$Z$304,"&gt;="&amp;$C$4,'交易记录'!$Z$5:$Z$304,"&lt;="&amp;$E$4,'交易记录'!$AF$5:$AF$304,"已平仓"),""),"")</f>
        <v/>
      </c>
      <c r="D34" s="42" t="str">
        <f>IF(N(D23)&gt;0,SUMIFS('交易记录'!$AG$5:$AG$304,'交易记录'!$AF$5:$AF$304,"已平仓"),"")</f>
        <v/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8" t="str">
        <f>IF(AND(ISNUMBER($C$4),ISNUMBER($E$4)),COUNTIFS('交易记录'!$Z$5:$Z$304,"&gt;="&amp;$C$4,'交易记录'!$Z$5:$Z$304,"&lt;="&amp;$E$4,'交易记录'!$AF$5:$AF$304,"已平仓",'交易记录'!$AN$5:$AN$304,"A"),"")</f>
        <v/>
      </c>
      <c r="D35" s="58">
        <f>COUNTIFS('交易记录'!$AF$5:$AF$304,"已平仓",'交易记录'!$AN$5:$AN$304,"A")</f>
        <v>0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8" t="str">
        <f>IF(AND(ISNUMBER($C$4),ISNUMBER($E$4)),COUNTIFS('交易记录'!$Z$5:$Z$304,"&gt;="&amp;$C$4,'交易记录'!$Z$5:$Z$304,"&lt;="&amp;$E$4,'交易记录'!$AF$5:$AF$304,"已平仓",'交易记录'!$AN$5:$AN$304,"B"),"")</f>
        <v/>
      </c>
      <c r="D36" s="58">
        <f>COUNTIFS('交易记录'!$AF$5:$AF$304,"已平仓",'交易记录'!$AN$5:$AN$304,"B")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8" t="str">
        <f>IF(AND(ISNUMBER($C$4),ISNUMBER($E$4)),COUNTIFS('交易记录'!$Z$5:$Z$304,"&gt;="&amp;$C$4,'交易记录'!$Z$5:$Z$304,"&lt;="&amp;$E$4,'交易记录'!$AF$5:$AF$304,"已平仓",'交易记录'!$AN$5:$AN$304,"C"),"")</f>
        <v/>
      </c>
      <c r="D37" s="58">
        <f>COUNTIFS('交易记录'!$AF$5:$AF$304,"已平仓",'交易记录'!$AN$5:$AN$304,"C")</f>
        <v>0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8" t="str">
        <f>IF(AND(ISNUMBER($C$4),ISNUMBER($E$4)),COUNTIFS('交易记录'!$Z$5:$Z$304,"&gt;="&amp;$C$4,'交易记录'!$Z$5:$Z$304,"&lt;="&amp;$E$4,'交易记录'!$AF$5:$AF$304,"已平仓",'交易记录'!$AN$5:$AN$304,"D"),"")</f>
        <v/>
      </c>
      <c r="D38" s="58">
        <f>COUNTIFS('交易记录'!$AF$5:$AF$304,"已平仓",'交易记录'!$AN$5:$AN$304,"D")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59" t="str">
        <f>IF(AND(ISNUMBER($C$4),ISNUMBER($E$4)),IF(N(C23)&gt;0,C35/C23,""),"")</f>
        <v/>
      </c>
      <c r="D39" s="59" t="str">
        <f>IF(N(D23)&gt;0,D35/D23,"")</f>
        <v/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8" t="str">
        <f>IF(AND(ISNUMBER($C$4),ISNUMBER($E$4)),COUNTIFS('交易记录'!$Z$5:$Z$304,"&gt;="&amp;$C$4,'交易记录'!$Z$5:$Z$304,"&lt;="&amp;$E$4,'交易记录'!$AF$5:$AF$304,"已平仓",'交易记录'!$AN$5:$AN$304,"C",'交易记录'!$AK$5:$AK$304,"&gt;0")+COUNTIFS('交易记录'!$Z$5:$Z$304,"&gt;="&amp;$C$4,'交易记录'!$Z$5:$Z$304,"&lt;="&amp;$E$4,'交易记录'!$AF$5:$AF$304,"已平仓",'交易记录'!$AN$5:$AN$304,"D",'交易记录'!$AK$5:$AK$304,"&gt;0"),"")</f>
        <v/>
      </c>
      <c r="D40" s="58">
        <f>COUNTIFS('交易记录'!$AF$5:$AF$304,"已平仓",'交易记录'!$AN$5:$AN$304,"C",'交易记录'!$AK$5:$AK$304,"&gt;0")+COUNTIFS('交易记录'!$AF$5:$AF$304,"已平仓",'交易记录'!$AN$5:$AN$304,"D",'交易记录'!$AK$5:$AK$304,"&gt;0")</f>
        <v>0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53" t="str">
        <f>IF(AND(ISNUMBER($C$4),ISNUMBER($E$4)),IF(N(C35)+N(C36)&gt;0,(SUMIFS('交易记录'!$AK$5:$AK$304,'交易记录'!$Z$5:$Z$304,"&gt;="&amp;$C$4,'交易记录'!$Z$5:$Z$304,"&lt;="&amp;$E$4,'交易记录'!$AF$5:$AF$304,"已平仓",'交易记录'!$AN$5:$AN$304,"A")+SUMIFS('交易记录'!$AK$5:$AK$304,'交易记录'!$Z$5:$Z$304,"&gt;="&amp;$C$4,'交易记录'!$Z$5:$Z$304,"&lt;="&amp;$E$4,'交易记录'!$AF$5:$AF$304,"已平仓",'交易记录'!$AN$5:$AN$304,"B"))/(C35+C36),""),"")</f>
        <v/>
      </c>
      <c r="D41" s="53" t="str">
        <f>IF(N(D35)+N(D36)&gt;0,(SUMIFS('交易记录'!$AK$5:$AK$304,'交易记录'!$AF$5:$AF$304,"已平仓",'交易记录'!$AN$5:$AN$304,"A")+SUMIFS('交易记录'!$AK$5:$AK$304,'交易记录'!$AF$5:$AF$304,"已平仓",'交易记录'!$AN$5:$AN$304,"B"))/(D35+D36),"")</f>
        <v/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53" t="str">
        <f>IF(AND(ISNUMBER($C$4),ISNUMBER($E$4)),IF(N(C37)+N(C38)&gt;0,(SUMIFS('交易记录'!$AK$5:$AK$304,'交易记录'!$Z$5:$Z$304,"&gt;="&amp;$C$4,'交易记录'!$Z$5:$Z$304,"&lt;="&amp;$E$4,'交易记录'!$AF$5:$AF$304,"已平仓",'交易记录'!$AN$5:$AN$304,"C")+SUMIFS('交易记录'!$AK$5:$AK$304,'交易记录'!$Z$5:$Z$304,"&gt;="&amp;$C$4,'交易记录'!$Z$5:$Z$304,"&lt;="&amp;$E$4,'交易记录'!$AF$5:$AF$304,"已平仓",'交易记录'!$AN$5:$AN$304,"D"))/(C37+C38),""),"")</f>
        <v/>
      </c>
      <c r="D42" s="53" t="str">
        <f>IF(N(D37)+N(D38)&gt;0,(SUMIFS('交易记录'!$AK$5:$AK$304,'交易记录'!$AF$5:$AF$304,"已平仓",'交易记录'!$AN$5:$AN$304,"C")+SUMIFS('交易记录'!$AK$5:$AK$304,'交易记录'!$AF$5:$AF$304,"已平仓",'交易记录'!$AN$5:$AN$304,"D"))/(D37+D38),"")</f>
        <v/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8" t="str">
        <f>IF(AND(ISNUMBER($C$4),ISNUMBER($E$4)),COUNTIF('交易记录'!$AF$5:$AF$304,"持仓中"),"")</f>
        <v/>
      </c>
      <c r="D43" s="58">
        <f>COUNTIF('交易记录'!$AF$5:$AF$304,"持仓中")</f>
        <v>0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60" t="str">
        <f>""</f>
        <v/>
      </c>
      <c r="D44" s="60" t="str">
        <f>IF(COUNT('交易记录'!$AR$5:$AR$304)=0,"",MAX('交易记录'!$AR$5:$AR$304))</f>
        <v/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53" t="str">
        <f>""</f>
        <v/>
      </c>
      <c r="D45" s="53" t="str">
        <f>IF(COUNT('交易记录'!$AK$5:$AK$304)=0,"",MIN('交易记录'!$AK$5:$AK$304))</f>
        <v/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5" t="inlineStr">
        <is>
          <t>标签</t>
        </is>
      </c>
      <c r="C48" s="25" t="inlineStr">
        <is>
          <t>本区间笔数</t>
        </is>
      </c>
      <c r="D48" s="25" t="inlineStr">
        <is>
          <t>全部笔数</t>
        </is>
      </c>
      <c r="E48" s="25" t="inlineStr">
        <is>
          <t>全部合计净R</t>
        </is>
      </c>
      <c r="F48" s="25" t="inlineStr">
        <is>
          <t>提示</t>
        </is>
      </c>
    </row>
    <row r="49">
      <c r="B49" s="61" t="str">
        <f>T('参数'!$F$22)</f>
        <v>无</v>
      </c>
      <c r="C49" s="58" t="str">
        <f>IF(OR(B49="",NOT(AND(ISNUMBER($C$4),ISNUMBER($E$4)))),"",COUNTIFS('交易记录'!$Z$5:$Z$304,"&gt;="&amp;$C$4,'交易记录'!$Z$5:$Z$304,"&lt;="&amp;$E$4,'交易记录'!$AF$5:$AF$304,"已平仓",'交易记录'!$AO$5:$AO$304,B49))</f>
        <v/>
      </c>
      <c r="D49" s="58">
        <f>IF(B49="","",COUNTIFS('交易记录'!$AF$5:$AF$304,"已平仓",'交易记录'!$AO$5:$AO$304,B49))</f>
        <v>0</v>
      </c>
      <c r="E49" s="53">
        <f>IF(B49="","",SUMIFS('交易记录'!$AK$5:$AK$304,'交易记录'!$AF$5:$AF$304,"已平仓",'交易记录'!$AO$5:$AO$304,B49))</f>
        <v>0</v>
      </c>
      <c r="F49" s="38" t="str">
        <f>IF(AND(B49&lt;&gt;"",B49&lt;&gt;"无",N(C49)&gt;0,N(C49)=MAX($L$49:$L$58)),"本区间最多","")</f>
        <v/>
      </c>
      <c r="L49" s="62">
        <f>IF(OR(B49="",B49="无"),0,N(C49))</f>
        <v>0</v>
      </c>
    </row>
    <row r="50">
      <c r="B50" s="61" t="str">
        <f>T('参数'!$F$23)</f>
        <v>追单</v>
      </c>
      <c r="C50" s="58" t="str">
        <f>IF(OR(B50="",NOT(AND(ISNUMBER($C$4),ISNUMBER($E$4)))),"",COUNTIFS('交易记录'!$Z$5:$Z$304,"&gt;="&amp;$C$4,'交易记录'!$Z$5:$Z$304,"&lt;="&amp;$E$4,'交易记录'!$AF$5:$AF$304,"已平仓",'交易记录'!$AO$5:$AO$304,B50))</f>
        <v/>
      </c>
      <c r="D50" s="58">
        <f>IF(B50="","",COUNTIFS('交易记录'!$AF$5:$AF$304,"已平仓",'交易记录'!$AO$5:$AO$304,B50))</f>
        <v>0</v>
      </c>
      <c r="E50" s="53">
        <f>IF(B50="","",SUMIFS('交易记录'!$AK$5:$AK$304,'交易记录'!$AF$5:$AF$304,"已平仓",'交易记录'!$AO$5:$AO$304,B50))</f>
        <v>0</v>
      </c>
      <c r="F50" s="38" t="str">
        <f>IF(AND(B50&lt;&gt;"",B50&lt;&gt;"无",N(C50)&gt;0,N(C50)=MAX($L$49:$L$58)),"本区间最多","")</f>
        <v/>
      </c>
      <c r="L50" s="62">
        <f>IF(OR(B50="",B50="无"),0,N(C50))</f>
        <v>0</v>
      </c>
    </row>
    <row r="51">
      <c r="B51" s="61" t="str">
        <f>T('参数'!$F$24)</f>
        <v>扛单</v>
      </c>
      <c r="C51" s="58" t="str">
        <f>IF(OR(B51="",NOT(AND(ISNUMBER($C$4),ISNUMBER($E$4)))),"",COUNTIFS('交易记录'!$Z$5:$Z$304,"&gt;="&amp;$C$4,'交易记录'!$Z$5:$Z$304,"&lt;="&amp;$E$4,'交易记录'!$AF$5:$AF$304,"已平仓",'交易记录'!$AO$5:$AO$304,B51))</f>
        <v/>
      </c>
      <c r="D51" s="58">
        <f>IF(B51="","",COUNTIFS('交易记录'!$AF$5:$AF$304,"已平仓",'交易记录'!$AO$5:$AO$304,B51))</f>
        <v>0</v>
      </c>
      <c r="E51" s="53">
        <f>IF(B51="","",SUMIFS('交易记录'!$AK$5:$AK$304,'交易记录'!$AF$5:$AF$304,"已平仓",'交易记录'!$AO$5:$AO$304,B51))</f>
        <v>0</v>
      </c>
      <c r="F51" s="38" t="str">
        <f>IF(AND(B51&lt;&gt;"",B51&lt;&gt;"无",N(C51)&gt;0,N(C51)=MAX($L$49:$L$58)),"本区间最多","")</f>
        <v/>
      </c>
      <c r="L51" s="62">
        <f>IF(OR(B51="",B51="无"),0,N(C51))</f>
        <v>0</v>
      </c>
    </row>
    <row r="52">
      <c r="B52" s="61" t="str">
        <f>T('参数'!$F$25)</f>
        <v>提前跑</v>
      </c>
      <c r="C52" s="58" t="str">
        <f>IF(OR(B52="",NOT(AND(ISNUMBER($C$4),ISNUMBER($E$4)))),"",COUNTIFS('交易记录'!$Z$5:$Z$304,"&gt;="&amp;$C$4,'交易记录'!$Z$5:$Z$304,"&lt;="&amp;$E$4,'交易记录'!$AF$5:$AF$304,"已平仓",'交易记录'!$AO$5:$AO$304,B52))</f>
        <v/>
      </c>
      <c r="D52" s="58">
        <f>IF(B52="","",COUNTIFS('交易记录'!$AF$5:$AF$304,"已平仓",'交易记录'!$AO$5:$AO$304,B52))</f>
        <v>0</v>
      </c>
      <c r="E52" s="53">
        <f>IF(B52="","",SUMIFS('交易记录'!$AK$5:$AK$304,'交易记录'!$AF$5:$AF$304,"已平仓",'交易记录'!$AO$5:$AO$304,B52))</f>
        <v>0</v>
      </c>
      <c r="F52" s="38" t="str">
        <f>IF(AND(B52&lt;&gt;"",B52&lt;&gt;"无",N(C52)&gt;0,N(C52)=MAX($L$49:$L$58)),"本区间最多","")</f>
        <v/>
      </c>
      <c r="L52" s="62">
        <f>IF(OR(B52="",B52="无"),0,N(C52))</f>
        <v>0</v>
      </c>
    </row>
    <row r="53">
      <c r="B53" s="61" t="str">
        <f>T('参数'!$F$26)</f>
        <v>加仓回本</v>
      </c>
      <c r="C53" s="58" t="str">
        <f>IF(OR(B53="",NOT(AND(ISNUMBER($C$4),ISNUMBER($E$4)))),"",COUNTIFS('交易记录'!$Z$5:$Z$304,"&gt;="&amp;$C$4,'交易记录'!$Z$5:$Z$304,"&lt;="&amp;$E$4,'交易记录'!$AF$5:$AF$304,"已平仓",'交易记录'!$AO$5:$AO$304,B53))</f>
        <v/>
      </c>
      <c r="D53" s="58">
        <f>IF(B53="","",COUNTIFS('交易记录'!$AF$5:$AF$304,"已平仓",'交易记录'!$AO$5:$AO$304,B53))</f>
        <v>0</v>
      </c>
      <c r="E53" s="53">
        <f>IF(B53="","",SUMIFS('交易记录'!$AK$5:$AK$304,'交易记录'!$AF$5:$AF$304,"已平仓",'交易记录'!$AO$5:$AO$304,B53))</f>
        <v>0</v>
      </c>
      <c r="F53" s="38" t="str">
        <f>IF(AND(B53&lt;&gt;"",B53&lt;&gt;"无",N(C53)&gt;0,N(C53)=MAX($L$49:$L$58)),"本区间最多","")</f>
        <v/>
      </c>
      <c r="L53" s="62">
        <f>IF(OR(B53="",B53="无"),0,N(C53))</f>
        <v>0</v>
      </c>
    </row>
    <row r="54">
      <c r="B54" s="61" t="str">
        <f>T('参数'!$F$27)</f>
        <v>没计划</v>
      </c>
      <c r="C54" s="58" t="str">
        <f>IF(OR(B54="",NOT(AND(ISNUMBER($C$4),ISNUMBER($E$4)))),"",COUNTIFS('交易记录'!$Z$5:$Z$304,"&gt;="&amp;$C$4,'交易记录'!$Z$5:$Z$304,"&lt;="&amp;$E$4,'交易记录'!$AF$5:$AF$304,"已平仓",'交易记录'!$AO$5:$AO$304,B54))</f>
        <v/>
      </c>
      <c r="D54" s="58">
        <f>IF(B54="","",COUNTIFS('交易记录'!$AF$5:$AF$304,"已平仓",'交易记录'!$AO$5:$AO$304,B54))</f>
        <v>0</v>
      </c>
      <c r="E54" s="53">
        <f>IF(B54="","",SUMIFS('交易记录'!$AK$5:$AK$304,'交易记录'!$AF$5:$AF$304,"已平仓",'交易记录'!$AO$5:$AO$304,B54))</f>
        <v>0</v>
      </c>
      <c r="F54" s="38" t="str">
        <f>IF(AND(B54&lt;&gt;"",B54&lt;&gt;"无",N(C54)&gt;0,N(C54)=MAX($L$49:$L$58)),"本区间最多","")</f>
        <v/>
      </c>
      <c r="L54" s="62">
        <f>IF(OR(B54="",B54="无"),0,N(C54))</f>
        <v>0</v>
      </c>
    </row>
    <row r="55">
      <c r="B55" s="61" t="str">
        <f>T('参数'!$F$28)</f>
        <v>超仓位</v>
      </c>
      <c r="C55" s="58" t="str">
        <f>IF(OR(B55="",NOT(AND(ISNUMBER($C$4),ISNUMBER($E$4)))),"",COUNTIFS('交易记录'!$Z$5:$Z$304,"&gt;="&amp;$C$4,'交易记录'!$Z$5:$Z$304,"&lt;="&amp;$E$4,'交易记录'!$AF$5:$AF$304,"已平仓",'交易记录'!$AO$5:$AO$304,B55))</f>
        <v/>
      </c>
      <c r="D55" s="58">
        <f>IF(B55="","",COUNTIFS('交易记录'!$AF$5:$AF$304,"已平仓",'交易记录'!$AO$5:$AO$304,B55))</f>
        <v>0</v>
      </c>
      <c r="E55" s="53">
        <f>IF(B55="","",SUMIFS('交易记录'!$AK$5:$AK$304,'交易记录'!$AF$5:$AF$304,"已平仓",'交易记录'!$AO$5:$AO$304,B55))</f>
        <v>0</v>
      </c>
      <c r="F55" s="38" t="str">
        <f>IF(AND(B55&lt;&gt;"",B55&lt;&gt;"无",N(C55)&gt;0,N(C55)=MAX($L$49:$L$58)),"本区间最多","")</f>
        <v/>
      </c>
      <c r="L55" s="62">
        <f>IF(OR(B55="",B55="无"),0,N(C55))</f>
        <v>0</v>
      </c>
    </row>
    <row r="56">
      <c r="B56" s="61" t="str">
        <f>T('参数'!$F$29)</f>
        <v>止损挪远</v>
      </c>
      <c r="C56" s="58" t="str">
        <f>IF(OR(B56="",NOT(AND(ISNUMBER($C$4),ISNUMBER($E$4)))),"",COUNTIFS('交易记录'!$Z$5:$Z$304,"&gt;="&amp;$C$4,'交易记录'!$Z$5:$Z$304,"&lt;="&amp;$E$4,'交易记录'!$AF$5:$AF$304,"已平仓",'交易记录'!$AO$5:$AO$304,B56))</f>
        <v/>
      </c>
      <c r="D56" s="58">
        <f>IF(B56="","",COUNTIFS('交易记录'!$AF$5:$AF$304,"已平仓",'交易记录'!$AO$5:$AO$304,B56))</f>
        <v>0</v>
      </c>
      <c r="E56" s="53">
        <f>IF(B56="","",SUMIFS('交易记录'!$AK$5:$AK$304,'交易记录'!$AF$5:$AF$304,"已平仓",'交易记录'!$AO$5:$AO$304,B56))</f>
        <v>0</v>
      </c>
      <c r="F56" s="38" t="str">
        <f>IF(AND(B56&lt;&gt;"",B56&lt;&gt;"无",N(C56)&gt;0,N(C56)=MAX($L$49:$L$58)),"本区间最多","")</f>
        <v/>
      </c>
      <c r="L56" s="62">
        <f>IF(OR(B56="",B56="无"),0,N(C56))</f>
        <v>0</v>
      </c>
    </row>
    <row r="57">
      <c r="B57" s="61" t="str">
        <f>T('参数'!$F$30)</f>
        <v>盘中改计划</v>
      </c>
      <c r="C57" s="58" t="str">
        <f>IF(OR(B57="",NOT(AND(ISNUMBER($C$4),ISNUMBER($E$4)))),"",COUNTIFS('交易记录'!$Z$5:$Z$304,"&gt;="&amp;$C$4,'交易记录'!$Z$5:$Z$304,"&lt;="&amp;$E$4,'交易记录'!$AF$5:$AF$304,"已平仓",'交易记录'!$AO$5:$AO$304,B57))</f>
        <v/>
      </c>
      <c r="D57" s="58">
        <f>IF(B57="","",COUNTIFS('交易记录'!$AF$5:$AF$304,"已平仓",'交易记录'!$AO$5:$AO$304,B57))</f>
        <v>0</v>
      </c>
      <c r="E57" s="53">
        <f>IF(B57="","",SUMIFS('交易记录'!$AK$5:$AK$304,'交易记录'!$AF$5:$AF$304,"已平仓",'交易记录'!$AO$5:$AO$304,B57))</f>
        <v>0</v>
      </c>
      <c r="F57" s="38" t="str">
        <f>IF(AND(B57&lt;&gt;"",B57&lt;&gt;"无",N(C57)&gt;0,N(C57)=MAX($L$49:$L$58)),"本区间最多","")</f>
        <v/>
      </c>
      <c r="L57" s="62">
        <f>IF(OR(B57="",B57="无"),0,N(C57))</f>
        <v>0</v>
      </c>
    </row>
    <row r="58">
      <c r="B58" s="61" t="str">
        <f>T('参数'!$F$31)</f>
        <v>其他</v>
      </c>
      <c r="C58" s="58" t="str">
        <f>IF(OR(B58="",NOT(AND(ISNUMBER($C$4),ISNUMBER($E$4)))),"",COUNTIFS('交易记录'!$Z$5:$Z$304,"&gt;="&amp;$C$4,'交易记录'!$Z$5:$Z$304,"&lt;="&amp;$E$4,'交易记录'!$AF$5:$AF$304,"已平仓",'交易记录'!$AO$5:$AO$304,B58))</f>
        <v/>
      </c>
      <c r="D58" s="58">
        <f>IF(B58="","",COUNTIFS('交易记录'!$AF$5:$AF$304,"已平仓",'交易记录'!$AO$5:$AO$304,B58))</f>
        <v>0</v>
      </c>
      <c r="E58" s="53">
        <f>IF(B58="","",SUMIFS('交易记录'!$AK$5:$AK$304,'交易记录'!$AF$5:$AF$304,"已平仓",'交易记录'!$AO$5:$AO$304,B58))</f>
        <v>0</v>
      </c>
      <c r="F58" s="38" t="str">
        <f>IF(AND(B58&lt;&gt;"",B58&lt;&gt;"无",N(C58)&gt;0,N(C58)=MAX($L$49:$L$58)),"本区间最多","")</f>
        <v/>
      </c>
      <c r="L58" s="62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5" t="inlineStr">
        <is>
          <t>策略</t>
        </is>
      </c>
      <c r="C61" s="25" t="inlineStr">
        <is>
          <t>笔数</t>
        </is>
      </c>
      <c r="D61" s="25" t="inlineStr">
        <is>
          <t>胜率</t>
        </is>
      </c>
      <c r="E61" s="25" t="inlineStr">
        <is>
          <t>每笔平均净R</t>
        </is>
      </c>
      <c r="F61" s="25" t="inlineStr">
        <is>
          <t>合计净R</t>
        </is>
      </c>
      <c r="G61" s="25" t="inlineStr">
        <is>
          <t>样本</t>
        </is>
      </c>
    </row>
    <row r="62">
      <c r="B62" s="61" t="str">
        <f>T('参数'!$B$22)</f>
        <v>突破</v>
      </c>
      <c r="C62" s="58">
        <f>IF(B62="","",COUNTIFS('交易记录'!$AF$5:$AF$304,"已平仓",'交易记录'!$E$5:$E$304,B62))</f>
        <v>0</v>
      </c>
      <c r="D62" s="59" t="str">
        <f>IF(N(C62)&gt;0,COUNTIFS('交易记录'!$AF$5:$AF$304,"已平仓",'交易记录'!$E$5:$E$304,B62,'交易记录'!$AK$5:$AK$304,"&gt;0")/C62,"")</f>
        <v/>
      </c>
      <c r="E62" s="53" t="str">
        <f>IF(N(C62)&gt;0,SUMIFS('交易记录'!$AK$5:$AK$304,'交易记录'!$AF$5:$AF$304,"已平仓",'交易记录'!$E$5:$E$304,B62)/C62,"")</f>
        <v/>
      </c>
      <c r="F62" s="53" t="str">
        <f>IF(N(C62)&gt;0,SUMIFS('交易记录'!$AK$5:$AK$304,'交易记录'!$AF$5:$AF$304,"已平仓",'交易记录'!$E$5:$E$304,B62),"")</f>
        <v/>
      </c>
      <c r="G62" s="38" t="str">
        <f>IF(N(C62)=0,"",IF(C62&lt;10,"样本太少",""))</f>
        <v/>
      </c>
    </row>
    <row r="63">
      <c r="B63" s="61" t="str">
        <f>T('参数'!$B$23)</f>
        <v>回踩</v>
      </c>
      <c r="C63" s="58">
        <f>IF(B63="","",COUNTIFS('交易记录'!$AF$5:$AF$304,"已平仓",'交易记录'!$E$5:$E$304,B63))</f>
        <v>0</v>
      </c>
      <c r="D63" s="59" t="str">
        <f>IF(N(C63)&gt;0,COUNTIFS('交易记录'!$AF$5:$AF$304,"已平仓",'交易记录'!$E$5:$E$304,B63,'交易记录'!$AK$5:$AK$304,"&gt;0")/C63,"")</f>
        <v/>
      </c>
      <c r="E63" s="53" t="str">
        <f>IF(N(C63)&gt;0,SUMIFS('交易记录'!$AK$5:$AK$304,'交易记录'!$AF$5:$AF$304,"已平仓",'交易记录'!$E$5:$E$304,B63)/C63,"")</f>
        <v/>
      </c>
      <c r="F63" s="53" t="str">
        <f>IF(N(C63)&gt;0,SUMIFS('交易记录'!$AK$5:$AK$304,'交易记录'!$AF$5:$AF$304,"已平仓",'交易记录'!$E$5:$E$304,B63),"")</f>
        <v/>
      </c>
      <c r="G63" s="38" t="str">
        <f>IF(N(C63)=0,"",IF(C63&lt;10,"样本太少",""))</f>
        <v/>
      </c>
    </row>
    <row r="64">
      <c r="B64" s="61" t="str">
        <f>T('参数'!$B$24)</f>
        <v>区间反转</v>
      </c>
      <c r="C64" s="58">
        <f>IF(B64="","",COUNTIFS('交易记录'!$AF$5:$AF$304,"已平仓",'交易记录'!$E$5:$E$304,B64))</f>
        <v>0</v>
      </c>
      <c r="D64" s="59" t="str">
        <f>IF(N(C64)&gt;0,COUNTIFS('交易记录'!$AF$5:$AF$304,"已平仓",'交易记录'!$E$5:$E$304,B64,'交易记录'!$AK$5:$AK$304,"&gt;0")/C64,"")</f>
        <v/>
      </c>
      <c r="E64" s="53" t="str">
        <f>IF(N(C64)&gt;0,SUMIFS('交易记录'!$AK$5:$AK$304,'交易记录'!$AF$5:$AF$304,"已平仓",'交易记录'!$E$5:$E$304,B64)/C64,"")</f>
        <v/>
      </c>
      <c r="F64" s="53" t="str">
        <f>IF(N(C64)&gt;0,SUMIFS('交易记录'!$AK$5:$AK$304,'交易记录'!$AF$5:$AF$304,"已平仓",'交易记录'!$E$5:$E$304,B64),"")</f>
        <v/>
      </c>
      <c r="G64" s="38" t="str">
        <f>IF(N(C64)=0,"",IF(C64&lt;10,"样本太少",""))</f>
        <v/>
      </c>
    </row>
    <row r="65">
      <c r="B65" s="61" t="str">
        <f>T('参数'!$B$25)</f>
        <v>趋势跟随</v>
      </c>
      <c r="C65" s="58">
        <f>IF(B65="","",COUNTIFS('交易记录'!$AF$5:$AF$304,"已平仓",'交易记录'!$E$5:$E$304,B65))</f>
        <v>0</v>
      </c>
      <c r="D65" s="59" t="str">
        <f>IF(N(C65)&gt;0,COUNTIFS('交易记录'!$AF$5:$AF$304,"已平仓",'交易记录'!$E$5:$E$304,B65,'交易记录'!$AK$5:$AK$304,"&gt;0")/C65,"")</f>
        <v/>
      </c>
      <c r="E65" s="53" t="str">
        <f>IF(N(C65)&gt;0,SUMIFS('交易记录'!$AK$5:$AK$304,'交易记录'!$AF$5:$AF$304,"已平仓",'交易记录'!$E$5:$E$304,B65)/C65,"")</f>
        <v/>
      </c>
      <c r="F65" s="53" t="str">
        <f>IF(N(C65)&gt;0,SUMIFS('交易记录'!$AK$5:$AK$304,'交易记录'!$AF$5:$AF$304,"已平仓",'交易记录'!$E$5:$E$304,B65),"")</f>
        <v/>
      </c>
      <c r="G65" s="38" t="str">
        <f>IF(N(C65)=0,"",IF(C65&lt;10,"样本太少",""))</f>
        <v/>
      </c>
    </row>
    <row r="66">
      <c r="B66" s="61" t="str">
        <f>T('参数'!$B$26)</f>
        <v>其他</v>
      </c>
      <c r="C66" s="58">
        <f>IF(B66="","",COUNTIFS('交易记录'!$AF$5:$AF$304,"已平仓",'交易记录'!$E$5:$E$304,B66))</f>
        <v>0</v>
      </c>
      <c r="D66" s="59" t="str">
        <f>IF(N(C66)&gt;0,COUNTIFS('交易记录'!$AF$5:$AF$304,"已平仓",'交易记录'!$E$5:$E$304,B66,'交易记录'!$AK$5:$AK$304,"&gt;0")/C66,"")</f>
        <v/>
      </c>
      <c r="E66" s="53" t="str">
        <f>IF(N(C66)&gt;0,SUMIFS('交易记录'!$AK$5:$AK$304,'交易记录'!$AF$5:$AF$304,"已平仓",'交易记录'!$E$5:$E$304,B66)/C66,"")</f>
        <v/>
      </c>
      <c r="F66" s="53" t="str">
        <f>IF(N(C66)&gt;0,SUMIFS('交易记录'!$AK$5:$AK$304,'交易记录'!$AF$5:$AF$304,"已平仓",'交易记录'!$E$5:$E$304,B66),"")</f>
        <v/>
      </c>
      <c r="G66" s="38" t="str">
        <f>IF(N(C66)=0,"",IF(C66&lt;10,"样本太少",""))</f>
        <v/>
      </c>
    </row>
    <row r="67">
      <c r="B67" s="61" t="str">
        <f>T('参数'!$B$27)</f>
        <v/>
      </c>
      <c r="C67" s="58" t="str">
        <f>IF(B67="","",COUNTIFS('交易记录'!$AF$5:$AF$304,"已平仓",'交易记录'!$E$5:$E$304,B67))</f>
        <v/>
      </c>
      <c r="D67" s="59" t="str">
        <f>IF(N(C67)&gt;0,COUNTIFS('交易记录'!$AF$5:$AF$304,"已平仓",'交易记录'!$E$5:$E$304,B67,'交易记录'!$AK$5:$AK$304,"&gt;0")/C67,"")</f>
        <v/>
      </c>
      <c r="E67" s="53" t="str">
        <f>IF(N(C67)&gt;0,SUMIFS('交易记录'!$AK$5:$AK$304,'交易记录'!$AF$5:$AF$304,"已平仓",'交易记录'!$E$5:$E$304,B67)/C67,"")</f>
        <v/>
      </c>
      <c r="F67" s="53" t="str">
        <f>IF(N(C67)&gt;0,SUMIFS('交易记录'!$AK$5:$AK$304,'交易记录'!$AF$5:$AF$304,"已平仓",'交易记录'!$E$5:$E$304,B67),"")</f>
        <v/>
      </c>
      <c r="G67" s="38" t="str">
        <f>IF(N(C67)=0,"",IF(C67&lt;10,"样本太少",""))</f>
        <v/>
      </c>
    </row>
    <row r="68">
      <c r="B68" s="61" t="str">
        <f>T('参数'!$B$28)</f>
        <v/>
      </c>
      <c r="C68" s="58" t="str">
        <f>IF(B68="","",COUNTIFS('交易记录'!$AF$5:$AF$304,"已平仓",'交易记录'!$E$5:$E$304,B68))</f>
        <v/>
      </c>
      <c r="D68" s="59" t="str">
        <f>IF(N(C68)&gt;0,COUNTIFS('交易记录'!$AF$5:$AF$304,"已平仓",'交易记录'!$E$5:$E$304,B68,'交易记录'!$AK$5:$AK$304,"&gt;0")/C68,"")</f>
        <v/>
      </c>
      <c r="E68" s="53" t="str">
        <f>IF(N(C68)&gt;0,SUMIFS('交易记录'!$AK$5:$AK$304,'交易记录'!$AF$5:$AF$304,"已平仓",'交易记录'!$E$5:$E$304,B68)/C68,"")</f>
        <v/>
      </c>
      <c r="F68" s="53" t="str">
        <f>IF(N(C68)&gt;0,SUMIFS('交易记录'!$AK$5:$AK$304,'交易记录'!$AF$5:$AF$304,"已平仓",'交易记录'!$E$5:$E$304,B68),"")</f>
        <v/>
      </c>
      <c r="G68" s="38" t="str">
        <f>IF(N(C68)=0,"",IF(C68&lt;10,"样本太少",""))</f>
        <v/>
      </c>
    </row>
    <row r="69">
      <c r="B69" s="61" t="str">
        <f>T('参数'!$B$29)</f>
        <v/>
      </c>
      <c r="C69" s="58" t="str">
        <f>IF(B69="","",COUNTIFS('交易记录'!$AF$5:$AF$304,"已平仓",'交易记录'!$E$5:$E$304,B69))</f>
        <v/>
      </c>
      <c r="D69" s="59" t="str">
        <f>IF(N(C69)&gt;0,COUNTIFS('交易记录'!$AF$5:$AF$304,"已平仓",'交易记录'!$E$5:$E$304,B69,'交易记录'!$AK$5:$AK$304,"&gt;0")/C69,"")</f>
        <v/>
      </c>
      <c r="E69" s="53" t="str">
        <f>IF(N(C69)&gt;0,SUMIFS('交易记录'!$AK$5:$AK$304,'交易记录'!$AF$5:$AF$304,"已平仓",'交易记录'!$E$5:$E$304,B69)/C69,"")</f>
        <v/>
      </c>
      <c r="F69" s="53" t="str">
        <f>IF(N(C69)&gt;0,SUMIFS('交易记录'!$AK$5:$AK$304,'交易记录'!$AF$5:$AF$304,"已平仓",'交易记录'!$E$5:$E$304,B69),"")</f>
        <v/>
      </c>
      <c r="G69" s="38" t="str">
        <f>IF(N(C69)=0,"",IF(C69&lt;10,"样本太少",""))</f>
        <v/>
      </c>
    </row>
    <row r="71">
      <c r="B71" s="25" t="inlineStr">
        <is>
          <t>开仓时段</t>
        </is>
      </c>
      <c r="C71" s="25" t="inlineStr">
        <is>
          <t>笔数</t>
        </is>
      </c>
      <c r="D71" s="25" t="inlineStr">
        <is>
          <t>胜率</t>
        </is>
      </c>
      <c r="E71" s="25" t="inlineStr">
        <is>
          <t>每笔平均净R</t>
        </is>
      </c>
      <c r="F71" s="25" t="inlineStr">
        <is>
          <t>合计净R</t>
        </is>
      </c>
      <c r="G71" s="25" t="inlineStr">
        <is>
          <t>样本</t>
        </is>
      </c>
    </row>
    <row r="72">
      <c r="B72" s="61" t="str">
        <f>T('参数'!$C$39)</f>
        <v>00～04 点</v>
      </c>
      <c r="C72" s="58">
        <f>IF(B72="","",COUNTIFS('交易记录'!$AF$5:$AF$304,"已平仓",'交易记录'!$AA$5:$AA$304,B72))</f>
        <v>0</v>
      </c>
      <c r="D72" s="59" t="str">
        <f>IF(N(C72)&gt;0,COUNTIFS('交易记录'!$AF$5:$AF$304,"已平仓",'交易记录'!$AA$5:$AA$304,B72,'交易记录'!$AK$5:$AK$304,"&gt;0")/C72,"")</f>
        <v/>
      </c>
      <c r="E72" s="53" t="str">
        <f>IF(N(C72)&gt;0,SUMIFS('交易记录'!$AK$5:$AK$304,'交易记录'!$AF$5:$AF$304,"已平仓",'交易记录'!$AA$5:$AA$304,B72)/C72,"")</f>
        <v/>
      </c>
      <c r="F72" s="53" t="str">
        <f>IF(N(C72)&gt;0,SUMIFS('交易记录'!$AK$5:$AK$304,'交易记录'!$AF$5:$AF$304,"已平仓",'交易记录'!$AA$5:$AA$304,B72),"")</f>
        <v/>
      </c>
      <c r="G72" s="38" t="str">
        <f>IF(N(C72)=0,"",IF(C72&lt;10,"样本太少",""))</f>
        <v/>
      </c>
    </row>
    <row r="73">
      <c r="B73" s="61" t="str">
        <f>T('参数'!$C$40)</f>
        <v>04～08 点</v>
      </c>
      <c r="C73" s="58">
        <f>IF(B73="","",COUNTIFS('交易记录'!$AF$5:$AF$304,"已平仓",'交易记录'!$AA$5:$AA$304,B73))</f>
        <v>0</v>
      </c>
      <c r="D73" s="59" t="str">
        <f>IF(N(C73)&gt;0,COUNTIFS('交易记录'!$AF$5:$AF$304,"已平仓",'交易记录'!$AA$5:$AA$304,B73,'交易记录'!$AK$5:$AK$304,"&gt;0")/C73,"")</f>
        <v/>
      </c>
      <c r="E73" s="53" t="str">
        <f>IF(N(C73)&gt;0,SUMIFS('交易记录'!$AK$5:$AK$304,'交易记录'!$AF$5:$AF$304,"已平仓",'交易记录'!$AA$5:$AA$304,B73)/C73,"")</f>
        <v/>
      </c>
      <c r="F73" s="53" t="str">
        <f>IF(N(C73)&gt;0,SUMIFS('交易记录'!$AK$5:$AK$304,'交易记录'!$AF$5:$AF$304,"已平仓",'交易记录'!$AA$5:$AA$304,B73),"")</f>
        <v/>
      </c>
      <c r="G73" s="38" t="str">
        <f>IF(N(C73)=0,"",IF(C73&lt;10,"样本太少",""))</f>
        <v/>
      </c>
    </row>
    <row r="74">
      <c r="B74" s="61" t="str">
        <f>T('参数'!$C$41)</f>
        <v>08～12 点</v>
      </c>
      <c r="C74" s="58">
        <f>IF(B74="","",COUNTIFS('交易记录'!$AF$5:$AF$304,"已平仓",'交易记录'!$AA$5:$AA$304,B74))</f>
        <v>0</v>
      </c>
      <c r="D74" s="59" t="str">
        <f>IF(N(C74)&gt;0,COUNTIFS('交易记录'!$AF$5:$AF$304,"已平仓",'交易记录'!$AA$5:$AA$304,B74,'交易记录'!$AK$5:$AK$304,"&gt;0")/C74,"")</f>
        <v/>
      </c>
      <c r="E74" s="53" t="str">
        <f>IF(N(C74)&gt;0,SUMIFS('交易记录'!$AK$5:$AK$304,'交易记录'!$AF$5:$AF$304,"已平仓",'交易记录'!$AA$5:$AA$304,B74)/C74,"")</f>
        <v/>
      </c>
      <c r="F74" s="53" t="str">
        <f>IF(N(C74)&gt;0,SUMIFS('交易记录'!$AK$5:$AK$304,'交易记录'!$AF$5:$AF$304,"已平仓",'交易记录'!$AA$5:$AA$304,B74),"")</f>
        <v/>
      </c>
      <c r="G74" s="38" t="str">
        <f>IF(N(C74)=0,"",IF(C74&lt;10,"样本太少",""))</f>
        <v/>
      </c>
    </row>
    <row r="75">
      <c r="B75" s="61" t="str">
        <f>T('参数'!$C$42)</f>
        <v>12～16 点</v>
      </c>
      <c r="C75" s="58">
        <f>IF(B75="","",COUNTIFS('交易记录'!$AF$5:$AF$304,"已平仓",'交易记录'!$AA$5:$AA$304,B75))</f>
        <v>0</v>
      </c>
      <c r="D75" s="59" t="str">
        <f>IF(N(C75)&gt;0,COUNTIFS('交易记录'!$AF$5:$AF$304,"已平仓",'交易记录'!$AA$5:$AA$304,B75,'交易记录'!$AK$5:$AK$304,"&gt;0")/C75,"")</f>
        <v/>
      </c>
      <c r="E75" s="53" t="str">
        <f>IF(N(C75)&gt;0,SUMIFS('交易记录'!$AK$5:$AK$304,'交易记录'!$AF$5:$AF$304,"已平仓",'交易记录'!$AA$5:$AA$304,B75)/C75,"")</f>
        <v/>
      </c>
      <c r="F75" s="53" t="str">
        <f>IF(N(C75)&gt;0,SUMIFS('交易记录'!$AK$5:$AK$304,'交易记录'!$AF$5:$AF$304,"已平仓",'交易记录'!$AA$5:$AA$304,B75),"")</f>
        <v/>
      </c>
      <c r="G75" s="38" t="str">
        <f>IF(N(C75)=0,"",IF(C75&lt;10,"样本太少",""))</f>
        <v/>
      </c>
    </row>
    <row r="76">
      <c r="B76" s="61" t="str">
        <f>T('参数'!$C$43)</f>
        <v>16～20 点</v>
      </c>
      <c r="C76" s="58">
        <f>IF(B76="","",COUNTIFS('交易记录'!$AF$5:$AF$304,"已平仓",'交易记录'!$AA$5:$AA$304,B76))</f>
        <v>0</v>
      </c>
      <c r="D76" s="59" t="str">
        <f>IF(N(C76)&gt;0,COUNTIFS('交易记录'!$AF$5:$AF$304,"已平仓",'交易记录'!$AA$5:$AA$304,B76,'交易记录'!$AK$5:$AK$304,"&gt;0")/C76,"")</f>
        <v/>
      </c>
      <c r="E76" s="53" t="str">
        <f>IF(N(C76)&gt;0,SUMIFS('交易记录'!$AK$5:$AK$304,'交易记录'!$AF$5:$AF$304,"已平仓",'交易记录'!$AA$5:$AA$304,B76)/C76,"")</f>
        <v/>
      </c>
      <c r="F76" s="53" t="str">
        <f>IF(N(C76)&gt;0,SUMIFS('交易记录'!$AK$5:$AK$304,'交易记录'!$AF$5:$AF$304,"已平仓",'交易记录'!$AA$5:$AA$304,B76),"")</f>
        <v/>
      </c>
      <c r="G76" s="38" t="str">
        <f>IF(N(C76)=0,"",IF(C76&lt;10,"样本太少",""))</f>
        <v/>
      </c>
    </row>
    <row r="77">
      <c r="B77" s="61" t="str">
        <f>T('参数'!$C$44)</f>
        <v>20～24 点</v>
      </c>
      <c r="C77" s="58">
        <f>IF(B77="","",COUNTIFS('交易记录'!$AF$5:$AF$304,"已平仓",'交易记录'!$AA$5:$AA$304,B77))</f>
        <v>0</v>
      </c>
      <c r="D77" s="59" t="str">
        <f>IF(N(C77)&gt;0,COUNTIFS('交易记录'!$AF$5:$AF$304,"已平仓",'交易记录'!$AA$5:$AA$304,B77,'交易记录'!$AK$5:$AK$304,"&gt;0")/C77,"")</f>
        <v/>
      </c>
      <c r="E77" s="53" t="str">
        <f>IF(N(C77)&gt;0,SUMIFS('交易记录'!$AK$5:$AK$304,'交易记录'!$AF$5:$AF$304,"已平仓",'交易记录'!$AA$5:$AA$304,B77)/C77,"")</f>
        <v/>
      </c>
      <c r="F77" s="53" t="str">
        <f>IF(N(C77)&gt;0,SUMIFS('交易记录'!$AK$5:$AK$304,'交易记录'!$AF$5:$AF$304,"已平仓",'交易记录'!$AA$5:$AA$304,B77),"")</f>
        <v/>
      </c>
      <c r="G77" s="38" t="str">
        <f>IF(N(C77)=0,"",IF(C77&lt;10,"样本太少",""))</f>
        <v/>
      </c>
    </row>
    <row r="78">
      <c r="B78" s="61" t="str">
        <f>T('参数'!$C$45)</f>
        <v/>
      </c>
      <c r="C78" s="58" t="str">
        <f>IF(B78="","",COUNTIFS('交易记录'!$AF$5:$AF$304,"已平仓",'交易记录'!$AA$5:$AA$304,B78))</f>
        <v/>
      </c>
      <c r="D78" s="59" t="str">
        <f>IF(N(C78)&gt;0,COUNTIFS('交易记录'!$AF$5:$AF$304,"已平仓",'交易记录'!$AA$5:$AA$304,B78,'交易记录'!$AK$5:$AK$304,"&gt;0")/C78,"")</f>
        <v/>
      </c>
      <c r="E78" s="53" t="str">
        <f>IF(N(C78)&gt;0,SUMIFS('交易记录'!$AK$5:$AK$304,'交易记录'!$AF$5:$AF$304,"已平仓",'交易记录'!$AA$5:$AA$304,B78)/C78,"")</f>
        <v/>
      </c>
      <c r="F78" s="53" t="str">
        <f>IF(N(C78)&gt;0,SUMIFS('交易记录'!$AK$5:$AK$304,'交易记录'!$AF$5:$AF$304,"已平仓",'交易记录'!$AA$5:$AA$304,B78),"")</f>
        <v/>
      </c>
      <c r="G78" s="38" t="str">
        <f>IF(N(C78)=0,"",IF(C78&lt;10,"样本太少",""))</f>
        <v/>
      </c>
    </row>
    <row r="79">
      <c r="B79" s="61" t="str">
        <f>T('参数'!$C$46)</f>
        <v/>
      </c>
      <c r="C79" s="58" t="str">
        <f>IF(B79="","",COUNTIFS('交易记录'!$AF$5:$AF$304,"已平仓",'交易记录'!$AA$5:$AA$304,B79))</f>
        <v/>
      </c>
      <c r="D79" s="59" t="str">
        <f>IF(N(C79)&gt;0,COUNTIFS('交易记录'!$AF$5:$AF$304,"已平仓",'交易记录'!$AA$5:$AA$304,B79,'交易记录'!$AK$5:$AK$304,"&gt;0")/C79,"")</f>
        <v/>
      </c>
      <c r="E79" s="53" t="str">
        <f>IF(N(C79)&gt;0,SUMIFS('交易记录'!$AK$5:$AK$304,'交易记录'!$AF$5:$AF$304,"已平仓",'交易记录'!$AA$5:$AA$304,B79)/C79,"")</f>
        <v/>
      </c>
      <c r="F79" s="53" t="str">
        <f>IF(N(C79)&gt;0,SUMIFS('交易记录'!$AK$5:$AK$304,'交易记录'!$AF$5:$AF$304,"已平仓",'交易记录'!$AA$5:$AA$304,B79),"")</f>
        <v/>
      </c>
      <c r="G79" s="38" t="str">
        <f>IF(N(C79)=0,"",IF(C79&lt;10,"样本太少",""))</f>
        <v/>
      </c>
    </row>
    <row r="81">
      <c r="B81" s="25" t="inlineStr">
        <is>
          <t>现货还是合约</t>
        </is>
      </c>
      <c r="C81" s="25" t="inlineStr">
        <is>
          <t>笔数</t>
        </is>
      </c>
      <c r="D81" s="25" t="inlineStr">
        <is>
          <t>胜率</t>
        </is>
      </c>
      <c r="E81" s="25" t="inlineStr">
        <is>
          <t>每笔平均净R</t>
        </is>
      </c>
      <c r="F81" s="25" t="inlineStr">
        <is>
          <t>合计净R</t>
        </is>
      </c>
      <c r="G81" s="25" t="inlineStr">
        <is>
          <t>样本</t>
        </is>
      </c>
    </row>
    <row r="82">
      <c r="B82" s="61" t="str">
        <f>T('参数'!$I$22)</f>
        <v>现货</v>
      </c>
      <c r="C82" s="58">
        <f>IF(B82="","",COUNTIFS('交易记录'!$AF$5:$AF$304,"已平仓",'交易记录'!$D$5:$D$304,B82))</f>
        <v>0</v>
      </c>
      <c r="D82" s="59" t="str">
        <f>IF(N(C82)&gt;0,COUNTIFS('交易记录'!$AF$5:$AF$304,"已平仓",'交易记录'!$D$5:$D$304,B82,'交易记录'!$AK$5:$AK$304,"&gt;0")/C82,"")</f>
        <v/>
      </c>
      <c r="E82" s="53" t="str">
        <f>IF(N(C82)&gt;0,SUMIFS('交易记录'!$AK$5:$AK$304,'交易记录'!$AF$5:$AF$304,"已平仓",'交易记录'!$D$5:$D$304,B82)/C82,"")</f>
        <v/>
      </c>
      <c r="F82" s="53" t="str">
        <f>IF(N(C82)&gt;0,SUMIFS('交易记录'!$AK$5:$AK$304,'交易记录'!$AF$5:$AF$304,"已平仓",'交易记录'!$D$5:$D$304,B82),"")</f>
        <v/>
      </c>
      <c r="G82" s="38" t="str">
        <f>IF(N(C82)=0,"",IF(C82&lt;10,"样本太少",""))</f>
        <v/>
      </c>
    </row>
    <row r="83">
      <c r="B83" s="61" t="str">
        <f>T('参数'!$I$23)</f>
        <v>合约</v>
      </c>
      <c r="C83" s="58">
        <f>IF(B83="","",COUNTIFS('交易记录'!$AF$5:$AF$304,"已平仓",'交易记录'!$D$5:$D$304,B83))</f>
        <v>0</v>
      </c>
      <c r="D83" s="59" t="str">
        <f>IF(N(C83)&gt;0,COUNTIFS('交易记录'!$AF$5:$AF$304,"已平仓",'交易记录'!$D$5:$D$304,B83,'交易记录'!$AK$5:$AK$304,"&gt;0")/C83,"")</f>
        <v/>
      </c>
      <c r="E83" s="53" t="str">
        <f>IF(N(C83)&gt;0,SUMIFS('交易记录'!$AK$5:$AK$304,'交易记录'!$AF$5:$AF$304,"已平仓",'交易记录'!$D$5:$D$304,B83)/C83,"")</f>
        <v/>
      </c>
      <c r="F83" s="53" t="str">
        <f>IF(N(C83)&gt;0,SUMIFS('交易记录'!$AK$5:$AK$304,'交易记录'!$AF$5:$AF$304,"已平仓",'交易记录'!$D$5:$D$304,B83),"")</f>
        <v/>
      </c>
      <c r="G83" s="38" t="str">
        <f>IF(N(C83)=0,"",IF(C83&lt;10,"样本太少",""))</f>
        <v/>
      </c>
    </row>
    <row r="85">
      <c r="B85" s="15" t="inlineStr">
        <is>
          <t>5. 下周只改一处</t>
        </is>
      </c>
    </row>
    <row r="86" ht="34" customHeight="1">
      <c r="B86" s="54" t="inlineStr">
        <is>
          <t>本区间最多的偏差是什么，发生在什么情况下</t>
        </is>
      </c>
      <c r="C86" s="30" t="n"/>
      <c r="D86" s="30" t="n"/>
      <c r="E86" s="30" t="n"/>
      <c r="F86" s="30" t="n"/>
      <c r="G86" s="30" t="n"/>
      <c r="H86" s="30" t="n"/>
      <c r="I86" s="30" t="n"/>
      <c r="J86" s="30" t="n"/>
    </row>
    <row r="87" ht="34" customHeight="1">
      <c r="B87" s="54" t="inlineStr">
        <is>
          <t>下周只练的一个动作（写成能检查的规则）</t>
        </is>
      </c>
      <c r="C87" s="30" t="n"/>
      <c r="D87" s="30" t="n"/>
      <c r="E87" s="30" t="n"/>
      <c r="F87" s="30" t="n"/>
      <c r="G87" s="30" t="n"/>
      <c r="H87" s="30" t="n"/>
      <c r="I87" s="30" t="n"/>
      <c r="J87" s="30" t="n"/>
    </row>
    <row r="88" ht="34" customHeight="1">
      <c r="B88" s="54" t="inlineStr">
        <is>
          <t>下周不做的情况</t>
        </is>
      </c>
      <c r="C88" s="30" t="n"/>
      <c r="D88" s="30" t="n"/>
      <c r="E88" s="30" t="n"/>
      <c r="F88" s="30" t="n"/>
      <c r="G88" s="30" t="n"/>
      <c r="H88" s="30" t="n"/>
      <c r="I88" s="30" t="n"/>
      <c r="J88" s="30" t="n"/>
    </row>
    <row r="89" ht="34" customHeight="1">
      <c r="B89" s="54" t="inlineStr">
        <is>
          <t>上一次定的那一处，这次做到了吗</t>
        </is>
      </c>
      <c r="C89" s="30" t="n"/>
      <c r="D89" s="30" t="n"/>
      <c r="E89" s="30" t="n"/>
      <c r="F89" s="30" t="n"/>
      <c r="G89" s="30" t="n"/>
      <c r="H89" s="30" t="n"/>
      <c r="I89" s="30" t="n"/>
      <c r="J89" s="30" t="n"/>
    </row>
  </sheetData>
  <mergeCells count="45">
    <mergeCell ref="E19:J19"/>
    <mergeCell ref="C86:J86"/>
    <mergeCell ref="E28:J28"/>
    <mergeCell ref="E40:J40"/>
    <mergeCell ref="I11:J11"/>
    <mergeCell ref="E31:J31"/>
    <mergeCell ref="C89:J89"/>
    <mergeCell ref="E34:J34"/>
    <mergeCell ref="E30:J30"/>
    <mergeCell ref="C88:J88"/>
    <mergeCell ref="E36:J36"/>
    <mergeCell ref="I7:J7"/>
    <mergeCell ref="E27:J27"/>
    <mergeCell ref="E45:J45"/>
    <mergeCell ref="E26:J26"/>
    <mergeCell ref="E44:J44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  <mergeCell ref="C87:J87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79">
    <cfRule type="cellIs" priority="27" operator="greaterThan" dxfId="0">
      <formula>0</formula>
    </cfRule>
    <cfRule type="cellIs" priority="28" operator="lessThan" dxfId="1">
      <formula>0</formula>
    </cfRule>
  </conditionalFormatting>
  <conditionalFormatting sqref="E82:F83">
    <cfRule type="cellIs" priority="29" operator="greaterThan" dxfId="0">
      <formula>0</formula>
    </cfRule>
    <cfRule type="cellIs" priority="30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  <rowBreaks count="1" manualBreakCount="1">
    <brk id="59" min="0" max="16383" man="1"/>
  </rowBreaks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0"/>
  </sheetPr>
  <dimension ref="A1:AR2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5.5" customWidth="1" min="4" max="4"/>
    <col width="8" customWidth="1" min="5" max="5"/>
    <col width="5" customWidth="1" min="6" max="6"/>
    <col width="5.5" customWidth="1" min="7" max="7"/>
    <col width="6.5" customWidth="1" min="8" max="8"/>
    <col width="8" customWidth="1" min="9" max="9"/>
    <col width="6" customWidth="1" min="10" max="10"/>
    <col width="8" customWidth="1" min="11" max="11"/>
    <col width="8" customWidth="1" min="12" max="12"/>
    <col width="8" customWidth="1" min="13" max="13"/>
    <col width="6.5" customWidth="1" min="14" max="14"/>
    <col width="8.5" customWidth="1" min="15" max="15"/>
    <col width="8" customWidth="1" min="16" max="16"/>
    <col width="8.5" customWidth="1" min="17" max="17"/>
    <col width="9" customWidth="1" min="18" max="18"/>
    <col width="8.5" customWidth="1" min="19" max="19"/>
    <col width="8.5" customWidth="1" min="20" max="20"/>
    <col width="7.5" customWidth="1" min="21" max="21"/>
    <col width="13" customWidth="1" min="22" max="22"/>
    <col width="18" customWidth="1" min="23" max="23"/>
    <col width="7.5" customWidth="1" min="24" max="24"/>
    <col width="10.5" customWidth="1" min="25" max="25"/>
    <col width="10.5" customWidth="1" min="26" max="26"/>
    <col width="9" customWidth="1" min="27" max="27"/>
    <col width="7.5" customWidth="1" min="28" max="28"/>
    <col width="8" customWidth="1" min="29" max="29"/>
    <col width="7.5" customWidth="1" min="30" max="30"/>
    <col width="8" customWidth="1" min="31" max="31"/>
    <col width="7.5" customWidth="1" min="32" max="32"/>
    <col width="8" customWidth="1" min="33" max="33"/>
    <col width="8" customWidth="1" min="34" max="34"/>
    <col width="9.5" customWidth="1" min="35" max="35"/>
    <col width="6.5" customWidth="1" min="36" max="36"/>
    <col width="6.5" customWidth="1" min="37" max="37"/>
    <col width="7.5" customWidth="1" min="38" max="38"/>
    <col width="9" customWidth="1" min="39" max="39"/>
    <col width="6" customWidth="1" min="40" max="40"/>
    <col width="8" customWidth="1" min="41" max="41"/>
    <col width="30" customWidth="1" min="42" max="42"/>
    <col width="7" customWidth="1" min="43" max="43"/>
    <col width="7" customWidth="1" min="44" max="44"/>
  </cols>
  <sheetData>
    <row r="1" ht="30" customHeight="1">
      <c r="A1" s="13" t="inlineStr">
        <is>
          <t>示例 · 加密货币交易日志：交易记录</t>
        </is>
      </c>
      <c r="AP1" s="14" t="inlineStr">
        <is>
          <t>TradeLearn · XtradingTime 交易内训</t>
        </is>
      </c>
    </row>
    <row r="2" ht="20" customHeight="1">
      <c r="A2" s="63" t="inlineStr">
        <is>
          <t>虚构示例，仅演示填法：品种、日期、价格和成交全部虚构，不是真实行情，也不构成任何买卖建议。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8" t="n"/>
      <c r="O3" s="28" t="n"/>
      <c r="P3" s="28" t="n"/>
      <c r="Q3" s="28" t="n"/>
      <c r="R3" s="28" t="inlineStr">
        <is>
          <t>合约：保证金与强平</t>
        </is>
      </c>
      <c r="S3" s="28" t="n"/>
      <c r="T3" s="28" t="n"/>
      <c r="U3" s="28" t="n"/>
      <c r="V3" s="28" t="n"/>
      <c r="W3" s="28" t="inlineStr">
        <is>
          <t>失效条件</t>
        </is>
      </c>
      <c r="X3" s="28" t="inlineStr">
        <is>
          <t>实际成交（从成交明细自动汇总）</t>
        </is>
      </c>
      <c r="Y3" s="28" t="n"/>
      <c r="Z3" s="28" t="n"/>
      <c r="AA3" s="28" t="n"/>
      <c r="AB3" s="28" t="n"/>
      <c r="AC3" s="28" t="n"/>
      <c r="AD3" s="28" t="n"/>
      <c r="AE3" s="28" t="n"/>
      <c r="AF3" s="28" t="n"/>
      <c r="AG3" s="28" t="inlineStr">
        <is>
          <t>结果（费后）</t>
        </is>
      </c>
      <c r="AH3" s="28" t="n"/>
      <c r="AI3" s="28" t="n"/>
      <c r="AJ3" s="28" t="n"/>
      <c r="AK3" s="28" t="n"/>
      <c r="AL3" s="28" t="n"/>
      <c r="AM3" s="28" t="n"/>
      <c r="AN3" s="28" t="inlineStr">
        <is>
          <t>过程</t>
        </is>
      </c>
      <c r="AO3" s="28" t="n"/>
      <c r="AP3" s="28" t="n"/>
      <c r="AQ3" s="28" t="inlineStr">
        <is>
          <t>曲线</t>
        </is>
      </c>
      <c r="AR3" s="28" t="n"/>
    </row>
    <row r="4" ht="79.59999999999999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品种</t>
        </is>
      </c>
      <c r="D4" s="25" t="inlineStr">
        <is>
          <t>类型</t>
        </is>
      </c>
      <c r="E4" s="25" t="inlineStr">
        <is>
          <t>策略</t>
        </is>
      </c>
      <c r="F4" s="25" t="inlineStr">
        <is>
          <t>方向</t>
        </is>
      </c>
      <c r="G4" s="25" t="inlineStr">
        <is>
          <t>杠杆（倍）</t>
        </is>
      </c>
      <c r="H4" s="25" t="inlineStr">
        <is>
          <t>保证金模式</t>
        </is>
      </c>
      <c r="I4" s="25" t="inlineStr">
        <is>
          <t>维持保证金率（空着用默认）</t>
        </is>
      </c>
      <c r="J4" s="25" t="inlineStr">
        <is>
          <t>最小单位</t>
        </is>
      </c>
      <c r="K4" s="25" t="inlineStr">
        <is>
          <t>计划入场价</t>
        </is>
      </c>
      <c r="L4" s="25" t="inlineStr">
        <is>
          <t>止损价</t>
        </is>
      </c>
      <c r="M4" s="25" t="inlineStr">
        <is>
          <t>目标价</t>
        </is>
      </c>
      <c r="N4" s="25" t="inlineStr">
        <is>
          <t>计划风报比</t>
        </is>
      </c>
      <c r="O4" s="25" t="inlineStr">
        <is>
          <t>建议数量</t>
        </is>
      </c>
      <c r="P4" s="25" t="inlineStr">
        <is>
          <t>计划数量</t>
        </is>
      </c>
      <c r="Q4" s="25" t="inlineStr">
        <is>
          <t>1R（USDT）</t>
        </is>
      </c>
      <c r="R4" s="25" t="inlineStr">
        <is>
          <t>名义价值（USDT）</t>
        </is>
      </c>
      <c r="S4" s="25" t="inlineStr">
        <is>
          <t>占用保证金</t>
        </is>
      </c>
      <c r="T4" s="25" t="inlineStr">
        <is>
          <t>估算强平价</t>
        </is>
      </c>
      <c r="U4" s="25" t="inlineStr">
        <is>
          <t>强平离止损多远</t>
        </is>
      </c>
      <c r="V4" s="25" t="inlineStr">
        <is>
          <t>强平检查</t>
        </is>
      </c>
      <c r="W4" s="25" t="inlineStr">
        <is>
          <t>失效条件 / 不做的情况</t>
        </is>
      </c>
      <c r="X4" s="25" t="inlineStr">
        <is>
          <t>执行情况</t>
        </is>
      </c>
      <c r="Y4" s="25" t="inlineStr">
        <is>
          <t>开仓日</t>
        </is>
      </c>
      <c r="Z4" s="25" t="inlineStr">
        <is>
          <t>平仓日</t>
        </is>
      </c>
      <c r="AA4" s="25" t="inlineStr">
        <is>
          <t>开仓时段</t>
        </is>
      </c>
      <c r="AB4" s="25" t="inlineStr">
        <is>
          <t>开仓数量</t>
        </is>
      </c>
      <c r="AC4" s="25" t="inlineStr">
        <is>
          <t>开仓均价</t>
        </is>
      </c>
      <c r="AD4" s="25" t="inlineStr">
        <is>
          <t>平仓数量</t>
        </is>
      </c>
      <c r="AE4" s="25" t="inlineStr">
        <is>
          <t>平仓均价</t>
        </is>
      </c>
      <c r="AF4" s="25" t="inlineStr">
        <is>
          <t>状态</t>
        </is>
      </c>
      <c r="AG4" s="25" t="inlineStr">
        <is>
          <t>费用</t>
        </is>
      </c>
      <c r="AH4" s="25" t="inlineStr">
        <is>
          <t>资金费合计（收为正）</t>
        </is>
      </c>
      <c r="AI4" s="25" t="inlineStr">
        <is>
          <t>净盈亏</t>
        </is>
      </c>
      <c r="AJ4" s="25" t="inlineStr">
        <is>
          <t>毛R（不扣费用）</t>
        </is>
      </c>
      <c r="AK4" s="25" t="inlineStr">
        <is>
          <t>净R</t>
        </is>
      </c>
      <c r="AL4" s="25" t="inlineStr">
        <is>
          <t>进场偏差（不利为正）</t>
        </is>
      </c>
      <c r="AM4" s="25" t="inlineStr">
        <is>
          <t>出场偏差（亏单比止损、赚单比目标，不利为正）</t>
        </is>
      </c>
      <c r="AN4" s="25" t="inlineStr">
        <is>
          <t>过程打分</t>
        </is>
      </c>
      <c r="AO4" s="25" t="inlineStr">
        <is>
          <t>偏差标签</t>
        </is>
      </c>
      <c r="AP4" s="25" t="inlineStr">
        <is>
          <t>备注（截图编号、下一步只改一处）</t>
        </is>
      </c>
      <c r="AQ4" s="25" t="inlineStr">
        <is>
          <t>累计净R</t>
        </is>
      </c>
      <c r="AR4" s="25" t="inlineStr">
        <is>
          <t>离高点回撤</t>
        </is>
      </c>
    </row>
    <row r="5" ht="32" customHeight="1">
      <c r="A5" s="24" t="n">
        <v>1</v>
      </c>
      <c r="B5" s="29" t="n">
        <v>47665</v>
      </c>
      <c r="C5" s="30" t="inlineStr">
        <is>
          <t>币A</t>
        </is>
      </c>
      <c r="D5" s="31" t="inlineStr">
        <is>
          <t>现货</t>
        </is>
      </c>
      <c r="E5" s="31" t="inlineStr">
        <is>
          <t>突破</t>
        </is>
      </c>
      <c r="F5" s="31" t="inlineStr">
        <is>
          <t>多</t>
        </is>
      </c>
      <c r="G5" s="21" t="n"/>
      <c r="H5" s="31" t="n"/>
      <c r="I5" s="23" t="n"/>
      <c r="J5" s="31" t="n">
        <v>0.01</v>
      </c>
      <c r="K5" s="32" t="n">
        <v>100</v>
      </c>
      <c r="L5" s="32" t="n">
        <v>95</v>
      </c>
      <c r="M5" s="32" t="n">
        <v>115</v>
      </c>
      <c r="N5" s="33">
        <f>IF(AND(ISNUMBER(K5),ISNUMBER(L5),ISNUMBER(M5)),IF(OR(AND(F5="多",K5&gt;L5),AND(F5="空",K5&lt;L5)),ABS(M5-K5)/ABS(K5-L5),"止损方向不对"),"")</f>
        <v>3</v>
      </c>
      <c r="O5" s="34">
        <f>IF(AND(ISNUMBER(K5),ISNUMBER(L5)),IF(K5=L5,"",IF(INT(ROUND('参数'!$C$7/(ABS(K5-L5)*1+2*K5*'参数'!$C$12)/IF(N(J5)&gt;0,J5,1),6))*IF(N(J5)&gt;0,J5,1)&gt;0,INT(ROUND('参数'!$C$7/(ABS(K5-L5)*1+2*K5*'参数'!$C$12)/IF(N(J5)&gt;0,J5,1),6))*IF(N(J5)&gt;0,J5,1),"预算不足，这笔不做")),"")</f>
        <v>19.6</v>
      </c>
      <c r="P5" s="35" t="n">
        <v>19.5</v>
      </c>
      <c r="Q5" s="20">
        <f>IF(AND(ISNUMBER(K5),ISNUMBER(L5),ISNUMBER(P5)),IF(AND(K5&lt;&gt;L5,P5&gt;0),ABS(K5-L5)*P5*1,""),"")</f>
        <v>97.5</v>
      </c>
      <c r="R5" s="20">
        <f>IF(AND(ISNUMBER(K5),ISNUMBER(P5)),K5*P5,"")</f>
        <v>1950</v>
      </c>
      <c r="S5" s="20" t="str">
        <f>IF(AND(D5="合约",ISNUMBER(R5),N(G5)&gt;0),R5/G5,"")</f>
        <v/>
      </c>
      <c r="T5" s="36" t="str">
        <f>IF(NOT(D5="合约"),"",IF(H5&lt;&gt;"逐仓","看平台",IF(AND(ISNUMBER(K5),N(G5)&gt;0),IF(F5="空",K5*(1+1/G5-IF(ISNUMBER(I5),I5,'参数'!$C$13)),K5*(1-1/G5+IF(ISNUMBER(I5),I5,'参数'!$C$13))),"")))</f>
        <v/>
      </c>
      <c r="U5" s="37" t="str">
        <f>IF(AND(ISNUMBER(T5),ISNUMBER(L5),ISNUMBER(K5)),IF(F5="空",T5-L5,L5-T5)/K5,"")</f>
        <v/>
      </c>
      <c r="V5" s="38" t="str">
        <f>IF(ISNUMBER(U5),IF(U5&lt;'参数'!$C$15,"先降杠杆或减量","在止损外"),"")</f>
        <v/>
      </c>
      <c r="W5" s="30" t="inlineStr">
        <is>
          <t>日线收回 98 下方就走</t>
        </is>
      </c>
      <c r="X5" s="31" t="inlineStr">
        <is>
          <t>已执行</t>
        </is>
      </c>
      <c r="Y5" s="39">
        <f>IF(N(AB5)&gt;0,SUMPRODUCT(LARGE(('例-成交明细'!$A$5:$A$804=A5)*('例-成交明细'!$D$5:$D$804=IF(F5="空","卖","买"))*'例-成交明细'!$B$5:$B$804,COUNTIFS('例-成交明细'!$A$5:$A$804,A5,'例-成交明细'!$D$5:$D$804,IF(F5="空","卖","买")))),"")</f>
        <v>47665.0</v>
      </c>
      <c r="Z5" s="39">
        <f>IF(AND(N(AB5)&gt;0,N(AD5)&gt;=N(AB5)),SUMPRODUCT(MAX(('例-成交明细'!$A$5:$A$804=A5)*('例-成交明细'!$D$5:$D$804=IF(F5="空","买","卖"))*'例-成交明细'!$B$5:$B$804)),"")</f>
        <v>47668.0</v>
      </c>
      <c r="AA5" s="40" t="str">
        <f>IF(N(AB5)=0,"",IF(SUMPRODUCT(('例-成交明细'!$A$5:$A$804=A5)*('例-成交明细'!$D$5:$D$804=IF(F5="空","卖","买"))*ISNUMBER('例-成交明细'!$C$5:$C$804))=0,"没填时间",IFERROR(VLOOKUP(MOD(SUMPRODUCT(LARGE(('例-成交明细'!$A$5:$A$804=A5)*('例-成交明细'!$D$5:$D$804=IF(F5="空","卖","买"))*('例-成交明细'!$B$5:$B$804+'例-成交明细'!$C$5:$C$804),COUNTIFS('例-成交明细'!$A$5:$A$804,A5,'例-成交明细'!$D$5:$D$804,IF(F5="空","卖","买")))),1),'参数'!$B$39:$C$48,2,TRUE),"")))</f>
        <v>08～12 点</v>
      </c>
      <c r="AB5" s="34">
        <f>IF(A5="","",SUMIFS('例-成交明细'!$F$5:$F$804,'例-成交明细'!$A$5:$A$804,A5,'例-成交明细'!$D$5:$D$804,IF(F5="空","卖","买")))</f>
        <v>19.5</v>
      </c>
      <c r="AC5" s="41">
        <f>IF(N(AB5)&gt;0,SUMIFS('例-成交明细'!$H$5:$H$804,'例-成交明细'!$A$5:$A$804,A5,'例-成交明细'!$D$5:$D$804,IF(F5="空","卖","买"))/AB5,"")</f>
        <v>100.2</v>
      </c>
      <c r="AD5" s="34">
        <f>IF(A5="","",SUMIFS('例-成交明细'!$F$5:$F$804,'例-成交明细'!$A$5:$A$804,A5,'例-成交明细'!$D$5:$D$804,IF(F5="空","买","卖")))</f>
        <v>19.5</v>
      </c>
      <c r="AE5" s="41">
        <f>IF(N(AD5)&gt;0,SUMIFS('例-成交明细'!$H$5:$H$804,'例-成交明细'!$A$5:$A$804,A5,'例-成交明细'!$D$5:$D$804,IF(F5="空","买","卖"))/AD5,"")</f>
        <v>114.5</v>
      </c>
      <c r="AF5" s="38" t="str">
        <f>IF(A5="","",IF(X5&lt;&gt;"已执行",IF(X5="","未填执行情况",X5),IF(N(AB5)=0,"待录成交",IF(N(AD5)&gt;N(AB5),"平仓多于开仓",IF(N(AD5)&lt;N(AB5),"持仓中","已平仓")))))</f>
        <v>已平仓</v>
      </c>
      <c r="AG5" s="42">
        <f>IF(N(AB5)=0,"",SUMIFS('例-成交明细'!$L$5:$L$804,'例-成交明细'!$A$5:$A$804,A5))</f>
        <v>2.4236</v>
      </c>
      <c r="AH5" s="43">
        <f>IF(A5="","",SUMIFS('例-资金费流水'!$F$5:$F$604,'例-资金费流水'!$B$5:$B$604,A5))</f>
        <v>0</v>
      </c>
      <c r="AI5" s="43">
        <f>IF(AF5&lt;&gt;"已平仓","",(SUMIFS('例-成交明细'!$H$5:$H$804,'例-成交明细'!$A$5:$A$804,A5,'例-成交明细'!$D$5:$D$804,"卖")-SUMIFS('例-成交明细'!$H$5:$H$804,'例-成交明细'!$A$5:$A$804,A5,'例-成交明细'!$D$5:$D$804,"买"))*1-AG5+N(AH5))</f>
        <v>276.4264</v>
      </c>
      <c r="AJ5" s="44">
        <f>IF(AND(AF5="已平仓",ISNUMBER(Q5)),(SUMIFS('例-成交明细'!$H$5:$H$804,'例-成交明细'!$A$5:$A$804,A5,'例-成交明细'!$D$5:$D$804,"卖")-SUMIFS('例-成交明细'!$H$5:$H$804,'例-成交明细'!$A$5:$A$804,A5,'例-成交明细'!$D$5:$D$804,"买"))*1/Q5,"")</f>
        <v>2.86</v>
      </c>
      <c r="AK5" s="44">
        <f>IF(AND(AF5="已平仓",ISNUMBER(Q5)),AI5/Q5,"")</f>
        <v>2.83514256410256</v>
      </c>
      <c r="AL5" s="45">
        <f>IF(AND(ISNUMBER(AC5),ISNUMBER(K5)),IF(F5="空",K5-AC5,AC5-K5),"")</f>
        <v>0.200000000000003</v>
      </c>
      <c r="AM5" s="45">
        <f>IF(OR(NOT(ISNUMBER(AI5)),NOT(ISNUMBER(AE5))),"",IF(AI5&lt;0,IF(F5="空",AE5-L5,L5-AE5),IF(NOT(ISNUMBER(M5)),"",IF(F5="空",AE5-M5,M5-AE5))))</f>
        <v>0.5</v>
      </c>
      <c r="AN5" s="31" t="inlineStr">
        <is>
          <t>A</t>
        </is>
      </c>
      <c r="AO5" s="31" t="inlineStr">
        <is>
          <t>无</t>
        </is>
      </c>
      <c r="AP5" s="30" t="inlineStr">
        <is>
          <t>现货，到目标附近挂单卖完；提币到钱包付了一笔链上转账费</t>
        </is>
      </c>
      <c r="AQ5" s="44">
        <f>IF(A5="","",SUM(AK$5:AK5))</f>
        <v>2.83514256410256</v>
      </c>
      <c r="AR5" s="46">
        <f>IF(A5="","",MAX(0,MAX(AQ$5:AQ5))-AQ5)</f>
        <v>0</v>
      </c>
    </row>
    <row r="6" ht="32" customHeight="1">
      <c r="A6" s="24" t="n">
        <v>2</v>
      </c>
      <c r="B6" s="29" t="n">
        <v>47666</v>
      </c>
      <c r="C6" s="30" t="inlineStr">
        <is>
          <t>币B</t>
        </is>
      </c>
      <c r="D6" s="31" t="inlineStr">
        <is>
          <t>合约</t>
        </is>
      </c>
      <c r="E6" s="31" t="inlineStr">
        <is>
          <t>回踩</t>
        </is>
      </c>
      <c r="F6" s="31" t="inlineStr">
        <is>
          <t>多</t>
        </is>
      </c>
      <c r="G6" s="21" t="n">
        <v>10</v>
      </c>
      <c r="H6" s="31" t="inlineStr">
        <is>
          <t>逐仓</t>
        </is>
      </c>
      <c r="I6" s="23" t="n"/>
      <c r="J6" s="31" t="n">
        <v>0.01</v>
      </c>
      <c r="K6" s="32" t="n">
        <v>2000</v>
      </c>
      <c r="L6" s="32" t="n">
        <v>1960</v>
      </c>
      <c r="M6" s="32" t="n">
        <v>2120</v>
      </c>
      <c r="N6" s="33">
        <f>IF(AND(ISNUMBER(K6),ISNUMBER(L6),ISNUMBER(M6)),IF(OR(AND(F6="多",K6&gt;L6),AND(F6="空",K6&lt;L6)),ABS(M6-K6)/ABS(K6-L6),"止损方向不对"),"")</f>
        <v>3</v>
      </c>
      <c r="O6" s="34">
        <f>IF(AND(ISNUMBER(K6),ISNUMBER(L6)),IF(K6=L6,"",IF(INT(ROUND('参数'!$C$7/(ABS(K6-L6)*1+2*K6*'参数'!$C$12)/IF(N(J6)&gt;0,J6,1),6))*IF(N(J6)&gt;0,J6,1)&gt;0,INT(ROUND('参数'!$C$7/(ABS(K6-L6)*1+2*K6*'参数'!$C$12)/IF(N(J6)&gt;0,J6,1),6))*IF(N(J6)&gt;0,J6,1),"预算不足，这笔不做")),"")</f>
        <v>2.38</v>
      </c>
      <c r="P6" s="35" t="n">
        <v>2.3</v>
      </c>
      <c r="Q6" s="20">
        <f>IF(AND(ISNUMBER(K6),ISNUMBER(L6),ISNUMBER(P6)),IF(AND(K6&lt;&gt;L6,P6&gt;0),ABS(K6-L6)*P6*1,""),"")</f>
        <v>92</v>
      </c>
      <c r="R6" s="20">
        <f>IF(AND(ISNUMBER(K6),ISNUMBER(P6)),K6*P6,"")</f>
        <v>4600</v>
      </c>
      <c r="S6" s="20">
        <f>IF(AND(D6="合约",ISNUMBER(R6),N(G6)&gt;0),R6/G6,"")</f>
        <v>460</v>
      </c>
      <c r="T6" s="36">
        <f>IF(NOT(D6="合约"),"",IF(H6&lt;&gt;"逐仓","看平台",IF(AND(ISNUMBER(K6),N(G6)&gt;0),IF(F6="空",K6*(1+1/G6-IF(ISNUMBER(I6),I6,'参数'!$C$13)),K6*(1-1/G6+IF(ISNUMBER(I6),I6,'参数'!$C$13))),"")))</f>
        <v>1810</v>
      </c>
      <c r="U6" s="37">
        <f>IF(AND(ISNUMBER(T6),ISNUMBER(L6),ISNUMBER(K6)),IF(F6="空",T6-L6,L6-T6)/K6,"")</f>
        <v>0.075</v>
      </c>
      <c r="V6" s="38" t="str">
        <f>IF(ISNUMBER(U6),IF(U6&lt;'参数'!$C$15,"先降杠杆或减量","在止损外"),"")</f>
        <v>在止损外</v>
      </c>
      <c r="W6" s="30" t="inlineStr">
        <is>
          <t>4 小时收在 1960 下方就走</t>
        </is>
      </c>
      <c r="X6" s="31" t="inlineStr">
        <is>
          <t>已执行</t>
        </is>
      </c>
      <c r="Y6" s="39">
        <f>IF(N(AB6)&gt;0,SUMPRODUCT(LARGE(('例-成交明细'!$A$5:$A$804=A6)*('例-成交明细'!$D$5:$D$804=IF(F6="空","卖","买"))*'例-成交明细'!$B$5:$B$804,COUNTIFS('例-成交明细'!$A$5:$A$804,A6,'例-成交明细'!$D$5:$D$804,IF(F6="空","卖","买")))),"")</f>
        <v>47666.0</v>
      </c>
      <c r="Z6" s="39">
        <f>IF(AND(N(AB6)&gt;0,N(AD6)&gt;=N(AB6)),SUMPRODUCT(MAX(('例-成交明细'!$A$5:$A$804=A6)*('例-成交明细'!$D$5:$D$804=IF(F6="空","买","卖"))*'例-成交明细'!$B$5:$B$804)),"")</f>
        <v>47669.0</v>
      </c>
      <c r="AA6" s="40" t="str">
        <f>IF(N(AB6)=0,"",IF(SUMPRODUCT(('例-成交明细'!$A$5:$A$804=A6)*('例-成交明细'!$D$5:$D$804=IF(F6="空","卖","买"))*ISNUMBER('例-成交明细'!$C$5:$C$804))=0,"没填时间",IFERROR(VLOOKUP(MOD(SUMPRODUCT(LARGE(('例-成交明细'!$A$5:$A$804=A6)*('例-成交明细'!$D$5:$D$804=IF(F6="空","卖","买"))*('例-成交明细'!$B$5:$B$804+'例-成交明细'!$C$5:$C$804),COUNTIFS('例-成交明细'!$A$5:$A$804,A6,'例-成交明细'!$D$5:$D$804,IF(F6="空","卖","买")))),1),'参数'!$B$39:$C$48,2,TRUE),"")))</f>
        <v>12～16 点</v>
      </c>
      <c r="AB6" s="34">
        <f>IF(A6="","",SUMIFS('例-成交明细'!$F$5:$F$804,'例-成交明细'!$A$5:$A$804,A6,'例-成交明细'!$D$5:$D$804,IF(F6="空","卖","买")))</f>
        <v>2.3</v>
      </c>
      <c r="AC6" s="41">
        <f>IF(N(AB6)&gt;0,SUMIFS('例-成交明细'!$H$5:$H$804,'例-成交明细'!$A$5:$A$804,A6,'例-成交明细'!$D$5:$D$804,IF(F6="空","卖","买"))/AB6,"")</f>
        <v>2001</v>
      </c>
      <c r="AD6" s="34">
        <f>IF(A6="","",SUMIFS('例-成交明细'!$F$5:$F$804,'例-成交明细'!$A$5:$A$804,A6,'例-成交明细'!$D$5:$D$804,IF(F6="空","买","卖")))</f>
        <v>2.3</v>
      </c>
      <c r="AE6" s="41">
        <f>IF(N(AD6)&gt;0,SUMIFS('例-成交明细'!$H$5:$H$804,'例-成交明细'!$A$5:$A$804,A6,'例-成交明细'!$D$5:$D$804,IF(F6="空","买","卖"))/AD6,"")</f>
        <v>2118</v>
      </c>
      <c r="AF6" s="38" t="str">
        <f>IF(A6="","",IF(X6&lt;&gt;"已执行",IF(X6="","未填执行情况",X6),IF(N(AB6)=0,"待录成交",IF(N(AD6)&gt;N(AB6),"平仓多于开仓",IF(N(AD6)&lt;N(AB6),"持仓中","已平仓")))))</f>
        <v>已平仓</v>
      </c>
      <c r="AG6" s="42">
        <f>IF(N(AB6)=0,"",SUMIFS('例-成交明细'!$L$5:$L$804,'例-成交明细'!$A$5:$A$804,A6))</f>
        <v>3.2755</v>
      </c>
      <c r="AH6" s="43">
        <f>IF(A6="","",SUMIFS('例-资金费流水'!$F$5:$F$604,'例-资金费流水'!$B$5:$B$604,A6))</f>
        <v>-3.751445</v>
      </c>
      <c r="AI6" s="43">
        <f>IF(AF6&lt;&gt;"已平仓","",(SUMIFS('例-成交明细'!$H$5:$H$804,'例-成交明细'!$A$5:$A$804,A6,'例-成交明细'!$D$5:$D$804,"卖")-SUMIFS('例-成交明细'!$H$5:$H$804,'例-成交明细'!$A$5:$A$804,A6,'例-成交明细'!$D$5:$D$804,"买"))*1-AG6+N(AH6))</f>
        <v>262.073055</v>
      </c>
      <c r="AJ6" s="44">
        <f>IF(AND(AF6="已平仓",ISNUMBER(Q6)),(SUMIFS('例-成交明细'!$H$5:$H$804,'例-成交明细'!$A$5:$A$804,A6,'例-成交明细'!$D$5:$D$804,"卖")-SUMIFS('例-成交明细'!$H$5:$H$804,'例-成交明细'!$A$5:$A$804,A6,'例-成交明细'!$D$5:$D$804,"买"))*1/Q6,"")</f>
        <v>2.925</v>
      </c>
      <c r="AK6" s="44">
        <f>IF(AND(AF6="已平仓",ISNUMBER(Q6)),AI6/Q6,"")</f>
        <v>2.84862016304348</v>
      </c>
      <c r="AL6" s="45">
        <f>IF(AND(ISNUMBER(AC6),ISNUMBER(K6)),IF(F6="空",K6-AC6,AC6-K6),"")</f>
        <v>0.999999999999773</v>
      </c>
      <c r="AM6" s="45">
        <f>IF(OR(NOT(ISNUMBER(AI6)),NOT(ISNUMBER(AE6))),"",IF(AI6&lt;0,IF(F6="空",AE6-L6,L6-AE6),IF(NOT(ISNUMBER(M6)),"",IF(F6="空",AE6-M6,M6-AE6))))</f>
        <v>2</v>
      </c>
      <c r="AN6" s="31" t="inlineStr">
        <is>
          <t>A</t>
        </is>
      </c>
      <c r="AO6" s="31" t="inlineStr">
        <is>
          <t>无</t>
        </is>
      </c>
      <c r="AP6" s="30" t="inlineStr">
        <is>
          <t>10 倍逐仓，强平约在入场下方 9.5%，在止损外面</t>
        </is>
      </c>
      <c r="AQ6" s="44">
        <f>IF(A6="","",SUM(AK$5:AK6))</f>
        <v>5.68376272714605</v>
      </c>
      <c r="AR6" s="46">
        <f>IF(A6="","",MAX(0,MAX(AQ$5:AQ6))-AQ6)</f>
        <v>0</v>
      </c>
    </row>
    <row r="7" ht="46" customHeight="1">
      <c r="A7" s="24" t="n">
        <v>3</v>
      </c>
      <c r="B7" s="29" t="n">
        <v>47667</v>
      </c>
      <c r="C7" s="30" t="inlineStr">
        <is>
          <t>币A</t>
        </is>
      </c>
      <c r="D7" s="31" t="inlineStr">
        <is>
          <t>合约</t>
        </is>
      </c>
      <c r="E7" s="31" t="inlineStr">
        <is>
          <t>区间反转</t>
        </is>
      </c>
      <c r="F7" s="31" t="inlineStr">
        <is>
          <t>空</t>
        </is>
      </c>
      <c r="G7" s="21" t="n">
        <v>20</v>
      </c>
      <c r="H7" s="31" t="inlineStr">
        <is>
          <t>逐仓</t>
        </is>
      </c>
      <c r="I7" s="23" t="n"/>
      <c r="J7" s="31" t="n">
        <v>0.01</v>
      </c>
      <c r="K7" s="32" t="n">
        <v>110</v>
      </c>
      <c r="L7" s="32" t="n">
        <v>113</v>
      </c>
      <c r="M7" s="32" t="n">
        <v>101</v>
      </c>
      <c r="N7" s="33">
        <f>IF(AND(ISNUMBER(K7),ISNUMBER(L7),ISNUMBER(M7)),IF(OR(AND(F7="多",K7&gt;L7),AND(F7="空",K7&lt;L7)),ABS(M7-K7)/ABS(K7-L7),"止损方向不对"),"")</f>
        <v>3</v>
      </c>
      <c r="O7" s="34">
        <f>IF(AND(ISNUMBER(K7),ISNUMBER(L7)),IF(K7=L7,"",IF(INT(ROUND('参数'!$C$7/(ABS(K7-L7)*1+2*K7*'参数'!$C$12)/IF(N(J7)&gt;0,J7,1),6))*IF(N(J7)&gt;0,J7,1)&gt;0,INT(ROUND('参数'!$C$7/(ABS(K7-L7)*1+2*K7*'参数'!$C$12)/IF(N(J7)&gt;0,J7,1),6))*IF(N(J7)&gt;0,J7,1),"预算不足，这笔不做")),"")</f>
        <v>32.15</v>
      </c>
      <c r="P7" s="35" t="n">
        <v>32</v>
      </c>
      <c r="Q7" s="20">
        <f>IF(AND(ISNUMBER(K7),ISNUMBER(L7),ISNUMBER(P7)),IF(AND(K7&lt;&gt;L7,P7&gt;0),ABS(K7-L7)*P7*1,""),"")</f>
        <v>96</v>
      </c>
      <c r="R7" s="20">
        <f>IF(AND(ISNUMBER(K7),ISNUMBER(P7)),K7*P7,"")</f>
        <v>3520</v>
      </c>
      <c r="S7" s="20">
        <f>IF(AND(D7="合约",ISNUMBER(R7),N(G7)&gt;0),R7/G7,"")</f>
        <v>176</v>
      </c>
      <c r="T7" s="36">
        <f>IF(NOT(D7="合约"),"",IF(H7&lt;&gt;"逐仓","看平台",IF(AND(ISNUMBER(K7),N(G7)&gt;0),IF(F7="空",K7*(1+1/G7-IF(ISNUMBER(I7),I7,'参数'!$C$13)),K7*(1-1/G7+IF(ISNUMBER(I7),I7,'参数'!$C$13))),"")))</f>
        <v>114.95</v>
      </c>
      <c r="U7" s="37">
        <f>IF(AND(ISNUMBER(T7),ISNUMBER(L7),ISNUMBER(K7)),IF(F7="空",T7-L7,L7-T7)/K7,"")</f>
        <v>0.0177272727272729</v>
      </c>
      <c r="V7" s="38" t="str">
        <f>IF(ISNUMBER(U7),IF(U7&lt;'参数'!$C$15,"先降杠杆或减量","在止损外"),"")</f>
        <v>先降杠杆或减量</v>
      </c>
      <c r="W7" s="30" t="inlineStr"/>
      <c r="X7" s="31" t="inlineStr">
        <is>
          <t>主动放弃</t>
        </is>
      </c>
      <c r="Y7" s="39" t="str">
        <f>IF(N(AB7)&gt;0,SUMPRODUCT(LARGE(('例-成交明细'!$A$5:$A$804=A7)*('例-成交明细'!$D$5:$D$804=IF(F7="空","卖","买"))*'例-成交明细'!$B$5:$B$804,COUNTIFS('例-成交明细'!$A$5:$A$804,A7,'例-成交明细'!$D$5:$D$804,IF(F7="空","卖","买")))),"")</f>
        <v/>
      </c>
      <c r="Z7" s="39" t="str">
        <f>IF(AND(N(AB7)&gt;0,N(AD7)&gt;=N(AB7)),SUMPRODUCT(MAX(('例-成交明细'!$A$5:$A$804=A7)*('例-成交明细'!$D$5:$D$804=IF(F7="空","买","卖"))*'例-成交明细'!$B$5:$B$804)),"")</f>
        <v/>
      </c>
      <c r="AA7" s="40" t="str">
        <f>IF(N(AB7)=0,"",IF(SUMPRODUCT(('例-成交明细'!$A$5:$A$804=A7)*('例-成交明细'!$D$5:$D$804=IF(F7="空","卖","买"))*ISNUMBER('例-成交明细'!$C$5:$C$804))=0,"没填时间",IFERROR(VLOOKUP(MOD(SUMPRODUCT(LARGE(('例-成交明细'!$A$5:$A$804=A7)*('例-成交明细'!$D$5:$D$804=IF(F7="空","卖","买"))*('例-成交明细'!$B$5:$B$804+'例-成交明细'!$C$5:$C$804),COUNTIFS('例-成交明细'!$A$5:$A$804,A7,'例-成交明细'!$D$5:$D$804,IF(F7="空","卖","买")))),1),'参数'!$B$39:$C$48,2,TRUE),"")))</f>
        <v/>
      </c>
      <c r="AB7" s="34">
        <f>IF(A7="","",SUMIFS('例-成交明细'!$F$5:$F$804,'例-成交明细'!$A$5:$A$804,A7,'例-成交明细'!$D$5:$D$804,IF(F7="空","卖","买")))</f>
        <v>0</v>
      </c>
      <c r="AC7" s="41" t="str">
        <f>IF(N(AB7)&gt;0,SUMIFS('例-成交明细'!$H$5:$H$804,'例-成交明细'!$A$5:$A$804,A7,'例-成交明细'!$D$5:$D$804,IF(F7="空","卖","买"))/AB7,"")</f>
        <v/>
      </c>
      <c r="AD7" s="34">
        <f>IF(A7="","",SUMIFS('例-成交明细'!$F$5:$F$804,'例-成交明细'!$A$5:$A$804,A7,'例-成交明细'!$D$5:$D$804,IF(F7="空","买","卖")))</f>
        <v>0</v>
      </c>
      <c r="AE7" s="41" t="str">
        <f>IF(N(AD7)&gt;0,SUMIFS('例-成交明细'!$H$5:$H$804,'例-成交明细'!$A$5:$A$804,A7,'例-成交明细'!$D$5:$D$804,IF(F7="空","买","卖"))/AD7,"")</f>
        <v/>
      </c>
      <c r="AF7" s="38" t="str">
        <f>IF(A7="","",IF(X7&lt;&gt;"已执行",IF(X7="","未填执行情况",X7),IF(N(AB7)=0,"待录成交",IF(N(AD7)&gt;N(AB7),"平仓多于开仓",IF(N(AD7)&lt;N(AB7),"持仓中","已平仓")))))</f>
        <v>主动放弃</v>
      </c>
      <c r="AG7" s="42" t="str">
        <f>IF(N(AB7)=0,"",SUMIFS('例-成交明细'!$L$5:$L$804,'例-成交明细'!$A$5:$A$804,A7))</f>
        <v/>
      </c>
      <c r="AH7" s="43">
        <f>IF(A7="","",SUMIFS('例-资金费流水'!$F$5:$F$604,'例-资金费流水'!$B$5:$B$604,A7))</f>
        <v>0</v>
      </c>
      <c r="AI7" s="43" t="str">
        <f>IF(AF7&lt;&gt;"已平仓","",(SUMIFS('例-成交明细'!$H$5:$H$804,'例-成交明细'!$A$5:$A$804,A7,'例-成交明细'!$D$5:$D$804,"卖")-SUMIFS('例-成交明细'!$H$5:$H$804,'例-成交明细'!$A$5:$A$804,A7,'例-成交明细'!$D$5:$D$804,"买"))*1-AG7+N(AH7))</f>
        <v/>
      </c>
      <c r="AJ7" s="44" t="str">
        <f>IF(AND(AF7="已平仓",ISNUMBER(Q7)),(SUMIFS('例-成交明细'!$H$5:$H$804,'例-成交明细'!$A$5:$A$804,A7,'例-成交明细'!$D$5:$D$804,"卖")-SUMIFS('例-成交明细'!$H$5:$H$804,'例-成交明细'!$A$5:$A$804,A7,'例-成交明细'!$D$5:$D$804,"买"))*1/Q7,"")</f>
        <v/>
      </c>
      <c r="AK7" s="44" t="str">
        <f>IF(AND(AF7="已平仓",ISNUMBER(Q7)),AI7/Q7,"")</f>
        <v/>
      </c>
      <c r="AL7" s="45" t="str">
        <f>IF(AND(ISNUMBER(AC7),ISNUMBER(K7)),IF(F7="空",K7-AC7,AC7-K7),"")</f>
        <v/>
      </c>
      <c r="AM7" s="45" t="str">
        <f>IF(OR(NOT(ISNUMBER(AI7)),NOT(ISNUMBER(AE7))),"",IF(AI7&lt;0,IF(F7="空",AE7-L7,L7-AE7),IF(NOT(ISNUMBER(M7)),"",IF(F7="空",AE7-M7,M7-AE7))))</f>
        <v/>
      </c>
      <c r="AN7" s="31" t="n"/>
      <c r="AO7" s="31" t="n"/>
      <c r="AP7" s="30" t="inlineStr">
        <is>
          <t>20 倍时强平只在止损外 1.8%，表里标红，这笔放弃，降杠杆重写成第 4 笔</t>
        </is>
      </c>
      <c r="AQ7" s="44">
        <f>IF(A7="","",SUM(AK$5:AK7))</f>
        <v>5.68376272714605</v>
      </c>
      <c r="AR7" s="46">
        <f>IF(A7="","",MAX(0,MAX(AQ$5:AQ7))-AQ7)</f>
        <v>0</v>
      </c>
    </row>
    <row r="8" ht="32" customHeight="1">
      <c r="A8" s="24" t="n">
        <v>4</v>
      </c>
      <c r="B8" s="29" t="n">
        <v>47667</v>
      </c>
      <c r="C8" s="30" t="inlineStr">
        <is>
          <t>币A</t>
        </is>
      </c>
      <c r="D8" s="31" t="inlineStr">
        <is>
          <t>合约</t>
        </is>
      </c>
      <c r="E8" s="31" t="inlineStr">
        <is>
          <t>区间反转</t>
        </is>
      </c>
      <c r="F8" s="31" t="inlineStr">
        <is>
          <t>空</t>
        </is>
      </c>
      <c r="G8" s="21" t="n">
        <v>10</v>
      </c>
      <c r="H8" s="31" t="inlineStr">
        <is>
          <t>逐仓</t>
        </is>
      </c>
      <c r="I8" s="23" t="n"/>
      <c r="J8" s="31" t="n">
        <v>0.01</v>
      </c>
      <c r="K8" s="32" t="n">
        <v>110</v>
      </c>
      <c r="L8" s="32" t="n">
        <v>113</v>
      </c>
      <c r="M8" s="32" t="n">
        <v>101</v>
      </c>
      <c r="N8" s="33">
        <f>IF(AND(ISNUMBER(K8),ISNUMBER(L8),ISNUMBER(M8)),IF(OR(AND(F8="多",K8&gt;L8),AND(F8="空",K8&lt;L8)),ABS(M8-K8)/ABS(K8-L8),"止损方向不对"),"")</f>
        <v>3</v>
      </c>
      <c r="O8" s="34">
        <f>IF(AND(ISNUMBER(K8),ISNUMBER(L8)),IF(K8=L8,"",IF(INT(ROUND('参数'!$C$7/(ABS(K8-L8)*1+2*K8*'参数'!$C$12)/IF(N(J8)&gt;0,J8,1),6))*IF(N(J8)&gt;0,J8,1)&gt;0,INT(ROUND('参数'!$C$7/(ABS(K8-L8)*1+2*K8*'参数'!$C$12)/IF(N(J8)&gt;0,J8,1),6))*IF(N(J8)&gt;0,J8,1),"预算不足，这笔不做")),"")</f>
        <v>32.15</v>
      </c>
      <c r="P8" s="35" t="n">
        <v>32</v>
      </c>
      <c r="Q8" s="20">
        <f>IF(AND(ISNUMBER(K8),ISNUMBER(L8),ISNUMBER(P8)),IF(AND(K8&lt;&gt;L8,P8&gt;0),ABS(K8-L8)*P8*1,""),"")</f>
        <v>96</v>
      </c>
      <c r="R8" s="20">
        <f>IF(AND(ISNUMBER(K8),ISNUMBER(P8)),K8*P8,"")</f>
        <v>3520</v>
      </c>
      <c r="S8" s="20">
        <f>IF(AND(D8="合约",ISNUMBER(R8),N(G8)&gt;0),R8/G8,"")</f>
        <v>352</v>
      </c>
      <c r="T8" s="36">
        <f>IF(NOT(D8="合约"),"",IF(H8&lt;&gt;"逐仓","看平台",IF(AND(ISNUMBER(K8),N(G8)&gt;0),IF(F8="空",K8*(1+1/G8-IF(ISNUMBER(I8),I8,'参数'!$C$13)),K8*(1-1/G8+IF(ISNUMBER(I8),I8,'参数'!$C$13))),"")))</f>
        <v>120.45</v>
      </c>
      <c r="U8" s="37">
        <f>IF(AND(ISNUMBER(T8),ISNUMBER(L8),ISNUMBER(K8)),IF(F8="空",T8-L8,L8-T8)/K8,"")</f>
        <v>0.0677272727272729</v>
      </c>
      <c r="V8" s="38" t="str">
        <f>IF(ISNUMBER(U8),IF(U8&lt;'参数'!$C$15,"先降杠杆或减量","在止损外"),"")</f>
        <v>在止损外</v>
      </c>
      <c r="W8" s="30" t="inlineStr">
        <is>
          <t>放量站上 113 就认错</t>
        </is>
      </c>
      <c r="X8" s="31" t="inlineStr">
        <is>
          <t>已执行</t>
        </is>
      </c>
      <c r="Y8" s="39">
        <f>IF(N(AB8)&gt;0,SUMPRODUCT(LARGE(('例-成交明细'!$A$5:$A$804=A8)*('例-成交明细'!$D$5:$D$804=IF(F8="空","卖","买"))*'例-成交明细'!$B$5:$B$804,COUNTIFS('例-成交明细'!$A$5:$A$804,A8,'例-成交明细'!$D$5:$D$804,IF(F8="空","卖","买")))),"")</f>
        <v>47667.0</v>
      </c>
      <c r="Z8" s="39">
        <f>IF(AND(N(AB8)&gt;0,N(AD8)&gt;=N(AB8)),SUMPRODUCT(MAX(('例-成交明细'!$A$5:$A$804=A8)*('例-成交明细'!$D$5:$D$804=IF(F8="空","买","卖"))*'例-成交明细'!$B$5:$B$804)),"")</f>
        <v>47668.0</v>
      </c>
      <c r="AA8" s="40" t="str">
        <f>IF(N(AB8)=0,"",IF(SUMPRODUCT(('例-成交明细'!$A$5:$A$804=A8)*('例-成交明细'!$D$5:$D$804=IF(F8="空","卖","买"))*ISNUMBER('例-成交明细'!$C$5:$C$804))=0,"没填时间",IFERROR(VLOOKUP(MOD(SUMPRODUCT(LARGE(('例-成交明细'!$A$5:$A$804=A8)*('例-成交明细'!$D$5:$D$804=IF(F8="空","卖","买"))*('例-成交明细'!$B$5:$B$804+'例-成交明细'!$C$5:$C$804),COUNTIFS('例-成交明细'!$A$5:$A$804,A8,'例-成交明细'!$D$5:$D$804,IF(F8="空","卖","买")))),1),'参数'!$B$39:$C$48,2,TRUE),"")))</f>
        <v>20～24 点</v>
      </c>
      <c r="AB8" s="34">
        <f>IF(A8="","",SUMIFS('例-成交明细'!$F$5:$F$804,'例-成交明细'!$A$5:$A$804,A8,'例-成交明细'!$D$5:$D$804,IF(F8="空","卖","买")))</f>
        <v>32</v>
      </c>
      <c r="AC8" s="41">
        <f>IF(N(AB8)&gt;0,SUMIFS('例-成交明细'!$H$5:$H$804,'例-成交明细'!$A$5:$A$804,A8,'例-成交明细'!$D$5:$D$804,IF(F8="空","卖","买"))/AB8,"")</f>
        <v>109.8</v>
      </c>
      <c r="AD8" s="34">
        <f>IF(A8="","",SUMIFS('例-成交明细'!$F$5:$F$804,'例-成交明细'!$A$5:$A$804,A8,'例-成交明细'!$D$5:$D$804,IF(F8="空","买","卖")))</f>
        <v>32</v>
      </c>
      <c r="AE8" s="41">
        <f>IF(N(AD8)&gt;0,SUMIFS('例-成交明细'!$H$5:$H$804,'例-成交明细'!$A$5:$A$804,A8,'例-成交明细'!$D$5:$D$804,IF(F8="空","买","卖"))/AD8,"")</f>
        <v>113.2</v>
      </c>
      <c r="AF8" s="38" t="str">
        <f>IF(A8="","",IF(X8&lt;&gt;"已执行",IF(X8="","未填执行情况",X8),IF(N(AB8)=0,"待录成交",IF(N(AD8)&gt;N(AB8),"平仓多于开仓",IF(N(AD8)&lt;N(AB8),"持仓中","已平仓")))))</f>
        <v>已平仓</v>
      </c>
      <c r="AG8" s="42">
        <f>IF(N(AB8)=0,"",SUMIFS('例-成交明细'!$L$5:$L$804,'例-成交明细'!$A$5:$A$804,A8))</f>
        <v>3.568</v>
      </c>
      <c r="AH8" s="43">
        <f>IF(A8="","",SUMIFS('例-资金费流水'!$F$5:$F$604,'例-资金费流水'!$B$5:$B$604,A8))</f>
        <v>0.35136</v>
      </c>
      <c r="AI8" s="43">
        <f>IF(AF8&lt;&gt;"已平仓","",(SUMIFS('例-成交明细'!$H$5:$H$804,'例-成交明细'!$A$5:$A$804,A8,'例-成交明细'!$D$5:$D$804,"卖")-SUMIFS('例-成交明细'!$H$5:$H$804,'例-成交明细'!$A$5:$A$804,A8,'例-成交明细'!$D$5:$D$804,"买"))*1-AG8+N(AH8))</f>
        <v>-112.01664</v>
      </c>
      <c r="AJ8" s="44">
        <f>IF(AND(AF8="已平仓",ISNUMBER(Q8)),(SUMIFS('例-成交明细'!$H$5:$H$804,'例-成交明细'!$A$5:$A$804,A8,'例-成交明细'!$D$5:$D$804,"卖")-SUMIFS('例-成交明细'!$H$5:$H$804,'例-成交明细'!$A$5:$A$804,A8,'例-成交明细'!$D$5:$D$804,"买"))*1/Q8,"")</f>
        <v>-1.13333333333334</v>
      </c>
      <c r="AK8" s="44">
        <f>IF(AND(AF8="已平仓",ISNUMBER(Q8)),AI8/Q8,"")</f>
        <v>-1.16684</v>
      </c>
      <c r="AL8" s="45">
        <f>IF(AND(ISNUMBER(AC8),ISNUMBER(K8)),IF(F8="空",K8-AC8,AC8-K8),"")</f>
        <v>0.200000000000003</v>
      </c>
      <c r="AM8" s="45">
        <f>IF(OR(NOT(ISNUMBER(AI8)),NOT(ISNUMBER(AE8))),"",IF(AI8&lt;0,IF(F8="空",AE8-L8,L8-AE8),IF(NOT(ISNUMBER(M8)),"",IF(F8="空",AE8-M8,M8-AE8))))</f>
        <v>0.200000000000003</v>
      </c>
      <c r="AN8" s="31" t="inlineStr">
        <is>
          <t>A</t>
        </is>
      </c>
      <c r="AO8" s="31" t="inlineStr">
        <is>
          <t>无</t>
        </is>
      </c>
      <c r="AP8" s="30" t="inlineStr">
        <is>
          <t>同一笔降到 10 倍：止损被打，照计划</t>
        </is>
      </c>
      <c r="AQ8" s="44">
        <f>IF(A8="","",SUM(AK$5:AK8))</f>
        <v>4.51692272714604</v>
      </c>
      <c r="AR8" s="46">
        <f>IF(A8="","",MAX(0,MAX(AQ$5:AQ8))-AQ8)</f>
        <v>1.16684</v>
      </c>
    </row>
    <row r="9" ht="32" customHeight="1">
      <c r="A9" s="24" t="n">
        <v>5</v>
      </c>
      <c r="B9" s="29" t="n">
        <v>47669</v>
      </c>
      <c r="C9" s="30" t="inlineStr">
        <is>
          <t>币B</t>
        </is>
      </c>
      <c r="D9" s="31" t="inlineStr">
        <is>
          <t>合约</t>
        </is>
      </c>
      <c r="E9" s="31" t="inlineStr">
        <is>
          <t>突破</t>
        </is>
      </c>
      <c r="F9" s="31" t="inlineStr">
        <is>
          <t>多</t>
        </is>
      </c>
      <c r="G9" s="21" t="n">
        <v>5</v>
      </c>
      <c r="H9" s="31" t="inlineStr">
        <is>
          <t>全仓</t>
        </is>
      </c>
      <c r="I9" s="23" t="n"/>
      <c r="J9" s="31" t="n">
        <v>0.01</v>
      </c>
      <c r="K9" s="32" t="n">
        <v>2120</v>
      </c>
      <c r="L9" s="32" t="n">
        <v>2080</v>
      </c>
      <c r="M9" s="32" t="n">
        <v>2220</v>
      </c>
      <c r="N9" s="33">
        <f>IF(AND(ISNUMBER(K9),ISNUMBER(L9),ISNUMBER(M9)),IF(OR(AND(F9="多",K9&gt;L9),AND(F9="空",K9&lt;L9)),ABS(M9-K9)/ABS(K9-L9),"止损方向不对"),"")</f>
        <v>2.5</v>
      </c>
      <c r="O9" s="34">
        <f>IF(AND(ISNUMBER(K9),ISNUMBER(L9)),IF(K9=L9,"",IF(INT(ROUND('参数'!$C$7/(ABS(K9-L9)*1+2*K9*'参数'!$C$12)/IF(N(J9)&gt;0,J9,1),6))*IF(N(J9)&gt;0,J9,1)&gt;0,INT(ROUND('参数'!$C$7/(ABS(K9-L9)*1+2*K9*'参数'!$C$12)/IF(N(J9)&gt;0,J9,1),6))*IF(N(J9)&gt;0,J9,1),"预算不足，这笔不做")),"")</f>
        <v>2.37</v>
      </c>
      <c r="P9" s="35" t="n">
        <v>1.5</v>
      </c>
      <c r="Q9" s="20">
        <f>IF(AND(ISNUMBER(K9),ISNUMBER(L9),ISNUMBER(P9)),IF(AND(K9&lt;&gt;L9,P9&gt;0),ABS(K9-L9)*P9*1,""),"")</f>
        <v>60</v>
      </c>
      <c r="R9" s="20">
        <f>IF(AND(ISNUMBER(K9),ISNUMBER(P9)),K9*P9,"")</f>
        <v>3180</v>
      </c>
      <c r="S9" s="20">
        <f>IF(AND(D9="合约",ISNUMBER(R9),N(G9)&gt;0),R9/G9,"")</f>
        <v>636</v>
      </c>
      <c r="T9" s="36" t="str">
        <f>IF(NOT(D9="合约"),"",IF(H9&lt;&gt;"逐仓","看平台",IF(AND(ISNUMBER(K9),N(G9)&gt;0),IF(F9="空",K9*(1+1/G9-IF(ISNUMBER(I9),I9,'参数'!$C$13)),K9*(1-1/G9+IF(ISNUMBER(I9),I9,'参数'!$C$13))),"")))</f>
        <v>看平台</v>
      </c>
      <c r="U9" s="37" t="str">
        <f>IF(AND(ISNUMBER(T9),ISNUMBER(L9),ISNUMBER(K9)),IF(F9="空",T9-L9,L9-T9)/K9,"")</f>
        <v/>
      </c>
      <c r="V9" s="38" t="str">
        <f>IF(ISNUMBER(U9),IF(U9&lt;'参数'!$C$15,"先降杠杆或减量","在止损外"),"")</f>
        <v/>
      </c>
      <c r="W9" s="30" t="inlineStr">
        <is>
          <t>追价超过 2125 就放弃</t>
        </is>
      </c>
      <c r="X9" s="31" t="inlineStr">
        <is>
          <t>已执行</t>
        </is>
      </c>
      <c r="Y9" s="39">
        <f>IF(N(AB9)&gt;0,SUMPRODUCT(LARGE(('例-成交明细'!$A$5:$A$804=A9)*('例-成交明细'!$D$5:$D$804=IF(F9="空","卖","买"))*'例-成交明细'!$B$5:$B$804,COUNTIFS('例-成交明细'!$A$5:$A$804,A9,'例-成交明细'!$D$5:$D$804,IF(F9="空","卖","买")))),"")</f>
        <v>47669.0</v>
      </c>
      <c r="Z9" s="39">
        <f>IF(AND(N(AB9)&gt;0,N(AD9)&gt;=N(AB9)),SUMPRODUCT(MAX(('例-成交明细'!$A$5:$A$804=A9)*('例-成交明细'!$D$5:$D$804=IF(F9="空","买","卖"))*'例-成交明细'!$B$5:$B$804)),"")</f>
        <v>47670.0</v>
      </c>
      <c r="AA9" s="40" t="str">
        <f>IF(N(AB9)=0,"",IF(SUMPRODUCT(('例-成交明细'!$A$5:$A$804=A9)*('例-成交明细'!$D$5:$D$804=IF(F9="空","卖","买"))*ISNUMBER('例-成交明细'!$C$5:$C$804))=0,"没填时间",IFERROR(VLOOKUP(MOD(SUMPRODUCT(LARGE(('例-成交明细'!$A$5:$A$804=A9)*('例-成交明细'!$D$5:$D$804=IF(F9="空","卖","买"))*('例-成交明细'!$B$5:$B$804+'例-成交明细'!$C$5:$C$804),COUNTIFS('例-成交明细'!$A$5:$A$804,A9,'例-成交明细'!$D$5:$D$804,IF(F9="空","卖","买")))),1),'参数'!$B$39:$C$48,2,TRUE),"")))</f>
        <v>12～16 点</v>
      </c>
      <c r="AB9" s="34">
        <f>IF(A9="","",SUMIFS('例-成交明细'!$F$5:$F$804,'例-成交明细'!$A$5:$A$804,A9,'例-成交明细'!$D$5:$D$804,IF(F9="空","卖","买")))</f>
        <v>1.5</v>
      </c>
      <c r="AC9" s="41">
        <f>IF(N(AB9)&gt;0,SUMIFS('例-成交明细'!$H$5:$H$804,'例-成交明细'!$A$5:$A$804,A9,'例-成交明细'!$D$5:$D$804,IF(F9="空","卖","买"))/AB9,"")</f>
        <v>2150</v>
      </c>
      <c r="AD9" s="34">
        <f>IF(A9="","",SUMIFS('例-成交明细'!$F$5:$F$804,'例-成交明细'!$A$5:$A$804,A9,'例-成交明细'!$D$5:$D$804,IF(F9="空","买","卖")))</f>
        <v>1.5</v>
      </c>
      <c r="AE9" s="41">
        <f>IF(N(AD9)&gt;0,SUMIFS('例-成交明细'!$H$5:$H$804,'例-成交明细'!$A$5:$A$804,A9,'例-成交明细'!$D$5:$D$804,IF(F9="空","买","卖"))/AD9,"")</f>
        <v>2210</v>
      </c>
      <c r="AF9" s="38" t="str">
        <f>IF(A9="","",IF(X9&lt;&gt;"已执行",IF(X9="","未填执行情况",X9),IF(N(AB9)=0,"待录成交",IF(N(AD9)&gt;N(AB9),"平仓多于开仓",IF(N(AD9)&lt;N(AB9),"持仓中","已平仓")))))</f>
        <v>已平仓</v>
      </c>
      <c r="AG9" s="42">
        <f>IF(N(AB9)=0,"",SUMIFS('例-成交明细'!$L$5:$L$804,'例-成交明细'!$A$5:$A$804,A9))</f>
        <v>2.2755</v>
      </c>
      <c r="AH9" s="43">
        <f>IF(A9="","",SUMIFS('例-资金费流水'!$F$5:$F$604,'例-资金费流水'!$B$5:$B$604,A9))</f>
        <v>-0.324</v>
      </c>
      <c r="AI9" s="43">
        <f>IF(AF9&lt;&gt;"已平仓","",(SUMIFS('例-成交明细'!$H$5:$H$804,'例-成交明细'!$A$5:$A$804,A9,'例-成交明细'!$D$5:$D$804,"卖")-SUMIFS('例-成交明细'!$H$5:$H$804,'例-成交明细'!$A$5:$A$804,A9,'例-成交明细'!$D$5:$D$804,"买"))*1-AG9+N(AH9))</f>
        <v>87.4005</v>
      </c>
      <c r="AJ9" s="44">
        <f>IF(AND(AF9="已平仓",ISNUMBER(Q9)),(SUMIFS('例-成交明细'!$H$5:$H$804,'例-成交明细'!$A$5:$A$804,A9,'例-成交明细'!$D$5:$D$804,"卖")-SUMIFS('例-成交明细'!$H$5:$H$804,'例-成交明细'!$A$5:$A$804,A9,'例-成交明细'!$D$5:$D$804,"买"))*1/Q9,"")</f>
        <v>1.5</v>
      </c>
      <c r="AK9" s="44">
        <f>IF(AND(AF9="已平仓",ISNUMBER(Q9)),AI9/Q9,"")</f>
        <v>1.456675</v>
      </c>
      <c r="AL9" s="45">
        <f>IF(AND(ISNUMBER(AC9),ISNUMBER(K9)),IF(F9="空",K9-AC9,AC9-K9),"")</f>
        <v>30</v>
      </c>
      <c r="AM9" s="45">
        <f>IF(OR(NOT(ISNUMBER(AI9)),NOT(ISNUMBER(AE9))),"",IF(AI9&lt;0,IF(F9="空",AE9-L9,L9-AE9),IF(NOT(ISNUMBER(M9)),"",IF(F9="空",AE9-M9,M9-AE9))))</f>
        <v>10</v>
      </c>
      <c r="AN9" s="31" t="inlineStr">
        <is>
          <t>C</t>
        </is>
      </c>
      <c r="AO9" s="31" t="inlineStr">
        <is>
          <t>追单</t>
        </is>
      </c>
      <c r="AP9" s="30" t="inlineStr">
        <is>
          <t>全仓不估强平价，要去平台看。追了 30 点还赚了，照样是 C</t>
        </is>
      </c>
      <c r="AQ9" s="44">
        <f>IF(A9="","",SUM(AK$5:AK9))</f>
        <v>5.97359772714604</v>
      </c>
      <c r="AR9" s="46">
        <f>IF(A9="","",MAX(0,MAX(AQ$5:AQ9))-AQ9)</f>
        <v>0</v>
      </c>
    </row>
    <row r="10" ht="18" customHeight="1">
      <c r="A10" s="24" t="n">
        <v>6</v>
      </c>
      <c r="B10" s="29" t="n">
        <v>47670</v>
      </c>
      <c r="C10" s="30" t="inlineStr">
        <is>
          <t>币A</t>
        </is>
      </c>
      <c r="D10" s="31" t="inlineStr">
        <is>
          <t>现货</t>
        </is>
      </c>
      <c r="E10" s="31" t="inlineStr">
        <is>
          <t>回踩</t>
        </is>
      </c>
      <c r="F10" s="31" t="inlineStr">
        <is>
          <t>多</t>
        </is>
      </c>
      <c r="G10" s="21" t="n"/>
      <c r="H10" s="31" t="n"/>
      <c r="I10" s="23" t="n"/>
      <c r="J10" s="31" t="n">
        <v>0.01</v>
      </c>
      <c r="K10" s="32" t="n">
        <v>104</v>
      </c>
      <c r="L10" s="32" t="n">
        <v>100</v>
      </c>
      <c r="M10" s="32" t="n">
        <v>116</v>
      </c>
      <c r="N10" s="33">
        <f>IF(AND(ISNUMBER(K10),ISNUMBER(L10),ISNUMBER(M10)),IF(OR(AND(F10="多",K10&gt;L10),AND(F10="空",K10&lt;L10)),ABS(M10-K10)/ABS(K10-L10),"止损方向不对"),"")</f>
        <v>3</v>
      </c>
      <c r="O10" s="34">
        <f>IF(AND(ISNUMBER(K10),ISNUMBER(L10)),IF(K10=L10,"",IF(INT(ROUND('参数'!$C$7/(ABS(K10-L10)*1+2*K10*'参数'!$C$12)/IF(N(J10)&gt;0,J10,1),6))*IF(N(J10)&gt;0,J10,1)&gt;0,INT(ROUND('参数'!$C$7/(ABS(K10-L10)*1+2*K10*'参数'!$C$12)/IF(N(J10)&gt;0,J10,1),6))*IF(N(J10)&gt;0,J10,1),"预算不足，这笔不做")),"")</f>
        <v>24.36</v>
      </c>
      <c r="P10" s="35" t="n">
        <v>24</v>
      </c>
      <c r="Q10" s="20">
        <f>IF(AND(ISNUMBER(K10),ISNUMBER(L10),ISNUMBER(P10)),IF(AND(K10&lt;&gt;L10,P10&gt;0),ABS(K10-L10)*P10*1,""),"")</f>
        <v>96</v>
      </c>
      <c r="R10" s="20">
        <f>IF(AND(ISNUMBER(K10),ISNUMBER(P10)),K10*P10,"")</f>
        <v>2496</v>
      </c>
      <c r="S10" s="20" t="str">
        <f>IF(AND(D10="合约",ISNUMBER(R10),N(G10)&gt;0),R10/G10,"")</f>
        <v/>
      </c>
      <c r="T10" s="36" t="str">
        <f>IF(NOT(D10="合约"),"",IF(H10&lt;&gt;"逐仓","看平台",IF(AND(ISNUMBER(K10),N(G10)&gt;0),IF(F10="空",K10*(1+1/G10-IF(ISNUMBER(I10),I10,'参数'!$C$13)),K10*(1-1/G10+IF(ISNUMBER(I10),I10,'参数'!$C$13))),"")))</f>
        <v/>
      </c>
      <c r="U10" s="37" t="str">
        <f>IF(AND(ISNUMBER(T10),ISNUMBER(L10),ISNUMBER(K10)),IF(F10="空",T10-L10,L10-T10)/K10,"")</f>
        <v/>
      </c>
      <c r="V10" s="38" t="str">
        <f>IF(ISNUMBER(U10),IF(U10&lt;'参数'!$C$15,"先降杠杆或减量","在止损外"),"")</f>
        <v/>
      </c>
      <c r="W10" s="30" t="inlineStr">
        <is>
          <t>回踩不到 104 不追</t>
        </is>
      </c>
      <c r="X10" s="31" t="inlineStr">
        <is>
          <t>未成交</t>
        </is>
      </c>
      <c r="Y10" s="39" t="str">
        <f>IF(N(AB10)&gt;0,SUMPRODUCT(LARGE(('例-成交明细'!$A$5:$A$804=A10)*('例-成交明细'!$D$5:$D$804=IF(F10="空","卖","买"))*'例-成交明细'!$B$5:$B$804,COUNTIFS('例-成交明细'!$A$5:$A$804,A10,'例-成交明细'!$D$5:$D$804,IF(F10="空","卖","买")))),"")</f>
        <v/>
      </c>
      <c r="Z10" s="39" t="str">
        <f>IF(AND(N(AB10)&gt;0,N(AD10)&gt;=N(AB10)),SUMPRODUCT(MAX(('例-成交明细'!$A$5:$A$804=A10)*('例-成交明细'!$D$5:$D$804=IF(F10="空","买","卖"))*'例-成交明细'!$B$5:$B$804)),"")</f>
        <v/>
      </c>
      <c r="AA10" s="40" t="str">
        <f>IF(N(AB10)=0,"",IF(SUMPRODUCT(('例-成交明细'!$A$5:$A$804=A10)*('例-成交明细'!$D$5:$D$804=IF(F10="空","卖","买"))*ISNUMBER('例-成交明细'!$C$5:$C$804))=0,"没填时间",IFERROR(VLOOKUP(MOD(SUMPRODUCT(LARGE(('例-成交明细'!$A$5:$A$804=A10)*('例-成交明细'!$D$5:$D$804=IF(F10="空","卖","买"))*('例-成交明细'!$B$5:$B$804+'例-成交明细'!$C$5:$C$804),COUNTIFS('例-成交明细'!$A$5:$A$804,A10,'例-成交明细'!$D$5:$D$804,IF(F10="空","卖","买")))),1),'参数'!$B$39:$C$48,2,TRUE),"")))</f>
        <v/>
      </c>
      <c r="AB10" s="34">
        <f>IF(A10="","",SUMIFS('例-成交明细'!$F$5:$F$804,'例-成交明细'!$A$5:$A$804,A10,'例-成交明细'!$D$5:$D$804,IF(F10="空","卖","买")))</f>
        <v>0</v>
      </c>
      <c r="AC10" s="41" t="str">
        <f>IF(N(AB10)&gt;0,SUMIFS('例-成交明细'!$H$5:$H$804,'例-成交明细'!$A$5:$A$804,A10,'例-成交明细'!$D$5:$D$804,IF(F10="空","卖","买"))/AB10,"")</f>
        <v/>
      </c>
      <c r="AD10" s="34">
        <f>IF(A10="","",SUMIFS('例-成交明细'!$F$5:$F$804,'例-成交明细'!$A$5:$A$804,A10,'例-成交明细'!$D$5:$D$804,IF(F10="空","买","卖")))</f>
        <v>0</v>
      </c>
      <c r="AE10" s="41" t="str">
        <f>IF(N(AD10)&gt;0,SUMIFS('例-成交明细'!$H$5:$H$804,'例-成交明细'!$A$5:$A$804,A10,'例-成交明细'!$D$5:$D$804,IF(F10="空","买","卖"))/AD10,"")</f>
        <v/>
      </c>
      <c r="AF10" s="38" t="str">
        <f>IF(A10="","",IF(X10&lt;&gt;"已执行",IF(X10="","未填执行情况",X10),IF(N(AB10)=0,"待录成交",IF(N(AD10)&gt;N(AB10),"平仓多于开仓",IF(N(AD10)&lt;N(AB10),"持仓中","已平仓")))))</f>
        <v>未成交</v>
      </c>
      <c r="AG10" s="42" t="str">
        <f>IF(N(AB10)=0,"",SUMIFS('例-成交明细'!$L$5:$L$804,'例-成交明细'!$A$5:$A$804,A10))</f>
        <v/>
      </c>
      <c r="AH10" s="43">
        <f>IF(A10="","",SUMIFS('例-资金费流水'!$F$5:$F$604,'例-资金费流水'!$B$5:$B$604,A10))</f>
        <v>0</v>
      </c>
      <c r="AI10" s="43" t="str">
        <f>IF(AF10&lt;&gt;"已平仓","",(SUMIFS('例-成交明细'!$H$5:$H$804,'例-成交明细'!$A$5:$A$804,A10,'例-成交明细'!$D$5:$D$804,"卖")-SUMIFS('例-成交明细'!$H$5:$H$804,'例-成交明细'!$A$5:$A$804,A10,'例-成交明细'!$D$5:$D$804,"买"))*1-AG10+N(AH10))</f>
        <v/>
      </c>
      <c r="AJ10" s="44" t="str">
        <f>IF(AND(AF10="已平仓",ISNUMBER(Q10)),(SUMIFS('例-成交明细'!$H$5:$H$804,'例-成交明细'!$A$5:$A$804,A10,'例-成交明细'!$D$5:$D$804,"卖")-SUMIFS('例-成交明细'!$H$5:$H$804,'例-成交明细'!$A$5:$A$804,A10,'例-成交明细'!$D$5:$D$804,"买"))*1/Q10,"")</f>
        <v/>
      </c>
      <c r="AK10" s="44" t="str">
        <f>IF(AND(AF10="已平仓",ISNUMBER(Q10)),AI10/Q10,"")</f>
        <v/>
      </c>
      <c r="AL10" s="45" t="str">
        <f>IF(AND(ISNUMBER(AC10),ISNUMBER(K10)),IF(F10="空",K10-AC10,AC10-K10),"")</f>
        <v/>
      </c>
      <c r="AM10" s="45" t="str">
        <f>IF(OR(NOT(ISNUMBER(AI10)),NOT(ISNUMBER(AE10))),"",IF(AI10&lt;0,IF(F10="空",AE10-L10,L10-AE10),IF(NOT(ISNUMBER(M10)),"",IF(F10="空",AE10-M10,M10-AE10))))</f>
        <v/>
      </c>
      <c r="AN10" s="31" t="n"/>
      <c r="AO10" s="31" t="n"/>
      <c r="AP10" s="30" t="inlineStr">
        <is>
          <t>限价没成交</t>
        </is>
      </c>
      <c r="AQ10" s="44">
        <f>IF(A10="","",SUM(AK$5:AK10))</f>
        <v>5.97359772714604</v>
      </c>
      <c r="AR10" s="46">
        <f>IF(A10="","",MAX(0,MAX(AQ$5:AQ10))-AQ10)</f>
        <v>0</v>
      </c>
    </row>
    <row r="11" ht="46" customHeight="1">
      <c r="A11" s="24" t="n">
        <v>7</v>
      </c>
      <c r="B11" s="29" t="n">
        <v>47671</v>
      </c>
      <c r="C11" s="30" t="inlineStr">
        <is>
          <t>币B</t>
        </is>
      </c>
      <c r="D11" s="31" t="inlineStr">
        <is>
          <t>合约</t>
        </is>
      </c>
      <c r="E11" s="31" t="inlineStr">
        <is>
          <t>区间反转</t>
        </is>
      </c>
      <c r="F11" s="31" t="inlineStr">
        <is>
          <t>空</t>
        </is>
      </c>
      <c r="G11" s="21" t="n">
        <v>10</v>
      </c>
      <c r="H11" s="31" t="inlineStr">
        <is>
          <t>逐仓</t>
        </is>
      </c>
      <c r="I11" s="23" t="n"/>
      <c r="J11" s="31" t="n">
        <v>0.01</v>
      </c>
      <c r="K11" s="32" t="n">
        <v>2200</v>
      </c>
      <c r="L11" s="32" t="n">
        <v>2240</v>
      </c>
      <c r="M11" s="32" t="n">
        <v>2100</v>
      </c>
      <c r="N11" s="33">
        <f>IF(AND(ISNUMBER(K11),ISNUMBER(L11),ISNUMBER(M11)),IF(OR(AND(F11="多",K11&gt;L11),AND(F11="空",K11&lt;L11)),ABS(M11-K11)/ABS(K11-L11),"止损方向不对"),"")</f>
        <v>2.5</v>
      </c>
      <c r="O11" s="34">
        <f>IF(AND(ISNUMBER(K11),ISNUMBER(L11)),IF(K11=L11,"",IF(INT(ROUND('参数'!$C$7/(ABS(K11-L11)*1+2*K11*'参数'!$C$12)/IF(N(J11)&gt;0,J11,1),6))*IF(N(J11)&gt;0,J11,1)&gt;0,INT(ROUND('参数'!$C$7/(ABS(K11-L11)*1+2*K11*'参数'!$C$12)/IF(N(J11)&gt;0,J11,1),6))*IF(N(J11)&gt;0,J11,1),"预算不足，这笔不做")),"")</f>
        <v>2.36</v>
      </c>
      <c r="P11" s="35" t="n">
        <v>2.3</v>
      </c>
      <c r="Q11" s="20">
        <f>IF(AND(ISNUMBER(K11),ISNUMBER(L11),ISNUMBER(P11)),IF(AND(K11&lt;&gt;L11,P11&gt;0),ABS(K11-L11)*P11*1,""),"")</f>
        <v>92</v>
      </c>
      <c r="R11" s="20">
        <f>IF(AND(ISNUMBER(K11),ISNUMBER(P11)),K11*P11,"")</f>
        <v>5060</v>
      </c>
      <c r="S11" s="20">
        <f>IF(AND(D11="合约",ISNUMBER(R11),N(G11)&gt;0),R11/G11,"")</f>
        <v>506</v>
      </c>
      <c r="T11" s="36">
        <f>IF(NOT(D11="合约"),"",IF(H11&lt;&gt;"逐仓","看平台",IF(AND(ISNUMBER(K11),N(G11)&gt;0),IF(F11="空",K11*(1+1/G11-IF(ISNUMBER(I11),I11,'参数'!$C$13)),K11*(1-1/G11+IF(ISNUMBER(I11),I11,'参数'!$C$13))),"")))</f>
        <v>2409</v>
      </c>
      <c r="U11" s="37">
        <f>IF(AND(ISNUMBER(T11),ISNUMBER(L11),ISNUMBER(K11)),IF(F11="空",T11-L11,L11-T11)/K11,"")</f>
        <v>0.076818181818182</v>
      </c>
      <c r="V11" s="38" t="str">
        <f>IF(ISNUMBER(U11),IF(U11&lt;'参数'!$C$15,"先降杠杆或减量","在止损外"),"")</f>
        <v>在止损外</v>
      </c>
      <c r="W11" s="30" t="inlineStr">
        <is>
          <t>站上 2240 就走</t>
        </is>
      </c>
      <c r="X11" s="31" t="inlineStr">
        <is>
          <t>已执行</t>
        </is>
      </c>
      <c r="Y11" s="39">
        <f>IF(N(AB11)&gt;0,SUMPRODUCT(LARGE(('例-成交明细'!$A$5:$A$804=A11)*('例-成交明细'!$D$5:$D$804=IF(F11="空","卖","买"))*'例-成交明细'!$B$5:$B$804,COUNTIFS('例-成交明细'!$A$5:$A$804,A11,'例-成交明细'!$D$5:$D$804,IF(F11="空","卖","买")))),"")</f>
        <v>47671.0</v>
      </c>
      <c r="Z11" s="39">
        <f>IF(AND(N(AB11)&gt;0,N(AD11)&gt;=N(AB11)),SUMPRODUCT(MAX(('例-成交明细'!$A$5:$A$804=A11)*('例-成交明细'!$D$5:$D$804=IF(F11="空","买","卖"))*'例-成交明细'!$B$5:$B$804)),"")</f>
        <v>47672.0</v>
      </c>
      <c r="AA11" s="40" t="str">
        <f>IF(N(AB11)=0,"",IF(SUMPRODUCT(('例-成交明细'!$A$5:$A$804=A11)*('例-成交明细'!$D$5:$D$804=IF(F11="空","卖","买"))*ISNUMBER('例-成交明细'!$C$5:$C$804))=0,"没填时间",IFERROR(VLOOKUP(MOD(SUMPRODUCT(LARGE(('例-成交明细'!$A$5:$A$804=A11)*('例-成交明细'!$D$5:$D$804=IF(F11="空","卖","买"))*('例-成交明细'!$B$5:$B$804+'例-成交明细'!$C$5:$C$804),COUNTIFS('例-成交明细'!$A$5:$A$804,A11,'例-成交明细'!$D$5:$D$804,IF(F11="空","卖","买")))),1),'参数'!$B$39:$C$48,2,TRUE),"")))</f>
        <v>20～24 点</v>
      </c>
      <c r="AB11" s="34">
        <f>IF(A11="","",SUMIFS('例-成交明细'!$F$5:$F$804,'例-成交明细'!$A$5:$A$804,A11,'例-成交明细'!$D$5:$D$804,IF(F11="空","卖","买")))</f>
        <v>2.3</v>
      </c>
      <c r="AC11" s="41">
        <f>IF(N(AB11)&gt;0,SUMIFS('例-成交明细'!$H$5:$H$804,'例-成交明细'!$A$5:$A$804,A11,'例-成交明细'!$D$5:$D$804,IF(F11="空","卖","买"))/AB11,"")</f>
        <v>2199</v>
      </c>
      <c r="AD11" s="34">
        <f>IF(A11="","",SUMIFS('例-成交明细'!$F$5:$F$804,'例-成交明细'!$A$5:$A$804,A11,'例-成交明细'!$D$5:$D$804,IF(F11="空","买","卖")))</f>
        <v>2.3</v>
      </c>
      <c r="AE11" s="41">
        <f>IF(N(AD11)&gt;0,SUMIFS('例-成交明细'!$H$5:$H$804,'例-成交明细'!$A$5:$A$804,A11,'例-成交明细'!$D$5:$D$804,IF(F11="空","买","卖"))/AD11,"")</f>
        <v>2290</v>
      </c>
      <c r="AF11" s="38" t="str">
        <f>IF(A11="","",IF(X11&lt;&gt;"已执行",IF(X11="","未填执行情况",X11),IF(N(AB11)=0,"待录成交",IF(N(AD11)&gt;N(AB11),"平仓多于开仓",IF(N(AD11)&lt;N(AB11),"持仓中","已平仓")))))</f>
        <v>已平仓</v>
      </c>
      <c r="AG11" s="42">
        <f>IF(N(AB11)=0,"",SUMIFS('例-成交明细'!$L$5:$L$804,'例-成交明细'!$A$5:$A$804,A11))</f>
        <v>5.1624</v>
      </c>
      <c r="AH11" s="43">
        <f>IF(A11="","",SUMIFS('例-资金费流水'!$F$5:$F$604,'例-资金费流水'!$B$5:$B$604,A11))</f>
        <v>-2.078</v>
      </c>
      <c r="AI11" s="43">
        <f>IF(AF11&lt;&gt;"已平仓","",(SUMIFS('例-成交明细'!$H$5:$H$804,'例-成交明细'!$A$5:$A$804,A11,'例-成交明细'!$D$5:$D$804,"卖")-SUMIFS('例-成交明细'!$H$5:$H$804,'例-成交明细'!$A$5:$A$804,A11,'例-成交明细'!$D$5:$D$804,"买"))*1-AG11+N(AH11))</f>
        <v>-216.5404</v>
      </c>
      <c r="AJ11" s="44">
        <f>IF(AND(AF11="已平仓",ISNUMBER(Q11)),(SUMIFS('例-成交明细'!$H$5:$H$804,'例-成交明细'!$A$5:$A$804,A11,'例-成交明细'!$D$5:$D$804,"卖")-SUMIFS('例-成交明细'!$H$5:$H$804,'例-成交明细'!$A$5:$A$804,A11,'例-成交明细'!$D$5:$D$804,"买"))*1/Q11,"")</f>
        <v>-2.275</v>
      </c>
      <c r="AK11" s="44">
        <f>IF(AND(AF11="已平仓",ISNUMBER(Q11)),AI11/Q11,"")</f>
        <v>-2.3537</v>
      </c>
      <c r="AL11" s="45">
        <f>IF(AND(ISNUMBER(AC11),ISNUMBER(K11)),IF(F11="空",K11-AC11,AC11-K11),"")</f>
        <v>1</v>
      </c>
      <c r="AM11" s="45">
        <f>IF(OR(NOT(ISNUMBER(AI11)),NOT(ISNUMBER(AE11))),"",IF(AI11&lt;0,IF(F11="空",AE11-L11,L11-AE11),IF(NOT(ISNUMBER(M11)),"",IF(F11="空",AE11-M11,M11-AE11))))</f>
        <v>50</v>
      </c>
      <c r="AN11" s="31" t="inlineStr">
        <is>
          <t>C</t>
        </is>
      </c>
      <c r="AO11" s="31" t="inlineStr">
        <is>
          <t>扛单</t>
        </is>
      </c>
      <c r="AP11" s="30" t="inlineStr">
        <is>
          <t>破了止损没走，想等回来，多亏了一倍多。下一步：止损单开仓时一起挂</t>
        </is>
      </c>
      <c r="AQ11" s="44">
        <f>IF(A11="","",SUM(AK$5:AK11))</f>
        <v>3.61989772714604</v>
      </c>
      <c r="AR11" s="46">
        <f>IF(A11="","",MAX(0,MAX(AQ$5:AQ11))-AQ11)</f>
        <v>2.3537</v>
      </c>
    </row>
    <row r="12" ht="32" customHeight="1">
      <c r="A12" s="24" t="n">
        <v>8</v>
      </c>
      <c r="B12" s="29" t="n">
        <v>47672</v>
      </c>
      <c r="C12" s="30" t="inlineStr">
        <is>
          <t>币B</t>
        </is>
      </c>
      <c r="D12" s="31" t="inlineStr">
        <is>
          <t>现货</t>
        </is>
      </c>
      <c r="E12" s="31" t="inlineStr">
        <is>
          <t>回踩</t>
        </is>
      </c>
      <c r="F12" s="31" t="inlineStr">
        <is>
          <t>多</t>
        </is>
      </c>
      <c r="G12" s="21" t="n"/>
      <c r="H12" s="31" t="n"/>
      <c r="I12" s="23" t="n"/>
      <c r="J12" s="31" t="n">
        <v>0.0001</v>
      </c>
      <c r="K12" s="32" t="n">
        <v>2150</v>
      </c>
      <c r="L12" s="32" t="n">
        <v>2080</v>
      </c>
      <c r="M12" s="32" t="n">
        <v>2360</v>
      </c>
      <c r="N12" s="33">
        <f>IF(AND(ISNUMBER(K12),ISNUMBER(L12),ISNUMBER(M12)),IF(OR(AND(F12="多",K12&gt;L12),AND(F12="空",K12&lt;L12)),ABS(M12-K12)/ABS(K12-L12),"止损方向不对"),"")</f>
        <v>3</v>
      </c>
      <c r="O12" s="34">
        <f>IF(AND(ISNUMBER(K12),ISNUMBER(L12)),IF(K12=L12,"",IF(INT(ROUND('参数'!$C$7/(ABS(K12-L12)*1+2*K12*'参数'!$C$12)/IF(N(J12)&gt;0,J12,1),6))*IF(N(J12)&gt;0,J12,1)&gt;0,INT(ROUND('参数'!$C$7/(ABS(K12-L12)*1+2*K12*'参数'!$C$12)/IF(N(J12)&gt;0,J12,1),6))*IF(N(J12)&gt;0,J12,1),"预算不足，这笔不做")),"")</f>
        <v>1.386</v>
      </c>
      <c r="P12" s="35" t="n">
        <v>1.4</v>
      </c>
      <c r="Q12" s="20">
        <f>IF(AND(ISNUMBER(K12),ISNUMBER(L12),ISNUMBER(P12)),IF(AND(K12&lt;&gt;L12,P12&gt;0),ABS(K12-L12)*P12*1,""),"")</f>
        <v>98</v>
      </c>
      <c r="R12" s="20">
        <f>IF(AND(ISNUMBER(K12),ISNUMBER(P12)),K12*P12,"")</f>
        <v>3010</v>
      </c>
      <c r="S12" s="20" t="str">
        <f>IF(AND(D12="合约",ISNUMBER(R12),N(G12)&gt;0),R12/G12,"")</f>
        <v/>
      </c>
      <c r="T12" s="36" t="str">
        <f>IF(NOT(D12="合约"),"",IF(H12&lt;&gt;"逐仓","看平台",IF(AND(ISNUMBER(K12),N(G12)&gt;0),IF(F12="空",K12*(1+1/G12-IF(ISNUMBER(I12),I12,'参数'!$C$13)),K12*(1-1/G12+IF(ISNUMBER(I12),I12,'参数'!$C$13))),"")))</f>
        <v/>
      </c>
      <c r="U12" s="37" t="str">
        <f>IF(AND(ISNUMBER(T12),ISNUMBER(L12),ISNUMBER(K12)),IF(F12="空",T12-L12,L12-T12)/K12,"")</f>
        <v/>
      </c>
      <c r="V12" s="38" t="str">
        <f>IF(ISNUMBER(U12),IF(U12&lt;'参数'!$C$15,"先降杠杆或减量","在止损外"),"")</f>
        <v/>
      </c>
      <c r="W12" s="30" t="inlineStr">
        <is>
          <t>日线收在 2080 下方就走</t>
        </is>
      </c>
      <c r="X12" s="31" t="inlineStr">
        <is>
          <t>已执行</t>
        </is>
      </c>
      <c r="Y12" s="39">
        <f>IF(N(AB12)&gt;0,SUMPRODUCT(LARGE(('例-成交明细'!$A$5:$A$804=A12)*('例-成交明细'!$D$5:$D$804=IF(F12="空","卖","买"))*'例-成交明细'!$B$5:$B$804,COUNTIFS('例-成交明细'!$A$5:$A$804,A12,'例-成交明细'!$D$5:$D$804,IF(F12="空","卖","买")))),"")</f>
        <v>47672.0</v>
      </c>
      <c r="Z12" s="39" t="str">
        <f>IF(AND(N(AB12)&gt;0,N(AD12)&gt;=N(AB12)),SUMPRODUCT(MAX(('例-成交明细'!$A$5:$A$804=A12)*('例-成交明细'!$D$5:$D$804=IF(F12="空","买","卖"))*'例-成交明细'!$B$5:$B$804)),"")</f>
        <v/>
      </c>
      <c r="AA12" s="40" t="str">
        <f>IF(N(AB12)=0,"",IF(SUMPRODUCT(('例-成交明细'!$A$5:$A$804=A12)*('例-成交明细'!$D$5:$D$804=IF(F12="空","卖","买"))*ISNUMBER('例-成交明细'!$C$5:$C$804))=0,"没填时间",IFERROR(VLOOKUP(MOD(SUMPRODUCT(LARGE(('例-成交明细'!$A$5:$A$804=A12)*('例-成交明细'!$D$5:$D$804=IF(F12="空","卖","买"))*('例-成交明细'!$B$5:$B$804+'例-成交明细'!$C$5:$C$804),COUNTIFS('例-成交明细'!$A$5:$A$804,A12,'例-成交明细'!$D$5:$D$804,IF(F12="空","卖","买")))),1),'参数'!$B$39:$C$48,2,TRUE),"")))</f>
        <v>08～12 点</v>
      </c>
      <c r="AB12" s="34">
        <f>IF(A12="","",SUMIFS('例-成交明细'!$F$5:$F$804,'例-成交明细'!$A$5:$A$804,A12,'例-成交明细'!$D$5:$D$804,IF(F12="空","卖","买")))</f>
        <v>1.4</v>
      </c>
      <c r="AC12" s="41">
        <f>IF(N(AB12)&gt;0,SUMIFS('例-成交明细'!$H$5:$H$804,'例-成交明细'!$A$5:$A$804,A12,'例-成交明细'!$D$5:$D$804,IF(F12="空","卖","买"))/AB12,"")</f>
        <v>2152</v>
      </c>
      <c r="AD12" s="34">
        <f>IF(A12="","",SUMIFS('例-成交明细'!$F$5:$F$804,'例-成交明细'!$A$5:$A$804,A12,'例-成交明细'!$D$5:$D$804,IF(F12="空","买","卖")))</f>
        <v>0</v>
      </c>
      <c r="AE12" s="41" t="str">
        <f>IF(N(AD12)&gt;0,SUMIFS('例-成交明细'!$H$5:$H$804,'例-成交明细'!$A$5:$A$804,A12,'例-成交明细'!$D$5:$D$804,IF(F12="空","买","卖"))/AD12,"")</f>
        <v/>
      </c>
      <c r="AF12" s="38" t="str">
        <f>IF(A12="","",IF(X12&lt;&gt;"已执行",IF(X12="","未填执行情况",X12),IF(N(AB12)=0,"待录成交",IF(N(AD12)&gt;N(AB12),"平仓多于开仓",IF(N(AD12)&lt;N(AB12),"持仓中","已平仓")))))</f>
        <v>持仓中</v>
      </c>
      <c r="AG12" s="42">
        <f>IF(N(AB12)=0,"",SUMIFS('例-成交明细'!$L$5:$L$804,'例-成交明细'!$A$5:$A$804,A12))</f>
        <v>0.6026</v>
      </c>
      <c r="AH12" s="43">
        <f>IF(A12="","",SUMIFS('例-资金费流水'!$F$5:$F$604,'例-资金费流水'!$B$5:$B$604,A12))</f>
        <v>0</v>
      </c>
      <c r="AI12" s="43" t="str">
        <f>IF(AF12&lt;&gt;"已平仓","",(SUMIFS('例-成交明细'!$H$5:$H$804,'例-成交明细'!$A$5:$A$804,A12,'例-成交明细'!$D$5:$D$804,"卖")-SUMIFS('例-成交明细'!$H$5:$H$804,'例-成交明细'!$A$5:$A$804,A12,'例-成交明细'!$D$5:$D$804,"买"))*1-AG12+N(AH12))</f>
        <v/>
      </c>
      <c r="AJ12" s="44" t="str">
        <f>IF(AND(AF12="已平仓",ISNUMBER(Q12)),(SUMIFS('例-成交明细'!$H$5:$H$804,'例-成交明细'!$A$5:$A$804,A12,'例-成交明细'!$D$5:$D$804,"卖")-SUMIFS('例-成交明细'!$H$5:$H$804,'例-成交明细'!$A$5:$A$804,A12,'例-成交明细'!$D$5:$D$804,"买"))*1/Q12,"")</f>
        <v/>
      </c>
      <c r="AK12" s="44" t="str">
        <f>IF(AND(AF12="已平仓",ISNUMBER(Q12)),AI12/Q12,"")</f>
        <v/>
      </c>
      <c r="AL12" s="45">
        <f>IF(AND(ISNUMBER(AC12),ISNUMBER(K12)),IF(F12="空",K12-AC12,AC12-K12),"")</f>
        <v>2</v>
      </c>
      <c r="AM12" s="45" t="str">
        <f>IF(OR(NOT(ISNUMBER(AI12)),NOT(ISNUMBER(AE12))),"",IF(AI12&lt;0,IF(F12="空",AE12-L12,L12-AE12),IF(NOT(ISNUMBER(M12)),"",IF(F12="空",AE12-M12,M12-AE12))))</f>
        <v/>
      </c>
      <c r="AN12" s="31" t="n"/>
      <c r="AO12" s="31" t="n"/>
      <c r="AP12" s="30" t="inlineStr">
        <is>
          <t>现货拿着，平仓后再打分</t>
        </is>
      </c>
      <c r="AQ12" s="44">
        <f>IF(A12="","",SUM(AK$5:AK12))</f>
        <v>3.61989772714604</v>
      </c>
      <c r="AR12" s="46">
        <f>IF(A12="","",MAX(0,MAX(AQ$5:AQ12))-AQ12)</f>
        <v>2.3537</v>
      </c>
    </row>
    <row r="13">
      <c r="A13" s="24" t="n"/>
      <c r="B13" s="29" t="n"/>
      <c r="C13" s="30" t="n"/>
      <c r="D13" s="31" t="n"/>
      <c r="E13" s="31" t="n"/>
      <c r="F13" s="31" t="n"/>
      <c r="G13" s="21" t="n"/>
      <c r="H13" s="31" t="n"/>
      <c r="I13" s="23" t="n"/>
      <c r="J13" s="31" t="n"/>
      <c r="K13" s="32" t="n"/>
      <c r="L13" s="32" t="n"/>
      <c r="M13" s="32" t="n"/>
      <c r="N13" s="33" t="str">
        <f>IF(AND(ISNUMBER(K13),ISNUMBER(L13),ISNUMBER(M13)),IF(OR(AND(F13="多",K13&gt;L13),AND(F13="空",K13&lt;L13)),ABS(M13-K13)/ABS(K13-L13),"止损方向不对"),"")</f>
        <v/>
      </c>
      <c r="O13" s="34" t="str">
        <f>IF(AND(ISNUMBER(K13),ISNUMBER(L13)),IF(K13=L13,"",IF(INT(ROUND('参数'!$C$7/(ABS(K13-L13)*1+2*K13*'参数'!$C$12)/IF(N(J13)&gt;0,J13,1),6))*IF(N(J13)&gt;0,J13,1)&gt;0,INT(ROUND('参数'!$C$7/(ABS(K13-L13)*1+2*K13*'参数'!$C$12)/IF(N(J13)&gt;0,J13,1),6))*IF(N(J13)&gt;0,J13,1),"预算不足，这笔不做")),"")</f>
        <v/>
      </c>
      <c r="P13" s="35" t="n"/>
      <c r="Q13" s="20" t="str">
        <f>IF(AND(ISNUMBER(K13),ISNUMBER(L13),ISNUMBER(P13)),IF(AND(K13&lt;&gt;L13,P13&gt;0),ABS(K13-L13)*P13*1,""),"")</f>
        <v/>
      </c>
      <c r="R13" s="20" t="str">
        <f>IF(AND(ISNUMBER(K13),ISNUMBER(P13)),K13*P13,"")</f>
        <v/>
      </c>
      <c r="S13" s="20" t="str">
        <f>IF(AND(D13="合约",ISNUMBER(R13),N(G13)&gt;0),R13/G13,"")</f>
        <v/>
      </c>
      <c r="T13" s="36" t="str">
        <f>IF(NOT(D13="合约"),"",IF(H13&lt;&gt;"逐仓","看平台",IF(AND(ISNUMBER(K13),N(G13)&gt;0),IF(F13="空",K13*(1+1/G13-IF(ISNUMBER(I13),I13,'参数'!$C$13)),K13*(1-1/G13+IF(ISNUMBER(I13),I13,'参数'!$C$13))),"")))</f>
        <v/>
      </c>
      <c r="U13" s="37" t="str">
        <f>IF(AND(ISNUMBER(T13),ISNUMBER(L13),ISNUMBER(K13)),IF(F13="空",T13-L13,L13-T13)/K13,"")</f>
        <v/>
      </c>
      <c r="V13" s="38" t="str">
        <f>IF(ISNUMBER(U13),IF(U13&lt;'参数'!$C$15,"先降杠杆或减量","在止损外"),"")</f>
        <v/>
      </c>
      <c r="W13" s="30" t="n"/>
      <c r="X13" s="31" t="n"/>
      <c r="Y13" s="39" t="str">
        <f>IF(N(AB13)&gt;0,SUMPRODUCT(LARGE(('例-成交明细'!$A$5:$A$804=A13)*('例-成交明细'!$D$5:$D$804=IF(F13="空","卖","买"))*'例-成交明细'!$B$5:$B$804,COUNTIFS('例-成交明细'!$A$5:$A$804,A13,'例-成交明细'!$D$5:$D$804,IF(F13="空","卖","买")))),"")</f>
        <v/>
      </c>
      <c r="Z13" s="39" t="str">
        <f>IF(AND(N(AB13)&gt;0,N(AD13)&gt;=N(AB13)),SUMPRODUCT(MAX(('例-成交明细'!$A$5:$A$804=A13)*('例-成交明细'!$D$5:$D$804=IF(F13="空","买","卖"))*'例-成交明细'!$B$5:$B$804)),"")</f>
        <v/>
      </c>
      <c r="AA13" s="40" t="str">
        <f>IF(N(AB13)=0,"",IF(SUMPRODUCT(('例-成交明细'!$A$5:$A$804=A13)*('例-成交明细'!$D$5:$D$804=IF(F13="空","卖","买"))*ISNUMBER('例-成交明细'!$C$5:$C$804))=0,"没填时间",IFERROR(VLOOKUP(MOD(SUMPRODUCT(LARGE(('例-成交明细'!$A$5:$A$804=A13)*('例-成交明细'!$D$5:$D$804=IF(F13="空","卖","买"))*('例-成交明细'!$B$5:$B$804+'例-成交明细'!$C$5:$C$804),COUNTIFS('例-成交明细'!$A$5:$A$804,A13,'例-成交明细'!$D$5:$D$804,IF(F13="空","卖","买")))),1),'参数'!$B$39:$C$48,2,TRUE),"")))</f>
        <v/>
      </c>
      <c r="AB13" s="34" t="str">
        <f>IF(A13="","",SUMIFS('例-成交明细'!$F$5:$F$804,'例-成交明细'!$A$5:$A$804,A13,'例-成交明细'!$D$5:$D$804,IF(F13="空","卖","买")))</f>
        <v/>
      </c>
      <c r="AC13" s="41" t="str">
        <f>IF(N(AB13)&gt;0,SUMIFS('例-成交明细'!$H$5:$H$804,'例-成交明细'!$A$5:$A$804,A13,'例-成交明细'!$D$5:$D$804,IF(F13="空","卖","买"))/AB13,"")</f>
        <v/>
      </c>
      <c r="AD13" s="34" t="str">
        <f>IF(A13="","",SUMIFS('例-成交明细'!$F$5:$F$804,'例-成交明细'!$A$5:$A$804,A13,'例-成交明细'!$D$5:$D$804,IF(F13="空","买","卖")))</f>
        <v/>
      </c>
      <c r="AE13" s="41" t="str">
        <f>IF(N(AD13)&gt;0,SUMIFS('例-成交明细'!$H$5:$H$804,'例-成交明细'!$A$5:$A$804,A13,'例-成交明细'!$D$5:$D$804,IF(F13="空","买","卖"))/AD13,"")</f>
        <v/>
      </c>
      <c r="AF13" s="38" t="str">
        <f>IF(A13="","",IF(X13&lt;&gt;"已执行",IF(X13="","未填执行情况",X13),IF(N(AB13)=0,"待录成交",IF(N(AD13)&gt;N(AB13),"平仓多于开仓",IF(N(AD13)&lt;N(AB13),"持仓中","已平仓")))))</f>
        <v/>
      </c>
      <c r="AG13" s="42" t="str">
        <f>IF(N(AB13)=0,"",SUMIFS('例-成交明细'!$L$5:$L$804,'例-成交明细'!$A$5:$A$804,A13))</f>
        <v/>
      </c>
      <c r="AH13" s="43" t="str">
        <f>IF(A13="","",SUMIFS('例-资金费流水'!$F$5:$F$604,'例-资金费流水'!$B$5:$B$604,A13))</f>
        <v/>
      </c>
      <c r="AI13" s="43" t="str">
        <f>IF(AF13&lt;&gt;"已平仓","",(SUMIFS('例-成交明细'!$H$5:$H$804,'例-成交明细'!$A$5:$A$804,A13,'例-成交明细'!$D$5:$D$804,"卖")-SUMIFS('例-成交明细'!$H$5:$H$804,'例-成交明细'!$A$5:$A$804,A13,'例-成交明细'!$D$5:$D$804,"买"))*1-AG13+N(AH13))</f>
        <v/>
      </c>
      <c r="AJ13" s="44" t="str">
        <f>IF(AND(AF13="已平仓",ISNUMBER(Q13)),(SUMIFS('例-成交明细'!$H$5:$H$804,'例-成交明细'!$A$5:$A$804,A13,'例-成交明细'!$D$5:$D$804,"卖")-SUMIFS('例-成交明细'!$H$5:$H$804,'例-成交明细'!$A$5:$A$804,A13,'例-成交明细'!$D$5:$D$804,"买"))*1/Q13,"")</f>
        <v/>
      </c>
      <c r="AK13" s="44" t="str">
        <f>IF(AND(AF13="已平仓",ISNUMBER(Q13)),AI13/Q13,"")</f>
        <v/>
      </c>
      <c r="AL13" s="45" t="str">
        <f>IF(AND(ISNUMBER(AC13),ISNUMBER(K13)),IF(F13="空",K13-AC13,AC13-K13),"")</f>
        <v/>
      </c>
      <c r="AM13" s="45" t="str">
        <f>IF(OR(NOT(ISNUMBER(AI13)),NOT(ISNUMBER(AE13))),"",IF(AI13&lt;0,IF(F13="空",AE13-L13,L13-AE13),IF(NOT(ISNUMBER(M13)),"",IF(F13="空",AE13-M13,M13-AE13))))</f>
        <v/>
      </c>
      <c r="AN13" s="31" t="n"/>
      <c r="AO13" s="31" t="n"/>
      <c r="AP13" s="30" t="n"/>
      <c r="AQ13" s="44" t="str">
        <f>IF(A13="","",SUM(AK$5:AK13))</f>
        <v/>
      </c>
      <c r="AR13" s="46" t="str">
        <f>IF(A13="","",MAX(0,MAX(AQ$5:AQ13))-AQ13)</f>
        <v/>
      </c>
    </row>
    <row r="14">
      <c r="A14" s="24" t="n"/>
      <c r="B14" s="29" t="n"/>
      <c r="C14" s="30" t="n"/>
      <c r="D14" s="31" t="n"/>
      <c r="E14" s="31" t="n"/>
      <c r="F14" s="31" t="n"/>
      <c r="G14" s="21" t="n"/>
      <c r="H14" s="31" t="n"/>
      <c r="I14" s="23" t="n"/>
      <c r="J14" s="31" t="n"/>
      <c r="K14" s="32" t="n"/>
      <c r="L14" s="32" t="n"/>
      <c r="M14" s="32" t="n"/>
      <c r="N14" s="33" t="str">
        <f>IF(AND(ISNUMBER(K14),ISNUMBER(L14),ISNUMBER(M14)),IF(OR(AND(F14="多",K14&gt;L14),AND(F14="空",K14&lt;L14)),ABS(M14-K14)/ABS(K14-L14),"止损方向不对"),"")</f>
        <v/>
      </c>
      <c r="O14" s="34" t="str">
        <f>IF(AND(ISNUMBER(K14),ISNUMBER(L14)),IF(K14=L14,"",IF(INT(ROUND('参数'!$C$7/(ABS(K14-L14)*1+2*K14*'参数'!$C$12)/IF(N(J14)&gt;0,J14,1),6))*IF(N(J14)&gt;0,J14,1)&gt;0,INT(ROUND('参数'!$C$7/(ABS(K14-L14)*1+2*K14*'参数'!$C$12)/IF(N(J14)&gt;0,J14,1),6))*IF(N(J14)&gt;0,J14,1),"预算不足，这笔不做")),"")</f>
        <v/>
      </c>
      <c r="P14" s="35" t="n"/>
      <c r="Q14" s="20" t="str">
        <f>IF(AND(ISNUMBER(K14),ISNUMBER(L14),ISNUMBER(P14)),IF(AND(K14&lt;&gt;L14,P14&gt;0),ABS(K14-L14)*P14*1,""),"")</f>
        <v/>
      </c>
      <c r="R14" s="20" t="str">
        <f>IF(AND(ISNUMBER(K14),ISNUMBER(P14)),K14*P14,"")</f>
        <v/>
      </c>
      <c r="S14" s="20" t="str">
        <f>IF(AND(D14="合约",ISNUMBER(R14),N(G14)&gt;0),R14/G14,"")</f>
        <v/>
      </c>
      <c r="T14" s="36" t="str">
        <f>IF(NOT(D14="合约"),"",IF(H14&lt;&gt;"逐仓","看平台",IF(AND(ISNUMBER(K14),N(G14)&gt;0),IF(F14="空",K14*(1+1/G14-IF(ISNUMBER(I14),I14,'参数'!$C$13)),K14*(1-1/G14+IF(ISNUMBER(I14),I14,'参数'!$C$13))),"")))</f>
        <v/>
      </c>
      <c r="U14" s="37" t="str">
        <f>IF(AND(ISNUMBER(T14),ISNUMBER(L14),ISNUMBER(K14)),IF(F14="空",T14-L14,L14-T14)/K14,"")</f>
        <v/>
      </c>
      <c r="V14" s="38" t="str">
        <f>IF(ISNUMBER(U14),IF(U14&lt;'参数'!$C$15,"先降杠杆或减量","在止损外"),"")</f>
        <v/>
      </c>
      <c r="W14" s="30" t="n"/>
      <c r="X14" s="31" t="n"/>
      <c r="Y14" s="39" t="str">
        <f>IF(N(AB14)&gt;0,SUMPRODUCT(LARGE(('例-成交明细'!$A$5:$A$804=A14)*('例-成交明细'!$D$5:$D$804=IF(F14="空","卖","买"))*'例-成交明细'!$B$5:$B$804,COUNTIFS('例-成交明细'!$A$5:$A$804,A14,'例-成交明细'!$D$5:$D$804,IF(F14="空","卖","买")))),"")</f>
        <v/>
      </c>
      <c r="Z14" s="39" t="str">
        <f>IF(AND(N(AB14)&gt;0,N(AD14)&gt;=N(AB14)),SUMPRODUCT(MAX(('例-成交明细'!$A$5:$A$804=A14)*('例-成交明细'!$D$5:$D$804=IF(F14="空","买","卖"))*'例-成交明细'!$B$5:$B$804)),"")</f>
        <v/>
      </c>
      <c r="AA14" s="40" t="str">
        <f>IF(N(AB14)=0,"",IF(SUMPRODUCT(('例-成交明细'!$A$5:$A$804=A14)*('例-成交明细'!$D$5:$D$804=IF(F14="空","卖","买"))*ISNUMBER('例-成交明细'!$C$5:$C$804))=0,"没填时间",IFERROR(VLOOKUP(MOD(SUMPRODUCT(LARGE(('例-成交明细'!$A$5:$A$804=A14)*('例-成交明细'!$D$5:$D$804=IF(F14="空","卖","买"))*('例-成交明细'!$B$5:$B$804+'例-成交明细'!$C$5:$C$804),COUNTIFS('例-成交明细'!$A$5:$A$804,A14,'例-成交明细'!$D$5:$D$804,IF(F14="空","卖","买")))),1),'参数'!$B$39:$C$48,2,TRUE),"")))</f>
        <v/>
      </c>
      <c r="AB14" s="34" t="str">
        <f>IF(A14="","",SUMIFS('例-成交明细'!$F$5:$F$804,'例-成交明细'!$A$5:$A$804,A14,'例-成交明细'!$D$5:$D$804,IF(F14="空","卖","买")))</f>
        <v/>
      </c>
      <c r="AC14" s="41" t="str">
        <f>IF(N(AB14)&gt;0,SUMIFS('例-成交明细'!$H$5:$H$804,'例-成交明细'!$A$5:$A$804,A14,'例-成交明细'!$D$5:$D$804,IF(F14="空","卖","买"))/AB14,"")</f>
        <v/>
      </c>
      <c r="AD14" s="34" t="str">
        <f>IF(A14="","",SUMIFS('例-成交明细'!$F$5:$F$804,'例-成交明细'!$A$5:$A$804,A14,'例-成交明细'!$D$5:$D$804,IF(F14="空","买","卖")))</f>
        <v/>
      </c>
      <c r="AE14" s="41" t="str">
        <f>IF(N(AD14)&gt;0,SUMIFS('例-成交明细'!$H$5:$H$804,'例-成交明细'!$A$5:$A$804,A14,'例-成交明细'!$D$5:$D$804,IF(F14="空","买","卖"))/AD14,"")</f>
        <v/>
      </c>
      <c r="AF14" s="38" t="str">
        <f>IF(A14="","",IF(X14&lt;&gt;"已执行",IF(X14="","未填执行情况",X14),IF(N(AB14)=0,"待录成交",IF(N(AD14)&gt;N(AB14),"平仓多于开仓",IF(N(AD14)&lt;N(AB14),"持仓中","已平仓")))))</f>
        <v/>
      </c>
      <c r="AG14" s="42" t="str">
        <f>IF(N(AB14)=0,"",SUMIFS('例-成交明细'!$L$5:$L$804,'例-成交明细'!$A$5:$A$804,A14))</f>
        <v/>
      </c>
      <c r="AH14" s="43" t="str">
        <f>IF(A14="","",SUMIFS('例-资金费流水'!$F$5:$F$604,'例-资金费流水'!$B$5:$B$604,A14))</f>
        <v/>
      </c>
      <c r="AI14" s="43" t="str">
        <f>IF(AF14&lt;&gt;"已平仓","",(SUMIFS('例-成交明细'!$H$5:$H$804,'例-成交明细'!$A$5:$A$804,A14,'例-成交明细'!$D$5:$D$804,"卖")-SUMIFS('例-成交明细'!$H$5:$H$804,'例-成交明细'!$A$5:$A$804,A14,'例-成交明细'!$D$5:$D$804,"买"))*1-AG14+N(AH14))</f>
        <v/>
      </c>
      <c r="AJ14" s="44" t="str">
        <f>IF(AND(AF14="已平仓",ISNUMBER(Q14)),(SUMIFS('例-成交明细'!$H$5:$H$804,'例-成交明细'!$A$5:$A$804,A14,'例-成交明细'!$D$5:$D$804,"卖")-SUMIFS('例-成交明细'!$H$5:$H$804,'例-成交明细'!$A$5:$A$804,A14,'例-成交明细'!$D$5:$D$804,"买"))*1/Q14,"")</f>
        <v/>
      </c>
      <c r="AK14" s="44" t="str">
        <f>IF(AND(AF14="已平仓",ISNUMBER(Q14)),AI14/Q14,"")</f>
        <v/>
      </c>
      <c r="AL14" s="45" t="str">
        <f>IF(AND(ISNUMBER(AC14),ISNUMBER(K14)),IF(F14="空",K14-AC14,AC14-K14),"")</f>
        <v/>
      </c>
      <c r="AM14" s="45" t="str">
        <f>IF(OR(NOT(ISNUMBER(AI14)),NOT(ISNUMBER(AE14))),"",IF(AI14&lt;0,IF(F14="空",AE14-L14,L14-AE14),IF(NOT(ISNUMBER(M14)),"",IF(F14="空",AE14-M14,M14-AE14))))</f>
        <v/>
      </c>
      <c r="AN14" s="31" t="n"/>
      <c r="AO14" s="31" t="n"/>
      <c r="AP14" s="30" t="n"/>
      <c r="AQ14" s="44" t="str">
        <f>IF(A14="","",SUM(AK$5:AK14))</f>
        <v/>
      </c>
      <c r="AR14" s="46" t="str">
        <f>IF(A14="","",MAX(0,MAX(AQ$5:AQ14))-AQ14)</f>
        <v/>
      </c>
    </row>
    <row r="15">
      <c r="A15" s="24" t="n"/>
      <c r="B15" s="29" t="n"/>
      <c r="C15" s="30" t="n"/>
      <c r="D15" s="31" t="n"/>
      <c r="E15" s="31" t="n"/>
      <c r="F15" s="31" t="n"/>
      <c r="G15" s="21" t="n"/>
      <c r="H15" s="31" t="n"/>
      <c r="I15" s="23" t="n"/>
      <c r="J15" s="31" t="n"/>
      <c r="K15" s="32" t="n"/>
      <c r="L15" s="32" t="n"/>
      <c r="M15" s="32" t="n"/>
      <c r="N15" s="33" t="str">
        <f>IF(AND(ISNUMBER(K15),ISNUMBER(L15),ISNUMBER(M15)),IF(OR(AND(F15="多",K15&gt;L15),AND(F15="空",K15&lt;L15)),ABS(M15-K15)/ABS(K15-L15),"止损方向不对"),"")</f>
        <v/>
      </c>
      <c r="O15" s="34" t="str">
        <f>IF(AND(ISNUMBER(K15),ISNUMBER(L15)),IF(K15=L15,"",IF(INT(ROUND('参数'!$C$7/(ABS(K15-L15)*1+2*K15*'参数'!$C$12)/IF(N(J15)&gt;0,J15,1),6))*IF(N(J15)&gt;0,J15,1)&gt;0,INT(ROUND('参数'!$C$7/(ABS(K15-L15)*1+2*K15*'参数'!$C$12)/IF(N(J15)&gt;0,J15,1),6))*IF(N(J15)&gt;0,J15,1),"预算不足，这笔不做")),"")</f>
        <v/>
      </c>
      <c r="P15" s="35" t="n"/>
      <c r="Q15" s="20" t="str">
        <f>IF(AND(ISNUMBER(K15),ISNUMBER(L15),ISNUMBER(P15)),IF(AND(K15&lt;&gt;L15,P15&gt;0),ABS(K15-L15)*P15*1,""),"")</f>
        <v/>
      </c>
      <c r="R15" s="20" t="str">
        <f>IF(AND(ISNUMBER(K15),ISNUMBER(P15)),K15*P15,"")</f>
        <v/>
      </c>
      <c r="S15" s="20" t="str">
        <f>IF(AND(D15="合约",ISNUMBER(R15),N(G15)&gt;0),R15/G15,"")</f>
        <v/>
      </c>
      <c r="T15" s="36" t="str">
        <f>IF(NOT(D15="合约"),"",IF(H15&lt;&gt;"逐仓","看平台",IF(AND(ISNUMBER(K15),N(G15)&gt;0),IF(F15="空",K15*(1+1/G15-IF(ISNUMBER(I15),I15,'参数'!$C$13)),K15*(1-1/G15+IF(ISNUMBER(I15),I15,'参数'!$C$13))),"")))</f>
        <v/>
      </c>
      <c r="U15" s="37" t="str">
        <f>IF(AND(ISNUMBER(T15),ISNUMBER(L15),ISNUMBER(K15)),IF(F15="空",T15-L15,L15-T15)/K15,"")</f>
        <v/>
      </c>
      <c r="V15" s="38" t="str">
        <f>IF(ISNUMBER(U15),IF(U15&lt;'参数'!$C$15,"先降杠杆或减量","在止损外"),"")</f>
        <v/>
      </c>
      <c r="W15" s="30" t="n"/>
      <c r="X15" s="31" t="n"/>
      <c r="Y15" s="39" t="str">
        <f>IF(N(AB15)&gt;0,SUMPRODUCT(LARGE(('例-成交明细'!$A$5:$A$804=A15)*('例-成交明细'!$D$5:$D$804=IF(F15="空","卖","买"))*'例-成交明细'!$B$5:$B$804,COUNTIFS('例-成交明细'!$A$5:$A$804,A15,'例-成交明细'!$D$5:$D$804,IF(F15="空","卖","买")))),"")</f>
        <v/>
      </c>
      <c r="Z15" s="39" t="str">
        <f>IF(AND(N(AB15)&gt;0,N(AD15)&gt;=N(AB15)),SUMPRODUCT(MAX(('例-成交明细'!$A$5:$A$804=A15)*('例-成交明细'!$D$5:$D$804=IF(F15="空","买","卖"))*'例-成交明细'!$B$5:$B$804)),"")</f>
        <v/>
      </c>
      <c r="AA15" s="40" t="str">
        <f>IF(N(AB15)=0,"",IF(SUMPRODUCT(('例-成交明细'!$A$5:$A$804=A15)*('例-成交明细'!$D$5:$D$804=IF(F15="空","卖","买"))*ISNUMBER('例-成交明细'!$C$5:$C$804))=0,"没填时间",IFERROR(VLOOKUP(MOD(SUMPRODUCT(LARGE(('例-成交明细'!$A$5:$A$804=A15)*('例-成交明细'!$D$5:$D$804=IF(F15="空","卖","买"))*('例-成交明细'!$B$5:$B$804+'例-成交明细'!$C$5:$C$804),COUNTIFS('例-成交明细'!$A$5:$A$804,A15,'例-成交明细'!$D$5:$D$804,IF(F15="空","卖","买")))),1),'参数'!$B$39:$C$48,2,TRUE),"")))</f>
        <v/>
      </c>
      <c r="AB15" s="34" t="str">
        <f>IF(A15="","",SUMIFS('例-成交明细'!$F$5:$F$804,'例-成交明细'!$A$5:$A$804,A15,'例-成交明细'!$D$5:$D$804,IF(F15="空","卖","买")))</f>
        <v/>
      </c>
      <c r="AC15" s="41" t="str">
        <f>IF(N(AB15)&gt;0,SUMIFS('例-成交明细'!$H$5:$H$804,'例-成交明细'!$A$5:$A$804,A15,'例-成交明细'!$D$5:$D$804,IF(F15="空","卖","买"))/AB15,"")</f>
        <v/>
      </c>
      <c r="AD15" s="34" t="str">
        <f>IF(A15="","",SUMIFS('例-成交明细'!$F$5:$F$804,'例-成交明细'!$A$5:$A$804,A15,'例-成交明细'!$D$5:$D$804,IF(F15="空","买","卖")))</f>
        <v/>
      </c>
      <c r="AE15" s="41" t="str">
        <f>IF(N(AD15)&gt;0,SUMIFS('例-成交明细'!$H$5:$H$804,'例-成交明细'!$A$5:$A$804,A15,'例-成交明细'!$D$5:$D$804,IF(F15="空","买","卖"))/AD15,"")</f>
        <v/>
      </c>
      <c r="AF15" s="38" t="str">
        <f>IF(A15="","",IF(X15&lt;&gt;"已执行",IF(X15="","未填执行情况",X15),IF(N(AB15)=0,"待录成交",IF(N(AD15)&gt;N(AB15),"平仓多于开仓",IF(N(AD15)&lt;N(AB15),"持仓中","已平仓")))))</f>
        <v/>
      </c>
      <c r="AG15" s="42" t="str">
        <f>IF(N(AB15)=0,"",SUMIFS('例-成交明细'!$L$5:$L$804,'例-成交明细'!$A$5:$A$804,A15))</f>
        <v/>
      </c>
      <c r="AH15" s="43" t="str">
        <f>IF(A15="","",SUMIFS('例-资金费流水'!$F$5:$F$604,'例-资金费流水'!$B$5:$B$604,A15))</f>
        <v/>
      </c>
      <c r="AI15" s="43" t="str">
        <f>IF(AF15&lt;&gt;"已平仓","",(SUMIFS('例-成交明细'!$H$5:$H$804,'例-成交明细'!$A$5:$A$804,A15,'例-成交明细'!$D$5:$D$804,"卖")-SUMIFS('例-成交明细'!$H$5:$H$804,'例-成交明细'!$A$5:$A$804,A15,'例-成交明细'!$D$5:$D$804,"买"))*1-AG15+N(AH15))</f>
        <v/>
      </c>
      <c r="AJ15" s="44" t="str">
        <f>IF(AND(AF15="已平仓",ISNUMBER(Q15)),(SUMIFS('例-成交明细'!$H$5:$H$804,'例-成交明细'!$A$5:$A$804,A15,'例-成交明细'!$D$5:$D$804,"卖")-SUMIFS('例-成交明细'!$H$5:$H$804,'例-成交明细'!$A$5:$A$804,A15,'例-成交明细'!$D$5:$D$804,"买"))*1/Q15,"")</f>
        <v/>
      </c>
      <c r="AK15" s="44" t="str">
        <f>IF(AND(AF15="已平仓",ISNUMBER(Q15)),AI15/Q15,"")</f>
        <v/>
      </c>
      <c r="AL15" s="45" t="str">
        <f>IF(AND(ISNUMBER(AC15),ISNUMBER(K15)),IF(F15="空",K15-AC15,AC15-K15),"")</f>
        <v/>
      </c>
      <c r="AM15" s="45" t="str">
        <f>IF(OR(NOT(ISNUMBER(AI15)),NOT(ISNUMBER(AE15))),"",IF(AI15&lt;0,IF(F15="空",AE15-L15,L15-AE15),IF(NOT(ISNUMBER(M15)),"",IF(F15="空",AE15-M15,M15-AE15))))</f>
        <v/>
      </c>
      <c r="AN15" s="31" t="n"/>
      <c r="AO15" s="31" t="n"/>
      <c r="AP15" s="30" t="n"/>
      <c r="AQ15" s="44" t="str">
        <f>IF(A15="","",SUM(AK$5:AK15))</f>
        <v/>
      </c>
      <c r="AR15" s="46" t="str">
        <f>IF(A15="","",MAX(0,MAX(AQ$5:AQ15))-AQ15)</f>
        <v/>
      </c>
    </row>
    <row r="16">
      <c r="A16" s="24" t="n"/>
      <c r="B16" s="29" t="n"/>
      <c r="C16" s="30" t="n"/>
      <c r="D16" s="31" t="n"/>
      <c r="E16" s="31" t="n"/>
      <c r="F16" s="31" t="n"/>
      <c r="G16" s="21" t="n"/>
      <c r="H16" s="31" t="n"/>
      <c r="I16" s="23" t="n"/>
      <c r="J16" s="31" t="n"/>
      <c r="K16" s="32" t="n"/>
      <c r="L16" s="32" t="n"/>
      <c r="M16" s="32" t="n"/>
      <c r="N16" s="33" t="str">
        <f>IF(AND(ISNUMBER(K16),ISNUMBER(L16),ISNUMBER(M16)),IF(OR(AND(F16="多",K16&gt;L16),AND(F16="空",K16&lt;L16)),ABS(M16-K16)/ABS(K16-L16),"止损方向不对"),"")</f>
        <v/>
      </c>
      <c r="O16" s="34" t="str">
        <f>IF(AND(ISNUMBER(K16),ISNUMBER(L16)),IF(K16=L16,"",IF(INT(ROUND('参数'!$C$7/(ABS(K16-L16)*1+2*K16*'参数'!$C$12)/IF(N(J16)&gt;0,J16,1),6))*IF(N(J16)&gt;0,J16,1)&gt;0,INT(ROUND('参数'!$C$7/(ABS(K16-L16)*1+2*K16*'参数'!$C$12)/IF(N(J16)&gt;0,J16,1),6))*IF(N(J16)&gt;0,J16,1),"预算不足，这笔不做")),"")</f>
        <v/>
      </c>
      <c r="P16" s="35" t="n"/>
      <c r="Q16" s="20" t="str">
        <f>IF(AND(ISNUMBER(K16),ISNUMBER(L16),ISNUMBER(P16)),IF(AND(K16&lt;&gt;L16,P16&gt;0),ABS(K16-L16)*P16*1,""),"")</f>
        <v/>
      </c>
      <c r="R16" s="20" t="str">
        <f>IF(AND(ISNUMBER(K16),ISNUMBER(P16)),K16*P16,"")</f>
        <v/>
      </c>
      <c r="S16" s="20" t="str">
        <f>IF(AND(D16="合约",ISNUMBER(R16),N(G16)&gt;0),R16/G16,"")</f>
        <v/>
      </c>
      <c r="T16" s="36" t="str">
        <f>IF(NOT(D16="合约"),"",IF(H16&lt;&gt;"逐仓","看平台",IF(AND(ISNUMBER(K16),N(G16)&gt;0),IF(F16="空",K16*(1+1/G16-IF(ISNUMBER(I16),I16,'参数'!$C$13)),K16*(1-1/G16+IF(ISNUMBER(I16),I16,'参数'!$C$13))),"")))</f>
        <v/>
      </c>
      <c r="U16" s="37" t="str">
        <f>IF(AND(ISNUMBER(T16),ISNUMBER(L16),ISNUMBER(K16)),IF(F16="空",T16-L16,L16-T16)/K16,"")</f>
        <v/>
      </c>
      <c r="V16" s="38" t="str">
        <f>IF(ISNUMBER(U16),IF(U16&lt;'参数'!$C$15,"先降杠杆或减量","在止损外"),"")</f>
        <v/>
      </c>
      <c r="W16" s="30" t="n"/>
      <c r="X16" s="31" t="n"/>
      <c r="Y16" s="39" t="str">
        <f>IF(N(AB16)&gt;0,SUMPRODUCT(LARGE(('例-成交明细'!$A$5:$A$804=A16)*('例-成交明细'!$D$5:$D$804=IF(F16="空","卖","买"))*'例-成交明细'!$B$5:$B$804,COUNTIFS('例-成交明细'!$A$5:$A$804,A16,'例-成交明细'!$D$5:$D$804,IF(F16="空","卖","买")))),"")</f>
        <v/>
      </c>
      <c r="Z16" s="39" t="str">
        <f>IF(AND(N(AB16)&gt;0,N(AD16)&gt;=N(AB16)),SUMPRODUCT(MAX(('例-成交明细'!$A$5:$A$804=A16)*('例-成交明细'!$D$5:$D$804=IF(F16="空","买","卖"))*'例-成交明细'!$B$5:$B$804)),"")</f>
        <v/>
      </c>
      <c r="AA16" s="40" t="str">
        <f>IF(N(AB16)=0,"",IF(SUMPRODUCT(('例-成交明细'!$A$5:$A$804=A16)*('例-成交明细'!$D$5:$D$804=IF(F16="空","卖","买"))*ISNUMBER('例-成交明细'!$C$5:$C$804))=0,"没填时间",IFERROR(VLOOKUP(MOD(SUMPRODUCT(LARGE(('例-成交明细'!$A$5:$A$804=A16)*('例-成交明细'!$D$5:$D$804=IF(F16="空","卖","买"))*('例-成交明细'!$B$5:$B$804+'例-成交明细'!$C$5:$C$804),COUNTIFS('例-成交明细'!$A$5:$A$804,A16,'例-成交明细'!$D$5:$D$804,IF(F16="空","卖","买")))),1),'参数'!$B$39:$C$48,2,TRUE),"")))</f>
        <v/>
      </c>
      <c r="AB16" s="34" t="str">
        <f>IF(A16="","",SUMIFS('例-成交明细'!$F$5:$F$804,'例-成交明细'!$A$5:$A$804,A16,'例-成交明细'!$D$5:$D$804,IF(F16="空","卖","买")))</f>
        <v/>
      </c>
      <c r="AC16" s="41" t="str">
        <f>IF(N(AB16)&gt;0,SUMIFS('例-成交明细'!$H$5:$H$804,'例-成交明细'!$A$5:$A$804,A16,'例-成交明细'!$D$5:$D$804,IF(F16="空","卖","买"))/AB16,"")</f>
        <v/>
      </c>
      <c r="AD16" s="34" t="str">
        <f>IF(A16="","",SUMIFS('例-成交明细'!$F$5:$F$804,'例-成交明细'!$A$5:$A$804,A16,'例-成交明细'!$D$5:$D$804,IF(F16="空","买","卖")))</f>
        <v/>
      </c>
      <c r="AE16" s="41" t="str">
        <f>IF(N(AD16)&gt;0,SUMIFS('例-成交明细'!$H$5:$H$804,'例-成交明细'!$A$5:$A$804,A16,'例-成交明细'!$D$5:$D$804,IF(F16="空","买","卖"))/AD16,"")</f>
        <v/>
      </c>
      <c r="AF16" s="38" t="str">
        <f>IF(A16="","",IF(X16&lt;&gt;"已执行",IF(X16="","未填执行情况",X16),IF(N(AB16)=0,"待录成交",IF(N(AD16)&gt;N(AB16),"平仓多于开仓",IF(N(AD16)&lt;N(AB16),"持仓中","已平仓")))))</f>
        <v/>
      </c>
      <c r="AG16" s="42" t="str">
        <f>IF(N(AB16)=0,"",SUMIFS('例-成交明细'!$L$5:$L$804,'例-成交明细'!$A$5:$A$804,A16))</f>
        <v/>
      </c>
      <c r="AH16" s="43" t="str">
        <f>IF(A16="","",SUMIFS('例-资金费流水'!$F$5:$F$604,'例-资金费流水'!$B$5:$B$604,A16))</f>
        <v/>
      </c>
      <c r="AI16" s="43" t="str">
        <f>IF(AF16&lt;&gt;"已平仓","",(SUMIFS('例-成交明细'!$H$5:$H$804,'例-成交明细'!$A$5:$A$804,A16,'例-成交明细'!$D$5:$D$804,"卖")-SUMIFS('例-成交明细'!$H$5:$H$804,'例-成交明细'!$A$5:$A$804,A16,'例-成交明细'!$D$5:$D$804,"买"))*1-AG16+N(AH16))</f>
        <v/>
      </c>
      <c r="AJ16" s="44" t="str">
        <f>IF(AND(AF16="已平仓",ISNUMBER(Q16)),(SUMIFS('例-成交明细'!$H$5:$H$804,'例-成交明细'!$A$5:$A$804,A16,'例-成交明细'!$D$5:$D$804,"卖")-SUMIFS('例-成交明细'!$H$5:$H$804,'例-成交明细'!$A$5:$A$804,A16,'例-成交明细'!$D$5:$D$804,"买"))*1/Q16,"")</f>
        <v/>
      </c>
      <c r="AK16" s="44" t="str">
        <f>IF(AND(AF16="已平仓",ISNUMBER(Q16)),AI16/Q16,"")</f>
        <v/>
      </c>
      <c r="AL16" s="45" t="str">
        <f>IF(AND(ISNUMBER(AC16),ISNUMBER(K16)),IF(F16="空",K16-AC16,AC16-K16),"")</f>
        <v/>
      </c>
      <c r="AM16" s="45" t="str">
        <f>IF(OR(NOT(ISNUMBER(AI16)),NOT(ISNUMBER(AE16))),"",IF(AI16&lt;0,IF(F16="空",AE16-L16,L16-AE16),IF(NOT(ISNUMBER(M16)),"",IF(F16="空",AE16-M16,M16-AE16))))</f>
        <v/>
      </c>
      <c r="AN16" s="31" t="n"/>
      <c r="AO16" s="31" t="n"/>
      <c r="AP16" s="30" t="n"/>
      <c r="AQ16" s="44" t="str">
        <f>IF(A16="","",SUM(AK$5:AK16))</f>
        <v/>
      </c>
      <c r="AR16" s="46" t="str">
        <f>IF(A16="","",MAX(0,MAX(AQ$5:AQ16))-AQ16)</f>
        <v/>
      </c>
    </row>
    <row r="17">
      <c r="A17" s="24" t="n"/>
      <c r="B17" s="29" t="n"/>
      <c r="C17" s="30" t="n"/>
      <c r="D17" s="31" t="n"/>
      <c r="E17" s="31" t="n"/>
      <c r="F17" s="31" t="n"/>
      <c r="G17" s="21" t="n"/>
      <c r="H17" s="31" t="n"/>
      <c r="I17" s="23" t="n"/>
      <c r="J17" s="31" t="n"/>
      <c r="K17" s="32" t="n"/>
      <c r="L17" s="32" t="n"/>
      <c r="M17" s="32" t="n"/>
      <c r="N17" s="33" t="str">
        <f>IF(AND(ISNUMBER(K17),ISNUMBER(L17),ISNUMBER(M17)),IF(OR(AND(F17="多",K17&gt;L17),AND(F17="空",K17&lt;L17)),ABS(M17-K17)/ABS(K17-L17),"止损方向不对"),"")</f>
        <v/>
      </c>
      <c r="O17" s="34" t="str">
        <f>IF(AND(ISNUMBER(K17),ISNUMBER(L17)),IF(K17=L17,"",IF(INT(ROUND('参数'!$C$7/(ABS(K17-L17)*1+2*K17*'参数'!$C$12)/IF(N(J17)&gt;0,J17,1),6))*IF(N(J17)&gt;0,J17,1)&gt;0,INT(ROUND('参数'!$C$7/(ABS(K17-L17)*1+2*K17*'参数'!$C$12)/IF(N(J17)&gt;0,J17,1),6))*IF(N(J17)&gt;0,J17,1),"预算不足，这笔不做")),"")</f>
        <v/>
      </c>
      <c r="P17" s="35" t="n"/>
      <c r="Q17" s="20" t="str">
        <f>IF(AND(ISNUMBER(K17),ISNUMBER(L17),ISNUMBER(P17)),IF(AND(K17&lt;&gt;L17,P17&gt;0),ABS(K17-L17)*P17*1,""),"")</f>
        <v/>
      </c>
      <c r="R17" s="20" t="str">
        <f>IF(AND(ISNUMBER(K17),ISNUMBER(P17)),K17*P17,"")</f>
        <v/>
      </c>
      <c r="S17" s="20" t="str">
        <f>IF(AND(D17="合约",ISNUMBER(R17),N(G17)&gt;0),R17/G17,"")</f>
        <v/>
      </c>
      <c r="T17" s="36" t="str">
        <f>IF(NOT(D17="合约"),"",IF(H17&lt;&gt;"逐仓","看平台",IF(AND(ISNUMBER(K17),N(G17)&gt;0),IF(F17="空",K17*(1+1/G17-IF(ISNUMBER(I17),I17,'参数'!$C$13)),K17*(1-1/G17+IF(ISNUMBER(I17),I17,'参数'!$C$13))),"")))</f>
        <v/>
      </c>
      <c r="U17" s="37" t="str">
        <f>IF(AND(ISNUMBER(T17),ISNUMBER(L17),ISNUMBER(K17)),IF(F17="空",T17-L17,L17-T17)/K17,"")</f>
        <v/>
      </c>
      <c r="V17" s="38" t="str">
        <f>IF(ISNUMBER(U17),IF(U17&lt;'参数'!$C$15,"先降杠杆或减量","在止损外"),"")</f>
        <v/>
      </c>
      <c r="W17" s="30" t="n"/>
      <c r="X17" s="31" t="n"/>
      <c r="Y17" s="39" t="str">
        <f>IF(N(AB17)&gt;0,SUMPRODUCT(LARGE(('例-成交明细'!$A$5:$A$804=A17)*('例-成交明细'!$D$5:$D$804=IF(F17="空","卖","买"))*'例-成交明细'!$B$5:$B$804,COUNTIFS('例-成交明细'!$A$5:$A$804,A17,'例-成交明细'!$D$5:$D$804,IF(F17="空","卖","买")))),"")</f>
        <v/>
      </c>
      <c r="Z17" s="39" t="str">
        <f>IF(AND(N(AB17)&gt;0,N(AD17)&gt;=N(AB17)),SUMPRODUCT(MAX(('例-成交明细'!$A$5:$A$804=A17)*('例-成交明细'!$D$5:$D$804=IF(F17="空","买","卖"))*'例-成交明细'!$B$5:$B$804)),"")</f>
        <v/>
      </c>
      <c r="AA17" s="40" t="str">
        <f>IF(N(AB17)=0,"",IF(SUMPRODUCT(('例-成交明细'!$A$5:$A$804=A17)*('例-成交明细'!$D$5:$D$804=IF(F17="空","卖","买"))*ISNUMBER('例-成交明细'!$C$5:$C$804))=0,"没填时间",IFERROR(VLOOKUP(MOD(SUMPRODUCT(LARGE(('例-成交明细'!$A$5:$A$804=A17)*('例-成交明细'!$D$5:$D$804=IF(F17="空","卖","买"))*('例-成交明细'!$B$5:$B$804+'例-成交明细'!$C$5:$C$804),COUNTIFS('例-成交明细'!$A$5:$A$804,A17,'例-成交明细'!$D$5:$D$804,IF(F17="空","卖","买")))),1),'参数'!$B$39:$C$48,2,TRUE),"")))</f>
        <v/>
      </c>
      <c r="AB17" s="34" t="str">
        <f>IF(A17="","",SUMIFS('例-成交明细'!$F$5:$F$804,'例-成交明细'!$A$5:$A$804,A17,'例-成交明细'!$D$5:$D$804,IF(F17="空","卖","买")))</f>
        <v/>
      </c>
      <c r="AC17" s="41" t="str">
        <f>IF(N(AB17)&gt;0,SUMIFS('例-成交明细'!$H$5:$H$804,'例-成交明细'!$A$5:$A$804,A17,'例-成交明细'!$D$5:$D$804,IF(F17="空","卖","买"))/AB17,"")</f>
        <v/>
      </c>
      <c r="AD17" s="34" t="str">
        <f>IF(A17="","",SUMIFS('例-成交明细'!$F$5:$F$804,'例-成交明细'!$A$5:$A$804,A17,'例-成交明细'!$D$5:$D$804,IF(F17="空","买","卖")))</f>
        <v/>
      </c>
      <c r="AE17" s="41" t="str">
        <f>IF(N(AD17)&gt;0,SUMIFS('例-成交明细'!$H$5:$H$804,'例-成交明细'!$A$5:$A$804,A17,'例-成交明细'!$D$5:$D$804,IF(F17="空","买","卖"))/AD17,"")</f>
        <v/>
      </c>
      <c r="AF17" s="38" t="str">
        <f>IF(A17="","",IF(X17&lt;&gt;"已执行",IF(X17="","未填执行情况",X17),IF(N(AB17)=0,"待录成交",IF(N(AD17)&gt;N(AB17),"平仓多于开仓",IF(N(AD17)&lt;N(AB17),"持仓中","已平仓")))))</f>
        <v/>
      </c>
      <c r="AG17" s="42" t="str">
        <f>IF(N(AB17)=0,"",SUMIFS('例-成交明细'!$L$5:$L$804,'例-成交明细'!$A$5:$A$804,A17))</f>
        <v/>
      </c>
      <c r="AH17" s="43" t="str">
        <f>IF(A17="","",SUMIFS('例-资金费流水'!$F$5:$F$604,'例-资金费流水'!$B$5:$B$604,A17))</f>
        <v/>
      </c>
      <c r="AI17" s="43" t="str">
        <f>IF(AF17&lt;&gt;"已平仓","",(SUMIFS('例-成交明细'!$H$5:$H$804,'例-成交明细'!$A$5:$A$804,A17,'例-成交明细'!$D$5:$D$804,"卖")-SUMIFS('例-成交明细'!$H$5:$H$804,'例-成交明细'!$A$5:$A$804,A17,'例-成交明细'!$D$5:$D$804,"买"))*1-AG17+N(AH17))</f>
        <v/>
      </c>
      <c r="AJ17" s="44" t="str">
        <f>IF(AND(AF17="已平仓",ISNUMBER(Q17)),(SUMIFS('例-成交明细'!$H$5:$H$804,'例-成交明细'!$A$5:$A$804,A17,'例-成交明细'!$D$5:$D$804,"卖")-SUMIFS('例-成交明细'!$H$5:$H$804,'例-成交明细'!$A$5:$A$804,A17,'例-成交明细'!$D$5:$D$804,"买"))*1/Q17,"")</f>
        <v/>
      </c>
      <c r="AK17" s="44" t="str">
        <f>IF(AND(AF17="已平仓",ISNUMBER(Q17)),AI17/Q17,"")</f>
        <v/>
      </c>
      <c r="AL17" s="45" t="str">
        <f>IF(AND(ISNUMBER(AC17),ISNUMBER(K17)),IF(F17="空",K17-AC17,AC17-K17),"")</f>
        <v/>
      </c>
      <c r="AM17" s="45" t="str">
        <f>IF(OR(NOT(ISNUMBER(AI17)),NOT(ISNUMBER(AE17))),"",IF(AI17&lt;0,IF(F17="空",AE17-L17,L17-AE17),IF(NOT(ISNUMBER(M17)),"",IF(F17="空",AE17-M17,M17-AE17))))</f>
        <v/>
      </c>
      <c r="AN17" s="31" t="n"/>
      <c r="AO17" s="31" t="n"/>
      <c r="AP17" s="30" t="n"/>
      <c r="AQ17" s="44" t="str">
        <f>IF(A17="","",SUM(AK$5:AK17))</f>
        <v/>
      </c>
      <c r="AR17" s="46" t="str">
        <f>IF(A17="","",MAX(0,MAX(AQ$5:AQ17))-AQ17)</f>
        <v/>
      </c>
    </row>
    <row r="18">
      <c r="A18" s="24" t="n"/>
      <c r="B18" s="29" t="n"/>
      <c r="C18" s="30" t="n"/>
      <c r="D18" s="31" t="n"/>
      <c r="E18" s="31" t="n"/>
      <c r="F18" s="31" t="n"/>
      <c r="G18" s="21" t="n"/>
      <c r="H18" s="31" t="n"/>
      <c r="I18" s="23" t="n"/>
      <c r="J18" s="31" t="n"/>
      <c r="K18" s="32" t="n"/>
      <c r="L18" s="32" t="n"/>
      <c r="M18" s="32" t="n"/>
      <c r="N18" s="33" t="str">
        <f>IF(AND(ISNUMBER(K18),ISNUMBER(L18),ISNUMBER(M18)),IF(OR(AND(F18="多",K18&gt;L18),AND(F18="空",K18&lt;L18)),ABS(M18-K18)/ABS(K18-L18),"止损方向不对"),"")</f>
        <v/>
      </c>
      <c r="O18" s="34" t="str">
        <f>IF(AND(ISNUMBER(K18),ISNUMBER(L18)),IF(K18=L18,"",IF(INT(ROUND('参数'!$C$7/(ABS(K18-L18)*1+2*K18*'参数'!$C$12)/IF(N(J18)&gt;0,J18,1),6))*IF(N(J18)&gt;0,J18,1)&gt;0,INT(ROUND('参数'!$C$7/(ABS(K18-L18)*1+2*K18*'参数'!$C$12)/IF(N(J18)&gt;0,J18,1),6))*IF(N(J18)&gt;0,J18,1),"预算不足，这笔不做")),"")</f>
        <v/>
      </c>
      <c r="P18" s="35" t="n"/>
      <c r="Q18" s="20" t="str">
        <f>IF(AND(ISNUMBER(K18),ISNUMBER(L18),ISNUMBER(P18)),IF(AND(K18&lt;&gt;L18,P18&gt;0),ABS(K18-L18)*P18*1,""),"")</f>
        <v/>
      </c>
      <c r="R18" s="20" t="str">
        <f>IF(AND(ISNUMBER(K18),ISNUMBER(P18)),K18*P18,"")</f>
        <v/>
      </c>
      <c r="S18" s="20" t="str">
        <f>IF(AND(D18="合约",ISNUMBER(R18),N(G18)&gt;0),R18/G18,"")</f>
        <v/>
      </c>
      <c r="T18" s="36" t="str">
        <f>IF(NOT(D18="合约"),"",IF(H18&lt;&gt;"逐仓","看平台",IF(AND(ISNUMBER(K18),N(G18)&gt;0),IF(F18="空",K18*(1+1/G18-IF(ISNUMBER(I18),I18,'参数'!$C$13)),K18*(1-1/G18+IF(ISNUMBER(I18),I18,'参数'!$C$13))),"")))</f>
        <v/>
      </c>
      <c r="U18" s="37" t="str">
        <f>IF(AND(ISNUMBER(T18),ISNUMBER(L18),ISNUMBER(K18)),IF(F18="空",T18-L18,L18-T18)/K18,"")</f>
        <v/>
      </c>
      <c r="V18" s="38" t="str">
        <f>IF(ISNUMBER(U18),IF(U18&lt;'参数'!$C$15,"先降杠杆或减量","在止损外"),"")</f>
        <v/>
      </c>
      <c r="W18" s="30" t="n"/>
      <c r="X18" s="31" t="n"/>
      <c r="Y18" s="39" t="str">
        <f>IF(N(AB18)&gt;0,SUMPRODUCT(LARGE(('例-成交明细'!$A$5:$A$804=A18)*('例-成交明细'!$D$5:$D$804=IF(F18="空","卖","买"))*'例-成交明细'!$B$5:$B$804,COUNTIFS('例-成交明细'!$A$5:$A$804,A18,'例-成交明细'!$D$5:$D$804,IF(F18="空","卖","买")))),"")</f>
        <v/>
      </c>
      <c r="Z18" s="39" t="str">
        <f>IF(AND(N(AB18)&gt;0,N(AD18)&gt;=N(AB18)),SUMPRODUCT(MAX(('例-成交明细'!$A$5:$A$804=A18)*('例-成交明细'!$D$5:$D$804=IF(F18="空","买","卖"))*'例-成交明细'!$B$5:$B$804)),"")</f>
        <v/>
      </c>
      <c r="AA18" s="40" t="str">
        <f>IF(N(AB18)=0,"",IF(SUMPRODUCT(('例-成交明细'!$A$5:$A$804=A18)*('例-成交明细'!$D$5:$D$804=IF(F18="空","卖","买"))*ISNUMBER('例-成交明细'!$C$5:$C$804))=0,"没填时间",IFERROR(VLOOKUP(MOD(SUMPRODUCT(LARGE(('例-成交明细'!$A$5:$A$804=A18)*('例-成交明细'!$D$5:$D$804=IF(F18="空","卖","买"))*('例-成交明细'!$B$5:$B$804+'例-成交明细'!$C$5:$C$804),COUNTIFS('例-成交明细'!$A$5:$A$804,A18,'例-成交明细'!$D$5:$D$804,IF(F18="空","卖","买")))),1),'参数'!$B$39:$C$48,2,TRUE),"")))</f>
        <v/>
      </c>
      <c r="AB18" s="34" t="str">
        <f>IF(A18="","",SUMIFS('例-成交明细'!$F$5:$F$804,'例-成交明细'!$A$5:$A$804,A18,'例-成交明细'!$D$5:$D$804,IF(F18="空","卖","买")))</f>
        <v/>
      </c>
      <c r="AC18" s="41" t="str">
        <f>IF(N(AB18)&gt;0,SUMIFS('例-成交明细'!$H$5:$H$804,'例-成交明细'!$A$5:$A$804,A18,'例-成交明细'!$D$5:$D$804,IF(F18="空","卖","买"))/AB18,"")</f>
        <v/>
      </c>
      <c r="AD18" s="34" t="str">
        <f>IF(A18="","",SUMIFS('例-成交明细'!$F$5:$F$804,'例-成交明细'!$A$5:$A$804,A18,'例-成交明细'!$D$5:$D$804,IF(F18="空","买","卖")))</f>
        <v/>
      </c>
      <c r="AE18" s="41" t="str">
        <f>IF(N(AD18)&gt;0,SUMIFS('例-成交明细'!$H$5:$H$804,'例-成交明细'!$A$5:$A$804,A18,'例-成交明细'!$D$5:$D$804,IF(F18="空","买","卖"))/AD18,"")</f>
        <v/>
      </c>
      <c r="AF18" s="38" t="str">
        <f>IF(A18="","",IF(X18&lt;&gt;"已执行",IF(X18="","未填执行情况",X18),IF(N(AB18)=0,"待录成交",IF(N(AD18)&gt;N(AB18),"平仓多于开仓",IF(N(AD18)&lt;N(AB18),"持仓中","已平仓")))))</f>
        <v/>
      </c>
      <c r="AG18" s="42" t="str">
        <f>IF(N(AB18)=0,"",SUMIFS('例-成交明细'!$L$5:$L$804,'例-成交明细'!$A$5:$A$804,A18))</f>
        <v/>
      </c>
      <c r="AH18" s="43" t="str">
        <f>IF(A18="","",SUMIFS('例-资金费流水'!$F$5:$F$604,'例-资金费流水'!$B$5:$B$604,A18))</f>
        <v/>
      </c>
      <c r="AI18" s="43" t="str">
        <f>IF(AF18&lt;&gt;"已平仓","",(SUMIFS('例-成交明细'!$H$5:$H$804,'例-成交明细'!$A$5:$A$804,A18,'例-成交明细'!$D$5:$D$804,"卖")-SUMIFS('例-成交明细'!$H$5:$H$804,'例-成交明细'!$A$5:$A$804,A18,'例-成交明细'!$D$5:$D$804,"买"))*1-AG18+N(AH18))</f>
        <v/>
      </c>
      <c r="AJ18" s="44" t="str">
        <f>IF(AND(AF18="已平仓",ISNUMBER(Q18)),(SUMIFS('例-成交明细'!$H$5:$H$804,'例-成交明细'!$A$5:$A$804,A18,'例-成交明细'!$D$5:$D$804,"卖")-SUMIFS('例-成交明细'!$H$5:$H$804,'例-成交明细'!$A$5:$A$804,A18,'例-成交明细'!$D$5:$D$804,"买"))*1/Q18,"")</f>
        <v/>
      </c>
      <c r="AK18" s="44" t="str">
        <f>IF(AND(AF18="已平仓",ISNUMBER(Q18)),AI18/Q18,"")</f>
        <v/>
      </c>
      <c r="AL18" s="45" t="str">
        <f>IF(AND(ISNUMBER(AC18),ISNUMBER(K18)),IF(F18="空",K18-AC18,AC18-K18),"")</f>
        <v/>
      </c>
      <c r="AM18" s="45" t="str">
        <f>IF(OR(NOT(ISNUMBER(AI18)),NOT(ISNUMBER(AE18))),"",IF(AI18&lt;0,IF(F18="空",AE18-L18,L18-AE18),IF(NOT(ISNUMBER(M18)),"",IF(F18="空",AE18-M18,M18-AE18))))</f>
        <v/>
      </c>
      <c r="AN18" s="31" t="n"/>
      <c r="AO18" s="31" t="n"/>
      <c r="AP18" s="30" t="n"/>
      <c r="AQ18" s="44" t="str">
        <f>IF(A18="","",SUM(AK$5:AK18))</f>
        <v/>
      </c>
      <c r="AR18" s="46" t="str">
        <f>IF(A18="","",MAX(0,MAX(AQ$5:AQ18))-AQ18)</f>
        <v/>
      </c>
    </row>
    <row r="19">
      <c r="A19" s="24" t="n"/>
      <c r="B19" s="29" t="n"/>
      <c r="C19" s="30" t="n"/>
      <c r="D19" s="31" t="n"/>
      <c r="E19" s="31" t="n"/>
      <c r="F19" s="31" t="n"/>
      <c r="G19" s="21" t="n"/>
      <c r="H19" s="31" t="n"/>
      <c r="I19" s="23" t="n"/>
      <c r="J19" s="31" t="n"/>
      <c r="K19" s="32" t="n"/>
      <c r="L19" s="32" t="n"/>
      <c r="M19" s="32" t="n"/>
      <c r="N19" s="33" t="str">
        <f>IF(AND(ISNUMBER(K19),ISNUMBER(L19),ISNUMBER(M19)),IF(OR(AND(F19="多",K19&gt;L19),AND(F19="空",K19&lt;L19)),ABS(M19-K19)/ABS(K19-L19),"止损方向不对"),"")</f>
        <v/>
      </c>
      <c r="O19" s="34" t="str">
        <f>IF(AND(ISNUMBER(K19),ISNUMBER(L19)),IF(K19=L19,"",IF(INT(ROUND('参数'!$C$7/(ABS(K19-L19)*1+2*K19*'参数'!$C$12)/IF(N(J19)&gt;0,J19,1),6))*IF(N(J19)&gt;0,J19,1)&gt;0,INT(ROUND('参数'!$C$7/(ABS(K19-L19)*1+2*K19*'参数'!$C$12)/IF(N(J19)&gt;0,J19,1),6))*IF(N(J19)&gt;0,J19,1),"预算不足，这笔不做")),"")</f>
        <v/>
      </c>
      <c r="P19" s="35" t="n"/>
      <c r="Q19" s="20" t="str">
        <f>IF(AND(ISNUMBER(K19),ISNUMBER(L19),ISNUMBER(P19)),IF(AND(K19&lt;&gt;L19,P19&gt;0),ABS(K19-L19)*P19*1,""),"")</f>
        <v/>
      </c>
      <c r="R19" s="20" t="str">
        <f>IF(AND(ISNUMBER(K19),ISNUMBER(P19)),K19*P19,"")</f>
        <v/>
      </c>
      <c r="S19" s="20" t="str">
        <f>IF(AND(D19="合约",ISNUMBER(R19),N(G19)&gt;0),R19/G19,"")</f>
        <v/>
      </c>
      <c r="T19" s="36" t="str">
        <f>IF(NOT(D19="合约"),"",IF(H19&lt;&gt;"逐仓","看平台",IF(AND(ISNUMBER(K19),N(G19)&gt;0),IF(F19="空",K19*(1+1/G19-IF(ISNUMBER(I19),I19,'参数'!$C$13)),K19*(1-1/G19+IF(ISNUMBER(I19),I19,'参数'!$C$13))),"")))</f>
        <v/>
      </c>
      <c r="U19" s="37" t="str">
        <f>IF(AND(ISNUMBER(T19),ISNUMBER(L19),ISNUMBER(K19)),IF(F19="空",T19-L19,L19-T19)/K19,"")</f>
        <v/>
      </c>
      <c r="V19" s="38" t="str">
        <f>IF(ISNUMBER(U19),IF(U19&lt;'参数'!$C$15,"先降杠杆或减量","在止损外"),"")</f>
        <v/>
      </c>
      <c r="W19" s="30" t="n"/>
      <c r="X19" s="31" t="n"/>
      <c r="Y19" s="39" t="str">
        <f>IF(N(AB19)&gt;0,SUMPRODUCT(LARGE(('例-成交明细'!$A$5:$A$804=A19)*('例-成交明细'!$D$5:$D$804=IF(F19="空","卖","买"))*'例-成交明细'!$B$5:$B$804,COUNTIFS('例-成交明细'!$A$5:$A$804,A19,'例-成交明细'!$D$5:$D$804,IF(F19="空","卖","买")))),"")</f>
        <v/>
      </c>
      <c r="Z19" s="39" t="str">
        <f>IF(AND(N(AB19)&gt;0,N(AD19)&gt;=N(AB19)),SUMPRODUCT(MAX(('例-成交明细'!$A$5:$A$804=A19)*('例-成交明细'!$D$5:$D$804=IF(F19="空","买","卖"))*'例-成交明细'!$B$5:$B$804)),"")</f>
        <v/>
      </c>
      <c r="AA19" s="40" t="str">
        <f>IF(N(AB19)=0,"",IF(SUMPRODUCT(('例-成交明细'!$A$5:$A$804=A19)*('例-成交明细'!$D$5:$D$804=IF(F19="空","卖","买"))*ISNUMBER('例-成交明细'!$C$5:$C$804))=0,"没填时间",IFERROR(VLOOKUP(MOD(SUMPRODUCT(LARGE(('例-成交明细'!$A$5:$A$804=A19)*('例-成交明细'!$D$5:$D$804=IF(F19="空","卖","买"))*('例-成交明细'!$B$5:$B$804+'例-成交明细'!$C$5:$C$804),COUNTIFS('例-成交明细'!$A$5:$A$804,A19,'例-成交明细'!$D$5:$D$804,IF(F19="空","卖","买")))),1),'参数'!$B$39:$C$48,2,TRUE),"")))</f>
        <v/>
      </c>
      <c r="AB19" s="34" t="str">
        <f>IF(A19="","",SUMIFS('例-成交明细'!$F$5:$F$804,'例-成交明细'!$A$5:$A$804,A19,'例-成交明细'!$D$5:$D$804,IF(F19="空","卖","买")))</f>
        <v/>
      </c>
      <c r="AC19" s="41" t="str">
        <f>IF(N(AB19)&gt;0,SUMIFS('例-成交明细'!$H$5:$H$804,'例-成交明细'!$A$5:$A$804,A19,'例-成交明细'!$D$5:$D$804,IF(F19="空","卖","买"))/AB19,"")</f>
        <v/>
      </c>
      <c r="AD19" s="34" t="str">
        <f>IF(A19="","",SUMIFS('例-成交明细'!$F$5:$F$804,'例-成交明细'!$A$5:$A$804,A19,'例-成交明细'!$D$5:$D$804,IF(F19="空","买","卖")))</f>
        <v/>
      </c>
      <c r="AE19" s="41" t="str">
        <f>IF(N(AD19)&gt;0,SUMIFS('例-成交明细'!$H$5:$H$804,'例-成交明细'!$A$5:$A$804,A19,'例-成交明细'!$D$5:$D$804,IF(F19="空","买","卖"))/AD19,"")</f>
        <v/>
      </c>
      <c r="AF19" s="38" t="str">
        <f>IF(A19="","",IF(X19&lt;&gt;"已执行",IF(X19="","未填执行情况",X19),IF(N(AB19)=0,"待录成交",IF(N(AD19)&gt;N(AB19),"平仓多于开仓",IF(N(AD19)&lt;N(AB19),"持仓中","已平仓")))))</f>
        <v/>
      </c>
      <c r="AG19" s="42" t="str">
        <f>IF(N(AB19)=0,"",SUMIFS('例-成交明细'!$L$5:$L$804,'例-成交明细'!$A$5:$A$804,A19))</f>
        <v/>
      </c>
      <c r="AH19" s="43" t="str">
        <f>IF(A19="","",SUMIFS('例-资金费流水'!$F$5:$F$604,'例-资金费流水'!$B$5:$B$604,A19))</f>
        <v/>
      </c>
      <c r="AI19" s="43" t="str">
        <f>IF(AF19&lt;&gt;"已平仓","",(SUMIFS('例-成交明细'!$H$5:$H$804,'例-成交明细'!$A$5:$A$804,A19,'例-成交明细'!$D$5:$D$804,"卖")-SUMIFS('例-成交明细'!$H$5:$H$804,'例-成交明细'!$A$5:$A$804,A19,'例-成交明细'!$D$5:$D$804,"买"))*1-AG19+N(AH19))</f>
        <v/>
      </c>
      <c r="AJ19" s="44" t="str">
        <f>IF(AND(AF19="已平仓",ISNUMBER(Q19)),(SUMIFS('例-成交明细'!$H$5:$H$804,'例-成交明细'!$A$5:$A$804,A19,'例-成交明细'!$D$5:$D$804,"卖")-SUMIFS('例-成交明细'!$H$5:$H$804,'例-成交明细'!$A$5:$A$804,A19,'例-成交明细'!$D$5:$D$804,"买"))*1/Q19,"")</f>
        <v/>
      </c>
      <c r="AK19" s="44" t="str">
        <f>IF(AND(AF19="已平仓",ISNUMBER(Q19)),AI19/Q19,"")</f>
        <v/>
      </c>
      <c r="AL19" s="45" t="str">
        <f>IF(AND(ISNUMBER(AC19),ISNUMBER(K19)),IF(F19="空",K19-AC19,AC19-K19),"")</f>
        <v/>
      </c>
      <c r="AM19" s="45" t="str">
        <f>IF(OR(NOT(ISNUMBER(AI19)),NOT(ISNUMBER(AE19))),"",IF(AI19&lt;0,IF(F19="空",AE19-L19,L19-AE19),IF(NOT(ISNUMBER(M19)),"",IF(F19="空",AE19-M19,M19-AE19))))</f>
        <v/>
      </c>
      <c r="AN19" s="31" t="n"/>
      <c r="AO19" s="31" t="n"/>
      <c r="AP19" s="30" t="n"/>
      <c r="AQ19" s="44" t="str">
        <f>IF(A19="","",SUM(AK$5:AK19))</f>
        <v/>
      </c>
      <c r="AR19" s="46" t="str">
        <f>IF(A19="","",MAX(0,MAX(AQ$5:AQ19))-AQ19)</f>
        <v/>
      </c>
    </row>
    <row r="20">
      <c r="A20" s="24" t="n"/>
      <c r="B20" s="29" t="n"/>
      <c r="C20" s="30" t="n"/>
      <c r="D20" s="31" t="n"/>
      <c r="E20" s="31" t="n"/>
      <c r="F20" s="31" t="n"/>
      <c r="G20" s="21" t="n"/>
      <c r="H20" s="31" t="n"/>
      <c r="I20" s="23" t="n"/>
      <c r="J20" s="31" t="n"/>
      <c r="K20" s="32" t="n"/>
      <c r="L20" s="32" t="n"/>
      <c r="M20" s="32" t="n"/>
      <c r="N20" s="33" t="str">
        <f>IF(AND(ISNUMBER(K20),ISNUMBER(L20),ISNUMBER(M20)),IF(OR(AND(F20="多",K20&gt;L20),AND(F20="空",K20&lt;L20)),ABS(M20-K20)/ABS(K20-L20),"止损方向不对"),"")</f>
        <v/>
      </c>
      <c r="O20" s="34" t="str">
        <f>IF(AND(ISNUMBER(K20),ISNUMBER(L20)),IF(K20=L20,"",IF(INT(ROUND('参数'!$C$7/(ABS(K20-L20)*1+2*K20*'参数'!$C$12)/IF(N(J20)&gt;0,J20,1),6))*IF(N(J20)&gt;0,J20,1)&gt;0,INT(ROUND('参数'!$C$7/(ABS(K20-L20)*1+2*K20*'参数'!$C$12)/IF(N(J20)&gt;0,J20,1),6))*IF(N(J20)&gt;0,J20,1),"预算不足，这笔不做")),"")</f>
        <v/>
      </c>
      <c r="P20" s="35" t="n"/>
      <c r="Q20" s="20" t="str">
        <f>IF(AND(ISNUMBER(K20),ISNUMBER(L20),ISNUMBER(P20)),IF(AND(K20&lt;&gt;L20,P20&gt;0),ABS(K20-L20)*P20*1,""),"")</f>
        <v/>
      </c>
      <c r="R20" s="20" t="str">
        <f>IF(AND(ISNUMBER(K20),ISNUMBER(P20)),K20*P20,"")</f>
        <v/>
      </c>
      <c r="S20" s="20" t="str">
        <f>IF(AND(D20="合约",ISNUMBER(R20),N(G20)&gt;0),R20/G20,"")</f>
        <v/>
      </c>
      <c r="T20" s="36" t="str">
        <f>IF(NOT(D20="合约"),"",IF(H20&lt;&gt;"逐仓","看平台",IF(AND(ISNUMBER(K20),N(G20)&gt;0),IF(F20="空",K20*(1+1/G20-IF(ISNUMBER(I20),I20,'参数'!$C$13)),K20*(1-1/G20+IF(ISNUMBER(I20),I20,'参数'!$C$13))),"")))</f>
        <v/>
      </c>
      <c r="U20" s="37" t="str">
        <f>IF(AND(ISNUMBER(T20),ISNUMBER(L20),ISNUMBER(K20)),IF(F20="空",T20-L20,L20-T20)/K20,"")</f>
        <v/>
      </c>
      <c r="V20" s="38" t="str">
        <f>IF(ISNUMBER(U20),IF(U20&lt;'参数'!$C$15,"先降杠杆或减量","在止损外"),"")</f>
        <v/>
      </c>
      <c r="W20" s="30" t="n"/>
      <c r="X20" s="31" t="n"/>
      <c r="Y20" s="39" t="str">
        <f>IF(N(AB20)&gt;0,SUMPRODUCT(LARGE(('例-成交明细'!$A$5:$A$804=A20)*('例-成交明细'!$D$5:$D$804=IF(F20="空","卖","买"))*'例-成交明细'!$B$5:$B$804,COUNTIFS('例-成交明细'!$A$5:$A$804,A20,'例-成交明细'!$D$5:$D$804,IF(F20="空","卖","买")))),"")</f>
        <v/>
      </c>
      <c r="Z20" s="39" t="str">
        <f>IF(AND(N(AB20)&gt;0,N(AD20)&gt;=N(AB20)),SUMPRODUCT(MAX(('例-成交明细'!$A$5:$A$804=A20)*('例-成交明细'!$D$5:$D$804=IF(F20="空","买","卖"))*'例-成交明细'!$B$5:$B$804)),"")</f>
        <v/>
      </c>
      <c r="AA20" s="40" t="str">
        <f>IF(N(AB20)=0,"",IF(SUMPRODUCT(('例-成交明细'!$A$5:$A$804=A20)*('例-成交明细'!$D$5:$D$804=IF(F20="空","卖","买"))*ISNUMBER('例-成交明细'!$C$5:$C$804))=0,"没填时间",IFERROR(VLOOKUP(MOD(SUMPRODUCT(LARGE(('例-成交明细'!$A$5:$A$804=A20)*('例-成交明细'!$D$5:$D$804=IF(F20="空","卖","买"))*('例-成交明细'!$B$5:$B$804+'例-成交明细'!$C$5:$C$804),COUNTIFS('例-成交明细'!$A$5:$A$804,A20,'例-成交明细'!$D$5:$D$804,IF(F20="空","卖","买")))),1),'参数'!$B$39:$C$48,2,TRUE),"")))</f>
        <v/>
      </c>
      <c r="AB20" s="34" t="str">
        <f>IF(A20="","",SUMIFS('例-成交明细'!$F$5:$F$804,'例-成交明细'!$A$5:$A$804,A20,'例-成交明细'!$D$5:$D$804,IF(F20="空","卖","买")))</f>
        <v/>
      </c>
      <c r="AC20" s="41" t="str">
        <f>IF(N(AB20)&gt;0,SUMIFS('例-成交明细'!$H$5:$H$804,'例-成交明细'!$A$5:$A$804,A20,'例-成交明细'!$D$5:$D$804,IF(F20="空","卖","买"))/AB20,"")</f>
        <v/>
      </c>
      <c r="AD20" s="34" t="str">
        <f>IF(A20="","",SUMIFS('例-成交明细'!$F$5:$F$804,'例-成交明细'!$A$5:$A$804,A20,'例-成交明细'!$D$5:$D$804,IF(F20="空","买","卖")))</f>
        <v/>
      </c>
      <c r="AE20" s="41" t="str">
        <f>IF(N(AD20)&gt;0,SUMIFS('例-成交明细'!$H$5:$H$804,'例-成交明细'!$A$5:$A$804,A20,'例-成交明细'!$D$5:$D$804,IF(F20="空","买","卖"))/AD20,"")</f>
        <v/>
      </c>
      <c r="AF20" s="38" t="str">
        <f>IF(A20="","",IF(X20&lt;&gt;"已执行",IF(X20="","未填执行情况",X20),IF(N(AB20)=0,"待录成交",IF(N(AD20)&gt;N(AB20),"平仓多于开仓",IF(N(AD20)&lt;N(AB20),"持仓中","已平仓")))))</f>
        <v/>
      </c>
      <c r="AG20" s="42" t="str">
        <f>IF(N(AB20)=0,"",SUMIFS('例-成交明细'!$L$5:$L$804,'例-成交明细'!$A$5:$A$804,A20))</f>
        <v/>
      </c>
      <c r="AH20" s="43" t="str">
        <f>IF(A20="","",SUMIFS('例-资金费流水'!$F$5:$F$604,'例-资金费流水'!$B$5:$B$604,A20))</f>
        <v/>
      </c>
      <c r="AI20" s="43" t="str">
        <f>IF(AF20&lt;&gt;"已平仓","",(SUMIFS('例-成交明细'!$H$5:$H$804,'例-成交明细'!$A$5:$A$804,A20,'例-成交明细'!$D$5:$D$804,"卖")-SUMIFS('例-成交明细'!$H$5:$H$804,'例-成交明细'!$A$5:$A$804,A20,'例-成交明细'!$D$5:$D$804,"买"))*1-AG20+N(AH20))</f>
        <v/>
      </c>
      <c r="AJ20" s="44" t="str">
        <f>IF(AND(AF20="已平仓",ISNUMBER(Q20)),(SUMIFS('例-成交明细'!$H$5:$H$804,'例-成交明细'!$A$5:$A$804,A20,'例-成交明细'!$D$5:$D$804,"卖")-SUMIFS('例-成交明细'!$H$5:$H$804,'例-成交明细'!$A$5:$A$804,A20,'例-成交明细'!$D$5:$D$804,"买"))*1/Q20,"")</f>
        <v/>
      </c>
      <c r="AK20" s="44" t="str">
        <f>IF(AND(AF20="已平仓",ISNUMBER(Q20)),AI20/Q20,"")</f>
        <v/>
      </c>
      <c r="AL20" s="45" t="str">
        <f>IF(AND(ISNUMBER(AC20),ISNUMBER(K20)),IF(F20="空",K20-AC20,AC20-K20),"")</f>
        <v/>
      </c>
      <c r="AM20" s="45" t="str">
        <f>IF(OR(NOT(ISNUMBER(AI20)),NOT(ISNUMBER(AE20))),"",IF(AI20&lt;0,IF(F20="空",AE20-L20,L20-AE20),IF(NOT(ISNUMBER(M20)),"",IF(F20="空",AE20-M20,M20-AE20))))</f>
        <v/>
      </c>
      <c r="AN20" s="31" t="n"/>
      <c r="AO20" s="31" t="n"/>
      <c r="AP20" s="30" t="n"/>
      <c r="AQ20" s="44" t="str">
        <f>IF(A20="","",SUM(AK$5:AK20))</f>
        <v/>
      </c>
      <c r="AR20" s="46" t="str">
        <f>IF(A20="","",MAX(0,MAX(AQ$5:AQ20))-AQ20)</f>
        <v/>
      </c>
    </row>
    <row r="21">
      <c r="A21" s="24" t="n"/>
      <c r="B21" s="29" t="n"/>
      <c r="C21" s="30" t="n"/>
      <c r="D21" s="31" t="n"/>
      <c r="E21" s="31" t="n"/>
      <c r="F21" s="31" t="n"/>
      <c r="G21" s="21" t="n"/>
      <c r="H21" s="31" t="n"/>
      <c r="I21" s="23" t="n"/>
      <c r="J21" s="31" t="n"/>
      <c r="K21" s="32" t="n"/>
      <c r="L21" s="32" t="n"/>
      <c r="M21" s="32" t="n"/>
      <c r="N21" s="33" t="str">
        <f>IF(AND(ISNUMBER(K21),ISNUMBER(L21),ISNUMBER(M21)),IF(OR(AND(F21="多",K21&gt;L21),AND(F21="空",K21&lt;L21)),ABS(M21-K21)/ABS(K21-L21),"止损方向不对"),"")</f>
        <v/>
      </c>
      <c r="O21" s="34" t="str">
        <f>IF(AND(ISNUMBER(K21),ISNUMBER(L21)),IF(K21=L21,"",IF(INT(ROUND('参数'!$C$7/(ABS(K21-L21)*1+2*K21*'参数'!$C$12)/IF(N(J21)&gt;0,J21,1),6))*IF(N(J21)&gt;0,J21,1)&gt;0,INT(ROUND('参数'!$C$7/(ABS(K21-L21)*1+2*K21*'参数'!$C$12)/IF(N(J21)&gt;0,J21,1),6))*IF(N(J21)&gt;0,J21,1),"预算不足，这笔不做")),"")</f>
        <v/>
      </c>
      <c r="P21" s="35" t="n"/>
      <c r="Q21" s="20" t="str">
        <f>IF(AND(ISNUMBER(K21),ISNUMBER(L21),ISNUMBER(P21)),IF(AND(K21&lt;&gt;L21,P21&gt;0),ABS(K21-L21)*P21*1,""),"")</f>
        <v/>
      </c>
      <c r="R21" s="20" t="str">
        <f>IF(AND(ISNUMBER(K21),ISNUMBER(P21)),K21*P21,"")</f>
        <v/>
      </c>
      <c r="S21" s="20" t="str">
        <f>IF(AND(D21="合约",ISNUMBER(R21),N(G21)&gt;0),R21/G21,"")</f>
        <v/>
      </c>
      <c r="T21" s="36" t="str">
        <f>IF(NOT(D21="合约"),"",IF(H21&lt;&gt;"逐仓","看平台",IF(AND(ISNUMBER(K21),N(G21)&gt;0),IF(F21="空",K21*(1+1/G21-IF(ISNUMBER(I21),I21,'参数'!$C$13)),K21*(1-1/G21+IF(ISNUMBER(I21),I21,'参数'!$C$13))),"")))</f>
        <v/>
      </c>
      <c r="U21" s="37" t="str">
        <f>IF(AND(ISNUMBER(T21),ISNUMBER(L21),ISNUMBER(K21)),IF(F21="空",T21-L21,L21-T21)/K21,"")</f>
        <v/>
      </c>
      <c r="V21" s="38" t="str">
        <f>IF(ISNUMBER(U21),IF(U21&lt;'参数'!$C$15,"先降杠杆或减量","在止损外"),"")</f>
        <v/>
      </c>
      <c r="W21" s="30" t="n"/>
      <c r="X21" s="31" t="n"/>
      <c r="Y21" s="39" t="str">
        <f>IF(N(AB21)&gt;0,SUMPRODUCT(LARGE(('例-成交明细'!$A$5:$A$804=A21)*('例-成交明细'!$D$5:$D$804=IF(F21="空","卖","买"))*'例-成交明细'!$B$5:$B$804,COUNTIFS('例-成交明细'!$A$5:$A$804,A21,'例-成交明细'!$D$5:$D$804,IF(F21="空","卖","买")))),"")</f>
        <v/>
      </c>
      <c r="Z21" s="39" t="str">
        <f>IF(AND(N(AB21)&gt;0,N(AD21)&gt;=N(AB21)),SUMPRODUCT(MAX(('例-成交明细'!$A$5:$A$804=A21)*('例-成交明细'!$D$5:$D$804=IF(F21="空","买","卖"))*'例-成交明细'!$B$5:$B$804)),"")</f>
        <v/>
      </c>
      <c r="AA21" s="40" t="str">
        <f>IF(N(AB21)=0,"",IF(SUMPRODUCT(('例-成交明细'!$A$5:$A$804=A21)*('例-成交明细'!$D$5:$D$804=IF(F21="空","卖","买"))*ISNUMBER('例-成交明细'!$C$5:$C$804))=0,"没填时间",IFERROR(VLOOKUP(MOD(SUMPRODUCT(LARGE(('例-成交明细'!$A$5:$A$804=A21)*('例-成交明细'!$D$5:$D$804=IF(F21="空","卖","买"))*('例-成交明细'!$B$5:$B$804+'例-成交明细'!$C$5:$C$804),COUNTIFS('例-成交明细'!$A$5:$A$804,A21,'例-成交明细'!$D$5:$D$804,IF(F21="空","卖","买")))),1),'参数'!$B$39:$C$48,2,TRUE),"")))</f>
        <v/>
      </c>
      <c r="AB21" s="34" t="str">
        <f>IF(A21="","",SUMIFS('例-成交明细'!$F$5:$F$804,'例-成交明细'!$A$5:$A$804,A21,'例-成交明细'!$D$5:$D$804,IF(F21="空","卖","买")))</f>
        <v/>
      </c>
      <c r="AC21" s="41" t="str">
        <f>IF(N(AB21)&gt;0,SUMIFS('例-成交明细'!$H$5:$H$804,'例-成交明细'!$A$5:$A$804,A21,'例-成交明细'!$D$5:$D$804,IF(F21="空","卖","买"))/AB21,"")</f>
        <v/>
      </c>
      <c r="AD21" s="34" t="str">
        <f>IF(A21="","",SUMIFS('例-成交明细'!$F$5:$F$804,'例-成交明细'!$A$5:$A$804,A21,'例-成交明细'!$D$5:$D$804,IF(F21="空","买","卖")))</f>
        <v/>
      </c>
      <c r="AE21" s="41" t="str">
        <f>IF(N(AD21)&gt;0,SUMIFS('例-成交明细'!$H$5:$H$804,'例-成交明细'!$A$5:$A$804,A21,'例-成交明细'!$D$5:$D$804,IF(F21="空","买","卖"))/AD21,"")</f>
        <v/>
      </c>
      <c r="AF21" s="38" t="str">
        <f>IF(A21="","",IF(X21&lt;&gt;"已执行",IF(X21="","未填执行情况",X21),IF(N(AB21)=0,"待录成交",IF(N(AD21)&gt;N(AB21),"平仓多于开仓",IF(N(AD21)&lt;N(AB21),"持仓中","已平仓")))))</f>
        <v/>
      </c>
      <c r="AG21" s="42" t="str">
        <f>IF(N(AB21)=0,"",SUMIFS('例-成交明细'!$L$5:$L$804,'例-成交明细'!$A$5:$A$804,A21))</f>
        <v/>
      </c>
      <c r="AH21" s="43" t="str">
        <f>IF(A21="","",SUMIFS('例-资金费流水'!$F$5:$F$604,'例-资金费流水'!$B$5:$B$604,A21))</f>
        <v/>
      </c>
      <c r="AI21" s="43" t="str">
        <f>IF(AF21&lt;&gt;"已平仓","",(SUMIFS('例-成交明细'!$H$5:$H$804,'例-成交明细'!$A$5:$A$804,A21,'例-成交明细'!$D$5:$D$804,"卖")-SUMIFS('例-成交明细'!$H$5:$H$804,'例-成交明细'!$A$5:$A$804,A21,'例-成交明细'!$D$5:$D$804,"买"))*1-AG21+N(AH21))</f>
        <v/>
      </c>
      <c r="AJ21" s="44" t="str">
        <f>IF(AND(AF21="已平仓",ISNUMBER(Q21)),(SUMIFS('例-成交明细'!$H$5:$H$804,'例-成交明细'!$A$5:$A$804,A21,'例-成交明细'!$D$5:$D$804,"卖")-SUMIFS('例-成交明细'!$H$5:$H$804,'例-成交明细'!$A$5:$A$804,A21,'例-成交明细'!$D$5:$D$804,"买"))*1/Q21,"")</f>
        <v/>
      </c>
      <c r="AK21" s="44" t="str">
        <f>IF(AND(AF21="已平仓",ISNUMBER(Q21)),AI21/Q21,"")</f>
        <v/>
      </c>
      <c r="AL21" s="45" t="str">
        <f>IF(AND(ISNUMBER(AC21),ISNUMBER(K21)),IF(F21="空",K21-AC21,AC21-K21),"")</f>
        <v/>
      </c>
      <c r="AM21" s="45" t="str">
        <f>IF(OR(NOT(ISNUMBER(AI21)),NOT(ISNUMBER(AE21))),"",IF(AI21&lt;0,IF(F21="空",AE21-L21,L21-AE21),IF(NOT(ISNUMBER(M21)),"",IF(F21="空",AE21-M21,M21-AE21))))</f>
        <v/>
      </c>
      <c r="AN21" s="31" t="n"/>
      <c r="AO21" s="31" t="n"/>
      <c r="AP21" s="30" t="n"/>
      <c r="AQ21" s="44" t="str">
        <f>IF(A21="","",SUM(AK$5:AK21))</f>
        <v/>
      </c>
      <c r="AR21" s="46" t="str">
        <f>IF(A21="","",MAX(0,MAX(AQ$5:AQ21))-AQ21)</f>
        <v/>
      </c>
    </row>
    <row r="22">
      <c r="A22" s="24" t="n"/>
      <c r="B22" s="29" t="n"/>
      <c r="C22" s="30" t="n"/>
      <c r="D22" s="31" t="n"/>
      <c r="E22" s="31" t="n"/>
      <c r="F22" s="31" t="n"/>
      <c r="G22" s="21" t="n"/>
      <c r="H22" s="31" t="n"/>
      <c r="I22" s="23" t="n"/>
      <c r="J22" s="31" t="n"/>
      <c r="K22" s="32" t="n"/>
      <c r="L22" s="32" t="n"/>
      <c r="M22" s="32" t="n"/>
      <c r="N22" s="33" t="str">
        <f>IF(AND(ISNUMBER(K22),ISNUMBER(L22),ISNUMBER(M22)),IF(OR(AND(F22="多",K22&gt;L22),AND(F22="空",K22&lt;L22)),ABS(M22-K22)/ABS(K22-L22),"止损方向不对"),"")</f>
        <v/>
      </c>
      <c r="O22" s="34" t="str">
        <f>IF(AND(ISNUMBER(K22),ISNUMBER(L22)),IF(K22=L22,"",IF(INT(ROUND('参数'!$C$7/(ABS(K22-L22)*1+2*K22*'参数'!$C$12)/IF(N(J22)&gt;0,J22,1),6))*IF(N(J22)&gt;0,J22,1)&gt;0,INT(ROUND('参数'!$C$7/(ABS(K22-L22)*1+2*K22*'参数'!$C$12)/IF(N(J22)&gt;0,J22,1),6))*IF(N(J22)&gt;0,J22,1),"预算不足，这笔不做")),"")</f>
        <v/>
      </c>
      <c r="P22" s="35" t="n"/>
      <c r="Q22" s="20" t="str">
        <f>IF(AND(ISNUMBER(K22),ISNUMBER(L22),ISNUMBER(P22)),IF(AND(K22&lt;&gt;L22,P22&gt;0),ABS(K22-L22)*P22*1,""),"")</f>
        <v/>
      </c>
      <c r="R22" s="20" t="str">
        <f>IF(AND(ISNUMBER(K22),ISNUMBER(P22)),K22*P22,"")</f>
        <v/>
      </c>
      <c r="S22" s="20" t="str">
        <f>IF(AND(D22="合约",ISNUMBER(R22),N(G22)&gt;0),R22/G22,"")</f>
        <v/>
      </c>
      <c r="T22" s="36" t="str">
        <f>IF(NOT(D22="合约"),"",IF(H22&lt;&gt;"逐仓","看平台",IF(AND(ISNUMBER(K22),N(G22)&gt;0),IF(F22="空",K22*(1+1/G22-IF(ISNUMBER(I22),I22,'参数'!$C$13)),K22*(1-1/G22+IF(ISNUMBER(I22),I22,'参数'!$C$13))),"")))</f>
        <v/>
      </c>
      <c r="U22" s="37" t="str">
        <f>IF(AND(ISNUMBER(T22),ISNUMBER(L22),ISNUMBER(K22)),IF(F22="空",T22-L22,L22-T22)/K22,"")</f>
        <v/>
      </c>
      <c r="V22" s="38" t="str">
        <f>IF(ISNUMBER(U22),IF(U22&lt;'参数'!$C$15,"先降杠杆或减量","在止损外"),"")</f>
        <v/>
      </c>
      <c r="W22" s="30" t="n"/>
      <c r="X22" s="31" t="n"/>
      <c r="Y22" s="39" t="str">
        <f>IF(N(AB22)&gt;0,SUMPRODUCT(LARGE(('例-成交明细'!$A$5:$A$804=A22)*('例-成交明细'!$D$5:$D$804=IF(F22="空","卖","买"))*'例-成交明细'!$B$5:$B$804,COUNTIFS('例-成交明细'!$A$5:$A$804,A22,'例-成交明细'!$D$5:$D$804,IF(F22="空","卖","买")))),"")</f>
        <v/>
      </c>
      <c r="Z22" s="39" t="str">
        <f>IF(AND(N(AB22)&gt;0,N(AD22)&gt;=N(AB22)),SUMPRODUCT(MAX(('例-成交明细'!$A$5:$A$804=A22)*('例-成交明细'!$D$5:$D$804=IF(F22="空","买","卖"))*'例-成交明细'!$B$5:$B$804)),"")</f>
        <v/>
      </c>
      <c r="AA22" s="40" t="str">
        <f>IF(N(AB22)=0,"",IF(SUMPRODUCT(('例-成交明细'!$A$5:$A$804=A22)*('例-成交明细'!$D$5:$D$804=IF(F22="空","卖","买"))*ISNUMBER('例-成交明细'!$C$5:$C$804))=0,"没填时间",IFERROR(VLOOKUP(MOD(SUMPRODUCT(LARGE(('例-成交明细'!$A$5:$A$804=A22)*('例-成交明细'!$D$5:$D$804=IF(F22="空","卖","买"))*('例-成交明细'!$B$5:$B$804+'例-成交明细'!$C$5:$C$804),COUNTIFS('例-成交明细'!$A$5:$A$804,A22,'例-成交明细'!$D$5:$D$804,IF(F22="空","卖","买")))),1),'参数'!$B$39:$C$48,2,TRUE),"")))</f>
        <v/>
      </c>
      <c r="AB22" s="34" t="str">
        <f>IF(A22="","",SUMIFS('例-成交明细'!$F$5:$F$804,'例-成交明细'!$A$5:$A$804,A22,'例-成交明细'!$D$5:$D$804,IF(F22="空","卖","买")))</f>
        <v/>
      </c>
      <c r="AC22" s="41" t="str">
        <f>IF(N(AB22)&gt;0,SUMIFS('例-成交明细'!$H$5:$H$804,'例-成交明细'!$A$5:$A$804,A22,'例-成交明细'!$D$5:$D$804,IF(F22="空","卖","买"))/AB22,"")</f>
        <v/>
      </c>
      <c r="AD22" s="34" t="str">
        <f>IF(A22="","",SUMIFS('例-成交明细'!$F$5:$F$804,'例-成交明细'!$A$5:$A$804,A22,'例-成交明细'!$D$5:$D$804,IF(F22="空","买","卖")))</f>
        <v/>
      </c>
      <c r="AE22" s="41" t="str">
        <f>IF(N(AD22)&gt;0,SUMIFS('例-成交明细'!$H$5:$H$804,'例-成交明细'!$A$5:$A$804,A22,'例-成交明细'!$D$5:$D$804,IF(F22="空","买","卖"))/AD22,"")</f>
        <v/>
      </c>
      <c r="AF22" s="38" t="str">
        <f>IF(A22="","",IF(X22&lt;&gt;"已执行",IF(X22="","未填执行情况",X22),IF(N(AB22)=0,"待录成交",IF(N(AD22)&gt;N(AB22),"平仓多于开仓",IF(N(AD22)&lt;N(AB22),"持仓中","已平仓")))))</f>
        <v/>
      </c>
      <c r="AG22" s="42" t="str">
        <f>IF(N(AB22)=0,"",SUMIFS('例-成交明细'!$L$5:$L$804,'例-成交明细'!$A$5:$A$804,A22))</f>
        <v/>
      </c>
      <c r="AH22" s="43" t="str">
        <f>IF(A22="","",SUMIFS('例-资金费流水'!$F$5:$F$604,'例-资金费流水'!$B$5:$B$604,A22))</f>
        <v/>
      </c>
      <c r="AI22" s="43" t="str">
        <f>IF(AF22&lt;&gt;"已平仓","",(SUMIFS('例-成交明细'!$H$5:$H$804,'例-成交明细'!$A$5:$A$804,A22,'例-成交明细'!$D$5:$D$804,"卖")-SUMIFS('例-成交明细'!$H$5:$H$804,'例-成交明细'!$A$5:$A$804,A22,'例-成交明细'!$D$5:$D$804,"买"))*1-AG22+N(AH22))</f>
        <v/>
      </c>
      <c r="AJ22" s="44" t="str">
        <f>IF(AND(AF22="已平仓",ISNUMBER(Q22)),(SUMIFS('例-成交明细'!$H$5:$H$804,'例-成交明细'!$A$5:$A$804,A22,'例-成交明细'!$D$5:$D$804,"卖")-SUMIFS('例-成交明细'!$H$5:$H$804,'例-成交明细'!$A$5:$A$804,A22,'例-成交明细'!$D$5:$D$804,"买"))*1/Q22,"")</f>
        <v/>
      </c>
      <c r="AK22" s="44" t="str">
        <f>IF(AND(AF22="已平仓",ISNUMBER(Q22)),AI22/Q22,"")</f>
        <v/>
      </c>
      <c r="AL22" s="45" t="str">
        <f>IF(AND(ISNUMBER(AC22),ISNUMBER(K22)),IF(F22="空",K22-AC22,AC22-K22),"")</f>
        <v/>
      </c>
      <c r="AM22" s="45" t="str">
        <f>IF(OR(NOT(ISNUMBER(AI22)),NOT(ISNUMBER(AE22))),"",IF(AI22&lt;0,IF(F22="空",AE22-L22,L22-AE22),IF(NOT(ISNUMBER(M22)),"",IF(F22="空",AE22-M22,M22-AE22))))</f>
        <v/>
      </c>
      <c r="AN22" s="31" t="n"/>
      <c r="AO22" s="31" t="n"/>
      <c r="AP22" s="30" t="n"/>
      <c r="AQ22" s="44" t="str">
        <f>IF(A22="","",SUM(AK$5:AK22))</f>
        <v/>
      </c>
      <c r="AR22" s="46" t="str">
        <f>IF(A22="","",MAX(0,MAX(AQ$5:AQ22))-AQ22)</f>
        <v/>
      </c>
    </row>
    <row r="23">
      <c r="A23" s="24" t="n"/>
      <c r="B23" s="29" t="n"/>
      <c r="C23" s="30" t="n"/>
      <c r="D23" s="31" t="n"/>
      <c r="E23" s="31" t="n"/>
      <c r="F23" s="31" t="n"/>
      <c r="G23" s="21" t="n"/>
      <c r="H23" s="31" t="n"/>
      <c r="I23" s="23" t="n"/>
      <c r="J23" s="31" t="n"/>
      <c r="K23" s="32" t="n"/>
      <c r="L23" s="32" t="n"/>
      <c r="M23" s="32" t="n"/>
      <c r="N23" s="33" t="str">
        <f>IF(AND(ISNUMBER(K23),ISNUMBER(L23),ISNUMBER(M23)),IF(OR(AND(F23="多",K23&gt;L23),AND(F23="空",K23&lt;L23)),ABS(M23-K23)/ABS(K23-L23),"止损方向不对"),"")</f>
        <v/>
      </c>
      <c r="O23" s="34" t="str">
        <f>IF(AND(ISNUMBER(K23),ISNUMBER(L23)),IF(K23=L23,"",IF(INT(ROUND('参数'!$C$7/(ABS(K23-L23)*1+2*K23*'参数'!$C$12)/IF(N(J23)&gt;0,J23,1),6))*IF(N(J23)&gt;0,J23,1)&gt;0,INT(ROUND('参数'!$C$7/(ABS(K23-L23)*1+2*K23*'参数'!$C$12)/IF(N(J23)&gt;0,J23,1),6))*IF(N(J23)&gt;0,J23,1),"预算不足，这笔不做")),"")</f>
        <v/>
      </c>
      <c r="P23" s="35" t="n"/>
      <c r="Q23" s="20" t="str">
        <f>IF(AND(ISNUMBER(K23),ISNUMBER(L23),ISNUMBER(P23)),IF(AND(K23&lt;&gt;L23,P23&gt;0),ABS(K23-L23)*P23*1,""),"")</f>
        <v/>
      </c>
      <c r="R23" s="20" t="str">
        <f>IF(AND(ISNUMBER(K23),ISNUMBER(P23)),K23*P23,"")</f>
        <v/>
      </c>
      <c r="S23" s="20" t="str">
        <f>IF(AND(D23="合约",ISNUMBER(R23),N(G23)&gt;0),R23/G23,"")</f>
        <v/>
      </c>
      <c r="T23" s="36" t="str">
        <f>IF(NOT(D23="合约"),"",IF(H23&lt;&gt;"逐仓","看平台",IF(AND(ISNUMBER(K23),N(G23)&gt;0),IF(F23="空",K23*(1+1/G23-IF(ISNUMBER(I23),I23,'参数'!$C$13)),K23*(1-1/G23+IF(ISNUMBER(I23),I23,'参数'!$C$13))),"")))</f>
        <v/>
      </c>
      <c r="U23" s="37" t="str">
        <f>IF(AND(ISNUMBER(T23),ISNUMBER(L23),ISNUMBER(K23)),IF(F23="空",T23-L23,L23-T23)/K23,"")</f>
        <v/>
      </c>
      <c r="V23" s="38" t="str">
        <f>IF(ISNUMBER(U23),IF(U23&lt;'参数'!$C$15,"先降杠杆或减量","在止损外"),"")</f>
        <v/>
      </c>
      <c r="W23" s="30" t="n"/>
      <c r="X23" s="31" t="n"/>
      <c r="Y23" s="39" t="str">
        <f>IF(N(AB23)&gt;0,SUMPRODUCT(LARGE(('例-成交明细'!$A$5:$A$804=A23)*('例-成交明细'!$D$5:$D$804=IF(F23="空","卖","买"))*'例-成交明细'!$B$5:$B$804,COUNTIFS('例-成交明细'!$A$5:$A$804,A23,'例-成交明细'!$D$5:$D$804,IF(F23="空","卖","买")))),"")</f>
        <v/>
      </c>
      <c r="Z23" s="39" t="str">
        <f>IF(AND(N(AB23)&gt;0,N(AD23)&gt;=N(AB23)),SUMPRODUCT(MAX(('例-成交明细'!$A$5:$A$804=A23)*('例-成交明细'!$D$5:$D$804=IF(F23="空","买","卖"))*'例-成交明细'!$B$5:$B$804)),"")</f>
        <v/>
      </c>
      <c r="AA23" s="40" t="str">
        <f>IF(N(AB23)=0,"",IF(SUMPRODUCT(('例-成交明细'!$A$5:$A$804=A23)*('例-成交明细'!$D$5:$D$804=IF(F23="空","卖","买"))*ISNUMBER('例-成交明细'!$C$5:$C$804))=0,"没填时间",IFERROR(VLOOKUP(MOD(SUMPRODUCT(LARGE(('例-成交明细'!$A$5:$A$804=A23)*('例-成交明细'!$D$5:$D$804=IF(F23="空","卖","买"))*('例-成交明细'!$B$5:$B$804+'例-成交明细'!$C$5:$C$804),COUNTIFS('例-成交明细'!$A$5:$A$804,A23,'例-成交明细'!$D$5:$D$804,IF(F23="空","卖","买")))),1),'参数'!$B$39:$C$48,2,TRUE),"")))</f>
        <v/>
      </c>
      <c r="AB23" s="34" t="str">
        <f>IF(A23="","",SUMIFS('例-成交明细'!$F$5:$F$804,'例-成交明细'!$A$5:$A$804,A23,'例-成交明细'!$D$5:$D$804,IF(F23="空","卖","买")))</f>
        <v/>
      </c>
      <c r="AC23" s="41" t="str">
        <f>IF(N(AB23)&gt;0,SUMIFS('例-成交明细'!$H$5:$H$804,'例-成交明细'!$A$5:$A$804,A23,'例-成交明细'!$D$5:$D$804,IF(F23="空","卖","买"))/AB23,"")</f>
        <v/>
      </c>
      <c r="AD23" s="34" t="str">
        <f>IF(A23="","",SUMIFS('例-成交明细'!$F$5:$F$804,'例-成交明细'!$A$5:$A$804,A23,'例-成交明细'!$D$5:$D$804,IF(F23="空","买","卖")))</f>
        <v/>
      </c>
      <c r="AE23" s="41" t="str">
        <f>IF(N(AD23)&gt;0,SUMIFS('例-成交明细'!$H$5:$H$804,'例-成交明细'!$A$5:$A$804,A23,'例-成交明细'!$D$5:$D$804,IF(F23="空","买","卖"))/AD23,"")</f>
        <v/>
      </c>
      <c r="AF23" s="38" t="str">
        <f>IF(A23="","",IF(X23&lt;&gt;"已执行",IF(X23="","未填执行情况",X23),IF(N(AB23)=0,"待录成交",IF(N(AD23)&gt;N(AB23),"平仓多于开仓",IF(N(AD23)&lt;N(AB23),"持仓中","已平仓")))))</f>
        <v/>
      </c>
      <c r="AG23" s="42" t="str">
        <f>IF(N(AB23)=0,"",SUMIFS('例-成交明细'!$L$5:$L$804,'例-成交明细'!$A$5:$A$804,A23))</f>
        <v/>
      </c>
      <c r="AH23" s="43" t="str">
        <f>IF(A23="","",SUMIFS('例-资金费流水'!$F$5:$F$604,'例-资金费流水'!$B$5:$B$604,A23))</f>
        <v/>
      </c>
      <c r="AI23" s="43" t="str">
        <f>IF(AF23&lt;&gt;"已平仓","",(SUMIFS('例-成交明细'!$H$5:$H$804,'例-成交明细'!$A$5:$A$804,A23,'例-成交明细'!$D$5:$D$804,"卖")-SUMIFS('例-成交明细'!$H$5:$H$804,'例-成交明细'!$A$5:$A$804,A23,'例-成交明细'!$D$5:$D$804,"买"))*1-AG23+N(AH23))</f>
        <v/>
      </c>
      <c r="AJ23" s="44" t="str">
        <f>IF(AND(AF23="已平仓",ISNUMBER(Q23)),(SUMIFS('例-成交明细'!$H$5:$H$804,'例-成交明细'!$A$5:$A$804,A23,'例-成交明细'!$D$5:$D$804,"卖")-SUMIFS('例-成交明细'!$H$5:$H$804,'例-成交明细'!$A$5:$A$804,A23,'例-成交明细'!$D$5:$D$804,"买"))*1/Q23,"")</f>
        <v/>
      </c>
      <c r="AK23" s="44" t="str">
        <f>IF(AND(AF23="已平仓",ISNUMBER(Q23)),AI23/Q23,"")</f>
        <v/>
      </c>
      <c r="AL23" s="45" t="str">
        <f>IF(AND(ISNUMBER(AC23),ISNUMBER(K23)),IF(F23="空",K23-AC23,AC23-K23),"")</f>
        <v/>
      </c>
      <c r="AM23" s="45" t="str">
        <f>IF(OR(NOT(ISNUMBER(AI23)),NOT(ISNUMBER(AE23))),"",IF(AI23&lt;0,IF(F23="空",AE23-L23,L23-AE23),IF(NOT(ISNUMBER(M23)),"",IF(F23="空",AE23-M23,M23-AE23))))</f>
        <v/>
      </c>
      <c r="AN23" s="31" t="n"/>
      <c r="AO23" s="31" t="n"/>
      <c r="AP23" s="30" t="n"/>
      <c r="AQ23" s="44" t="str">
        <f>IF(A23="","",SUM(AK$5:AK23))</f>
        <v/>
      </c>
      <c r="AR23" s="46" t="str">
        <f>IF(A23="","",MAX(0,MAX(AQ$5:AQ23))-AQ23)</f>
        <v/>
      </c>
    </row>
    <row r="24">
      <c r="A24" s="24" t="n"/>
      <c r="B24" s="29" t="n"/>
      <c r="C24" s="30" t="n"/>
      <c r="D24" s="31" t="n"/>
      <c r="E24" s="31" t="n"/>
      <c r="F24" s="31" t="n"/>
      <c r="G24" s="21" t="n"/>
      <c r="H24" s="31" t="n"/>
      <c r="I24" s="23" t="n"/>
      <c r="J24" s="31" t="n"/>
      <c r="K24" s="32" t="n"/>
      <c r="L24" s="32" t="n"/>
      <c r="M24" s="32" t="n"/>
      <c r="N24" s="33" t="str">
        <f>IF(AND(ISNUMBER(K24),ISNUMBER(L24),ISNUMBER(M24)),IF(OR(AND(F24="多",K24&gt;L24),AND(F24="空",K24&lt;L24)),ABS(M24-K24)/ABS(K24-L24),"止损方向不对"),"")</f>
        <v/>
      </c>
      <c r="O24" s="34" t="str">
        <f>IF(AND(ISNUMBER(K24),ISNUMBER(L24)),IF(K24=L24,"",IF(INT(ROUND('参数'!$C$7/(ABS(K24-L24)*1+2*K24*'参数'!$C$12)/IF(N(J24)&gt;0,J24,1),6))*IF(N(J24)&gt;0,J24,1)&gt;0,INT(ROUND('参数'!$C$7/(ABS(K24-L24)*1+2*K24*'参数'!$C$12)/IF(N(J24)&gt;0,J24,1),6))*IF(N(J24)&gt;0,J24,1),"预算不足，这笔不做")),"")</f>
        <v/>
      </c>
      <c r="P24" s="35" t="n"/>
      <c r="Q24" s="20" t="str">
        <f>IF(AND(ISNUMBER(K24),ISNUMBER(L24),ISNUMBER(P24)),IF(AND(K24&lt;&gt;L24,P24&gt;0),ABS(K24-L24)*P24*1,""),"")</f>
        <v/>
      </c>
      <c r="R24" s="20" t="str">
        <f>IF(AND(ISNUMBER(K24),ISNUMBER(P24)),K24*P24,"")</f>
        <v/>
      </c>
      <c r="S24" s="20" t="str">
        <f>IF(AND(D24="合约",ISNUMBER(R24),N(G24)&gt;0),R24/G24,"")</f>
        <v/>
      </c>
      <c r="T24" s="36" t="str">
        <f>IF(NOT(D24="合约"),"",IF(H24&lt;&gt;"逐仓","看平台",IF(AND(ISNUMBER(K24),N(G24)&gt;0),IF(F24="空",K24*(1+1/G24-IF(ISNUMBER(I24),I24,'参数'!$C$13)),K24*(1-1/G24+IF(ISNUMBER(I24),I24,'参数'!$C$13))),"")))</f>
        <v/>
      </c>
      <c r="U24" s="37" t="str">
        <f>IF(AND(ISNUMBER(T24),ISNUMBER(L24),ISNUMBER(K24)),IF(F24="空",T24-L24,L24-T24)/K24,"")</f>
        <v/>
      </c>
      <c r="V24" s="38" t="str">
        <f>IF(ISNUMBER(U24),IF(U24&lt;'参数'!$C$15,"先降杠杆或减量","在止损外"),"")</f>
        <v/>
      </c>
      <c r="W24" s="30" t="n"/>
      <c r="X24" s="31" t="n"/>
      <c r="Y24" s="39" t="str">
        <f>IF(N(AB24)&gt;0,SUMPRODUCT(LARGE(('例-成交明细'!$A$5:$A$804=A24)*('例-成交明细'!$D$5:$D$804=IF(F24="空","卖","买"))*'例-成交明细'!$B$5:$B$804,COUNTIFS('例-成交明细'!$A$5:$A$804,A24,'例-成交明细'!$D$5:$D$804,IF(F24="空","卖","买")))),"")</f>
        <v/>
      </c>
      <c r="Z24" s="39" t="str">
        <f>IF(AND(N(AB24)&gt;0,N(AD24)&gt;=N(AB24)),SUMPRODUCT(MAX(('例-成交明细'!$A$5:$A$804=A24)*('例-成交明细'!$D$5:$D$804=IF(F24="空","买","卖"))*'例-成交明细'!$B$5:$B$804)),"")</f>
        <v/>
      </c>
      <c r="AA24" s="40" t="str">
        <f>IF(N(AB24)=0,"",IF(SUMPRODUCT(('例-成交明细'!$A$5:$A$804=A24)*('例-成交明细'!$D$5:$D$804=IF(F24="空","卖","买"))*ISNUMBER('例-成交明细'!$C$5:$C$804))=0,"没填时间",IFERROR(VLOOKUP(MOD(SUMPRODUCT(LARGE(('例-成交明细'!$A$5:$A$804=A24)*('例-成交明细'!$D$5:$D$804=IF(F24="空","卖","买"))*('例-成交明细'!$B$5:$B$804+'例-成交明细'!$C$5:$C$804),COUNTIFS('例-成交明细'!$A$5:$A$804,A24,'例-成交明细'!$D$5:$D$804,IF(F24="空","卖","买")))),1),'参数'!$B$39:$C$48,2,TRUE),"")))</f>
        <v/>
      </c>
      <c r="AB24" s="34" t="str">
        <f>IF(A24="","",SUMIFS('例-成交明细'!$F$5:$F$804,'例-成交明细'!$A$5:$A$804,A24,'例-成交明细'!$D$5:$D$804,IF(F24="空","卖","买")))</f>
        <v/>
      </c>
      <c r="AC24" s="41" t="str">
        <f>IF(N(AB24)&gt;0,SUMIFS('例-成交明细'!$H$5:$H$804,'例-成交明细'!$A$5:$A$804,A24,'例-成交明细'!$D$5:$D$804,IF(F24="空","卖","买"))/AB24,"")</f>
        <v/>
      </c>
      <c r="AD24" s="34" t="str">
        <f>IF(A24="","",SUMIFS('例-成交明细'!$F$5:$F$804,'例-成交明细'!$A$5:$A$804,A24,'例-成交明细'!$D$5:$D$804,IF(F24="空","买","卖")))</f>
        <v/>
      </c>
      <c r="AE24" s="41" t="str">
        <f>IF(N(AD24)&gt;0,SUMIFS('例-成交明细'!$H$5:$H$804,'例-成交明细'!$A$5:$A$804,A24,'例-成交明细'!$D$5:$D$804,IF(F24="空","买","卖"))/AD24,"")</f>
        <v/>
      </c>
      <c r="AF24" s="38" t="str">
        <f>IF(A24="","",IF(X24&lt;&gt;"已执行",IF(X24="","未填执行情况",X24),IF(N(AB24)=0,"待录成交",IF(N(AD24)&gt;N(AB24),"平仓多于开仓",IF(N(AD24)&lt;N(AB24),"持仓中","已平仓")))))</f>
        <v/>
      </c>
      <c r="AG24" s="42" t="str">
        <f>IF(N(AB24)=0,"",SUMIFS('例-成交明细'!$L$5:$L$804,'例-成交明细'!$A$5:$A$804,A24))</f>
        <v/>
      </c>
      <c r="AH24" s="43" t="str">
        <f>IF(A24="","",SUMIFS('例-资金费流水'!$F$5:$F$604,'例-资金费流水'!$B$5:$B$604,A24))</f>
        <v/>
      </c>
      <c r="AI24" s="43" t="str">
        <f>IF(AF24&lt;&gt;"已平仓","",(SUMIFS('例-成交明细'!$H$5:$H$804,'例-成交明细'!$A$5:$A$804,A24,'例-成交明细'!$D$5:$D$804,"卖")-SUMIFS('例-成交明细'!$H$5:$H$804,'例-成交明细'!$A$5:$A$804,A24,'例-成交明细'!$D$5:$D$804,"买"))*1-AG24+N(AH24))</f>
        <v/>
      </c>
      <c r="AJ24" s="44" t="str">
        <f>IF(AND(AF24="已平仓",ISNUMBER(Q24)),(SUMIFS('例-成交明细'!$H$5:$H$804,'例-成交明细'!$A$5:$A$804,A24,'例-成交明细'!$D$5:$D$804,"卖")-SUMIFS('例-成交明细'!$H$5:$H$804,'例-成交明细'!$A$5:$A$804,A24,'例-成交明细'!$D$5:$D$804,"买"))*1/Q24,"")</f>
        <v/>
      </c>
      <c r="AK24" s="44" t="str">
        <f>IF(AND(AF24="已平仓",ISNUMBER(Q24)),AI24/Q24,"")</f>
        <v/>
      </c>
      <c r="AL24" s="45" t="str">
        <f>IF(AND(ISNUMBER(AC24),ISNUMBER(K24)),IF(F24="空",K24-AC24,AC24-K24),"")</f>
        <v/>
      </c>
      <c r="AM24" s="45" t="str">
        <f>IF(OR(NOT(ISNUMBER(AI24)),NOT(ISNUMBER(AE24))),"",IF(AI24&lt;0,IF(F24="空",AE24-L24,L24-AE24),IF(NOT(ISNUMBER(M24)),"",IF(F24="空",AE24-M24,M24-AE24))))</f>
        <v/>
      </c>
      <c r="AN24" s="31" t="n"/>
      <c r="AO24" s="31" t="n"/>
      <c r="AP24" s="30" t="n"/>
      <c r="AQ24" s="44" t="str">
        <f>IF(A24="","",SUM(AK$5:AK24))</f>
        <v/>
      </c>
      <c r="AR24" s="46" t="str">
        <f>IF(A24="","",MAX(0,MAX(AQ$5:AQ24))-AQ24)</f>
        <v/>
      </c>
    </row>
  </sheetData>
  <mergeCells count="9">
    <mergeCell ref="A2:AR2"/>
    <mergeCell ref="A3:Q3"/>
    <mergeCell ref="AP1:AR1"/>
    <mergeCell ref="AQ3:AR3"/>
    <mergeCell ref="A1:AO1"/>
    <mergeCell ref="R3:V3"/>
    <mergeCell ref="AG3:AM3"/>
    <mergeCell ref="X3:AF3"/>
    <mergeCell ref="AN3:AP3"/>
  </mergeCells>
  <conditionalFormatting sqref="AI5:AI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J5:AJ2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K5:AK2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Q5:AQ2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AF5:AF24">
    <cfRule type="cellIs" priority="9" operator="equal" dxfId="2">
      <formula>"持仓中"</formula>
    </cfRule>
    <cfRule type="expression" priority="10" dxfId="3">
      <formula>OR($AF5="待录成交",$AF5="平仓多于开仓",$AF5="未填执行情况")</formula>
    </cfRule>
  </conditionalFormatting>
  <conditionalFormatting sqref="O5:O24">
    <cfRule type="cellIs" priority="11" operator="equal" dxfId="3">
      <formula>"预算不足，这笔不做"</formula>
    </cfRule>
  </conditionalFormatting>
  <conditionalFormatting sqref="N5:N24">
    <cfRule type="cellIs" priority="12" operator="equal" dxfId="3">
      <formula>"止损方向不对"</formula>
    </cfRule>
  </conditionalFormatting>
  <conditionalFormatting sqref="P5:P24">
    <cfRule type="expression" priority="13" dxfId="4">
      <formula>AND(ISNUMBER($P5),ISNUMBER($O5),$P5&gt;$O5)</formula>
    </cfRule>
  </conditionalFormatting>
  <conditionalFormatting sqref="AN5:AO24">
    <cfRule type="expression" priority="14" dxfId="5">
      <formula>AND(OR($AN5="C",$AN5="D"),N($AK5)&gt;0)</formula>
    </cfRule>
  </conditionalFormatting>
  <conditionalFormatting sqref="AL5:AL24">
    <cfRule type="expression" priority="15" dxfId="4">
      <formula>AND(ISNUMBER($AL5),$AL5&gt;ABS($K5)*0.01)</formula>
    </cfRule>
  </conditionalFormatting>
  <conditionalFormatting sqref="F5:F24">
    <cfRule type="expression" priority="16" dxfId="3">
      <formula>AND($D5="现货",$F5="空")</formula>
    </cfRule>
  </conditionalFormatting>
  <conditionalFormatting sqref="V5:V24">
    <cfRule type="cellIs" priority="17" operator="equal" dxfId="6">
      <formula>"先降杠杆或减量"</formula>
    </cfRule>
  </conditionalFormatting>
  <dataValidations count="9">
    <dataValidation sqref="A5:A2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2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5:E24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F5:F24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X5:X2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N5:AN2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O5:AO24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  <dataValidation sqref="D5:D24" showDropDown="0" showInputMessage="1" showErrorMessage="1" allowBlank="1" errorTitle="不在选项里" error="请从下拉里选；要加新选项，先去参数页的下拉选项里加。" promptTitle="怎么填" prompt="现货还是合约。现货不用填杠杆和保证金模式。" type="list" errorStyle="stop">
      <formula1>'参数'!$I$22:$I$33</formula1>
    </dataValidation>
    <dataValidation sqref="H5:H24" showDropDown="0" showInputMessage="1" showErrorMessage="1" allowBlank="1" errorTitle="不在选项里" error="请从下拉里选；要加新选项，先去参数页的下拉选项里加。" promptTitle="怎么填" prompt="逐仓才估强平价；全仓、币本位显示「看平台」。" type="list" errorStyle="stop">
      <formula1>'参数'!$J$22:$J$33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  <colBreaks count="1" manualBreakCount="1">
    <brk id="23" min="0" max="16383" man="1"/>
  </colBreaks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N30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6.5" customWidth="1" min="7" max="7"/>
    <col width="10" customWidth="1" min="8" max="8"/>
    <col width="8" customWidth="1" min="9" max="9"/>
    <col width="8" customWidth="1" min="10" max="10"/>
    <col width="9" customWidth="1" min="11" max="11"/>
    <col width="8" customWidth="1" min="12" max="12"/>
    <col width="10" customWidth="1" min="13" max="13"/>
    <col width="20" customWidth="1" min="14" max="14"/>
  </cols>
  <sheetData>
    <row r="1" ht="30" customHeight="1">
      <c r="A1" s="13" t="inlineStr">
        <is>
          <t>示例 · 加密货币交易日志：成交明细（每成交一笔记一行）</t>
        </is>
      </c>
      <c r="L1" s="14" t="inlineStr">
        <is>
          <t>TradeLearn · XtradingTime 交易内训</t>
        </is>
      </c>
    </row>
    <row r="2" ht="20" customHeight="1">
      <c r="A2" s="63" t="inlineStr">
        <is>
          <t>虚构示例，仅演示填法：成交价格和数量全部虚构。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inlineStr">
        <is>
          <t>核对</t>
        </is>
      </c>
      <c r="N3" s="28" t="n"/>
    </row>
    <row r="4" ht="54.4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时间</t>
        </is>
      </c>
      <c r="D4" s="25" t="inlineStr">
        <is>
          <t>买卖</t>
        </is>
      </c>
      <c r="E4" s="25" t="inlineStr">
        <is>
          <t>成交价</t>
        </is>
      </c>
      <c r="F4" s="25" t="inlineStr">
        <is>
          <t>数量</t>
        </is>
      </c>
      <c r="G4" s="25" t="inlineStr">
        <is>
          <t>挂单 / 吃单</t>
        </is>
      </c>
      <c r="H4" s="25" t="inlineStr">
        <is>
          <t>价格 × 数量</t>
        </is>
      </c>
      <c r="I4" s="25" t="inlineStr">
        <is>
          <t>手续费估算</t>
        </is>
      </c>
      <c r="J4" s="25" t="inlineStr">
        <is>
          <t>其他费用（链上转账等）</t>
        </is>
      </c>
      <c r="K4" s="25" t="inlineStr">
        <is>
          <t>实际费用（成交单有就填）</t>
        </is>
      </c>
      <c r="L4" s="25" t="inlineStr">
        <is>
          <t>计入费用</t>
        </is>
      </c>
      <c r="M4" s="25" t="inlineStr">
        <is>
          <t>品种</t>
        </is>
      </c>
      <c r="N4" s="25" t="inlineStr">
        <is>
          <t>备注</t>
        </is>
      </c>
    </row>
    <row r="5" ht="18" customHeight="1">
      <c r="A5" s="24" t="n">
        <v>1</v>
      </c>
      <c r="B5" s="29" t="n">
        <v>47665</v>
      </c>
      <c r="C5" s="27" t="n">
        <v>0.3819444444444444</v>
      </c>
      <c r="D5" s="31" t="inlineStr">
        <is>
          <t>买</t>
        </is>
      </c>
      <c r="E5" s="32" t="n">
        <v>100.2</v>
      </c>
      <c r="F5" s="35" t="n">
        <v>19.5</v>
      </c>
      <c r="G5" s="31" t="inlineStr">
        <is>
          <t>吃单</t>
        </is>
      </c>
      <c r="H5" s="20">
        <f>IF(AND(ISNUMBER(E5),ISNUMBER(F5)),E5*F5,"")</f>
        <v>1953.9</v>
      </c>
      <c r="I5" s="42">
        <f>IF(ISNUMBER(H5),ROUND(H5*IF(G5="挂单",'参数'!$C$11,'参数'!$C$12),4),"")</f>
        <v>0.977</v>
      </c>
      <c r="J5" s="47" t="n"/>
      <c r="K5" s="47" t="n"/>
      <c r="L5" s="20">
        <f>IF(ISNUMBER(K5),K5+N(J5),IF(ISNUMBER(H5),I5+N(J5),""))</f>
        <v>0.977</v>
      </c>
      <c r="M5" s="40" t="str">
        <f>IF(A5="","",IFERROR(T(INDEX('例-交易记录'!$C$5:$C$304,MATCH(A5,'例-交易记录'!$A$5:$A$304,0))),"编号没找到"))</f>
        <v>币A</v>
      </c>
      <c r="N5" s="30" t="inlineStr"/>
    </row>
    <row r="6" ht="18" customHeight="1">
      <c r="A6" s="24" t="n">
        <v>2</v>
      </c>
      <c r="B6" s="29" t="n">
        <v>47666</v>
      </c>
      <c r="C6" s="27" t="n">
        <v>0.5868055555555556</v>
      </c>
      <c r="D6" s="31" t="inlineStr">
        <is>
          <t>买</t>
        </is>
      </c>
      <c r="E6" s="32" t="n">
        <v>2001</v>
      </c>
      <c r="F6" s="35" t="n">
        <v>2.3</v>
      </c>
      <c r="G6" s="31" t="inlineStr">
        <is>
          <t>吃单</t>
        </is>
      </c>
      <c r="H6" s="20">
        <f>IF(AND(ISNUMBER(E6),ISNUMBER(F6)),E6*F6,"")</f>
        <v>4602.3</v>
      </c>
      <c r="I6" s="42">
        <f>IF(ISNUMBER(H6),ROUND(H6*IF(G6="挂单",'参数'!$C$11,'参数'!$C$12),4),"")</f>
        <v>2.3012</v>
      </c>
      <c r="J6" s="47" t="n"/>
      <c r="K6" s="47" t="n"/>
      <c r="L6" s="20">
        <f>IF(ISNUMBER(K6),K6+N(J6),IF(ISNUMBER(H6),I6+N(J6),""))</f>
        <v>2.3012</v>
      </c>
      <c r="M6" s="40" t="str">
        <f>IF(A6="","",IFERROR(T(INDEX('例-交易记录'!$C$5:$C$304,MATCH(A6,'例-交易记录'!$A$5:$A$304,0))),"编号没找到"))</f>
        <v>币B</v>
      </c>
      <c r="N6" s="30" t="inlineStr"/>
    </row>
    <row r="7" ht="18" customHeight="1">
      <c r="A7" s="24" t="n">
        <v>4</v>
      </c>
      <c r="B7" s="29" t="n">
        <v>47667</v>
      </c>
      <c r="C7" s="27" t="n">
        <v>0.875</v>
      </c>
      <c r="D7" s="31" t="inlineStr">
        <is>
          <t>卖</t>
        </is>
      </c>
      <c r="E7" s="32" t="n">
        <v>109.8</v>
      </c>
      <c r="F7" s="35" t="n">
        <v>32</v>
      </c>
      <c r="G7" s="31" t="inlineStr">
        <is>
          <t>吃单</t>
        </is>
      </c>
      <c r="H7" s="20">
        <f>IF(AND(ISNUMBER(E7),ISNUMBER(F7)),E7*F7,"")</f>
        <v>3513.6</v>
      </c>
      <c r="I7" s="42">
        <f>IF(ISNUMBER(H7),ROUND(H7*IF(G7="挂单",'参数'!$C$11,'参数'!$C$12),4),"")</f>
        <v>1.7568</v>
      </c>
      <c r="J7" s="47" t="n"/>
      <c r="K7" s="47" t="n"/>
      <c r="L7" s="20">
        <f>IF(ISNUMBER(K7),K7+N(J7),IF(ISNUMBER(H7),I7+N(J7),""))</f>
        <v>1.7568</v>
      </c>
      <c r="M7" s="40" t="str">
        <f>IF(A7="","",IFERROR(T(INDEX('例-交易记录'!$C$5:$C$304,MATCH(A7,'例-交易记录'!$A$5:$A$304,0))),"编号没找到"))</f>
        <v>币A</v>
      </c>
      <c r="N7" s="30" t="inlineStr">
        <is>
          <t>开空</t>
        </is>
      </c>
    </row>
    <row r="8" ht="18" customHeight="1">
      <c r="A8" s="24" t="n">
        <v>4</v>
      </c>
      <c r="B8" s="29" t="n">
        <v>47668</v>
      </c>
      <c r="C8" s="27" t="n">
        <v>0.08333333333333333</v>
      </c>
      <c r="D8" s="31" t="inlineStr">
        <is>
          <t>买</t>
        </is>
      </c>
      <c r="E8" s="32" t="n">
        <v>113.2</v>
      </c>
      <c r="F8" s="35" t="n">
        <v>32</v>
      </c>
      <c r="G8" s="31" t="inlineStr">
        <is>
          <t>吃单</t>
        </is>
      </c>
      <c r="H8" s="20">
        <f>IF(AND(ISNUMBER(E8),ISNUMBER(F8)),E8*F8,"")</f>
        <v>3622.4</v>
      </c>
      <c r="I8" s="42">
        <f>IF(ISNUMBER(H8),ROUND(H8*IF(G8="挂单",'参数'!$C$11,'参数'!$C$12),4),"")</f>
        <v>1.8112</v>
      </c>
      <c r="J8" s="47" t="n"/>
      <c r="K8" s="47" t="n"/>
      <c r="L8" s="20">
        <f>IF(ISNUMBER(K8),K8+N(J8),IF(ISNUMBER(H8),I8+N(J8),""))</f>
        <v>1.8112</v>
      </c>
      <c r="M8" s="40" t="str">
        <f>IF(A8="","",IFERROR(T(INDEX('例-交易记录'!$C$5:$C$304,MATCH(A8,'例-交易记录'!$A$5:$A$304,0))),"编号没找到"))</f>
        <v>币A</v>
      </c>
      <c r="N8" s="30" t="inlineStr">
        <is>
          <t>止损</t>
        </is>
      </c>
    </row>
    <row r="9" ht="32" customHeight="1">
      <c r="A9" s="24" t="n">
        <v>1</v>
      </c>
      <c r="B9" s="29" t="n">
        <v>47668</v>
      </c>
      <c r="C9" s="27" t="n">
        <v>0.8541666666666666</v>
      </c>
      <c r="D9" s="31" t="inlineStr">
        <is>
          <t>卖</t>
        </is>
      </c>
      <c r="E9" s="32" t="n">
        <v>114.5</v>
      </c>
      <c r="F9" s="35" t="n">
        <v>19.5</v>
      </c>
      <c r="G9" s="31" t="inlineStr">
        <is>
          <t>挂单</t>
        </is>
      </c>
      <c r="H9" s="20">
        <f>IF(AND(ISNUMBER(E9),ISNUMBER(F9)),E9*F9,"")</f>
        <v>2232.75</v>
      </c>
      <c r="I9" s="42">
        <f>IF(ISNUMBER(H9),ROUND(H9*IF(G9="挂单",'参数'!$C$11,'参数'!$C$12),4),"")</f>
        <v>0.4466</v>
      </c>
      <c r="J9" s="47" t="n">
        <v>1</v>
      </c>
      <c r="K9" s="47" t="n"/>
      <c r="L9" s="20">
        <f>IF(ISNUMBER(K9),K9+N(J9),IF(ISNUMBER(H9),I9+N(J9),""))</f>
        <v>1.4466</v>
      </c>
      <c r="M9" s="40" t="str">
        <f>IF(A9="","",IFERROR(T(INDEX('例-交易记录'!$C$5:$C$304,MATCH(A9,'例-交易记录'!$A$5:$A$304,0))),"编号没找到"))</f>
        <v>币A</v>
      </c>
      <c r="N9" s="30" t="inlineStr">
        <is>
          <t>挂单卖出；另付链上转账费 1 USDT</t>
        </is>
      </c>
    </row>
    <row r="10" ht="18" customHeight="1">
      <c r="A10" s="24" t="n">
        <v>2</v>
      </c>
      <c r="B10" s="29" t="n">
        <v>47669</v>
      </c>
      <c r="C10" s="27" t="n">
        <v>0.3333333333333333</v>
      </c>
      <c r="D10" s="31" t="inlineStr">
        <is>
          <t>卖</t>
        </is>
      </c>
      <c r="E10" s="32" t="n">
        <v>2118</v>
      </c>
      <c r="F10" s="35" t="n">
        <v>2.3</v>
      </c>
      <c r="G10" s="31" t="inlineStr">
        <is>
          <t>挂单</t>
        </is>
      </c>
      <c r="H10" s="20">
        <f>IF(AND(ISNUMBER(E10),ISNUMBER(F10)),E10*F10,"")</f>
        <v>4871.4</v>
      </c>
      <c r="I10" s="42">
        <f>IF(ISNUMBER(H10),ROUND(H10*IF(G10="挂单",'参数'!$C$11,'参数'!$C$12),4),"")</f>
        <v>0.9743</v>
      </c>
      <c r="J10" s="47" t="n"/>
      <c r="K10" s="47" t="n"/>
      <c r="L10" s="20">
        <f>IF(ISNUMBER(K10),K10+N(J10),IF(ISNUMBER(H10),I10+N(J10),""))</f>
        <v>0.9743</v>
      </c>
      <c r="M10" s="40" t="str">
        <f>IF(A10="","",IFERROR(T(INDEX('例-交易记录'!$C$5:$C$304,MATCH(A10,'例-交易记录'!$A$5:$A$304,0))),"编号没找到"))</f>
        <v>币B</v>
      </c>
      <c r="N10" s="30" t="inlineStr">
        <is>
          <t>到目标</t>
        </is>
      </c>
    </row>
    <row r="11" ht="18" customHeight="1">
      <c r="A11" s="24" t="n">
        <v>5</v>
      </c>
      <c r="B11" s="29" t="n">
        <v>47669</v>
      </c>
      <c r="C11" s="27" t="n">
        <v>0.6458333333333334</v>
      </c>
      <c r="D11" s="31" t="inlineStr">
        <is>
          <t>买</t>
        </is>
      </c>
      <c r="E11" s="32" t="n">
        <v>2150</v>
      </c>
      <c r="F11" s="35" t="n">
        <v>1.5</v>
      </c>
      <c r="G11" s="31" t="inlineStr">
        <is>
          <t>吃单</t>
        </is>
      </c>
      <c r="H11" s="20">
        <f>IF(AND(ISNUMBER(E11),ISNUMBER(F11)),E11*F11,"")</f>
        <v>3225</v>
      </c>
      <c r="I11" s="42">
        <f>IF(ISNUMBER(H11),ROUND(H11*IF(G11="挂单",'参数'!$C$11,'参数'!$C$12),4),"")</f>
        <v>1.6125</v>
      </c>
      <c r="J11" s="47" t="n"/>
      <c r="K11" s="47" t="n"/>
      <c r="L11" s="20">
        <f>IF(ISNUMBER(K11),K11+N(J11),IF(ISNUMBER(H11),I11+N(J11),""))</f>
        <v>1.6125</v>
      </c>
      <c r="M11" s="40" t="str">
        <f>IF(A11="","",IFERROR(T(INDEX('例-交易记录'!$C$5:$C$304,MATCH(A11,'例-交易记录'!$A$5:$A$304,0))),"编号没找到"))</f>
        <v>币B</v>
      </c>
      <c r="N11" s="30" t="inlineStr">
        <is>
          <t>追了 30 点</t>
        </is>
      </c>
    </row>
    <row r="12" ht="18" customHeight="1">
      <c r="A12" s="24" t="n">
        <v>5</v>
      </c>
      <c r="B12" s="29" t="n">
        <v>47670</v>
      </c>
      <c r="C12" s="27" t="n">
        <v>0.4583333333333333</v>
      </c>
      <c r="D12" s="31" t="inlineStr">
        <is>
          <t>卖</t>
        </is>
      </c>
      <c r="E12" s="32" t="n">
        <v>2210</v>
      </c>
      <c r="F12" s="35" t="n">
        <v>1.5</v>
      </c>
      <c r="G12" s="31" t="inlineStr">
        <is>
          <t>挂单</t>
        </is>
      </c>
      <c r="H12" s="20">
        <f>IF(AND(ISNUMBER(E12),ISNUMBER(F12)),E12*F12,"")</f>
        <v>3315</v>
      </c>
      <c r="I12" s="42">
        <f>IF(ISNUMBER(H12),ROUND(H12*IF(G12="挂单",'参数'!$C$11,'参数'!$C$12),4),"")</f>
        <v>0.663</v>
      </c>
      <c r="J12" s="47" t="n"/>
      <c r="K12" s="47" t="n"/>
      <c r="L12" s="20">
        <f>IF(ISNUMBER(K12),K12+N(J12),IF(ISNUMBER(H12),I12+N(J12),""))</f>
        <v>0.663</v>
      </c>
      <c r="M12" s="40" t="str">
        <f>IF(A12="","",IFERROR(T(INDEX('例-交易记录'!$C$5:$C$304,MATCH(A12,'例-交易记录'!$A$5:$A$304,0))),"编号没找到"))</f>
        <v>币B</v>
      </c>
      <c r="N12" s="30" t="inlineStr"/>
    </row>
    <row r="13" ht="18" customHeight="1">
      <c r="A13" s="24" t="n">
        <v>7</v>
      </c>
      <c r="B13" s="29" t="n">
        <v>47671</v>
      </c>
      <c r="C13" s="27" t="n">
        <v>0.9270833333333334</v>
      </c>
      <c r="D13" s="31" t="inlineStr">
        <is>
          <t>卖</t>
        </is>
      </c>
      <c r="E13" s="32" t="n">
        <v>2199</v>
      </c>
      <c r="F13" s="35" t="n">
        <v>2.3</v>
      </c>
      <c r="G13" s="31" t="inlineStr">
        <is>
          <t>吃单</t>
        </is>
      </c>
      <c r="H13" s="20">
        <f>IF(AND(ISNUMBER(E13),ISNUMBER(F13)),E13*F13,"")</f>
        <v>5057.7</v>
      </c>
      <c r="I13" s="42">
        <f>IF(ISNUMBER(H13),ROUND(H13*IF(G13="挂单",'参数'!$C$11,'参数'!$C$12),4),"")</f>
        <v>2.5289</v>
      </c>
      <c r="J13" s="47" t="n"/>
      <c r="K13" s="47" t="n"/>
      <c r="L13" s="20">
        <f>IF(ISNUMBER(K13),K13+N(J13),IF(ISNUMBER(H13),I13+N(J13),""))</f>
        <v>2.5289</v>
      </c>
      <c r="M13" s="40" t="str">
        <f>IF(A13="","",IFERROR(T(INDEX('例-交易记录'!$C$5:$C$304,MATCH(A13,'例-交易记录'!$A$5:$A$304,0))),"编号没找到"))</f>
        <v>币B</v>
      </c>
      <c r="N13" s="30" t="inlineStr">
        <is>
          <t>开空</t>
        </is>
      </c>
    </row>
    <row r="14" ht="18" customHeight="1">
      <c r="A14" s="24" t="n">
        <v>7</v>
      </c>
      <c r="B14" s="29" t="n">
        <v>47672</v>
      </c>
      <c r="C14" s="27" t="n">
        <v>0.9861111111111112</v>
      </c>
      <c r="D14" s="31" t="inlineStr">
        <is>
          <t>买</t>
        </is>
      </c>
      <c r="E14" s="32" t="n">
        <v>2290</v>
      </c>
      <c r="F14" s="35" t="n">
        <v>2.3</v>
      </c>
      <c r="G14" s="31" t="inlineStr">
        <is>
          <t>吃单</t>
        </is>
      </c>
      <c r="H14" s="20">
        <f>IF(AND(ISNUMBER(E14),ISNUMBER(F14)),E14*F14,"")</f>
        <v>5267</v>
      </c>
      <c r="I14" s="42">
        <f>IF(ISNUMBER(H14),ROUND(H14*IF(G14="挂单",'参数'!$C$11,'参数'!$C$12),4),"")</f>
        <v>2.6335</v>
      </c>
      <c r="J14" s="47" t="n"/>
      <c r="K14" s="47" t="n"/>
      <c r="L14" s="20">
        <f>IF(ISNUMBER(K14),K14+N(J14),IF(ISNUMBER(H14),I14+N(J14),""))</f>
        <v>2.6335</v>
      </c>
      <c r="M14" s="40" t="str">
        <f>IF(A14="","",IFERROR(T(INDEX('例-交易记录'!$C$5:$C$304,MATCH(A14,'例-交易记录'!$A$5:$A$304,0))),"编号没找到"))</f>
        <v>币B</v>
      </c>
      <c r="N14" s="30" t="inlineStr">
        <is>
          <t>扛到第二天才走</t>
        </is>
      </c>
    </row>
    <row r="15" ht="18" customHeight="1">
      <c r="A15" s="24" t="n">
        <v>8</v>
      </c>
      <c r="B15" s="29" t="n">
        <v>47672</v>
      </c>
      <c r="C15" s="27" t="n">
        <v>0.4166666666666667</v>
      </c>
      <c r="D15" s="31" t="inlineStr">
        <is>
          <t>买</t>
        </is>
      </c>
      <c r="E15" s="32" t="n">
        <v>2152</v>
      </c>
      <c r="F15" s="35" t="n">
        <v>1.4</v>
      </c>
      <c r="G15" s="31" t="inlineStr">
        <is>
          <t>挂单</t>
        </is>
      </c>
      <c r="H15" s="20">
        <f>IF(AND(ISNUMBER(E15),ISNUMBER(F15)),E15*F15,"")</f>
        <v>3012.8</v>
      </c>
      <c r="I15" s="42">
        <f>IF(ISNUMBER(H15),ROUND(H15*IF(G15="挂单",'参数'!$C$11,'参数'!$C$12),4),"")</f>
        <v>0.6026</v>
      </c>
      <c r="J15" s="47" t="n"/>
      <c r="K15" s="47" t="n"/>
      <c r="L15" s="20">
        <f>IF(ISNUMBER(K15),K15+N(J15),IF(ISNUMBER(H15),I15+N(J15),""))</f>
        <v>0.6026</v>
      </c>
      <c r="M15" s="40" t="str">
        <f>IF(A15="","",IFERROR(T(INDEX('例-交易记录'!$C$5:$C$304,MATCH(A15,'例-交易记录'!$A$5:$A$304,0))),"编号没找到"))</f>
        <v>币B</v>
      </c>
      <c r="N15" s="30" t="inlineStr"/>
    </row>
    <row r="16">
      <c r="A16" s="24" t="n"/>
      <c r="B16" s="29" t="n"/>
      <c r="C16" s="27" t="n"/>
      <c r="D16" s="31" t="n"/>
      <c r="E16" s="32" t="n"/>
      <c r="F16" s="35" t="n"/>
      <c r="G16" s="31" t="n"/>
      <c r="H16" s="20" t="str">
        <f>IF(AND(ISNUMBER(E16),ISNUMBER(F16)),E16*F16,"")</f>
        <v/>
      </c>
      <c r="I16" s="42" t="str">
        <f>IF(ISNUMBER(H16),ROUND(H16*IF(G16="挂单",'参数'!$C$11,'参数'!$C$12),4),"")</f>
        <v/>
      </c>
      <c r="J16" s="47" t="n"/>
      <c r="K16" s="47" t="n"/>
      <c r="L16" s="20" t="str">
        <f>IF(ISNUMBER(K16),K16+N(J16),IF(ISNUMBER(H16),I16+N(J16),""))</f>
        <v/>
      </c>
      <c r="M16" s="40" t="str">
        <f>IF(A16="","",IFERROR(T(INDEX('例-交易记录'!$C$5:$C$304,MATCH(A16,'例-交易记录'!$A$5:$A$304,0))),"编号没找到"))</f>
        <v/>
      </c>
      <c r="N16" s="30" t="n"/>
    </row>
    <row r="17">
      <c r="A17" s="24" t="n"/>
      <c r="B17" s="29" t="n"/>
      <c r="C17" s="27" t="n"/>
      <c r="D17" s="31" t="n"/>
      <c r="E17" s="32" t="n"/>
      <c r="F17" s="35" t="n"/>
      <c r="G17" s="31" t="n"/>
      <c r="H17" s="20" t="str">
        <f>IF(AND(ISNUMBER(E17),ISNUMBER(F17)),E17*F17,"")</f>
        <v/>
      </c>
      <c r="I17" s="42" t="str">
        <f>IF(ISNUMBER(H17),ROUND(H17*IF(G17="挂单",'参数'!$C$11,'参数'!$C$12),4),"")</f>
        <v/>
      </c>
      <c r="J17" s="47" t="n"/>
      <c r="K17" s="47" t="n"/>
      <c r="L17" s="20" t="str">
        <f>IF(ISNUMBER(K17),K17+N(J17),IF(ISNUMBER(H17),I17+N(J17),""))</f>
        <v/>
      </c>
      <c r="M17" s="40" t="str">
        <f>IF(A17="","",IFERROR(T(INDEX('例-交易记录'!$C$5:$C$304,MATCH(A17,'例-交易记录'!$A$5:$A$304,0))),"编号没找到"))</f>
        <v/>
      </c>
      <c r="N17" s="30" t="n"/>
    </row>
    <row r="18">
      <c r="A18" s="24" t="n"/>
      <c r="B18" s="29" t="n"/>
      <c r="C18" s="27" t="n"/>
      <c r="D18" s="31" t="n"/>
      <c r="E18" s="32" t="n"/>
      <c r="F18" s="35" t="n"/>
      <c r="G18" s="31" t="n"/>
      <c r="H18" s="20" t="str">
        <f>IF(AND(ISNUMBER(E18),ISNUMBER(F18)),E18*F18,"")</f>
        <v/>
      </c>
      <c r="I18" s="42" t="str">
        <f>IF(ISNUMBER(H18),ROUND(H18*IF(G18="挂单",'参数'!$C$11,'参数'!$C$12),4),"")</f>
        <v/>
      </c>
      <c r="J18" s="47" t="n"/>
      <c r="K18" s="47" t="n"/>
      <c r="L18" s="20" t="str">
        <f>IF(ISNUMBER(K18),K18+N(J18),IF(ISNUMBER(H18),I18+N(J18),""))</f>
        <v/>
      </c>
      <c r="M18" s="40" t="str">
        <f>IF(A18="","",IFERROR(T(INDEX('例-交易记录'!$C$5:$C$304,MATCH(A18,'例-交易记录'!$A$5:$A$304,0))),"编号没找到"))</f>
        <v/>
      </c>
      <c r="N18" s="30" t="n"/>
    </row>
    <row r="19">
      <c r="A19" s="24" t="n"/>
      <c r="B19" s="29" t="n"/>
      <c r="C19" s="27" t="n"/>
      <c r="D19" s="31" t="n"/>
      <c r="E19" s="32" t="n"/>
      <c r="F19" s="35" t="n"/>
      <c r="G19" s="31" t="n"/>
      <c r="H19" s="20" t="str">
        <f>IF(AND(ISNUMBER(E19),ISNUMBER(F19)),E19*F19,"")</f>
        <v/>
      </c>
      <c r="I19" s="42" t="str">
        <f>IF(ISNUMBER(H19),ROUND(H19*IF(G19="挂单",'参数'!$C$11,'参数'!$C$12),4),"")</f>
        <v/>
      </c>
      <c r="J19" s="47" t="n"/>
      <c r="K19" s="47" t="n"/>
      <c r="L19" s="20" t="str">
        <f>IF(ISNUMBER(K19),K19+N(J19),IF(ISNUMBER(H19),I19+N(J19),""))</f>
        <v/>
      </c>
      <c r="M19" s="40" t="str">
        <f>IF(A19="","",IFERROR(T(INDEX('例-交易记录'!$C$5:$C$304,MATCH(A19,'例-交易记录'!$A$5:$A$304,0))),"编号没找到"))</f>
        <v/>
      </c>
      <c r="N19" s="30" t="n"/>
    </row>
    <row r="20">
      <c r="A20" s="24" t="n"/>
      <c r="B20" s="29" t="n"/>
      <c r="C20" s="27" t="n"/>
      <c r="D20" s="31" t="n"/>
      <c r="E20" s="32" t="n"/>
      <c r="F20" s="35" t="n"/>
      <c r="G20" s="31" t="n"/>
      <c r="H20" s="20" t="str">
        <f>IF(AND(ISNUMBER(E20),ISNUMBER(F20)),E20*F20,"")</f>
        <v/>
      </c>
      <c r="I20" s="42" t="str">
        <f>IF(ISNUMBER(H20),ROUND(H20*IF(G20="挂单",'参数'!$C$11,'参数'!$C$12),4),"")</f>
        <v/>
      </c>
      <c r="J20" s="47" t="n"/>
      <c r="K20" s="47" t="n"/>
      <c r="L20" s="20" t="str">
        <f>IF(ISNUMBER(K20),K20+N(J20),IF(ISNUMBER(H20),I20+N(J20),""))</f>
        <v/>
      </c>
      <c r="M20" s="40" t="str">
        <f>IF(A20="","",IFERROR(T(INDEX('例-交易记录'!$C$5:$C$304,MATCH(A20,'例-交易记录'!$A$5:$A$304,0))),"编号没找到"))</f>
        <v/>
      </c>
      <c r="N20" s="30" t="n"/>
    </row>
    <row r="21">
      <c r="A21" s="24" t="n"/>
      <c r="B21" s="29" t="n"/>
      <c r="C21" s="27" t="n"/>
      <c r="D21" s="31" t="n"/>
      <c r="E21" s="32" t="n"/>
      <c r="F21" s="35" t="n"/>
      <c r="G21" s="31" t="n"/>
      <c r="H21" s="20" t="str">
        <f>IF(AND(ISNUMBER(E21),ISNUMBER(F21)),E21*F21,"")</f>
        <v/>
      </c>
      <c r="I21" s="42" t="str">
        <f>IF(ISNUMBER(H21),ROUND(H21*IF(G21="挂单",'参数'!$C$11,'参数'!$C$12),4),"")</f>
        <v/>
      </c>
      <c r="J21" s="47" t="n"/>
      <c r="K21" s="47" t="n"/>
      <c r="L21" s="20" t="str">
        <f>IF(ISNUMBER(K21),K21+N(J21),IF(ISNUMBER(H21),I21+N(J21),""))</f>
        <v/>
      </c>
      <c r="M21" s="40" t="str">
        <f>IF(A21="","",IFERROR(T(INDEX('例-交易记录'!$C$5:$C$304,MATCH(A21,'例-交易记录'!$A$5:$A$304,0))),"编号没找到"))</f>
        <v/>
      </c>
      <c r="N21" s="30" t="n"/>
    </row>
    <row r="22">
      <c r="A22" s="24" t="n"/>
      <c r="B22" s="29" t="n"/>
      <c r="C22" s="27" t="n"/>
      <c r="D22" s="31" t="n"/>
      <c r="E22" s="32" t="n"/>
      <c r="F22" s="35" t="n"/>
      <c r="G22" s="31" t="n"/>
      <c r="H22" s="20" t="str">
        <f>IF(AND(ISNUMBER(E22),ISNUMBER(F22)),E22*F22,"")</f>
        <v/>
      </c>
      <c r="I22" s="42" t="str">
        <f>IF(ISNUMBER(H22),ROUND(H22*IF(G22="挂单",'参数'!$C$11,'参数'!$C$12),4),"")</f>
        <v/>
      </c>
      <c r="J22" s="47" t="n"/>
      <c r="K22" s="47" t="n"/>
      <c r="L22" s="20" t="str">
        <f>IF(ISNUMBER(K22),K22+N(J22),IF(ISNUMBER(H22),I22+N(J22),""))</f>
        <v/>
      </c>
      <c r="M22" s="40" t="str">
        <f>IF(A22="","",IFERROR(T(INDEX('例-交易记录'!$C$5:$C$304,MATCH(A22,'例-交易记录'!$A$5:$A$304,0))),"编号没找到"))</f>
        <v/>
      </c>
      <c r="N22" s="30" t="n"/>
    </row>
    <row r="23">
      <c r="A23" s="24" t="n"/>
      <c r="B23" s="29" t="n"/>
      <c r="C23" s="27" t="n"/>
      <c r="D23" s="31" t="n"/>
      <c r="E23" s="32" t="n"/>
      <c r="F23" s="35" t="n"/>
      <c r="G23" s="31" t="n"/>
      <c r="H23" s="20" t="str">
        <f>IF(AND(ISNUMBER(E23),ISNUMBER(F23)),E23*F23,"")</f>
        <v/>
      </c>
      <c r="I23" s="42" t="str">
        <f>IF(ISNUMBER(H23),ROUND(H23*IF(G23="挂单",'参数'!$C$11,'参数'!$C$12),4),"")</f>
        <v/>
      </c>
      <c r="J23" s="47" t="n"/>
      <c r="K23" s="47" t="n"/>
      <c r="L23" s="20" t="str">
        <f>IF(ISNUMBER(K23),K23+N(J23),IF(ISNUMBER(H23),I23+N(J23),""))</f>
        <v/>
      </c>
      <c r="M23" s="40" t="str">
        <f>IF(A23="","",IFERROR(T(INDEX('例-交易记录'!$C$5:$C$304,MATCH(A23,'例-交易记录'!$A$5:$A$304,0))),"编号没找到"))</f>
        <v/>
      </c>
      <c r="N23" s="30" t="n"/>
    </row>
    <row r="24">
      <c r="A24" s="24" t="n"/>
      <c r="B24" s="29" t="n"/>
      <c r="C24" s="27" t="n"/>
      <c r="D24" s="31" t="n"/>
      <c r="E24" s="32" t="n"/>
      <c r="F24" s="35" t="n"/>
      <c r="G24" s="31" t="n"/>
      <c r="H24" s="20" t="str">
        <f>IF(AND(ISNUMBER(E24),ISNUMBER(F24)),E24*F24,"")</f>
        <v/>
      </c>
      <c r="I24" s="42" t="str">
        <f>IF(ISNUMBER(H24),ROUND(H24*IF(G24="挂单",'参数'!$C$11,'参数'!$C$12),4),"")</f>
        <v/>
      </c>
      <c r="J24" s="47" t="n"/>
      <c r="K24" s="47" t="n"/>
      <c r="L24" s="20" t="str">
        <f>IF(ISNUMBER(K24),K24+N(J24),IF(ISNUMBER(H24),I24+N(J24),""))</f>
        <v/>
      </c>
      <c r="M24" s="40" t="str">
        <f>IF(A24="","",IFERROR(T(INDEX('例-交易记录'!$C$5:$C$304,MATCH(A24,'例-交易记录'!$A$5:$A$304,0))),"编号没找到"))</f>
        <v/>
      </c>
      <c r="N24" s="30" t="n"/>
    </row>
    <row r="25">
      <c r="A25" s="24" t="n"/>
      <c r="B25" s="29" t="n"/>
      <c r="C25" s="27" t="n"/>
      <c r="D25" s="31" t="n"/>
      <c r="E25" s="32" t="n"/>
      <c r="F25" s="35" t="n"/>
      <c r="G25" s="31" t="n"/>
      <c r="H25" s="20" t="str">
        <f>IF(AND(ISNUMBER(E25),ISNUMBER(F25)),E25*F25,"")</f>
        <v/>
      </c>
      <c r="I25" s="42" t="str">
        <f>IF(ISNUMBER(H25),ROUND(H25*IF(G25="挂单",'参数'!$C$11,'参数'!$C$12),4),"")</f>
        <v/>
      </c>
      <c r="J25" s="47" t="n"/>
      <c r="K25" s="47" t="n"/>
      <c r="L25" s="20" t="str">
        <f>IF(ISNUMBER(K25),K25+N(J25),IF(ISNUMBER(H25),I25+N(J25),""))</f>
        <v/>
      </c>
      <c r="M25" s="40" t="str">
        <f>IF(A25="","",IFERROR(T(INDEX('例-交易记录'!$C$5:$C$304,MATCH(A25,'例-交易记录'!$A$5:$A$304,0))),"编号没找到"))</f>
        <v/>
      </c>
      <c r="N25" s="30" t="n"/>
    </row>
    <row r="26">
      <c r="A26" s="24" t="n"/>
      <c r="B26" s="29" t="n"/>
      <c r="C26" s="27" t="n"/>
      <c r="D26" s="31" t="n"/>
      <c r="E26" s="32" t="n"/>
      <c r="F26" s="35" t="n"/>
      <c r="G26" s="31" t="n"/>
      <c r="H26" s="20" t="str">
        <f>IF(AND(ISNUMBER(E26),ISNUMBER(F26)),E26*F26,"")</f>
        <v/>
      </c>
      <c r="I26" s="42" t="str">
        <f>IF(ISNUMBER(H26),ROUND(H26*IF(G26="挂单",'参数'!$C$11,'参数'!$C$12),4),"")</f>
        <v/>
      </c>
      <c r="J26" s="47" t="n"/>
      <c r="K26" s="47" t="n"/>
      <c r="L26" s="20" t="str">
        <f>IF(ISNUMBER(K26),K26+N(J26),IF(ISNUMBER(H26),I26+N(J26),""))</f>
        <v/>
      </c>
      <c r="M26" s="40" t="str">
        <f>IF(A26="","",IFERROR(T(INDEX('例-交易记录'!$C$5:$C$304,MATCH(A26,'例-交易记录'!$A$5:$A$304,0))),"编号没找到"))</f>
        <v/>
      </c>
      <c r="N26" s="30" t="n"/>
    </row>
    <row r="27">
      <c r="A27" s="24" t="n"/>
      <c r="B27" s="29" t="n"/>
      <c r="C27" s="27" t="n"/>
      <c r="D27" s="31" t="n"/>
      <c r="E27" s="32" t="n"/>
      <c r="F27" s="35" t="n"/>
      <c r="G27" s="31" t="n"/>
      <c r="H27" s="20" t="str">
        <f>IF(AND(ISNUMBER(E27),ISNUMBER(F27)),E27*F27,"")</f>
        <v/>
      </c>
      <c r="I27" s="42" t="str">
        <f>IF(ISNUMBER(H27),ROUND(H27*IF(G27="挂单",'参数'!$C$11,'参数'!$C$12),4),"")</f>
        <v/>
      </c>
      <c r="J27" s="47" t="n"/>
      <c r="K27" s="47" t="n"/>
      <c r="L27" s="20" t="str">
        <f>IF(ISNUMBER(K27),K27+N(J27),IF(ISNUMBER(H27),I27+N(J27),""))</f>
        <v/>
      </c>
      <c r="M27" s="40" t="str">
        <f>IF(A27="","",IFERROR(T(INDEX('例-交易记录'!$C$5:$C$304,MATCH(A27,'例-交易记录'!$A$5:$A$304,0))),"编号没找到"))</f>
        <v/>
      </c>
      <c r="N27" s="30" t="n"/>
    </row>
    <row r="28">
      <c r="A28" s="24" t="n"/>
      <c r="B28" s="29" t="n"/>
      <c r="C28" s="27" t="n"/>
      <c r="D28" s="31" t="n"/>
      <c r="E28" s="32" t="n"/>
      <c r="F28" s="35" t="n"/>
      <c r="G28" s="31" t="n"/>
      <c r="H28" s="20" t="str">
        <f>IF(AND(ISNUMBER(E28),ISNUMBER(F28)),E28*F28,"")</f>
        <v/>
      </c>
      <c r="I28" s="42" t="str">
        <f>IF(ISNUMBER(H28),ROUND(H28*IF(G28="挂单",'参数'!$C$11,'参数'!$C$12),4),"")</f>
        <v/>
      </c>
      <c r="J28" s="47" t="n"/>
      <c r="K28" s="47" t="n"/>
      <c r="L28" s="20" t="str">
        <f>IF(ISNUMBER(K28),K28+N(J28),IF(ISNUMBER(H28),I28+N(J28),""))</f>
        <v/>
      </c>
      <c r="M28" s="40" t="str">
        <f>IF(A28="","",IFERROR(T(INDEX('例-交易记录'!$C$5:$C$304,MATCH(A28,'例-交易记录'!$A$5:$A$304,0))),"编号没找到"))</f>
        <v/>
      </c>
      <c r="N28" s="30" t="n"/>
    </row>
    <row r="29">
      <c r="A29" s="24" t="n"/>
      <c r="B29" s="29" t="n"/>
      <c r="C29" s="27" t="n"/>
      <c r="D29" s="31" t="n"/>
      <c r="E29" s="32" t="n"/>
      <c r="F29" s="35" t="n"/>
      <c r="G29" s="31" t="n"/>
      <c r="H29" s="20" t="str">
        <f>IF(AND(ISNUMBER(E29),ISNUMBER(F29)),E29*F29,"")</f>
        <v/>
      </c>
      <c r="I29" s="42" t="str">
        <f>IF(ISNUMBER(H29),ROUND(H29*IF(G29="挂单",'参数'!$C$11,'参数'!$C$12),4),"")</f>
        <v/>
      </c>
      <c r="J29" s="47" t="n"/>
      <c r="K29" s="47" t="n"/>
      <c r="L29" s="20" t="str">
        <f>IF(ISNUMBER(K29),K29+N(J29),IF(ISNUMBER(H29),I29+N(J29),""))</f>
        <v/>
      </c>
      <c r="M29" s="40" t="str">
        <f>IF(A29="","",IFERROR(T(INDEX('例-交易记录'!$C$5:$C$304,MATCH(A29,'例-交易记录'!$A$5:$A$304,0))),"编号没找到"))</f>
        <v/>
      </c>
      <c r="N29" s="30" t="n"/>
    </row>
    <row r="30">
      <c r="A30" s="24" t="n"/>
      <c r="B30" s="29" t="n"/>
      <c r="C30" s="27" t="n"/>
      <c r="D30" s="31" t="n"/>
      <c r="E30" s="32" t="n"/>
      <c r="F30" s="35" t="n"/>
      <c r="G30" s="31" t="n"/>
      <c r="H30" s="20" t="str">
        <f>IF(AND(ISNUMBER(E30),ISNUMBER(F30)),E30*F30,"")</f>
        <v/>
      </c>
      <c r="I30" s="42" t="str">
        <f>IF(ISNUMBER(H30),ROUND(H30*IF(G30="挂单",'参数'!$C$11,'参数'!$C$12),4),"")</f>
        <v/>
      </c>
      <c r="J30" s="47" t="n"/>
      <c r="K30" s="47" t="n"/>
      <c r="L30" s="20" t="str">
        <f>IF(ISNUMBER(K30),K30+N(J30),IF(ISNUMBER(H30),I30+N(J30),""))</f>
        <v/>
      </c>
      <c r="M30" s="40" t="str">
        <f>IF(A30="","",IFERROR(T(INDEX('例-交易记录'!$C$5:$C$304,MATCH(A30,'例-交易记录'!$A$5:$A$304,0))),"编号没找到"))</f>
        <v/>
      </c>
      <c r="N30" s="30" t="n"/>
    </row>
  </sheetData>
  <mergeCells count="6">
    <mergeCell ref="L1:N1"/>
    <mergeCell ref="H3:L3"/>
    <mergeCell ref="A3:G3"/>
    <mergeCell ref="A2:N2"/>
    <mergeCell ref="M3:N3"/>
    <mergeCell ref="A1:K1"/>
  </mergeCells>
  <conditionalFormatting sqref="M5:M30">
    <cfRule type="cellIs" priority="1" operator="equal" dxfId="3">
      <formula>"编号没找到"</formula>
    </cfRule>
  </conditionalFormatting>
  <dataValidations count="4">
    <dataValidation sqref="A5:A30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30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30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  <dataValidation sqref="G5:G30" showDropDown="0" showInputMessage="0" showErrorMessage="1" allowBlank="1" errorTitle="不在选项里" error="请从下拉里选；要加新选项，先去参数页的下拉选项里加。" type="list" errorStyle="stop">
      <formula1>'参数'!$K$22:$K$33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H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7" customWidth="1" min="2" max="2"/>
    <col width="6" customWidth="1" min="3" max="3"/>
    <col width="11" customWidth="1" min="4" max="4"/>
    <col width="9" customWidth="1" min="5" max="5"/>
    <col width="11" customWidth="1" min="6" max="6"/>
    <col width="11" customWidth="1" min="7" max="7"/>
    <col width="22" customWidth="1" min="8" max="8"/>
  </cols>
  <sheetData>
    <row r="1" ht="30" customHeight="1">
      <c r="A1" s="13" t="inlineStr">
        <is>
          <t>示例 · 资金费流水：每结算一次记一行</t>
        </is>
      </c>
      <c r="F1" s="14" t="inlineStr">
        <is>
          <t>TradeLearn · XtradingTime 交易内训</t>
        </is>
      </c>
    </row>
    <row r="2" ht="20" customHeight="1">
      <c r="A2" s="63" t="inlineStr">
        <is>
          <t>虚构示例，仅演示填法：名义价值和费率全部虚构。</t>
        </is>
      </c>
    </row>
    <row r="3" ht="18" customHeight="1">
      <c r="A3" s="28" t="inlineStr">
        <is>
          <t>结算</t>
        </is>
      </c>
      <c r="B3" s="28" t="n"/>
      <c r="C3" s="28" t="n"/>
      <c r="D3" s="28" t="n"/>
      <c r="E3" s="28" t="n"/>
      <c r="F3" s="28" t="inlineStr">
        <is>
          <t>金额</t>
        </is>
      </c>
      <c r="G3" s="28" t="n"/>
      <c r="H3" s="28" t="inlineStr">
        <is>
          <t>备注</t>
        </is>
      </c>
    </row>
    <row r="4" ht="41.8" customHeight="1">
      <c r="A4" s="25" t="inlineStr">
        <is>
          <t>结算时间</t>
        </is>
      </c>
      <c r="B4" s="25" t="inlineStr">
        <is>
          <t>交易编号</t>
        </is>
      </c>
      <c r="C4" s="25" t="inlineStr">
        <is>
          <t>方向</t>
        </is>
      </c>
      <c r="D4" s="25" t="inlineStr">
        <is>
          <t>名义价值（USDT）</t>
        </is>
      </c>
      <c r="E4" s="25" t="inlineStr">
        <is>
          <t>资金费率</t>
        </is>
      </c>
      <c r="F4" s="25" t="inlineStr">
        <is>
          <t>金额（收为正、付为负）</t>
        </is>
      </c>
      <c r="G4" s="25" t="inlineStr">
        <is>
          <t>实际金额（账户记录有就填）</t>
        </is>
      </c>
      <c r="H4" s="25" t="inlineStr">
        <is>
          <t>备注</t>
        </is>
      </c>
    </row>
    <row r="5">
      <c r="A5" s="48" t="n">
        <v>47666.66666666666</v>
      </c>
      <c r="B5" s="24" t="n">
        <v>2</v>
      </c>
      <c r="C5" s="40" t="str">
        <f>IF(B5="","",IFERROR(T(INDEX('例-交易记录'!$F$5:$F$304,MATCH(B5,'例-交易记录'!$A$5:$A$304,0))),"编号没找到"))</f>
        <v>多</v>
      </c>
      <c r="D5" s="47" t="n">
        <v>4602.3</v>
      </c>
      <c r="E5" s="49" t="n">
        <v>0.0001</v>
      </c>
      <c r="F5" s="50">
        <f>IF(ISNUMBER(G5),G5,IF(AND(ISNUMBER(D5),ISNUMBER(E5),OR(C5="多",C5="空")),-IF(C5="空",-1,1)*D5*E5,""))</f>
        <v>-0.46023</v>
      </c>
      <c r="G5" s="51" t="n"/>
      <c r="H5" s="30" t="n"/>
    </row>
    <row r="6">
      <c r="A6" s="48" t="n">
        <v>47667</v>
      </c>
      <c r="B6" s="24" t="n">
        <v>2</v>
      </c>
      <c r="C6" s="40" t="str">
        <f>IF(B6="","",IFERROR(T(INDEX('例-交易记录'!$F$5:$F$304,MATCH(B6,'例-交易记录'!$A$5:$A$304,0))),"编号没找到"))</f>
        <v>多</v>
      </c>
      <c r="D6" s="47" t="n">
        <v>4610</v>
      </c>
      <c r="E6" s="49" t="n">
        <v>0.0001</v>
      </c>
      <c r="F6" s="50">
        <f>IF(ISNUMBER(G6),G6,IF(AND(ISNUMBER(D6),ISNUMBER(E6),OR(C6="多",C6="空")),-IF(C6="空",-1,1)*D6*E6,""))</f>
        <v>-0.461</v>
      </c>
      <c r="G6" s="51" t="n"/>
      <c r="H6" s="30" t="n"/>
    </row>
    <row r="7">
      <c r="A7" s="48" t="n">
        <v>47667.33333333334</v>
      </c>
      <c r="B7" s="24" t="n">
        <v>2</v>
      </c>
      <c r="C7" s="40" t="str">
        <f>IF(B7="","",IFERROR(T(INDEX('例-交易记录'!$F$5:$F$304,MATCH(B7,'例-交易记录'!$A$5:$A$304,0))),"编号没找到"))</f>
        <v>多</v>
      </c>
      <c r="D7" s="47" t="n">
        <v>4650.5</v>
      </c>
      <c r="E7" s="49" t="n">
        <v>0.00015</v>
      </c>
      <c r="F7" s="50">
        <f>IF(ISNUMBER(G7),G7,IF(AND(ISNUMBER(D7),ISNUMBER(E7),OR(C7="多",C7="空")),-IF(C7="空",-1,1)*D7*E7,""))</f>
        <v>-0.697575</v>
      </c>
      <c r="G7" s="51" t="n"/>
      <c r="H7" s="30" t="n"/>
    </row>
    <row r="8">
      <c r="A8" s="48" t="n">
        <v>47667.66666666666</v>
      </c>
      <c r="B8" s="24" t="n">
        <v>2</v>
      </c>
      <c r="C8" s="40" t="str">
        <f>IF(B8="","",IFERROR(T(INDEX('例-交易记录'!$F$5:$F$304,MATCH(B8,'例-交易记录'!$A$5:$A$304,0))),"编号没找到"))</f>
        <v>多</v>
      </c>
      <c r="D8" s="47" t="n">
        <v>4700.2</v>
      </c>
      <c r="E8" s="49" t="n">
        <v>0.0002</v>
      </c>
      <c r="F8" s="50">
        <f>IF(ISNUMBER(G8),G8,IF(AND(ISNUMBER(D8),ISNUMBER(E8),OR(C8="多",C8="空")),-IF(C8="空",-1,1)*D8*E8,""))</f>
        <v>-0.94004</v>
      </c>
      <c r="G8" s="51" t="n"/>
      <c r="H8" s="30" t="n"/>
    </row>
    <row r="9">
      <c r="A9" s="48" t="n">
        <v>47668</v>
      </c>
      <c r="B9" s="24" t="n">
        <v>2</v>
      </c>
      <c r="C9" s="40" t="str">
        <f>IF(B9="","",IFERROR(T(INDEX('例-交易记录'!$F$5:$F$304,MATCH(B9,'例-交易记录'!$A$5:$A$304,0))),"编号没找到"))</f>
        <v>多</v>
      </c>
      <c r="D9" s="47" t="n">
        <v>4720</v>
      </c>
      <c r="E9" s="49" t="n">
        <v>0.0001</v>
      </c>
      <c r="F9" s="50">
        <f>IF(ISNUMBER(G9),G9,IF(AND(ISNUMBER(D9),ISNUMBER(E9),OR(C9="多",C9="空")),-IF(C9="空",-1,1)*D9*E9,""))</f>
        <v>-0.472</v>
      </c>
      <c r="G9" s="51" t="n"/>
      <c r="H9" s="30" t="n"/>
    </row>
    <row r="10">
      <c r="A10" s="48" t="n">
        <v>47668</v>
      </c>
      <c r="B10" s="24" t="n">
        <v>4</v>
      </c>
      <c r="C10" s="40" t="str">
        <f>IF(B10="","",IFERROR(T(INDEX('例-交易记录'!$F$5:$F$304,MATCH(B10,'例-交易记录'!$A$5:$A$304,0))),"编号没找到"))</f>
        <v>空</v>
      </c>
      <c r="D10" s="47" t="n">
        <v>3513.6</v>
      </c>
      <c r="E10" s="49" t="n">
        <v>0.0001</v>
      </c>
      <c r="F10" s="50">
        <f>IF(ISNUMBER(G10),G10,IF(AND(ISNUMBER(D10),ISNUMBER(E10),OR(C10="多",C10="空")),-IF(C10="空",-1,1)*D10*E10,""))</f>
        <v>0.35136</v>
      </c>
      <c r="G10" s="51" t="n"/>
      <c r="H10" s="30" t="n"/>
    </row>
    <row r="11">
      <c r="A11" s="48" t="n">
        <v>47668.33333333334</v>
      </c>
      <c r="B11" s="24" t="n">
        <v>2</v>
      </c>
      <c r="C11" s="40" t="str">
        <f>IF(B11="","",IFERROR(T(INDEX('例-交易记录'!$F$5:$F$304,MATCH(B11,'例-交易记录'!$A$5:$A$304,0))),"编号没找到"))</f>
        <v>多</v>
      </c>
      <c r="D11" s="47" t="n">
        <v>4760.4</v>
      </c>
      <c r="E11" s="49" t="n">
        <v>0.0001</v>
      </c>
      <c r="F11" s="50">
        <f>IF(ISNUMBER(G11),G11,IF(AND(ISNUMBER(D11),ISNUMBER(E11),OR(C11="多",C11="空")),-IF(C11="空",-1,1)*D11*E11,""))</f>
        <v>-0.47604</v>
      </c>
      <c r="G11" s="51" t="n"/>
      <c r="H11" s="30" t="n"/>
    </row>
    <row r="12">
      <c r="A12" s="48" t="n">
        <v>47668.66666666666</v>
      </c>
      <c r="B12" s="24" t="n">
        <v>2</v>
      </c>
      <c r="C12" s="40" t="str">
        <f>IF(B12="","",IFERROR(T(INDEX('例-交易记录'!$F$5:$F$304,MATCH(B12,'例-交易记录'!$A$5:$A$304,0))),"编号没找到"))</f>
        <v>多</v>
      </c>
      <c r="D12" s="47" t="n">
        <v>4810</v>
      </c>
      <c r="E12" s="49" t="n">
        <v>-5e-05</v>
      </c>
      <c r="F12" s="50">
        <f>IF(ISNUMBER(G12),G12,IF(AND(ISNUMBER(D12),ISNUMBER(E12),OR(C12="多",C12="空")),-IF(C12="空",-1,1)*D12*E12,""))</f>
        <v>0.2405</v>
      </c>
      <c r="G12" s="51" t="n"/>
      <c r="H12" s="30" t="n"/>
    </row>
    <row r="13">
      <c r="A13" s="48" t="n">
        <v>47669</v>
      </c>
      <c r="B13" s="24" t="n">
        <v>2</v>
      </c>
      <c r="C13" s="40" t="str">
        <f>IF(B13="","",IFERROR(T(INDEX('例-交易记录'!$F$5:$F$304,MATCH(B13,'例-交易记录'!$A$5:$A$304,0))),"编号没找到"))</f>
        <v>多</v>
      </c>
      <c r="D13" s="47" t="n">
        <v>4850.6</v>
      </c>
      <c r="E13" s="49" t="n">
        <v>0.0001</v>
      </c>
      <c r="F13" s="50">
        <f>IF(ISNUMBER(G13),G13,IF(AND(ISNUMBER(D13),ISNUMBER(E13),OR(C13="多",C13="空")),-IF(C13="空",-1,1)*D13*E13,""))</f>
        <v>-0.48506</v>
      </c>
      <c r="G13" s="51" t="n"/>
      <c r="H13" s="30" t="n"/>
    </row>
    <row r="14">
      <c r="A14" s="48" t="n">
        <v>47670</v>
      </c>
      <c r="B14" s="24" t="n">
        <v>5</v>
      </c>
      <c r="C14" s="40" t="str">
        <f>IF(B14="","",IFERROR(T(INDEX('例-交易记录'!$F$5:$F$304,MATCH(B14,'例-交易记录'!$A$5:$A$304,0))),"编号没找到"))</f>
        <v>多</v>
      </c>
      <c r="D14" s="47" t="n">
        <v>3240</v>
      </c>
      <c r="E14" s="49" t="n">
        <v>0.0001</v>
      </c>
      <c r="F14" s="50">
        <f>IF(ISNUMBER(G14),G14,IF(AND(ISNUMBER(D14),ISNUMBER(E14),OR(C14="多",C14="空")),-IF(C14="空",-1,1)*D14*E14,""))</f>
        <v>-0.324</v>
      </c>
      <c r="G14" s="51" t="n"/>
      <c r="H14" s="30" t="n"/>
    </row>
    <row r="15">
      <c r="A15" s="48" t="n">
        <v>47672</v>
      </c>
      <c r="B15" s="24" t="n">
        <v>7</v>
      </c>
      <c r="C15" s="40" t="str">
        <f>IF(B15="","",IFERROR(T(INDEX('例-交易记录'!$F$5:$F$304,MATCH(B15,'例-交易记录'!$A$5:$A$304,0))),"编号没找到"))</f>
        <v>空</v>
      </c>
      <c r="D15" s="47" t="n">
        <v>5080</v>
      </c>
      <c r="E15" s="49" t="n">
        <v>-0.0001</v>
      </c>
      <c r="F15" s="50">
        <f>IF(ISNUMBER(G15),G15,IF(AND(ISNUMBER(D15),ISNUMBER(E15),OR(C15="多",C15="空")),-IF(C15="空",-1,1)*D15*E15,""))</f>
        <v>-0.508</v>
      </c>
      <c r="G15" s="51" t="n"/>
      <c r="H15" s="30" t="n"/>
    </row>
    <row r="16">
      <c r="A16" s="48" t="n">
        <v>47672.33333333334</v>
      </c>
      <c r="B16" s="24" t="n">
        <v>7</v>
      </c>
      <c r="C16" s="40" t="str">
        <f>IF(B16="","",IFERROR(T(INDEX('例-交易记录'!$F$5:$F$304,MATCH(B16,'例-交易记录'!$A$5:$A$304,0))),"编号没找到"))</f>
        <v>空</v>
      </c>
      <c r="D16" s="47" t="n">
        <v>5130</v>
      </c>
      <c r="E16" s="49" t="n">
        <v>-0.0002</v>
      </c>
      <c r="F16" s="50">
        <f>IF(ISNUMBER(G16),G16,IF(AND(ISNUMBER(D16),ISNUMBER(E16),OR(C16="多",C16="空")),-IF(C16="空",-1,1)*D16*E16,""))</f>
        <v>-1.05</v>
      </c>
      <c r="G16" s="51" t="n">
        <v>-1.05</v>
      </c>
      <c r="H16" s="30" t="n"/>
    </row>
    <row r="17">
      <c r="A17" s="48" t="n">
        <v>47672.66666666666</v>
      </c>
      <c r="B17" s="24" t="n">
        <v>7</v>
      </c>
      <c r="C17" s="40" t="str">
        <f>IF(B17="","",IFERROR(T(INDEX('例-交易记录'!$F$5:$F$304,MATCH(B17,'例-交易记录'!$A$5:$A$304,0))),"编号没找到"))</f>
        <v>空</v>
      </c>
      <c r="D17" s="47" t="n">
        <v>5200</v>
      </c>
      <c r="E17" s="49" t="n">
        <v>-0.0001</v>
      </c>
      <c r="F17" s="50">
        <f>IF(ISNUMBER(G17),G17,IF(AND(ISNUMBER(D17),ISNUMBER(E17),OR(C17="多",C17="空")),-IF(C17="空",-1,1)*D17*E17,""))</f>
        <v>-0.52</v>
      </c>
      <c r="G17" s="51" t="n"/>
      <c r="H17" s="30" t="n"/>
    </row>
    <row r="18">
      <c r="A18" s="48" t="n"/>
      <c r="B18" s="24" t="n"/>
      <c r="C18" s="40" t="str">
        <f>IF(B18="","",IFERROR(T(INDEX('例-交易记录'!$F$5:$F$304,MATCH(B18,'例-交易记录'!$A$5:$A$304,0))),"编号没找到"))</f>
        <v/>
      </c>
      <c r="D18" s="47" t="n"/>
      <c r="E18" s="49" t="n"/>
      <c r="F18" s="50" t="str">
        <f>IF(ISNUMBER(G18),G18,IF(AND(ISNUMBER(D18),ISNUMBER(E18),OR(C18="多",C18="空")),-IF(C18="空",-1,1)*D18*E18,""))</f>
        <v/>
      </c>
      <c r="G18" s="51" t="n"/>
      <c r="H18" s="30" t="n"/>
    </row>
    <row r="19">
      <c r="A19" s="48" t="n"/>
      <c r="B19" s="24" t="n"/>
      <c r="C19" s="40" t="str">
        <f>IF(B19="","",IFERROR(T(INDEX('例-交易记录'!$F$5:$F$304,MATCH(B19,'例-交易记录'!$A$5:$A$304,0))),"编号没找到"))</f>
        <v/>
      </c>
      <c r="D19" s="47" t="n"/>
      <c r="E19" s="49" t="n"/>
      <c r="F19" s="50" t="str">
        <f>IF(ISNUMBER(G19),G19,IF(AND(ISNUMBER(D19),ISNUMBER(E19),OR(C19="多",C19="空")),-IF(C19="空",-1,1)*D19*E19,""))</f>
        <v/>
      </c>
      <c r="G19" s="51" t="n"/>
      <c r="H19" s="30" t="n"/>
    </row>
    <row r="20">
      <c r="A20" s="48" t="n"/>
      <c r="B20" s="24" t="n"/>
      <c r="C20" s="40" t="str">
        <f>IF(B20="","",IFERROR(T(INDEX('例-交易记录'!$F$5:$F$304,MATCH(B20,'例-交易记录'!$A$5:$A$304,0))),"编号没找到"))</f>
        <v/>
      </c>
      <c r="D20" s="47" t="n"/>
      <c r="E20" s="49" t="n"/>
      <c r="F20" s="50" t="str">
        <f>IF(ISNUMBER(G20),G20,IF(AND(ISNUMBER(D20),ISNUMBER(E20),OR(C20="多",C20="空")),-IF(C20="空",-1,1)*D20*E20,""))</f>
        <v/>
      </c>
      <c r="G20" s="51" t="n"/>
      <c r="H20" s="30" t="n"/>
    </row>
    <row r="21">
      <c r="A21" s="48" t="n"/>
      <c r="B21" s="24" t="n"/>
      <c r="C21" s="40" t="str">
        <f>IF(B21="","",IFERROR(T(INDEX('例-交易记录'!$F$5:$F$304,MATCH(B21,'例-交易记录'!$A$5:$A$304,0))),"编号没找到"))</f>
        <v/>
      </c>
      <c r="D21" s="47" t="n"/>
      <c r="E21" s="49" t="n"/>
      <c r="F21" s="50" t="str">
        <f>IF(ISNUMBER(G21),G21,IF(AND(ISNUMBER(D21),ISNUMBER(E21),OR(C21="多",C21="空")),-IF(C21="空",-1,1)*D21*E21,""))</f>
        <v/>
      </c>
      <c r="G21" s="51" t="n"/>
      <c r="H21" s="30" t="n"/>
    </row>
    <row r="22">
      <c r="A22" s="48" t="n"/>
      <c r="B22" s="24" t="n"/>
      <c r="C22" s="40" t="str">
        <f>IF(B22="","",IFERROR(T(INDEX('例-交易记录'!$F$5:$F$304,MATCH(B22,'例-交易记录'!$A$5:$A$304,0))),"编号没找到"))</f>
        <v/>
      </c>
      <c r="D22" s="47" t="n"/>
      <c r="E22" s="49" t="n"/>
      <c r="F22" s="50" t="str">
        <f>IF(ISNUMBER(G22),G22,IF(AND(ISNUMBER(D22),ISNUMBER(E22),OR(C22="多",C22="空")),-IF(C22="空",-1,1)*D22*E22,""))</f>
        <v/>
      </c>
      <c r="G22" s="51" t="n"/>
      <c r="H22" s="30" t="n"/>
    </row>
    <row r="23">
      <c r="A23" s="48" t="n"/>
      <c r="B23" s="24" t="n"/>
      <c r="C23" s="40" t="str">
        <f>IF(B23="","",IFERROR(T(INDEX('例-交易记录'!$F$5:$F$304,MATCH(B23,'例-交易记录'!$A$5:$A$304,0))),"编号没找到"))</f>
        <v/>
      </c>
      <c r="D23" s="47" t="n"/>
      <c r="E23" s="49" t="n"/>
      <c r="F23" s="50" t="str">
        <f>IF(ISNUMBER(G23),G23,IF(AND(ISNUMBER(D23),ISNUMBER(E23),OR(C23="多",C23="空")),-IF(C23="空",-1,1)*D23*E23,""))</f>
        <v/>
      </c>
      <c r="G23" s="51" t="n"/>
      <c r="H23" s="30" t="n"/>
    </row>
    <row r="24">
      <c r="A24" s="48" t="n"/>
      <c r="B24" s="24" t="n"/>
      <c r="C24" s="40" t="str">
        <f>IF(B24="","",IFERROR(T(INDEX('例-交易记录'!$F$5:$F$304,MATCH(B24,'例-交易记录'!$A$5:$A$304,0))),"编号没找到"))</f>
        <v/>
      </c>
      <c r="D24" s="47" t="n"/>
      <c r="E24" s="49" t="n"/>
      <c r="F24" s="50" t="str">
        <f>IF(ISNUMBER(G24),G24,IF(AND(ISNUMBER(D24),ISNUMBER(E24),OR(C24="多",C24="空")),-IF(C24="空",-1,1)*D24*E24,""))</f>
        <v/>
      </c>
      <c r="G24" s="51" t="n"/>
      <c r="H24" s="30" t="n"/>
    </row>
    <row r="25">
      <c r="A25" s="48" t="n"/>
      <c r="B25" s="24" t="n"/>
      <c r="C25" s="40" t="str">
        <f>IF(B25="","",IFERROR(T(INDEX('例-交易记录'!$F$5:$F$304,MATCH(B25,'例-交易记录'!$A$5:$A$304,0))),"编号没找到"))</f>
        <v/>
      </c>
      <c r="D25" s="47" t="n"/>
      <c r="E25" s="49" t="n"/>
      <c r="F25" s="50" t="str">
        <f>IF(ISNUMBER(G25),G25,IF(AND(ISNUMBER(D25),ISNUMBER(E25),OR(C25="多",C25="空")),-IF(C25="空",-1,1)*D25*E25,""))</f>
        <v/>
      </c>
      <c r="G25" s="51" t="n"/>
      <c r="H25" s="30" t="n"/>
    </row>
    <row r="26">
      <c r="A26" s="48" t="n"/>
      <c r="B26" s="24" t="n"/>
      <c r="C26" s="40" t="str">
        <f>IF(B26="","",IFERROR(T(INDEX('例-交易记录'!$F$5:$F$304,MATCH(B26,'例-交易记录'!$A$5:$A$304,0))),"编号没找到"))</f>
        <v/>
      </c>
      <c r="D26" s="47" t="n"/>
      <c r="E26" s="49" t="n"/>
      <c r="F26" s="50" t="str">
        <f>IF(ISNUMBER(G26),G26,IF(AND(ISNUMBER(D26),ISNUMBER(E26),OR(C26="多",C26="空")),-IF(C26="空",-1,1)*D26*E26,""))</f>
        <v/>
      </c>
      <c r="G26" s="51" t="n"/>
      <c r="H26" s="30" t="n"/>
    </row>
    <row r="27">
      <c r="A27" s="48" t="n"/>
      <c r="B27" s="24" t="n"/>
      <c r="C27" s="40" t="str">
        <f>IF(B27="","",IFERROR(T(INDEX('例-交易记录'!$F$5:$F$304,MATCH(B27,'例-交易记录'!$A$5:$A$304,0))),"编号没找到"))</f>
        <v/>
      </c>
      <c r="D27" s="47" t="n"/>
      <c r="E27" s="49" t="n"/>
      <c r="F27" s="50" t="str">
        <f>IF(ISNUMBER(G27),G27,IF(AND(ISNUMBER(D27),ISNUMBER(E27),OR(C27="多",C27="空")),-IF(C27="空",-1,1)*D27*E27,""))</f>
        <v/>
      </c>
      <c r="G27" s="51" t="n"/>
      <c r="H27" s="30" t="n"/>
    </row>
  </sheetData>
  <mergeCells count="5">
    <mergeCell ref="F3:G3"/>
    <mergeCell ref="A2:H2"/>
    <mergeCell ref="F1:H1"/>
    <mergeCell ref="A1:E1"/>
    <mergeCell ref="A3:E3"/>
  </mergeCells>
  <conditionalFormatting sqref="F5:G2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5:C27">
    <cfRule type="cellIs" priority="3" operator="equal" dxfId="3">
      <formula>"编号没找到"</formula>
    </cfRule>
  </conditionalFormatting>
  <dataValidations count="1">
    <dataValidation sqref="B5:B27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K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示例 · 每日记录：没交易的日子也写一行</t>
        </is>
      </c>
      <c r="I1" s="14" t="inlineStr">
        <is>
          <t>TradeLearn · XtradingTime 交易内训</t>
        </is>
      </c>
    </row>
    <row r="2" ht="20" customHeight="1">
      <c r="A2" s="63" t="inlineStr">
        <is>
          <t>虚构示例，仅演示填法：日期和数字全部虚构。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今天做了什么</t>
        </is>
      </c>
      <c r="D4" s="25" t="inlineStr">
        <is>
          <t>看到几次机会</t>
        </is>
      </c>
      <c r="E4" s="25" t="inlineStr">
        <is>
          <t>下了几笔（自动）</t>
        </is>
      </c>
      <c r="F4" s="25" t="inlineStr">
        <is>
          <t>没做的原因（一句话）</t>
        </is>
      </c>
      <c r="G4" s="25" t="inlineStr">
        <is>
          <t>状态 1～5</t>
        </is>
      </c>
      <c r="H4" s="25" t="inlineStr">
        <is>
          <t>当日平仓净R</t>
        </is>
      </c>
      <c r="I4" s="25" t="inlineStr">
        <is>
          <t>停手线</t>
        </is>
      </c>
      <c r="J4" s="25" t="inlineStr">
        <is>
          <t>明天的条件（写成能检查的话）</t>
        </is>
      </c>
      <c r="K4" s="25" t="inlineStr">
        <is>
          <t>备注</t>
        </is>
      </c>
    </row>
    <row r="5" ht="18" customHeight="1">
      <c r="A5" s="29" t="n">
        <v>47665</v>
      </c>
      <c r="B5" s="38" t="str">
        <f>IF(ISNUMBER(A5),"周"&amp;CHOOSE(WEEKDAY(A5,2),"一","二","三","四","五","六","日"),"")</f>
        <v>周一</v>
      </c>
      <c r="C5" s="31" t="inlineStr">
        <is>
          <t>有成交</t>
        </is>
      </c>
      <c r="D5" s="24" t="n">
        <v>2</v>
      </c>
      <c r="E5" s="52">
        <f>IF(ISNUMBER(A5),COUNTIFS('例-交易记录'!$B$5:$B$304,A5,'例-交易记录'!$X$5:$X$304,"已执行"),"")</f>
        <v>1</v>
      </c>
      <c r="F5" s="30" t="inlineStr"/>
      <c r="G5" s="24" t="n">
        <v>4</v>
      </c>
      <c r="H5" s="53" t="str">
        <f>IF(NOT(ISNUMBER(A5)),"",IF(COUNTIFS('例-交易记录'!$Z$5:$Z$304,A5,'例-交易记录'!$AF$5:$AF$304,"已平仓")=0,"",SUMIFS('例-交易记录'!$AK$5:$AK$304,'例-交易记录'!$Z$5:$Z$304,A5,'例-交易记录'!$AF$5:$AF$304,"已平仓")))</f>
        <v/>
      </c>
      <c r="I5" s="38" t="str">
        <f>IF(NOT(ISNUMBER(H5)),"",IF(H5&lt;=-'参数'!$C$8,"触及停手线",""))</f>
        <v/>
      </c>
      <c r="J5" s="30" t="inlineStr">
        <is>
          <t>币B 回踩 2000 附近才做多</t>
        </is>
      </c>
      <c r="K5" s="30" t="n"/>
    </row>
    <row r="6" ht="18" customHeight="1">
      <c r="A6" s="29" t="n">
        <v>47666</v>
      </c>
      <c r="B6" s="38" t="str">
        <f>IF(ISNUMBER(A6),"周"&amp;CHOOSE(WEEKDAY(A6,2),"一","二","三","四","五","六","日"),"")</f>
        <v>周二</v>
      </c>
      <c r="C6" s="31" t="inlineStr">
        <is>
          <t>有成交</t>
        </is>
      </c>
      <c r="D6" s="24" t="n">
        <v>1</v>
      </c>
      <c r="E6" s="52">
        <f>IF(ISNUMBER(A6),COUNTIFS('例-交易记录'!$B$5:$B$304,A6,'例-交易记录'!$X$5:$X$304,"已执行"),"")</f>
        <v>1</v>
      </c>
      <c r="F6" s="30" t="inlineStr"/>
      <c r="G6" s="24" t="n">
        <v>4</v>
      </c>
      <c r="H6" s="53" t="str">
        <f>IF(NOT(ISNUMBER(A6)),"",IF(COUNTIFS('例-交易记录'!$Z$5:$Z$304,A6,'例-交易记录'!$AF$5:$AF$304,"已平仓")=0,"",SUMIFS('例-交易记录'!$AK$5:$AK$304,'例-交易记录'!$Z$5:$Z$304,A6,'例-交易记录'!$AF$5:$AF$304,"已平仓")))</f>
        <v/>
      </c>
      <c r="I6" s="38" t="str">
        <f>IF(NOT(ISNUMBER(H6)),"",IF(H6&lt;=-'参数'!$C$8,"触及停手线",""))</f>
        <v/>
      </c>
      <c r="J6" s="30" t="inlineStr">
        <is>
          <t>合约单先看强平价在不在止损外</t>
        </is>
      </c>
      <c r="K6" s="30" t="n"/>
    </row>
    <row r="7" ht="18" customHeight="1">
      <c r="A7" s="29" t="n">
        <v>47667</v>
      </c>
      <c r="B7" s="38" t="str">
        <f>IF(ISNUMBER(A7),"周"&amp;CHOOSE(WEEKDAY(A7,2),"一","二","三","四","五","六","日"),"")</f>
        <v>周三</v>
      </c>
      <c r="C7" s="31" t="inlineStr">
        <is>
          <t>有成交</t>
        </is>
      </c>
      <c r="D7" s="24" t="n">
        <v>2</v>
      </c>
      <c r="E7" s="52">
        <f>IF(ISNUMBER(A7),COUNTIFS('例-交易记录'!$B$5:$B$304,A7,'例-交易记录'!$X$5:$X$304,"已执行"),"")</f>
        <v>1</v>
      </c>
      <c r="F7" s="30" t="inlineStr">
        <is>
          <t>20 倍那笔强平太近，放弃</t>
        </is>
      </c>
      <c r="G7" s="24" t="n">
        <v>3</v>
      </c>
      <c r="H7" s="53" t="str">
        <f>IF(NOT(ISNUMBER(A7)),"",IF(COUNTIFS('例-交易记录'!$Z$5:$Z$304,A7,'例-交易记录'!$AF$5:$AF$304,"已平仓")=0,"",SUMIFS('例-交易记录'!$AK$5:$AK$304,'例-交易记录'!$Z$5:$Z$304,A7,'例-交易记录'!$AF$5:$AF$304,"已平仓")))</f>
        <v/>
      </c>
      <c r="I7" s="38" t="str">
        <f>IF(NOT(ISNUMBER(H7)),"",IF(H7&lt;=-'参数'!$C$8,"触及停手线",""))</f>
        <v/>
      </c>
      <c r="J7" s="30" t="inlineStr">
        <is>
          <t>杠杆最多 10 倍</t>
        </is>
      </c>
      <c r="K7" s="30" t="n"/>
    </row>
    <row r="8" ht="18" customHeight="1">
      <c r="A8" s="29" t="n">
        <v>47668</v>
      </c>
      <c r="B8" s="38" t="str">
        <f>IF(ISNUMBER(A8),"周"&amp;CHOOSE(WEEKDAY(A8,2),"一","二","三","四","五","六","日"),"")</f>
        <v>周四</v>
      </c>
      <c r="C8" s="31" t="inlineStr">
        <is>
          <t>有成交</t>
        </is>
      </c>
      <c r="D8" s="24" t="n">
        <v>1</v>
      </c>
      <c r="E8" s="52">
        <f>IF(ISNUMBER(A8),COUNTIFS('例-交易记录'!$B$5:$B$304,A8,'例-交易记录'!$X$5:$X$304,"已执行"),"")</f>
        <v>0</v>
      </c>
      <c r="F8" s="30" t="inlineStr"/>
      <c r="G8" s="24" t="n">
        <v>3</v>
      </c>
      <c r="H8" s="53">
        <f>IF(NOT(ISNUMBER(A8)),"",IF(COUNTIFS('例-交易记录'!$Z$5:$Z$304,A8,'例-交易记录'!$AF$5:$AF$304,"已平仓")=0,"",SUMIFS('例-交易记录'!$AK$5:$AK$304,'例-交易记录'!$Z$5:$Z$304,A8,'例-交易记录'!$AF$5:$AF$304,"已平仓")))</f>
        <v>1.66830256410256</v>
      </c>
      <c r="I8" s="38" t="str">
        <f>IF(NOT(ISNUMBER(H8)),"",IF(H8&lt;=-'参数'!$C$8,"触及停手线",""))</f>
        <v/>
      </c>
      <c r="J8" s="30" t="inlineStr">
        <is>
          <t>止损被打，正常</t>
        </is>
      </c>
      <c r="K8" s="30" t="n"/>
    </row>
    <row r="9" ht="18" customHeight="1">
      <c r="A9" s="29" t="n">
        <v>47669</v>
      </c>
      <c r="B9" s="38" t="str">
        <f>IF(ISNUMBER(A9),"周"&amp;CHOOSE(WEEKDAY(A9,2),"一","二","三","四","五","六","日"),"")</f>
        <v>周五</v>
      </c>
      <c r="C9" s="31" t="inlineStr">
        <is>
          <t>有成交</t>
        </is>
      </c>
      <c r="D9" s="24" t="n">
        <v>2</v>
      </c>
      <c r="E9" s="52">
        <f>IF(ISNUMBER(A9),COUNTIFS('例-交易记录'!$B$5:$B$304,A9,'例-交易记录'!$X$5:$X$304,"已执行"),"")</f>
        <v>1</v>
      </c>
      <c r="F9" s="30" t="inlineStr">
        <is>
          <t>追了一笔</t>
        </is>
      </c>
      <c r="G9" s="24" t="n">
        <v>3</v>
      </c>
      <c r="H9" s="53">
        <f>IF(NOT(ISNUMBER(A9)),"",IF(COUNTIFS('例-交易记录'!$Z$5:$Z$304,A9,'例-交易记录'!$AF$5:$AF$304,"已平仓")=0,"",SUMIFS('例-交易记录'!$AK$5:$AK$304,'例-交易记录'!$Z$5:$Z$304,A9,'例-交易记录'!$AF$5:$AF$304,"已平仓")))</f>
        <v>2.84862016304348</v>
      </c>
      <c r="I9" s="38" t="str">
        <f>IF(NOT(ISNUMBER(H9)),"",IF(H9&lt;=-'参数'!$C$8,"触及停手线",""))</f>
        <v/>
      </c>
      <c r="J9" s="30" t="inlineStr">
        <is>
          <t>追价上限写进计划</t>
        </is>
      </c>
      <c r="K9" s="30" t="n"/>
    </row>
    <row r="10" ht="18" customHeight="1">
      <c r="A10" s="29" t="n">
        <v>47670</v>
      </c>
      <c r="B10" s="38" t="str">
        <f>IF(ISNUMBER(A10),"周"&amp;CHOOSE(WEEKDAY(A10,2),"一","二","三","四","五","六","日"),"")</f>
        <v>周六</v>
      </c>
      <c r="C10" s="31" t="inlineStr">
        <is>
          <t>挂单没成交</t>
        </is>
      </c>
      <c r="D10" s="24" t="n">
        <v>1</v>
      </c>
      <c r="E10" s="52">
        <f>IF(ISNUMBER(A10),COUNTIFS('例-交易记录'!$B$5:$B$304,A10,'例-交易记录'!$X$5:$X$304,"已执行"),"")</f>
        <v>0</v>
      </c>
      <c r="F10" s="30" t="inlineStr">
        <is>
          <t>回踩没到价</t>
        </is>
      </c>
      <c r="G10" s="24" t="n">
        <v>4</v>
      </c>
      <c r="H10" s="53">
        <f>IF(NOT(ISNUMBER(A10)),"",IF(COUNTIFS('例-交易记录'!$Z$5:$Z$304,A10,'例-交易记录'!$AF$5:$AF$304,"已平仓")=0,"",SUMIFS('例-交易记录'!$AK$5:$AK$304,'例-交易记录'!$Z$5:$Z$304,A10,'例-交易记录'!$AF$5:$AF$304,"已平仓")))</f>
        <v>1.456675</v>
      </c>
      <c r="I10" s="38" t="str">
        <f>IF(NOT(ISNUMBER(H10)),"",IF(H10&lt;=-'参数'!$C$8,"触及停手线",""))</f>
        <v/>
      </c>
      <c r="J10" s="30" t="inlineStr">
        <is>
          <t>不追</t>
        </is>
      </c>
      <c r="K10" s="30" t="n"/>
    </row>
    <row r="11" ht="18" customHeight="1">
      <c r="A11" s="29" t="n">
        <v>47671</v>
      </c>
      <c r="B11" s="38" t="str">
        <f>IF(ISNUMBER(A11),"周"&amp;CHOOSE(WEEKDAY(A11,2),"一","二","三","四","五","六","日"),"")</f>
        <v>周日</v>
      </c>
      <c r="C11" s="31" t="inlineStr">
        <is>
          <t>有成交</t>
        </is>
      </c>
      <c r="D11" s="24" t="n">
        <v>1</v>
      </c>
      <c r="E11" s="52">
        <f>IF(ISNUMBER(A11),COUNTIFS('例-交易记录'!$B$5:$B$304,A11,'例-交易记录'!$X$5:$X$304,"已执行"),"")</f>
        <v>1</v>
      </c>
      <c r="F11" s="30" t="inlineStr"/>
      <c r="G11" s="24" t="n">
        <v>2</v>
      </c>
      <c r="H11" s="53" t="str">
        <f>IF(NOT(ISNUMBER(A11)),"",IF(COUNTIFS('例-交易记录'!$Z$5:$Z$304,A11,'例-交易记录'!$AF$5:$AF$304,"已平仓")=0,"",SUMIFS('例-交易记录'!$AK$5:$AK$304,'例-交易记录'!$Z$5:$Z$304,A11,'例-交易记录'!$AF$5:$AF$304,"已平仓")))</f>
        <v/>
      </c>
      <c r="I11" s="38" t="str">
        <f>IF(NOT(ISNUMBER(H11)),"",IF(H11&lt;=-'参数'!$C$8,"触及停手线",""))</f>
        <v/>
      </c>
      <c r="J11" s="30" t="inlineStr">
        <is>
          <t>空单止损挂在系统里</t>
        </is>
      </c>
      <c r="K11" s="30" t="n"/>
    </row>
    <row r="12" ht="18" customHeight="1">
      <c r="A12" s="29" t="n">
        <v>47672</v>
      </c>
      <c r="B12" s="38" t="str">
        <f>IF(ISNUMBER(A12),"周"&amp;CHOOSE(WEEKDAY(A12,2),"一","二","三","四","五","六","日"),"")</f>
        <v>周一</v>
      </c>
      <c r="C12" s="31" t="inlineStr">
        <is>
          <t>有成交</t>
        </is>
      </c>
      <c r="D12" s="24" t="n">
        <v>1</v>
      </c>
      <c r="E12" s="52">
        <f>IF(ISNUMBER(A12),COUNTIFS('例-交易记录'!$B$5:$B$304,A12,'例-交易记录'!$X$5:$X$304,"已执行"),"")</f>
        <v>1</v>
      </c>
      <c r="F12" s="30" t="inlineStr">
        <is>
          <t>扛单亏大了</t>
        </is>
      </c>
      <c r="G12" s="24" t="n">
        <v>2</v>
      </c>
      <c r="H12" s="53">
        <f>IF(NOT(ISNUMBER(A12)),"",IF(COUNTIFS('例-交易记录'!$Z$5:$Z$304,A12,'例-交易记录'!$AF$5:$AF$304,"已平仓")=0,"",SUMIFS('例-交易记录'!$AK$5:$AK$304,'例-交易记录'!$Z$5:$Z$304,A12,'例-交易记录'!$AF$5:$AF$304,"已平仓")))</f>
        <v>-2.3537</v>
      </c>
      <c r="I12" s="38" t="str">
        <f>IF(NOT(ISNUMBER(H12)),"",IF(H12&lt;=-'参数'!$C$8,"触及停手线",""))</f>
        <v/>
      </c>
      <c r="J12" s="30" t="inlineStr">
        <is>
          <t>明天只看不做</t>
        </is>
      </c>
      <c r="K12" s="30" t="n"/>
    </row>
    <row r="13">
      <c r="A13" s="29" t="n"/>
      <c r="B13" s="38" t="str">
        <f>IF(ISNUMBER(A13),"周"&amp;CHOOSE(WEEKDAY(A13,2),"一","二","三","四","五","六","日"),"")</f>
        <v/>
      </c>
      <c r="C13" s="31" t="n"/>
      <c r="D13" s="24" t="n"/>
      <c r="E13" s="52" t="str">
        <f>IF(ISNUMBER(A13),COUNTIFS('例-交易记录'!$B$5:$B$304,A13,'例-交易记录'!$X$5:$X$304,"已执行"),"")</f>
        <v/>
      </c>
      <c r="F13" s="30" t="n"/>
      <c r="G13" s="24" t="n"/>
      <c r="H13" s="53" t="str">
        <f>IF(NOT(ISNUMBER(A13)),"",IF(COUNTIFS('例-交易记录'!$Z$5:$Z$304,A13,'例-交易记录'!$AF$5:$AF$304,"已平仓")=0,"",SUMIFS('例-交易记录'!$AK$5:$AK$304,'例-交易记录'!$Z$5:$Z$304,A13,'例-交易记录'!$AF$5:$AF$304,"已平仓")))</f>
        <v/>
      </c>
      <c r="I13" s="38" t="str">
        <f>IF(NOT(ISNUMBER(H13)),"",IF(H13&lt;=-'参数'!$C$8,"触及停手线",""))</f>
        <v/>
      </c>
      <c r="J13" s="30" t="n"/>
      <c r="K13" s="30" t="n"/>
    </row>
    <row r="14">
      <c r="A14" s="29" t="n"/>
      <c r="B14" s="38" t="str">
        <f>IF(ISNUMBER(A14),"周"&amp;CHOOSE(WEEKDAY(A14,2),"一","二","三","四","五","六","日"),"")</f>
        <v/>
      </c>
      <c r="C14" s="31" t="n"/>
      <c r="D14" s="24" t="n"/>
      <c r="E14" s="52" t="str">
        <f>IF(ISNUMBER(A14),COUNTIFS('例-交易记录'!$B$5:$B$304,A14,'例-交易记录'!$X$5:$X$304,"已执行"),"")</f>
        <v/>
      </c>
      <c r="F14" s="30" t="n"/>
      <c r="G14" s="24" t="n"/>
      <c r="H14" s="53" t="str">
        <f>IF(NOT(ISNUMBER(A14)),"",IF(COUNTIFS('例-交易记录'!$Z$5:$Z$304,A14,'例-交易记录'!$AF$5:$AF$304,"已平仓")=0,"",SUMIFS('例-交易记录'!$AK$5:$AK$304,'例-交易记录'!$Z$5:$Z$304,A14,'例-交易记录'!$AF$5:$AF$304,"已平仓")))</f>
        <v/>
      </c>
      <c r="I14" s="38" t="str">
        <f>IF(NOT(ISNUMBER(H14)),"",IF(H14&lt;=-'参数'!$C$8,"触及停手线",""))</f>
        <v/>
      </c>
      <c r="J14" s="30" t="n"/>
      <c r="K14" s="30" t="n"/>
    </row>
    <row r="15">
      <c r="A15" s="29" t="n"/>
      <c r="B15" s="38" t="str">
        <f>IF(ISNUMBER(A15),"周"&amp;CHOOSE(WEEKDAY(A15,2),"一","二","三","四","五","六","日"),"")</f>
        <v/>
      </c>
      <c r="C15" s="31" t="n"/>
      <c r="D15" s="24" t="n"/>
      <c r="E15" s="52" t="str">
        <f>IF(ISNUMBER(A15),COUNTIFS('例-交易记录'!$B$5:$B$304,A15,'例-交易记录'!$X$5:$X$304,"已执行"),"")</f>
        <v/>
      </c>
      <c r="F15" s="30" t="n"/>
      <c r="G15" s="24" t="n"/>
      <c r="H15" s="53" t="str">
        <f>IF(NOT(ISNUMBER(A15)),"",IF(COUNTIFS('例-交易记录'!$Z$5:$Z$304,A15,'例-交易记录'!$AF$5:$AF$304,"已平仓")=0,"",SUMIFS('例-交易记录'!$AK$5:$AK$304,'例-交易记录'!$Z$5:$Z$304,A15,'例-交易记录'!$AF$5:$AF$304,"已平仓")))</f>
        <v/>
      </c>
      <c r="I15" s="38" t="str">
        <f>IF(NOT(ISNUMBER(H15)),"",IF(H15&lt;=-'参数'!$C$8,"触及停手线",""))</f>
        <v/>
      </c>
      <c r="J15" s="30" t="n"/>
      <c r="K15" s="30" t="n"/>
    </row>
    <row r="16">
      <c r="A16" s="29" t="n"/>
      <c r="B16" s="38" t="str">
        <f>IF(ISNUMBER(A16),"周"&amp;CHOOSE(WEEKDAY(A16,2),"一","二","三","四","五","六","日"),"")</f>
        <v/>
      </c>
      <c r="C16" s="31" t="n"/>
      <c r="D16" s="24" t="n"/>
      <c r="E16" s="52" t="str">
        <f>IF(ISNUMBER(A16),COUNTIFS('例-交易记录'!$B$5:$B$304,A16,'例-交易记录'!$X$5:$X$304,"已执行"),"")</f>
        <v/>
      </c>
      <c r="F16" s="30" t="n"/>
      <c r="G16" s="24" t="n"/>
      <c r="H16" s="53" t="str">
        <f>IF(NOT(ISNUMBER(A16)),"",IF(COUNTIFS('例-交易记录'!$Z$5:$Z$304,A16,'例-交易记录'!$AF$5:$AF$304,"已平仓")=0,"",SUMIFS('例-交易记录'!$AK$5:$AK$304,'例-交易记录'!$Z$5:$Z$304,A16,'例-交易记录'!$AF$5:$AF$304,"已平仓")))</f>
        <v/>
      </c>
      <c r="I16" s="38" t="str">
        <f>IF(NOT(ISNUMBER(H16)),"",IF(H16&lt;=-'参数'!$C$8,"触及停手线",""))</f>
        <v/>
      </c>
      <c r="J16" s="30" t="n"/>
      <c r="K16" s="30" t="n"/>
    </row>
    <row r="17">
      <c r="A17" s="29" t="n"/>
      <c r="B17" s="38" t="str">
        <f>IF(ISNUMBER(A17),"周"&amp;CHOOSE(WEEKDAY(A17,2),"一","二","三","四","五","六","日"),"")</f>
        <v/>
      </c>
      <c r="C17" s="31" t="n"/>
      <c r="D17" s="24" t="n"/>
      <c r="E17" s="52" t="str">
        <f>IF(ISNUMBER(A17),COUNTIFS('例-交易记录'!$B$5:$B$304,A17,'例-交易记录'!$X$5:$X$304,"已执行"),"")</f>
        <v/>
      </c>
      <c r="F17" s="30" t="n"/>
      <c r="G17" s="24" t="n"/>
      <c r="H17" s="53" t="str">
        <f>IF(NOT(ISNUMBER(A17)),"",IF(COUNTIFS('例-交易记录'!$Z$5:$Z$304,A17,'例-交易记录'!$AF$5:$AF$304,"已平仓")=0,"",SUMIFS('例-交易记录'!$AK$5:$AK$304,'例-交易记录'!$Z$5:$Z$304,A17,'例-交易记录'!$AF$5:$AF$304,"已平仓")))</f>
        <v/>
      </c>
      <c r="I17" s="38" t="str">
        <f>IF(NOT(ISNUMBER(H17)),"",IF(H17&lt;=-'参数'!$C$8,"触及停手线",""))</f>
        <v/>
      </c>
      <c r="J17" s="30" t="n"/>
      <c r="K17" s="30" t="n"/>
    </row>
    <row r="18">
      <c r="A18" s="29" t="n"/>
      <c r="B18" s="38" t="str">
        <f>IF(ISNUMBER(A18),"周"&amp;CHOOSE(WEEKDAY(A18,2),"一","二","三","四","五","六","日"),"")</f>
        <v/>
      </c>
      <c r="C18" s="31" t="n"/>
      <c r="D18" s="24" t="n"/>
      <c r="E18" s="52" t="str">
        <f>IF(ISNUMBER(A18),COUNTIFS('例-交易记录'!$B$5:$B$304,A18,'例-交易记录'!$X$5:$X$304,"已执行"),"")</f>
        <v/>
      </c>
      <c r="F18" s="30" t="n"/>
      <c r="G18" s="24" t="n"/>
      <c r="H18" s="53" t="str">
        <f>IF(NOT(ISNUMBER(A18)),"",IF(COUNTIFS('例-交易记录'!$Z$5:$Z$304,A18,'例-交易记录'!$AF$5:$AF$304,"已平仓")=0,"",SUMIFS('例-交易记录'!$AK$5:$AK$304,'例-交易记录'!$Z$5:$Z$304,A18,'例-交易记录'!$AF$5:$AF$304,"已平仓")))</f>
        <v/>
      </c>
      <c r="I18" s="38" t="str">
        <f>IF(NOT(ISNUMBER(H18)),"",IF(H18&lt;=-'参数'!$C$8,"触及停手线",""))</f>
        <v/>
      </c>
      <c r="J18" s="30" t="n"/>
      <c r="K18" s="30" t="n"/>
    </row>
    <row r="19">
      <c r="A19" s="29" t="n"/>
      <c r="B19" s="38" t="str">
        <f>IF(ISNUMBER(A19),"周"&amp;CHOOSE(WEEKDAY(A19,2),"一","二","三","四","五","六","日"),"")</f>
        <v/>
      </c>
      <c r="C19" s="31" t="n"/>
      <c r="D19" s="24" t="n"/>
      <c r="E19" s="52" t="str">
        <f>IF(ISNUMBER(A19),COUNTIFS('例-交易记录'!$B$5:$B$304,A19,'例-交易记录'!$X$5:$X$304,"已执行"),"")</f>
        <v/>
      </c>
      <c r="F19" s="30" t="n"/>
      <c r="G19" s="24" t="n"/>
      <c r="H19" s="53" t="str">
        <f>IF(NOT(ISNUMBER(A19)),"",IF(COUNTIFS('例-交易记录'!$Z$5:$Z$304,A19,'例-交易记录'!$AF$5:$AF$304,"已平仓")=0,"",SUMIFS('例-交易记录'!$AK$5:$AK$304,'例-交易记录'!$Z$5:$Z$304,A19,'例-交易记录'!$AF$5:$AF$304,"已平仓")))</f>
        <v/>
      </c>
      <c r="I19" s="38" t="str">
        <f>IF(NOT(ISNUMBER(H19)),"",IF(H19&lt;=-'参数'!$C$8,"触及停手线",""))</f>
        <v/>
      </c>
      <c r="J19" s="30" t="n"/>
      <c r="K19" s="30" t="n"/>
    </row>
    <row r="20">
      <c r="A20" s="29" t="n"/>
      <c r="B20" s="38" t="str">
        <f>IF(ISNUMBER(A20),"周"&amp;CHOOSE(WEEKDAY(A20,2),"一","二","三","四","五","六","日"),"")</f>
        <v/>
      </c>
      <c r="C20" s="31" t="n"/>
      <c r="D20" s="24" t="n"/>
      <c r="E20" s="52" t="str">
        <f>IF(ISNUMBER(A20),COUNTIFS('例-交易记录'!$B$5:$B$304,A20,'例-交易记录'!$X$5:$X$304,"已执行"),"")</f>
        <v/>
      </c>
      <c r="F20" s="30" t="n"/>
      <c r="G20" s="24" t="n"/>
      <c r="H20" s="53" t="str">
        <f>IF(NOT(ISNUMBER(A20)),"",IF(COUNTIFS('例-交易记录'!$Z$5:$Z$304,A20,'例-交易记录'!$AF$5:$AF$304,"已平仓")=0,"",SUMIFS('例-交易记录'!$AK$5:$AK$304,'例-交易记录'!$Z$5:$Z$304,A20,'例-交易记录'!$AF$5:$AF$304,"已平仓")))</f>
        <v/>
      </c>
      <c r="I20" s="38" t="str">
        <f>IF(NOT(ISNUMBER(H20)),"",IF(H20&lt;=-'参数'!$C$8,"触及停手线",""))</f>
        <v/>
      </c>
      <c r="J20" s="30" t="n"/>
      <c r="K20" s="30" t="n"/>
    </row>
    <row r="21">
      <c r="A21" s="29" t="n"/>
      <c r="B21" s="38" t="str">
        <f>IF(ISNUMBER(A21),"周"&amp;CHOOSE(WEEKDAY(A21,2),"一","二","三","四","五","六","日"),"")</f>
        <v/>
      </c>
      <c r="C21" s="31" t="n"/>
      <c r="D21" s="24" t="n"/>
      <c r="E21" s="52" t="str">
        <f>IF(ISNUMBER(A21),COUNTIFS('例-交易记录'!$B$5:$B$304,A21,'例-交易记录'!$X$5:$X$304,"已执行"),"")</f>
        <v/>
      </c>
      <c r="F21" s="30" t="n"/>
      <c r="G21" s="24" t="n"/>
      <c r="H21" s="53" t="str">
        <f>IF(NOT(ISNUMBER(A21)),"",IF(COUNTIFS('例-交易记录'!$Z$5:$Z$304,A21,'例-交易记录'!$AF$5:$AF$304,"已平仓")=0,"",SUMIFS('例-交易记录'!$AK$5:$AK$304,'例-交易记录'!$Z$5:$Z$304,A21,'例-交易记录'!$AF$5:$AF$304,"已平仓")))</f>
        <v/>
      </c>
      <c r="I21" s="38" t="str">
        <f>IF(NOT(ISNUMBER(H21)),"",IF(H21&lt;=-'参数'!$C$8,"触及停手线",""))</f>
        <v/>
      </c>
      <c r="J21" s="30" t="n"/>
      <c r="K21" s="30" t="n"/>
    </row>
    <row r="22">
      <c r="A22" s="29" t="n"/>
      <c r="B22" s="38" t="str">
        <f>IF(ISNUMBER(A22),"周"&amp;CHOOSE(WEEKDAY(A22,2),"一","二","三","四","五","六","日"),"")</f>
        <v/>
      </c>
      <c r="C22" s="31" t="n"/>
      <c r="D22" s="24" t="n"/>
      <c r="E22" s="52" t="str">
        <f>IF(ISNUMBER(A22),COUNTIFS('例-交易记录'!$B$5:$B$304,A22,'例-交易记录'!$X$5:$X$304,"已执行"),"")</f>
        <v/>
      </c>
      <c r="F22" s="30" t="n"/>
      <c r="G22" s="24" t="n"/>
      <c r="H22" s="53" t="str">
        <f>IF(NOT(ISNUMBER(A22)),"",IF(COUNTIFS('例-交易记录'!$Z$5:$Z$304,A22,'例-交易记录'!$AF$5:$AF$304,"已平仓")=0,"",SUMIFS('例-交易记录'!$AK$5:$AK$304,'例-交易记录'!$Z$5:$Z$304,A22,'例-交易记录'!$AF$5:$AF$304,"已平仓")))</f>
        <v/>
      </c>
      <c r="I22" s="38" t="str">
        <f>IF(NOT(ISNUMBER(H22)),"",IF(H22&lt;=-'参数'!$C$8,"触及停手线",""))</f>
        <v/>
      </c>
      <c r="J22" s="30" t="n"/>
      <c r="K22" s="30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2">
    <cfRule type="cellIs" priority="3" operator="equal" dxfId="6">
      <formula>"触及停手线"</formula>
    </cfRule>
  </conditionalFormatting>
  <dataValidations count="3">
    <dataValidation sqref="A5:A22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2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2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</worksheet>
</file>

<file path=xl/worksheets/sheet12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L8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示例 · 周复盘：先看过程，再看成绩</t>
        </is>
      </c>
      <c r="H1" s="14" t="inlineStr">
        <is>
          <t>TradeLearn · XtradingTime 交易内训</t>
        </is>
      </c>
    </row>
    <row r="2" ht="20" customHeight="1">
      <c r="A2" s="63" t="inlineStr">
        <is>
          <t>虚构示例，仅演示填法：统计来自示例页的虚构交易。</t>
        </is>
      </c>
    </row>
    <row r="4">
      <c r="B4" s="54" t="inlineStr">
        <is>
          <t>统计区间：开始日期</t>
        </is>
      </c>
      <c r="C4" s="29" t="n">
        <v>47665</v>
      </c>
      <c r="D4" s="55" t="inlineStr">
        <is>
          <t>结束日期</t>
        </is>
      </c>
      <c r="E4" s="29" t="n">
        <v>47672</v>
      </c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今天做了什么</t>
        </is>
      </c>
      <c r="E7" s="25" t="inlineStr">
        <is>
          <t>看到几次机会</t>
        </is>
      </c>
      <c r="F7" s="25" t="inlineStr">
        <is>
          <t>下了几笔</t>
        </is>
      </c>
      <c r="G7" s="25" t="inlineStr">
        <is>
          <t>状态</t>
        </is>
      </c>
      <c r="H7" s="25" t="inlineStr">
        <is>
          <t>当日平仓净R</t>
        </is>
      </c>
      <c r="I7" s="25" t="inlineStr">
        <is>
          <t>明天的条件</t>
        </is>
      </c>
      <c r="J7" s="25" t="n"/>
    </row>
    <row r="8">
      <c r="B8" s="56">
        <f>IF(ISNUMBER($C$4),IF($C$4+0&lt;=$E$4,$C$4+0,""),"")</f>
        <v>47665.0</v>
      </c>
      <c r="C8" s="38" t="str">
        <f>IF(ISNUMBER(B8),"周"&amp;CHOOSE(WEEKDAY(B8,2),"一","二","三","四","五","六","日"),"")</f>
        <v>周一</v>
      </c>
      <c r="D8" s="40" t="str">
        <f>IF(ISNUMBER($B8),IFERROR(T(VLOOKUP($B8,'例-每日记录'!$A$5:$K$264,3,FALSE)),"未记"),"")</f>
        <v>有成交</v>
      </c>
      <c r="E8" s="52">
        <f>IF(ISNUMBER($B8),IFERROR(IF(ISNUMBER(VLOOKUP($B8,'例-每日记录'!$A$5:$K$264,4,FALSE)),VLOOKUP($B8,'例-每日记录'!$A$5:$K$264,4,FALSE),""),""),"")</f>
        <v>2</v>
      </c>
      <c r="F8" s="52">
        <f>IF(ISNUMBER($B8),IFERROR(VLOOKUP($B8,'例-每日记录'!$A$5:$K$264,5,FALSE),""),"")</f>
        <v>1</v>
      </c>
      <c r="G8" s="52">
        <f>IF(ISNUMBER($B8),IFERROR(IF(ISNUMBER(VLOOKUP($B8,'例-每日记录'!$A$5:$K$264,7,FALSE)),VLOOKUP($B8,'例-每日记录'!$A$5:$K$264,7,FALSE),""),""),"")</f>
        <v>4</v>
      </c>
      <c r="H8" s="53" t="str">
        <f>IF(ISNUMBER($B8),IFERROR(VLOOKUP($B8,'例-每日记录'!$A$5:$K$264,8,FALSE),""),"")</f>
        <v/>
      </c>
      <c r="I8" s="57" t="str">
        <f>IF(ISNUMBER($B8),IFERROR(T(VLOOKUP($B8,'例-每日记录'!$A$5:$K$264,10,FALSE)),""),"")</f>
        <v>币B 回踩 2000 附近才做多</v>
      </c>
      <c r="J8" s="57" t="n"/>
    </row>
    <row r="9">
      <c r="B9" s="56">
        <f>IF(ISNUMBER($C$4),IF($C$4+1&lt;=$E$4,$C$4+1,""),"")</f>
        <v>47666.0</v>
      </c>
      <c r="C9" s="38" t="str">
        <f>IF(ISNUMBER(B9),"周"&amp;CHOOSE(WEEKDAY(B9,2),"一","二","三","四","五","六","日"),"")</f>
        <v>周二</v>
      </c>
      <c r="D9" s="40" t="str">
        <f>IF(ISNUMBER($B9),IFERROR(T(VLOOKUP($B9,'例-每日记录'!$A$5:$K$264,3,FALSE)),"未记"),"")</f>
        <v>有成交</v>
      </c>
      <c r="E9" s="52">
        <f>IF(ISNUMBER($B9),IFERROR(IF(ISNUMBER(VLOOKUP($B9,'例-每日记录'!$A$5:$K$264,4,FALSE)),VLOOKUP($B9,'例-每日记录'!$A$5:$K$264,4,FALSE),""),""),"")</f>
        <v>1</v>
      </c>
      <c r="F9" s="52">
        <f>IF(ISNUMBER($B9),IFERROR(VLOOKUP($B9,'例-每日记录'!$A$5:$K$264,5,FALSE),""),"")</f>
        <v>1</v>
      </c>
      <c r="G9" s="52">
        <f>IF(ISNUMBER($B9),IFERROR(IF(ISNUMBER(VLOOKUP($B9,'例-每日记录'!$A$5:$K$264,7,FALSE)),VLOOKUP($B9,'例-每日记录'!$A$5:$K$264,7,FALSE),""),""),"")</f>
        <v>4</v>
      </c>
      <c r="H9" s="53" t="str">
        <f>IF(ISNUMBER($B9),IFERROR(VLOOKUP($B9,'例-每日记录'!$A$5:$K$264,8,FALSE),""),"")</f>
        <v/>
      </c>
      <c r="I9" s="57" t="str">
        <f>IF(ISNUMBER($B9),IFERROR(T(VLOOKUP($B9,'例-每日记录'!$A$5:$K$264,10,FALSE)),""),"")</f>
        <v>合约单先看强平价在不在止损外</v>
      </c>
      <c r="J9" s="57" t="n"/>
    </row>
    <row r="10">
      <c r="B10" s="56">
        <f>IF(ISNUMBER($C$4),IF($C$4+2&lt;=$E$4,$C$4+2,""),"")</f>
        <v>47667.0</v>
      </c>
      <c r="C10" s="38" t="str">
        <f>IF(ISNUMBER(B10),"周"&amp;CHOOSE(WEEKDAY(B10,2),"一","二","三","四","五","六","日"),"")</f>
        <v>周三</v>
      </c>
      <c r="D10" s="40" t="str">
        <f>IF(ISNUMBER($B10),IFERROR(T(VLOOKUP($B10,'例-每日记录'!$A$5:$K$264,3,FALSE)),"未记"),"")</f>
        <v>有成交</v>
      </c>
      <c r="E10" s="52">
        <f>IF(ISNUMBER($B10),IFERROR(IF(ISNUMBER(VLOOKUP($B10,'例-每日记录'!$A$5:$K$264,4,FALSE)),VLOOKUP($B10,'例-每日记录'!$A$5:$K$264,4,FALSE),""),""),"")</f>
        <v>2</v>
      </c>
      <c r="F10" s="52">
        <f>IF(ISNUMBER($B10),IFERROR(VLOOKUP($B10,'例-每日记录'!$A$5:$K$264,5,FALSE),""),"")</f>
        <v>1</v>
      </c>
      <c r="G10" s="52">
        <f>IF(ISNUMBER($B10),IFERROR(IF(ISNUMBER(VLOOKUP($B10,'例-每日记录'!$A$5:$K$264,7,FALSE)),VLOOKUP($B10,'例-每日记录'!$A$5:$K$264,7,FALSE),""),""),"")</f>
        <v>3</v>
      </c>
      <c r="H10" s="53" t="str">
        <f>IF(ISNUMBER($B10),IFERROR(VLOOKUP($B10,'例-每日记录'!$A$5:$K$264,8,FALSE),""),"")</f>
        <v/>
      </c>
      <c r="I10" s="57" t="str">
        <f>IF(ISNUMBER($B10),IFERROR(T(VLOOKUP($B10,'例-每日记录'!$A$5:$K$264,10,FALSE)),""),"")</f>
        <v>杠杆最多 10 倍</v>
      </c>
      <c r="J10" s="57" t="n"/>
    </row>
    <row r="11">
      <c r="B11" s="56">
        <f>IF(ISNUMBER($C$4),IF($C$4+3&lt;=$E$4,$C$4+3,""),"")</f>
        <v>47668.0</v>
      </c>
      <c r="C11" s="38" t="str">
        <f>IF(ISNUMBER(B11),"周"&amp;CHOOSE(WEEKDAY(B11,2),"一","二","三","四","五","六","日"),"")</f>
        <v>周四</v>
      </c>
      <c r="D11" s="40" t="str">
        <f>IF(ISNUMBER($B11),IFERROR(T(VLOOKUP($B11,'例-每日记录'!$A$5:$K$264,3,FALSE)),"未记"),"")</f>
        <v>有成交</v>
      </c>
      <c r="E11" s="52">
        <f>IF(ISNUMBER($B11),IFERROR(IF(ISNUMBER(VLOOKUP($B11,'例-每日记录'!$A$5:$K$264,4,FALSE)),VLOOKUP($B11,'例-每日记录'!$A$5:$K$264,4,FALSE),""),""),"")</f>
        <v>1</v>
      </c>
      <c r="F11" s="52">
        <f>IF(ISNUMBER($B11),IFERROR(VLOOKUP($B11,'例-每日记录'!$A$5:$K$264,5,FALSE),""),"")</f>
        <v>0</v>
      </c>
      <c r="G11" s="52">
        <f>IF(ISNUMBER($B11),IFERROR(IF(ISNUMBER(VLOOKUP($B11,'例-每日记录'!$A$5:$K$264,7,FALSE)),VLOOKUP($B11,'例-每日记录'!$A$5:$K$264,7,FALSE),""),""),"")</f>
        <v>3</v>
      </c>
      <c r="H11" s="53">
        <f>IF(ISNUMBER($B11),IFERROR(VLOOKUP($B11,'例-每日记录'!$A$5:$K$264,8,FALSE),""),"")</f>
        <v>1.66830256410256</v>
      </c>
      <c r="I11" s="57" t="str">
        <f>IF(ISNUMBER($B11),IFERROR(T(VLOOKUP($B11,'例-每日记录'!$A$5:$K$264,10,FALSE)),""),"")</f>
        <v>止损被打，正常</v>
      </c>
      <c r="J11" s="57" t="n"/>
    </row>
    <row r="12">
      <c r="B12" s="56">
        <f>IF(ISNUMBER($C$4),IF($C$4+4&lt;=$E$4,$C$4+4,""),"")</f>
        <v>47669.0</v>
      </c>
      <c r="C12" s="38" t="str">
        <f>IF(ISNUMBER(B12),"周"&amp;CHOOSE(WEEKDAY(B12,2),"一","二","三","四","五","六","日"),"")</f>
        <v>周五</v>
      </c>
      <c r="D12" s="40" t="str">
        <f>IF(ISNUMBER($B12),IFERROR(T(VLOOKUP($B12,'例-每日记录'!$A$5:$K$264,3,FALSE)),"未记"),"")</f>
        <v>有成交</v>
      </c>
      <c r="E12" s="52">
        <f>IF(ISNUMBER($B12),IFERROR(IF(ISNUMBER(VLOOKUP($B12,'例-每日记录'!$A$5:$K$264,4,FALSE)),VLOOKUP($B12,'例-每日记录'!$A$5:$K$264,4,FALSE),""),""),"")</f>
        <v>2</v>
      </c>
      <c r="F12" s="52">
        <f>IF(ISNUMBER($B12),IFERROR(VLOOKUP($B12,'例-每日记录'!$A$5:$K$264,5,FALSE),""),"")</f>
        <v>1</v>
      </c>
      <c r="G12" s="52">
        <f>IF(ISNUMBER($B12),IFERROR(IF(ISNUMBER(VLOOKUP($B12,'例-每日记录'!$A$5:$K$264,7,FALSE)),VLOOKUP($B12,'例-每日记录'!$A$5:$K$264,7,FALSE),""),""),"")</f>
        <v>3</v>
      </c>
      <c r="H12" s="53">
        <f>IF(ISNUMBER($B12),IFERROR(VLOOKUP($B12,'例-每日记录'!$A$5:$K$264,8,FALSE),""),"")</f>
        <v>2.84862016304348</v>
      </c>
      <c r="I12" s="57" t="str">
        <f>IF(ISNUMBER($B12),IFERROR(T(VLOOKUP($B12,'例-每日记录'!$A$5:$K$264,10,FALSE)),""),"")</f>
        <v>追价上限写进计划</v>
      </c>
      <c r="J12" s="57" t="n"/>
    </row>
    <row r="13">
      <c r="B13" s="56">
        <f>IF(ISNUMBER($C$4),IF($C$4+5&lt;=$E$4,$C$4+5,""),"")</f>
        <v>47670.0</v>
      </c>
      <c r="C13" s="38" t="str">
        <f>IF(ISNUMBER(B13),"周"&amp;CHOOSE(WEEKDAY(B13,2),"一","二","三","四","五","六","日"),"")</f>
        <v>周六</v>
      </c>
      <c r="D13" s="40" t="str">
        <f>IF(ISNUMBER($B13),IFERROR(T(VLOOKUP($B13,'例-每日记录'!$A$5:$K$264,3,FALSE)),"未记"),"")</f>
        <v>挂单没成交</v>
      </c>
      <c r="E13" s="52">
        <f>IF(ISNUMBER($B13),IFERROR(IF(ISNUMBER(VLOOKUP($B13,'例-每日记录'!$A$5:$K$264,4,FALSE)),VLOOKUP($B13,'例-每日记录'!$A$5:$K$264,4,FALSE),""),""),"")</f>
        <v>1</v>
      </c>
      <c r="F13" s="52">
        <f>IF(ISNUMBER($B13),IFERROR(VLOOKUP($B13,'例-每日记录'!$A$5:$K$264,5,FALSE),""),"")</f>
        <v>0</v>
      </c>
      <c r="G13" s="52">
        <f>IF(ISNUMBER($B13),IFERROR(IF(ISNUMBER(VLOOKUP($B13,'例-每日记录'!$A$5:$K$264,7,FALSE)),VLOOKUP($B13,'例-每日记录'!$A$5:$K$264,7,FALSE),""),""),"")</f>
        <v>4</v>
      </c>
      <c r="H13" s="53">
        <f>IF(ISNUMBER($B13),IFERROR(VLOOKUP($B13,'例-每日记录'!$A$5:$K$264,8,FALSE),""),"")</f>
        <v>1.456675</v>
      </c>
      <c r="I13" s="57" t="str">
        <f>IF(ISNUMBER($B13),IFERROR(T(VLOOKUP($B13,'例-每日记录'!$A$5:$K$264,10,FALSE)),""),"")</f>
        <v>不追</v>
      </c>
      <c r="J13" s="57" t="n"/>
    </row>
    <row r="14">
      <c r="B14" s="56">
        <f>IF(ISNUMBER($C$4),IF($C$4+6&lt;=$E$4,$C$4+6,""),"")</f>
        <v>47671.0</v>
      </c>
      <c r="C14" s="38" t="str">
        <f>IF(ISNUMBER(B14),"周"&amp;CHOOSE(WEEKDAY(B14,2),"一","二","三","四","五","六","日"),"")</f>
        <v>周日</v>
      </c>
      <c r="D14" s="40" t="str">
        <f>IF(ISNUMBER($B14),IFERROR(T(VLOOKUP($B14,'例-每日记录'!$A$5:$K$264,3,FALSE)),"未记"),"")</f>
        <v>有成交</v>
      </c>
      <c r="E14" s="52">
        <f>IF(ISNUMBER($B14),IFERROR(IF(ISNUMBER(VLOOKUP($B14,'例-每日记录'!$A$5:$K$264,4,FALSE)),VLOOKUP($B14,'例-每日记录'!$A$5:$K$264,4,FALSE),""),""),"")</f>
        <v>1</v>
      </c>
      <c r="F14" s="52">
        <f>IF(ISNUMBER($B14),IFERROR(VLOOKUP($B14,'例-每日记录'!$A$5:$K$264,5,FALSE),""),"")</f>
        <v>1</v>
      </c>
      <c r="G14" s="52">
        <f>IF(ISNUMBER($B14),IFERROR(IF(ISNUMBER(VLOOKUP($B14,'例-每日记录'!$A$5:$K$264,7,FALSE)),VLOOKUP($B14,'例-每日记录'!$A$5:$K$264,7,FALSE),""),""),"")</f>
        <v>2</v>
      </c>
      <c r="H14" s="53" t="str">
        <f>IF(ISNUMBER($B14),IFERROR(VLOOKUP($B14,'例-每日记录'!$A$5:$K$264,8,FALSE),""),"")</f>
        <v/>
      </c>
      <c r="I14" s="57" t="str">
        <f>IF(ISNUMBER($B14),IFERROR(T(VLOOKUP($B14,'例-每日记录'!$A$5:$K$264,10,FALSE)),""),"")</f>
        <v>空单止损挂在系统里</v>
      </c>
      <c r="J14" s="57" t="n"/>
    </row>
    <row r="16">
      <c r="B16" s="15" t="inlineStr">
        <is>
          <t>2. 成绩与执行</t>
        </is>
      </c>
    </row>
    <row r="17">
      <c r="B17" s="25" t="inlineStr">
        <is>
          <t>指标</t>
        </is>
      </c>
      <c r="C17" s="25" t="inlineStr">
        <is>
          <t>本区间</t>
        </is>
      </c>
      <c r="D17" s="25" t="inlineStr">
        <is>
          <t>全部记录</t>
        </is>
      </c>
      <c r="E17" s="25" t="inlineStr">
        <is>
          <t>怎么看</t>
        </is>
      </c>
      <c r="F17" s="25" t="n"/>
      <c r="G17" s="25" t="n"/>
      <c r="H17" s="25" t="n"/>
      <c r="I17" s="25" t="n"/>
      <c r="J17" s="25" t="n"/>
    </row>
    <row r="18">
      <c r="B18" s="16" t="inlineStr">
        <is>
          <t>写了计划的笔数</t>
        </is>
      </c>
      <c r="C18" s="58">
        <f>IF(AND(ISNUMBER($C$4),ISNUMBER($E$4)),COUNTIFS('例-交易记录'!$B$5:$B$304,"&gt;="&amp;$C$4,'例-交易记录'!$B$5:$B$304,"&lt;="&amp;$E$4),"")</f>
        <v>8</v>
      </c>
      <c r="D18" s="58">
        <f>COUNT('例-交易记录'!$B$5:$B$304)</f>
        <v>8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8">
        <f>IF(AND(ISNUMBER($C$4),ISNUMBER($E$4)),COUNTIFS('例-交易记录'!$B$5:$B$304,"&gt;="&amp;$C$4,'例-交易记录'!$B$5:$B$304,"&lt;="&amp;$E$4,'例-交易记录'!$X$5:$X$304,"已执行"),"")</f>
        <v>6</v>
      </c>
      <c r="D19" s="58">
        <f>COUNTIF('例-交易记录'!$X$5:$X$304,"已执行")</f>
        <v>6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8">
        <f>IF(AND(ISNUMBER($C$4),ISNUMBER($E$4)),COUNTIFS('例-交易记录'!$B$5:$B$304,"&gt;="&amp;$C$4,'例-交易记录'!$B$5:$B$304,"&lt;="&amp;$E$4,'例-交易记录'!$X$5:$X$304,"未成交"),"")</f>
        <v>1</v>
      </c>
      <c r="D20" s="58">
        <f>COUNTIF('例-交易记录'!$X$5:$X$304,"未成交")</f>
        <v>1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8">
        <f>IF(AND(ISNUMBER($C$4),ISNUMBER($E$4)),COUNTIFS('例-交易记录'!$B$5:$B$304,"&gt;="&amp;$C$4,'例-交易记录'!$B$5:$B$304,"&lt;="&amp;$E$4,'例-交易记录'!$X$5:$X$304,"主动放弃"),"")</f>
        <v>1</v>
      </c>
      <c r="D21" s="58">
        <f>COUNTIF('例-交易记录'!$X$5:$X$304,"主动放弃")</f>
        <v>1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8">
        <f>IF(AND(ISNUMBER($C$4),ISNUMBER($E$4)),COUNTIFS('例-交易记录'!$B$5:$B$304,"&gt;="&amp;$C$4,'例-交易记录'!$B$5:$B$304,"&lt;="&amp;$E$4,'例-交易记录'!$X$5:$X$304,"漏单"),"")</f>
        <v>0</v>
      </c>
      <c r="D22" s="58">
        <f>COUNTIF('例-交易记录'!$X$5:$X$304,"漏单")</f>
        <v>0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8">
        <f>IF(AND(ISNUMBER($C$4),ISNUMBER($E$4)),COUNTIFS('例-交易记录'!$Z$5:$Z$304,"&gt;="&amp;$C$4,'例-交易记录'!$Z$5:$Z$304,"&lt;="&amp;$E$4,'例-交易记录'!$AF$5:$AF$304,"已平仓"),"")</f>
        <v>5</v>
      </c>
      <c r="D23" s="58">
        <f>COUNTIF('例-交易记录'!$AF$5:$AF$304,"已平仓")</f>
        <v>5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8">
        <f>IF(AND(ISNUMBER($C$4),ISNUMBER($E$4)),COUNTIFS('例-交易记录'!$Z$5:$Z$304,"&gt;="&amp;$C$4,'例-交易记录'!$Z$5:$Z$304,"&lt;="&amp;$E$4,'例-交易记录'!$AF$5:$AF$304,"已平仓",'例-交易记录'!$AK$5:$AK$304,"&gt;0"),"")</f>
        <v>3</v>
      </c>
      <c r="D24" s="58">
        <f>COUNTIFS('例-交易记录'!$AF$5:$AF$304,"已平仓",'例-交易记录'!$AK$5:$AK$304,"&gt;0")</f>
        <v>3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8">
        <f>IF(AND(ISNUMBER($C$4),ISNUMBER($E$4)),COUNTIFS('例-交易记录'!$Z$5:$Z$304,"&gt;="&amp;$C$4,'例-交易记录'!$Z$5:$Z$304,"&lt;="&amp;$E$4,'例-交易记录'!$AF$5:$AF$304,"已平仓",'例-交易记录'!$AK$5:$AK$304,"&lt;0"),"")</f>
        <v>2</v>
      </c>
      <c r="D25" s="58">
        <f>COUNTIFS('例-交易记录'!$AF$5:$AF$304,"已平仓",'例-交易记录'!$AK$5:$AK$304,"&lt;0")</f>
        <v>2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59">
        <f>IF(AND(ISNUMBER($C$4),ISNUMBER($E$4)),IF(N(C23)&gt;0,C24/C23,""),"")</f>
        <v>0.6</v>
      </c>
      <c r="D26" s="59">
        <f>IF(N(D23)&gt;0,D24/D23,"")</f>
        <v>0.6</v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53">
        <f>IF(AND(ISNUMBER($C$4),ISNUMBER($E$4)),IF(N(C24)&gt;0,SUMIFS('例-交易记录'!$AK$5:$AK$304,'例-交易记录'!$Z$5:$Z$304,"&gt;="&amp;$C$4,'例-交易记录'!$Z$5:$Z$304,"&lt;="&amp;$E$4,'例-交易记录'!$AF$5:$AF$304,"已平仓",'例-交易记录'!$AK$5:$AK$304,"&gt;0")/C24,""),"")</f>
        <v>2.38014590904868</v>
      </c>
      <c r="D27" s="53">
        <f>IF(N(D24)&gt;0,SUMIFS('例-交易记录'!$AK$5:$AK$304,'例-交易记录'!$AF$5:$AF$304,"已平仓",'例-交易记录'!$AK$5:$AK$304,"&gt;0")/D24,"")</f>
        <v>2.38014590904868</v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53">
        <f>IF(AND(ISNUMBER($C$4),ISNUMBER($E$4)),IF(N(C25)&gt;0,SUMIFS('例-交易记录'!$AK$5:$AK$304,'例-交易记录'!$Z$5:$Z$304,"&gt;="&amp;$C$4,'例-交易记录'!$Z$5:$Z$304,"&lt;="&amp;$E$4,'例-交易记录'!$AF$5:$AF$304,"已平仓",'例-交易记录'!$AK$5:$AK$304,"&lt;0")/C25,""),"")</f>
        <v>-1.76027</v>
      </c>
      <c r="D28" s="53">
        <f>IF(N(D25)&gt;0,SUMIFS('例-交易记录'!$AK$5:$AK$304,'例-交易记录'!$AF$5:$AF$304,"已平仓",'例-交易记录'!$AK$5:$AK$304,"&lt;0")/D25,"")</f>
        <v>-1.76027</v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53">
        <f>IF(AND(ISNUMBER($C$4),ISNUMBER($E$4)),IF(N(C23)&gt;0,SUMIFS('例-交易记录'!$AK$5:$AK$304,'例-交易记录'!$Z$5:$Z$304,"&gt;="&amp;$C$4,'例-交易记录'!$Z$5:$Z$304,"&lt;="&amp;$E$4,'例-交易记录'!$AF$5:$AF$304,"已平仓")/C23,""),"")</f>
        <v>0.723979545429208</v>
      </c>
      <c r="D29" s="53">
        <f>IF(N(D23)&gt;0,SUMIFS('例-交易记录'!$AK$5:$AK$304,'例-交易记录'!$AF$5:$AF$304,"已平仓")/D23,"")</f>
        <v>0.723979545429208</v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53">
        <f>IF(AND(ISNUMBER($C$4),ISNUMBER($E$4)),IF(N(C23)&gt;0,SUMIFS('例-交易记录'!$AJ$5:$AJ$304,'例-交易记录'!$Z$5:$Z$304,"&gt;="&amp;$C$4,'例-交易记录'!$Z$5:$Z$304,"&lt;="&amp;$E$4,'例-交易记录'!$AF$5:$AF$304,"已平仓"),""),"")</f>
        <v>3.87666666666667</v>
      </c>
      <c r="D30" s="53">
        <f>IF(N(D23)&gt;0,SUMIFS('例-交易记录'!$AJ$5:$AJ$304,'例-交易记录'!$AF$5:$AF$304,"已平仓"),"")</f>
        <v>3.87666666666667</v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53">
        <f>IF(AND(ISNUMBER($C$4),ISNUMBER($E$4)),IF(N(C23)&gt;0,SUMIFS('例-交易记录'!$AK$5:$AK$304,'例-交易记录'!$Z$5:$Z$304,"&gt;="&amp;$C$4,'例-交易记录'!$Z$5:$Z$304,"&lt;="&amp;$E$4,'例-交易记录'!$AF$5:$AF$304,"已平仓"),""),"")</f>
        <v>3.61989772714604</v>
      </c>
      <c r="D31" s="53">
        <f>IF(N(D23)&gt;0,SUMIFS('例-交易记录'!$AK$5:$AK$304,'例-交易记录'!$AF$5:$AF$304,"已平仓"),"")</f>
        <v>3.61989772714604</v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60">
        <f>IF(AND(ISNUMBER($C$4),ISNUMBER($E$4)),IF(N(C23)&gt;0,C30-C31,""),"")</f>
        <v>0.256768939520624</v>
      </c>
      <c r="D32" s="60">
        <f>IF(N(D23)&gt;0,D30-D31,"")</f>
        <v>0.256768939520624</v>
      </c>
      <c r="E32" s="19" t="inlineStr">
        <is>
          <t>做得越勤，这一行越大。资金费也算在里面。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合计净盈亏（USDT）</t>
        </is>
      </c>
      <c r="C33" s="43">
        <f>IF(AND(ISNUMBER($C$4),ISNUMBER($E$4)),IF(N(C23)&gt;0,SUMIFS('例-交易记录'!$AI$5:$AI$304,'例-交易记录'!$Z$5:$Z$304,"&gt;="&amp;$C$4,'例-交易记录'!$Z$5:$Z$304,"&lt;="&amp;$E$4,'例-交易记录'!$AF$5:$AF$304,"已平仓"),""),"")</f>
        <v>297.342915</v>
      </c>
      <c r="D33" s="43">
        <f>IF(N(D23)&gt;0,SUMIFS('例-交易记录'!$AI$5:$AI$304,'例-交易记录'!$AF$5:$AF$304,"已平仓"),"")</f>
        <v>297.342915</v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合计费用（USDT）</t>
        </is>
      </c>
      <c r="C34" s="42">
        <f>IF(AND(ISNUMBER($C$4),ISNUMBER($E$4)),IF(N(C23)&gt;0,SUMIFS('例-交易记录'!$AG$5:$AG$304,'例-交易记录'!$Z$5:$Z$304,"&gt;="&amp;$C$4,'例-交易记录'!$Z$5:$Z$304,"&lt;="&amp;$E$4,'例-交易记录'!$AF$5:$AF$304,"已平仓"),""),"")</f>
        <v>16.705</v>
      </c>
      <c r="D34" s="42">
        <f>IF(N(D23)&gt;0,SUMIFS('例-交易记录'!$AG$5:$AG$304,'例-交易记录'!$AF$5:$AF$304,"已平仓"),"")</f>
        <v>16.705</v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8">
        <f>IF(AND(ISNUMBER($C$4),ISNUMBER($E$4)),COUNTIFS('例-交易记录'!$Z$5:$Z$304,"&gt;="&amp;$C$4,'例-交易记录'!$Z$5:$Z$304,"&lt;="&amp;$E$4,'例-交易记录'!$AF$5:$AF$304,"已平仓",'例-交易记录'!$AN$5:$AN$304,"A"),"")</f>
        <v>3</v>
      </c>
      <c r="D35" s="58">
        <f>COUNTIFS('例-交易记录'!$AF$5:$AF$304,"已平仓",'例-交易记录'!$AN$5:$AN$304,"A")</f>
        <v>3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8">
        <f>IF(AND(ISNUMBER($C$4),ISNUMBER($E$4)),COUNTIFS('例-交易记录'!$Z$5:$Z$304,"&gt;="&amp;$C$4,'例-交易记录'!$Z$5:$Z$304,"&lt;="&amp;$E$4,'例-交易记录'!$AF$5:$AF$304,"已平仓",'例-交易记录'!$AN$5:$AN$304,"B"),"")</f>
        <v>0</v>
      </c>
      <c r="D36" s="58">
        <f>COUNTIFS('例-交易记录'!$AF$5:$AF$304,"已平仓",'例-交易记录'!$AN$5:$AN$304,"B")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8">
        <f>IF(AND(ISNUMBER($C$4),ISNUMBER($E$4)),COUNTIFS('例-交易记录'!$Z$5:$Z$304,"&gt;="&amp;$C$4,'例-交易记录'!$Z$5:$Z$304,"&lt;="&amp;$E$4,'例-交易记录'!$AF$5:$AF$304,"已平仓",'例-交易记录'!$AN$5:$AN$304,"C"),"")</f>
        <v>2</v>
      </c>
      <c r="D37" s="58">
        <f>COUNTIFS('例-交易记录'!$AF$5:$AF$304,"已平仓",'例-交易记录'!$AN$5:$AN$304,"C")</f>
        <v>2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8">
        <f>IF(AND(ISNUMBER($C$4),ISNUMBER($E$4)),COUNTIFS('例-交易记录'!$Z$5:$Z$304,"&gt;="&amp;$C$4,'例-交易记录'!$Z$5:$Z$304,"&lt;="&amp;$E$4,'例-交易记录'!$AF$5:$AF$304,"已平仓",'例-交易记录'!$AN$5:$AN$304,"D"),"")</f>
        <v>0</v>
      </c>
      <c r="D38" s="58">
        <f>COUNTIFS('例-交易记录'!$AF$5:$AF$304,"已平仓",'例-交易记录'!$AN$5:$AN$304,"D")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59">
        <f>IF(AND(ISNUMBER($C$4),ISNUMBER($E$4)),IF(N(C23)&gt;0,C35/C23,""),"")</f>
        <v>0.6</v>
      </c>
      <c r="D39" s="59">
        <f>IF(N(D23)&gt;0,D35/D23,"")</f>
        <v>0.6</v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8">
        <f>IF(AND(ISNUMBER($C$4),ISNUMBER($E$4)),COUNTIFS('例-交易记录'!$Z$5:$Z$304,"&gt;="&amp;$C$4,'例-交易记录'!$Z$5:$Z$304,"&lt;="&amp;$E$4,'例-交易记录'!$AF$5:$AF$304,"已平仓",'例-交易记录'!$AN$5:$AN$304,"C",'例-交易记录'!$AK$5:$AK$304,"&gt;0")+COUNTIFS('例-交易记录'!$Z$5:$Z$304,"&gt;="&amp;$C$4,'例-交易记录'!$Z$5:$Z$304,"&lt;="&amp;$E$4,'例-交易记录'!$AF$5:$AF$304,"已平仓",'例-交易记录'!$AN$5:$AN$304,"D",'例-交易记录'!$AK$5:$AK$304,"&gt;0"),"")</f>
        <v>1</v>
      </c>
      <c r="D40" s="58">
        <f>COUNTIFS('例-交易记录'!$AF$5:$AF$304,"已平仓",'例-交易记录'!$AN$5:$AN$304,"C",'例-交易记录'!$AK$5:$AK$304,"&gt;0")+COUNTIFS('例-交易记录'!$AF$5:$AF$304,"已平仓",'例-交易记录'!$AN$5:$AN$304,"D",'例-交易记录'!$AK$5:$AK$304,"&gt;0")</f>
        <v>1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53">
        <f>IF(AND(ISNUMBER($C$4),ISNUMBER($E$4)),IF(N(C35)+N(C36)&gt;0,(SUMIFS('例-交易记录'!$AK$5:$AK$304,'例-交易记录'!$Z$5:$Z$304,"&gt;="&amp;$C$4,'例-交易记录'!$Z$5:$Z$304,"&lt;="&amp;$E$4,'例-交易记录'!$AF$5:$AF$304,"已平仓",'例-交易记录'!$AN$5:$AN$304,"A")+SUMIFS('例-交易记录'!$AK$5:$AK$304,'例-交易记录'!$Z$5:$Z$304,"&gt;="&amp;$C$4,'例-交易记录'!$Z$5:$Z$304,"&lt;="&amp;$E$4,'例-交易记录'!$AF$5:$AF$304,"已平仓",'例-交易记录'!$AN$5:$AN$304,"B"))/(C35+C36),""),"")</f>
        <v>1.50564090904868</v>
      </c>
      <c r="D41" s="53">
        <f>IF(N(D35)+N(D36)&gt;0,(SUMIFS('例-交易记录'!$AK$5:$AK$304,'例-交易记录'!$AF$5:$AF$304,"已平仓",'例-交易记录'!$AN$5:$AN$304,"A")+SUMIFS('例-交易记录'!$AK$5:$AK$304,'例-交易记录'!$AF$5:$AF$304,"已平仓",'例-交易记录'!$AN$5:$AN$304,"B"))/(D35+D36),"")</f>
        <v>1.50564090904868</v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53">
        <f>IF(AND(ISNUMBER($C$4),ISNUMBER($E$4)),IF(N(C37)+N(C38)&gt;0,(SUMIFS('例-交易记录'!$AK$5:$AK$304,'例-交易记录'!$Z$5:$Z$304,"&gt;="&amp;$C$4,'例-交易记录'!$Z$5:$Z$304,"&lt;="&amp;$E$4,'例-交易记录'!$AF$5:$AF$304,"已平仓",'例-交易记录'!$AN$5:$AN$304,"C")+SUMIFS('例-交易记录'!$AK$5:$AK$304,'例-交易记录'!$Z$5:$Z$304,"&gt;="&amp;$C$4,'例-交易记录'!$Z$5:$Z$304,"&lt;="&amp;$E$4,'例-交易记录'!$AF$5:$AF$304,"已平仓",'例-交易记录'!$AN$5:$AN$304,"D"))/(C37+C38),""),"")</f>
        <v>-0.448512500000001</v>
      </c>
      <c r="D42" s="53">
        <f>IF(N(D37)+N(D38)&gt;0,(SUMIFS('例-交易记录'!$AK$5:$AK$304,'例-交易记录'!$AF$5:$AF$304,"已平仓",'例-交易记录'!$AN$5:$AN$304,"C")+SUMIFS('例-交易记录'!$AK$5:$AK$304,'例-交易记录'!$AF$5:$AF$304,"已平仓",'例-交易记录'!$AN$5:$AN$304,"D"))/(D37+D38),"")</f>
        <v>-0.448512500000001</v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8">
        <f>IF(AND(ISNUMBER($C$4),ISNUMBER($E$4)),COUNTIF('例-交易记录'!$AF$5:$AF$304,"持仓中"),"")</f>
        <v>1</v>
      </c>
      <c r="D43" s="58">
        <f>COUNTIF('例-交易记录'!$AF$5:$AF$304,"持仓中")</f>
        <v>1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60" t="str">
        <f>""</f>
        <v/>
      </c>
      <c r="D44" s="60">
        <f>IF(COUNT('例-交易记录'!$AR$5:$AR$304)=0,"",MAX('例-交易记录'!$AR$5:$AR$304))</f>
        <v>2.3537</v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53" t="str">
        <f>""</f>
        <v/>
      </c>
      <c r="D45" s="53">
        <f>IF(COUNT('例-交易记录'!$AK$5:$AK$304)=0,"",MIN('例-交易记录'!$AK$5:$AK$304))</f>
        <v>-2.3537</v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5" t="inlineStr">
        <is>
          <t>标签</t>
        </is>
      </c>
      <c r="C48" s="25" t="inlineStr">
        <is>
          <t>本区间笔数</t>
        </is>
      </c>
      <c r="D48" s="25" t="inlineStr">
        <is>
          <t>全部笔数</t>
        </is>
      </c>
      <c r="E48" s="25" t="inlineStr">
        <is>
          <t>全部合计净R</t>
        </is>
      </c>
      <c r="F48" s="25" t="inlineStr">
        <is>
          <t>提示</t>
        </is>
      </c>
    </row>
    <row r="49">
      <c r="B49" s="61" t="str">
        <f>T('参数'!$F$22)</f>
        <v>无</v>
      </c>
      <c r="C49" s="58">
        <f>IF(OR(B49="",NOT(AND(ISNUMBER($C$4),ISNUMBER($E$4)))),"",COUNTIFS('例-交易记录'!$Z$5:$Z$304,"&gt;="&amp;$C$4,'例-交易记录'!$Z$5:$Z$304,"&lt;="&amp;$E$4,'例-交易记录'!$AF$5:$AF$304,"已平仓",'例-交易记录'!$AO$5:$AO$304,B49))</f>
        <v>3</v>
      </c>
      <c r="D49" s="58">
        <f>IF(B49="","",COUNTIFS('例-交易记录'!$AF$5:$AF$304,"已平仓",'例-交易记录'!$AO$5:$AO$304,B49))</f>
        <v>3</v>
      </c>
      <c r="E49" s="53">
        <f>IF(B49="","",SUMIFS('例-交易记录'!$AK$5:$AK$304,'例-交易记录'!$AF$5:$AF$304,"已平仓",'例-交易记录'!$AO$5:$AO$304,B49))</f>
        <v>4.51692272714604</v>
      </c>
      <c r="F49" s="38" t="str">
        <f>IF(AND(B49&lt;&gt;"",B49&lt;&gt;"无",N(C49)&gt;0,N(C49)=MAX($L$49:$L$58)),"本区间最多","")</f>
        <v/>
      </c>
      <c r="L49" s="62">
        <f>IF(OR(B49="",B49="无"),0,N(C49))</f>
        <v>0</v>
      </c>
    </row>
    <row r="50">
      <c r="B50" s="61" t="str">
        <f>T('参数'!$F$23)</f>
        <v>追单</v>
      </c>
      <c r="C50" s="58">
        <f>IF(OR(B50="",NOT(AND(ISNUMBER($C$4),ISNUMBER($E$4)))),"",COUNTIFS('例-交易记录'!$Z$5:$Z$304,"&gt;="&amp;$C$4,'例-交易记录'!$Z$5:$Z$304,"&lt;="&amp;$E$4,'例-交易记录'!$AF$5:$AF$304,"已平仓",'例-交易记录'!$AO$5:$AO$304,B50))</f>
        <v>1</v>
      </c>
      <c r="D50" s="58">
        <f>IF(B50="","",COUNTIFS('例-交易记录'!$AF$5:$AF$304,"已平仓",'例-交易记录'!$AO$5:$AO$304,B50))</f>
        <v>1</v>
      </c>
      <c r="E50" s="53">
        <f>IF(B50="","",SUMIFS('例-交易记录'!$AK$5:$AK$304,'例-交易记录'!$AF$5:$AF$304,"已平仓",'例-交易记录'!$AO$5:$AO$304,B50))</f>
        <v>1.456675</v>
      </c>
      <c r="F50" s="38" t="str">
        <f>IF(AND(B50&lt;&gt;"",B50&lt;&gt;"无",N(C50)&gt;0,N(C50)=MAX($L$49:$L$58)),"本区间最多","")</f>
        <v>本区间最多</v>
      </c>
      <c r="L50" s="62">
        <f>IF(OR(B50="",B50="无"),0,N(C50))</f>
        <v>1</v>
      </c>
    </row>
    <row r="51">
      <c r="B51" s="61" t="str">
        <f>T('参数'!$F$24)</f>
        <v>扛单</v>
      </c>
      <c r="C51" s="58">
        <f>IF(OR(B51="",NOT(AND(ISNUMBER($C$4),ISNUMBER($E$4)))),"",COUNTIFS('例-交易记录'!$Z$5:$Z$304,"&gt;="&amp;$C$4,'例-交易记录'!$Z$5:$Z$304,"&lt;="&amp;$E$4,'例-交易记录'!$AF$5:$AF$304,"已平仓",'例-交易记录'!$AO$5:$AO$304,B51))</f>
        <v>1</v>
      </c>
      <c r="D51" s="58">
        <f>IF(B51="","",COUNTIFS('例-交易记录'!$AF$5:$AF$304,"已平仓",'例-交易记录'!$AO$5:$AO$304,B51))</f>
        <v>1</v>
      </c>
      <c r="E51" s="53">
        <f>IF(B51="","",SUMIFS('例-交易记录'!$AK$5:$AK$304,'例-交易记录'!$AF$5:$AF$304,"已平仓",'例-交易记录'!$AO$5:$AO$304,B51))</f>
        <v>-2.3537</v>
      </c>
      <c r="F51" s="38" t="str">
        <f>IF(AND(B51&lt;&gt;"",B51&lt;&gt;"无",N(C51)&gt;0,N(C51)=MAX($L$49:$L$58)),"本区间最多","")</f>
        <v>本区间最多</v>
      </c>
      <c r="L51" s="62">
        <f>IF(OR(B51="",B51="无"),0,N(C51))</f>
        <v>1</v>
      </c>
    </row>
    <row r="52">
      <c r="B52" s="61" t="str">
        <f>T('参数'!$F$25)</f>
        <v>提前跑</v>
      </c>
      <c r="C52" s="58">
        <f>IF(OR(B52="",NOT(AND(ISNUMBER($C$4),ISNUMBER($E$4)))),"",COUNTIFS('例-交易记录'!$Z$5:$Z$304,"&gt;="&amp;$C$4,'例-交易记录'!$Z$5:$Z$304,"&lt;="&amp;$E$4,'例-交易记录'!$AF$5:$AF$304,"已平仓",'例-交易记录'!$AO$5:$AO$304,B52))</f>
        <v>0</v>
      </c>
      <c r="D52" s="58">
        <f>IF(B52="","",COUNTIFS('例-交易记录'!$AF$5:$AF$304,"已平仓",'例-交易记录'!$AO$5:$AO$304,B52))</f>
        <v>0</v>
      </c>
      <c r="E52" s="53">
        <f>IF(B52="","",SUMIFS('例-交易记录'!$AK$5:$AK$304,'例-交易记录'!$AF$5:$AF$304,"已平仓",'例-交易记录'!$AO$5:$AO$304,B52))</f>
        <v>0</v>
      </c>
      <c r="F52" s="38" t="str">
        <f>IF(AND(B52&lt;&gt;"",B52&lt;&gt;"无",N(C52)&gt;0,N(C52)=MAX($L$49:$L$58)),"本区间最多","")</f>
        <v/>
      </c>
      <c r="L52" s="62">
        <f>IF(OR(B52="",B52="无"),0,N(C52))</f>
        <v>0</v>
      </c>
    </row>
    <row r="53">
      <c r="B53" s="61" t="str">
        <f>T('参数'!$F$26)</f>
        <v>加仓回本</v>
      </c>
      <c r="C53" s="58">
        <f>IF(OR(B53="",NOT(AND(ISNUMBER($C$4),ISNUMBER($E$4)))),"",COUNTIFS('例-交易记录'!$Z$5:$Z$304,"&gt;="&amp;$C$4,'例-交易记录'!$Z$5:$Z$304,"&lt;="&amp;$E$4,'例-交易记录'!$AF$5:$AF$304,"已平仓",'例-交易记录'!$AO$5:$AO$304,B53))</f>
        <v>0</v>
      </c>
      <c r="D53" s="58">
        <f>IF(B53="","",COUNTIFS('例-交易记录'!$AF$5:$AF$304,"已平仓",'例-交易记录'!$AO$5:$AO$304,B53))</f>
        <v>0</v>
      </c>
      <c r="E53" s="53">
        <f>IF(B53="","",SUMIFS('例-交易记录'!$AK$5:$AK$304,'例-交易记录'!$AF$5:$AF$304,"已平仓",'例-交易记录'!$AO$5:$AO$304,B53))</f>
        <v>0</v>
      </c>
      <c r="F53" s="38" t="str">
        <f>IF(AND(B53&lt;&gt;"",B53&lt;&gt;"无",N(C53)&gt;0,N(C53)=MAX($L$49:$L$58)),"本区间最多","")</f>
        <v/>
      </c>
      <c r="L53" s="62">
        <f>IF(OR(B53="",B53="无"),0,N(C53))</f>
        <v>0</v>
      </c>
    </row>
    <row r="54">
      <c r="B54" s="61" t="str">
        <f>T('参数'!$F$27)</f>
        <v>没计划</v>
      </c>
      <c r="C54" s="58">
        <f>IF(OR(B54="",NOT(AND(ISNUMBER($C$4),ISNUMBER($E$4)))),"",COUNTIFS('例-交易记录'!$Z$5:$Z$304,"&gt;="&amp;$C$4,'例-交易记录'!$Z$5:$Z$304,"&lt;="&amp;$E$4,'例-交易记录'!$AF$5:$AF$304,"已平仓",'例-交易记录'!$AO$5:$AO$304,B54))</f>
        <v>0</v>
      </c>
      <c r="D54" s="58">
        <f>IF(B54="","",COUNTIFS('例-交易记录'!$AF$5:$AF$304,"已平仓",'例-交易记录'!$AO$5:$AO$304,B54))</f>
        <v>0</v>
      </c>
      <c r="E54" s="53">
        <f>IF(B54="","",SUMIFS('例-交易记录'!$AK$5:$AK$304,'例-交易记录'!$AF$5:$AF$304,"已平仓",'例-交易记录'!$AO$5:$AO$304,B54))</f>
        <v>0</v>
      </c>
      <c r="F54" s="38" t="str">
        <f>IF(AND(B54&lt;&gt;"",B54&lt;&gt;"无",N(C54)&gt;0,N(C54)=MAX($L$49:$L$58)),"本区间最多","")</f>
        <v/>
      </c>
      <c r="L54" s="62">
        <f>IF(OR(B54="",B54="无"),0,N(C54))</f>
        <v>0</v>
      </c>
    </row>
    <row r="55">
      <c r="B55" s="61" t="str">
        <f>T('参数'!$F$28)</f>
        <v>超仓位</v>
      </c>
      <c r="C55" s="58">
        <f>IF(OR(B55="",NOT(AND(ISNUMBER($C$4),ISNUMBER($E$4)))),"",COUNTIFS('例-交易记录'!$Z$5:$Z$304,"&gt;="&amp;$C$4,'例-交易记录'!$Z$5:$Z$304,"&lt;="&amp;$E$4,'例-交易记录'!$AF$5:$AF$304,"已平仓",'例-交易记录'!$AO$5:$AO$304,B55))</f>
        <v>0</v>
      </c>
      <c r="D55" s="58">
        <f>IF(B55="","",COUNTIFS('例-交易记录'!$AF$5:$AF$304,"已平仓",'例-交易记录'!$AO$5:$AO$304,B55))</f>
        <v>0</v>
      </c>
      <c r="E55" s="53">
        <f>IF(B55="","",SUMIFS('例-交易记录'!$AK$5:$AK$304,'例-交易记录'!$AF$5:$AF$304,"已平仓",'例-交易记录'!$AO$5:$AO$304,B55))</f>
        <v>0</v>
      </c>
      <c r="F55" s="38" t="str">
        <f>IF(AND(B55&lt;&gt;"",B55&lt;&gt;"无",N(C55)&gt;0,N(C55)=MAX($L$49:$L$58)),"本区间最多","")</f>
        <v/>
      </c>
      <c r="L55" s="62">
        <f>IF(OR(B55="",B55="无"),0,N(C55))</f>
        <v>0</v>
      </c>
    </row>
    <row r="56">
      <c r="B56" s="61" t="str">
        <f>T('参数'!$F$29)</f>
        <v>止损挪远</v>
      </c>
      <c r="C56" s="58">
        <f>IF(OR(B56="",NOT(AND(ISNUMBER($C$4),ISNUMBER($E$4)))),"",COUNTIFS('例-交易记录'!$Z$5:$Z$304,"&gt;="&amp;$C$4,'例-交易记录'!$Z$5:$Z$304,"&lt;="&amp;$E$4,'例-交易记录'!$AF$5:$AF$304,"已平仓",'例-交易记录'!$AO$5:$AO$304,B56))</f>
        <v>0</v>
      </c>
      <c r="D56" s="58">
        <f>IF(B56="","",COUNTIFS('例-交易记录'!$AF$5:$AF$304,"已平仓",'例-交易记录'!$AO$5:$AO$304,B56))</f>
        <v>0</v>
      </c>
      <c r="E56" s="53">
        <f>IF(B56="","",SUMIFS('例-交易记录'!$AK$5:$AK$304,'例-交易记录'!$AF$5:$AF$304,"已平仓",'例-交易记录'!$AO$5:$AO$304,B56))</f>
        <v>0</v>
      </c>
      <c r="F56" s="38" t="str">
        <f>IF(AND(B56&lt;&gt;"",B56&lt;&gt;"无",N(C56)&gt;0,N(C56)=MAX($L$49:$L$58)),"本区间最多","")</f>
        <v/>
      </c>
      <c r="L56" s="62">
        <f>IF(OR(B56="",B56="无"),0,N(C56))</f>
        <v>0</v>
      </c>
    </row>
    <row r="57">
      <c r="B57" s="61" t="str">
        <f>T('参数'!$F$30)</f>
        <v>盘中改计划</v>
      </c>
      <c r="C57" s="58">
        <f>IF(OR(B57="",NOT(AND(ISNUMBER($C$4),ISNUMBER($E$4)))),"",COUNTIFS('例-交易记录'!$Z$5:$Z$304,"&gt;="&amp;$C$4,'例-交易记录'!$Z$5:$Z$304,"&lt;="&amp;$E$4,'例-交易记录'!$AF$5:$AF$304,"已平仓",'例-交易记录'!$AO$5:$AO$304,B57))</f>
        <v>0</v>
      </c>
      <c r="D57" s="58">
        <f>IF(B57="","",COUNTIFS('例-交易记录'!$AF$5:$AF$304,"已平仓",'例-交易记录'!$AO$5:$AO$304,B57))</f>
        <v>0</v>
      </c>
      <c r="E57" s="53">
        <f>IF(B57="","",SUMIFS('例-交易记录'!$AK$5:$AK$304,'例-交易记录'!$AF$5:$AF$304,"已平仓",'例-交易记录'!$AO$5:$AO$304,B57))</f>
        <v>0</v>
      </c>
      <c r="F57" s="38" t="str">
        <f>IF(AND(B57&lt;&gt;"",B57&lt;&gt;"无",N(C57)&gt;0,N(C57)=MAX($L$49:$L$58)),"本区间最多","")</f>
        <v/>
      </c>
      <c r="L57" s="62">
        <f>IF(OR(B57="",B57="无"),0,N(C57))</f>
        <v>0</v>
      </c>
    </row>
    <row r="58">
      <c r="B58" s="61" t="str">
        <f>T('参数'!$F$31)</f>
        <v>其他</v>
      </c>
      <c r="C58" s="58">
        <f>IF(OR(B58="",NOT(AND(ISNUMBER($C$4),ISNUMBER($E$4)))),"",COUNTIFS('例-交易记录'!$Z$5:$Z$304,"&gt;="&amp;$C$4,'例-交易记录'!$Z$5:$Z$304,"&lt;="&amp;$E$4,'例-交易记录'!$AF$5:$AF$304,"已平仓",'例-交易记录'!$AO$5:$AO$304,B58))</f>
        <v>0</v>
      </c>
      <c r="D58" s="58">
        <f>IF(B58="","",COUNTIFS('例-交易记录'!$AF$5:$AF$304,"已平仓",'例-交易记录'!$AO$5:$AO$304,B58))</f>
        <v>0</v>
      </c>
      <c r="E58" s="53">
        <f>IF(B58="","",SUMIFS('例-交易记录'!$AK$5:$AK$304,'例-交易记录'!$AF$5:$AF$304,"已平仓",'例-交易记录'!$AO$5:$AO$304,B58))</f>
        <v>0</v>
      </c>
      <c r="F58" s="38" t="str">
        <f>IF(AND(B58&lt;&gt;"",B58&lt;&gt;"无",N(C58)&gt;0,N(C58)=MAX($L$49:$L$58)),"本区间最多","")</f>
        <v/>
      </c>
      <c r="L58" s="62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5" t="inlineStr">
        <is>
          <t>策略</t>
        </is>
      </c>
      <c r="C61" s="25" t="inlineStr">
        <is>
          <t>笔数</t>
        </is>
      </c>
      <c r="D61" s="25" t="inlineStr">
        <is>
          <t>胜率</t>
        </is>
      </c>
      <c r="E61" s="25" t="inlineStr">
        <is>
          <t>每笔平均净R</t>
        </is>
      </c>
      <c r="F61" s="25" t="inlineStr">
        <is>
          <t>合计净R</t>
        </is>
      </c>
      <c r="G61" s="25" t="inlineStr">
        <is>
          <t>样本</t>
        </is>
      </c>
    </row>
    <row r="62">
      <c r="B62" s="61" t="str">
        <f>T('参数'!$B$22)</f>
        <v>突破</v>
      </c>
      <c r="C62" s="58">
        <f>IF(B62="","",COUNTIFS('例-交易记录'!$AF$5:$AF$304,"已平仓",'例-交易记录'!$E$5:$E$304,B62))</f>
        <v>2</v>
      </c>
      <c r="D62" s="59">
        <f>IF(N(C62)&gt;0,COUNTIFS('例-交易记录'!$AF$5:$AF$304,"已平仓",'例-交易记录'!$E$5:$E$304,B62,'例-交易记录'!$AK$5:$AK$304,"&gt;0")/C62,"")</f>
        <v>1</v>
      </c>
      <c r="E62" s="53">
        <f>IF(N(C62)&gt;0,SUMIFS('例-交易记录'!$AK$5:$AK$304,'例-交易记录'!$AF$5:$AF$304,"已平仓",'例-交易记录'!$E$5:$E$304,B62)/C62,"")</f>
        <v>2.14590878205128</v>
      </c>
      <c r="F62" s="53">
        <f>IF(N(C62)&gt;0,SUMIFS('例-交易记录'!$AK$5:$AK$304,'例-交易记录'!$AF$5:$AF$304,"已平仓",'例-交易记录'!$E$5:$E$304,B62),"")</f>
        <v>4.29181756410256</v>
      </c>
      <c r="G62" s="38" t="str">
        <f>IF(N(C62)=0,"",IF(C62&lt;10,"样本太少",""))</f>
        <v>样本太少</v>
      </c>
    </row>
    <row r="63">
      <c r="B63" s="61" t="str">
        <f>T('参数'!$B$23)</f>
        <v>回踩</v>
      </c>
      <c r="C63" s="58">
        <f>IF(B63="","",COUNTIFS('例-交易记录'!$AF$5:$AF$304,"已平仓",'例-交易记录'!$E$5:$E$304,B63))</f>
        <v>1</v>
      </c>
      <c r="D63" s="59">
        <f>IF(N(C63)&gt;0,COUNTIFS('例-交易记录'!$AF$5:$AF$304,"已平仓",'例-交易记录'!$E$5:$E$304,B63,'例-交易记录'!$AK$5:$AK$304,"&gt;0")/C63,"")</f>
        <v>1</v>
      </c>
      <c r="E63" s="53">
        <f>IF(N(C63)&gt;0,SUMIFS('例-交易记录'!$AK$5:$AK$304,'例-交易记录'!$AF$5:$AF$304,"已平仓",'例-交易记录'!$E$5:$E$304,B63)/C63,"")</f>
        <v>2.84862016304348</v>
      </c>
      <c r="F63" s="53">
        <f>IF(N(C63)&gt;0,SUMIFS('例-交易记录'!$AK$5:$AK$304,'例-交易记录'!$AF$5:$AF$304,"已平仓",'例-交易记录'!$E$5:$E$304,B63),"")</f>
        <v>2.84862016304348</v>
      </c>
      <c r="G63" s="38" t="str">
        <f>IF(N(C63)=0,"",IF(C63&lt;10,"样本太少",""))</f>
        <v>样本太少</v>
      </c>
    </row>
    <row r="64">
      <c r="B64" s="61" t="str">
        <f>T('参数'!$B$24)</f>
        <v>区间反转</v>
      </c>
      <c r="C64" s="58">
        <f>IF(B64="","",COUNTIFS('例-交易记录'!$AF$5:$AF$304,"已平仓",'例-交易记录'!$E$5:$E$304,B64))</f>
        <v>2</v>
      </c>
      <c r="D64" s="59">
        <f>IF(N(C64)&gt;0,COUNTIFS('例-交易记录'!$AF$5:$AF$304,"已平仓",'例-交易记录'!$E$5:$E$304,B64,'例-交易记录'!$AK$5:$AK$304,"&gt;0")/C64,"")</f>
        <v>0</v>
      </c>
      <c r="E64" s="53">
        <f>IF(N(C64)&gt;0,SUMIFS('例-交易记录'!$AK$5:$AK$304,'例-交易记录'!$AF$5:$AF$304,"已平仓",'例-交易记录'!$E$5:$E$304,B64)/C64,"")</f>
        <v>-1.76027</v>
      </c>
      <c r="F64" s="53">
        <f>IF(N(C64)&gt;0,SUMIFS('例-交易记录'!$AK$5:$AK$304,'例-交易记录'!$AF$5:$AF$304,"已平仓",'例-交易记录'!$E$5:$E$304,B64),"")</f>
        <v>-3.52054</v>
      </c>
      <c r="G64" s="38" t="str">
        <f>IF(N(C64)=0,"",IF(C64&lt;10,"样本太少",""))</f>
        <v>样本太少</v>
      </c>
    </row>
    <row r="65">
      <c r="B65" s="61" t="str">
        <f>T('参数'!$B$25)</f>
        <v>趋势跟随</v>
      </c>
      <c r="C65" s="58">
        <f>IF(B65="","",COUNTIFS('例-交易记录'!$AF$5:$AF$304,"已平仓",'例-交易记录'!$E$5:$E$304,B65))</f>
        <v>0</v>
      </c>
      <c r="D65" s="59" t="str">
        <f>IF(N(C65)&gt;0,COUNTIFS('例-交易记录'!$AF$5:$AF$304,"已平仓",'例-交易记录'!$E$5:$E$304,B65,'例-交易记录'!$AK$5:$AK$304,"&gt;0")/C65,"")</f>
        <v/>
      </c>
      <c r="E65" s="53" t="str">
        <f>IF(N(C65)&gt;0,SUMIFS('例-交易记录'!$AK$5:$AK$304,'例-交易记录'!$AF$5:$AF$304,"已平仓",'例-交易记录'!$E$5:$E$304,B65)/C65,"")</f>
        <v/>
      </c>
      <c r="F65" s="53" t="str">
        <f>IF(N(C65)&gt;0,SUMIFS('例-交易记录'!$AK$5:$AK$304,'例-交易记录'!$AF$5:$AF$304,"已平仓",'例-交易记录'!$E$5:$E$304,B65),"")</f>
        <v/>
      </c>
      <c r="G65" s="38" t="str">
        <f>IF(N(C65)=0,"",IF(C65&lt;10,"样本太少",""))</f>
        <v/>
      </c>
    </row>
    <row r="66">
      <c r="B66" s="61" t="str">
        <f>T('参数'!$B$26)</f>
        <v>其他</v>
      </c>
      <c r="C66" s="58">
        <f>IF(B66="","",COUNTIFS('例-交易记录'!$AF$5:$AF$304,"已平仓",'例-交易记录'!$E$5:$E$304,B66))</f>
        <v>0</v>
      </c>
      <c r="D66" s="59" t="str">
        <f>IF(N(C66)&gt;0,COUNTIFS('例-交易记录'!$AF$5:$AF$304,"已平仓",'例-交易记录'!$E$5:$E$304,B66,'例-交易记录'!$AK$5:$AK$304,"&gt;0")/C66,"")</f>
        <v/>
      </c>
      <c r="E66" s="53" t="str">
        <f>IF(N(C66)&gt;0,SUMIFS('例-交易记录'!$AK$5:$AK$304,'例-交易记录'!$AF$5:$AF$304,"已平仓",'例-交易记录'!$E$5:$E$304,B66)/C66,"")</f>
        <v/>
      </c>
      <c r="F66" s="53" t="str">
        <f>IF(N(C66)&gt;0,SUMIFS('例-交易记录'!$AK$5:$AK$304,'例-交易记录'!$AF$5:$AF$304,"已平仓",'例-交易记录'!$E$5:$E$304,B66),"")</f>
        <v/>
      </c>
      <c r="G66" s="38" t="str">
        <f>IF(N(C66)=0,"",IF(C66&lt;10,"样本太少",""))</f>
        <v/>
      </c>
    </row>
    <row r="67">
      <c r="B67" s="61" t="str">
        <f>T('参数'!$B$27)</f>
        <v/>
      </c>
      <c r="C67" s="58" t="str">
        <f>IF(B67="","",COUNTIFS('例-交易记录'!$AF$5:$AF$304,"已平仓",'例-交易记录'!$E$5:$E$304,B67))</f>
        <v/>
      </c>
      <c r="D67" s="59" t="str">
        <f>IF(N(C67)&gt;0,COUNTIFS('例-交易记录'!$AF$5:$AF$304,"已平仓",'例-交易记录'!$E$5:$E$304,B67,'例-交易记录'!$AK$5:$AK$304,"&gt;0")/C67,"")</f>
        <v/>
      </c>
      <c r="E67" s="53" t="str">
        <f>IF(N(C67)&gt;0,SUMIFS('例-交易记录'!$AK$5:$AK$304,'例-交易记录'!$AF$5:$AF$304,"已平仓",'例-交易记录'!$E$5:$E$304,B67)/C67,"")</f>
        <v/>
      </c>
      <c r="F67" s="53" t="str">
        <f>IF(N(C67)&gt;0,SUMIFS('例-交易记录'!$AK$5:$AK$304,'例-交易记录'!$AF$5:$AF$304,"已平仓",'例-交易记录'!$E$5:$E$304,B67),"")</f>
        <v/>
      </c>
      <c r="G67" s="38" t="str">
        <f>IF(N(C67)=0,"",IF(C67&lt;10,"样本太少",""))</f>
        <v/>
      </c>
    </row>
    <row r="68">
      <c r="B68" s="61" t="str">
        <f>T('参数'!$B$28)</f>
        <v/>
      </c>
      <c r="C68" s="58" t="str">
        <f>IF(B68="","",COUNTIFS('例-交易记录'!$AF$5:$AF$304,"已平仓",'例-交易记录'!$E$5:$E$304,B68))</f>
        <v/>
      </c>
      <c r="D68" s="59" t="str">
        <f>IF(N(C68)&gt;0,COUNTIFS('例-交易记录'!$AF$5:$AF$304,"已平仓",'例-交易记录'!$E$5:$E$304,B68,'例-交易记录'!$AK$5:$AK$304,"&gt;0")/C68,"")</f>
        <v/>
      </c>
      <c r="E68" s="53" t="str">
        <f>IF(N(C68)&gt;0,SUMIFS('例-交易记录'!$AK$5:$AK$304,'例-交易记录'!$AF$5:$AF$304,"已平仓",'例-交易记录'!$E$5:$E$304,B68)/C68,"")</f>
        <v/>
      </c>
      <c r="F68" s="53" t="str">
        <f>IF(N(C68)&gt;0,SUMIFS('例-交易记录'!$AK$5:$AK$304,'例-交易记录'!$AF$5:$AF$304,"已平仓",'例-交易记录'!$E$5:$E$304,B68),"")</f>
        <v/>
      </c>
      <c r="G68" s="38" t="str">
        <f>IF(N(C68)=0,"",IF(C68&lt;10,"样本太少",""))</f>
        <v/>
      </c>
    </row>
    <row r="69">
      <c r="B69" s="61" t="str">
        <f>T('参数'!$B$29)</f>
        <v/>
      </c>
      <c r="C69" s="58" t="str">
        <f>IF(B69="","",COUNTIFS('例-交易记录'!$AF$5:$AF$304,"已平仓",'例-交易记录'!$E$5:$E$304,B69))</f>
        <v/>
      </c>
      <c r="D69" s="59" t="str">
        <f>IF(N(C69)&gt;0,COUNTIFS('例-交易记录'!$AF$5:$AF$304,"已平仓",'例-交易记录'!$E$5:$E$304,B69,'例-交易记录'!$AK$5:$AK$304,"&gt;0")/C69,"")</f>
        <v/>
      </c>
      <c r="E69" s="53" t="str">
        <f>IF(N(C69)&gt;0,SUMIFS('例-交易记录'!$AK$5:$AK$304,'例-交易记录'!$AF$5:$AF$304,"已平仓",'例-交易记录'!$E$5:$E$304,B69)/C69,"")</f>
        <v/>
      </c>
      <c r="F69" s="53" t="str">
        <f>IF(N(C69)&gt;0,SUMIFS('例-交易记录'!$AK$5:$AK$304,'例-交易记录'!$AF$5:$AF$304,"已平仓",'例-交易记录'!$E$5:$E$304,B69),"")</f>
        <v/>
      </c>
      <c r="G69" s="38" t="str">
        <f>IF(N(C69)=0,"",IF(C69&lt;10,"样本太少",""))</f>
        <v/>
      </c>
    </row>
    <row r="71">
      <c r="B71" s="25" t="inlineStr">
        <is>
          <t>开仓时段</t>
        </is>
      </c>
      <c r="C71" s="25" t="inlineStr">
        <is>
          <t>笔数</t>
        </is>
      </c>
      <c r="D71" s="25" t="inlineStr">
        <is>
          <t>胜率</t>
        </is>
      </c>
      <c r="E71" s="25" t="inlineStr">
        <is>
          <t>每笔平均净R</t>
        </is>
      </c>
      <c r="F71" s="25" t="inlineStr">
        <is>
          <t>合计净R</t>
        </is>
      </c>
      <c r="G71" s="25" t="inlineStr">
        <is>
          <t>样本</t>
        </is>
      </c>
    </row>
    <row r="72">
      <c r="B72" s="61" t="str">
        <f>T('参数'!$C$39)</f>
        <v>00～04 点</v>
      </c>
      <c r="C72" s="58">
        <f>IF(B72="","",COUNTIFS('例-交易记录'!$AF$5:$AF$304,"已平仓",'例-交易记录'!$AA$5:$AA$304,B72))</f>
        <v>0</v>
      </c>
      <c r="D72" s="59" t="str">
        <f>IF(N(C72)&gt;0,COUNTIFS('例-交易记录'!$AF$5:$AF$304,"已平仓",'例-交易记录'!$AA$5:$AA$304,B72,'例-交易记录'!$AK$5:$AK$304,"&gt;0")/C72,"")</f>
        <v/>
      </c>
      <c r="E72" s="53" t="str">
        <f>IF(N(C72)&gt;0,SUMIFS('例-交易记录'!$AK$5:$AK$304,'例-交易记录'!$AF$5:$AF$304,"已平仓",'例-交易记录'!$AA$5:$AA$304,B72)/C72,"")</f>
        <v/>
      </c>
      <c r="F72" s="53" t="str">
        <f>IF(N(C72)&gt;0,SUMIFS('例-交易记录'!$AK$5:$AK$304,'例-交易记录'!$AF$5:$AF$304,"已平仓",'例-交易记录'!$AA$5:$AA$304,B72),"")</f>
        <v/>
      </c>
      <c r="G72" s="38" t="str">
        <f>IF(N(C72)=0,"",IF(C72&lt;10,"样本太少",""))</f>
        <v/>
      </c>
    </row>
    <row r="73">
      <c r="B73" s="61" t="str">
        <f>T('参数'!$C$40)</f>
        <v>04～08 点</v>
      </c>
      <c r="C73" s="58">
        <f>IF(B73="","",COUNTIFS('例-交易记录'!$AF$5:$AF$304,"已平仓",'例-交易记录'!$AA$5:$AA$304,B73))</f>
        <v>0</v>
      </c>
      <c r="D73" s="59" t="str">
        <f>IF(N(C73)&gt;0,COUNTIFS('例-交易记录'!$AF$5:$AF$304,"已平仓",'例-交易记录'!$AA$5:$AA$304,B73,'例-交易记录'!$AK$5:$AK$304,"&gt;0")/C73,"")</f>
        <v/>
      </c>
      <c r="E73" s="53" t="str">
        <f>IF(N(C73)&gt;0,SUMIFS('例-交易记录'!$AK$5:$AK$304,'例-交易记录'!$AF$5:$AF$304,"已平仓",'例-交易记录'!$AA$5:$AA$304,B73)/C73,"")</f>
        <v/>
      </c>
      <c r="F73" s="53" t="str">
        <f>IF(N(C73)&gt;0,SUMIFS('例-交易记录'!$AK$5:$AK$304,'例-交易记录'!$AF$5:$AF$304,"已平仓",'例-交易记录'!$AA$5:$AA$304,B73),"")</f>
        <v/>
      </c>
      <c r="G73" s="38" t="str">
        <f>IF(N(C73)=0,"",IF(C73&lt;10,"样本太少",""))</f>
        <v/>
      </c>
    </row>
    <row r="74">
      <c r="B74" s="61" t="str">
        <f>T('参数'!$C$41)</f>
        <v>08～12 点</v>
      </c>
      <c r="C74" s="58">
        <f>IF(B74="","",COUNTIFS('例-交易记录'!$AF$5:$AF$304,"已平仓",'例-交易记录'!$AA$5:$AA$304,B74))</f>
        <v>1</v>
      </c>
      <c r="D74" s="59">
        <f>IF(N(C74)&gt;0,COUNTIFS('例-交易记录'!$AF$5:$AF$304,"已平仓",'例-交易记录'!$AA$5:$AA$304,B74,'例-交易记录'!$AK$5:$AK$304,"&gt;0")/C74,"")</f>
        <v>1</v>
      </c>
      <c r="E74" s="53">
        <f>IF(N(C74)&gt;0,SUMIFS('例-交易记录'!$AK$5:$AK$304,'例-交易记录'!$AF$5:$AF$304,"已平仓",'例-交易记录'!$AA$5:$AA$304,B74)/C74,"")</f>
        <v>2.83514256410256</v>
      </c>
      <c r="F74" s="53">
        <f>IF(N(C74)&gt;0,SUMIFS('例-交易记录'!$AK$5:$AK$304,'例-交易记录'!$AF$5:$AF$304,"已平仓",'例-交易记录'!$AA$5:$AA$304,B74),"")</f>
        <v>2.83514256410256</v>
      </c>
      <c r="G74" s="38" t="str">
        <f>IF(N(C74)=0,"",IF(C74&lt;10,"样本太少",""))</f>
        <v>样本太少</v>
      </c>
    </row>
    <row r="75">
      <c r="B75" s="61" t="str">
        <f>T('参数'!$C$42)</f>
        <v>12～16 点</v>
      </c>
      <c r="C75" s="58">
        <f>IF(B75="","",COUNTIFS('例-交易记录'!$AF$5:$AF$304,"已平仓",'例-交易记录'!$AA$5:$AA$304,B75))</f>
        <v>2</v>
      </c>
      <c r="D75" s="59">
        <f>IF(N(C75)&gt;0,COUNTIFS('例-交易记录'!$AF$5:$AF$304,"已平仓",'例-交易记录'!$AA$5:$AA$304,B75,'例-交易记录'!$AK$5:$AK$304,"&gt;0")/C75,"")</f>
        <v>1</v>
      </c>
      <c r="E75" s="53">
        <f>IF(N(C75)&gt;0,SUMIFS('例-交易记录'!$AK$5:$AK$304,'例-交易记录'!$AF$5:$AF$304,"已平仓",'例-交易记录'!$AA$5:$AA$304,B75)/C75,"")</f>
        <v>2.15264758152174</v>
      </c>
      <c r="F75" s="53">
        <f>IF(N(C75)&gt;0,SUMIFS('例-交易记录'!$AK$5:$AK$304,'例-交易记录'!$AF$5:$AF$304,"已平仓",'例-交易记录'!$AA$5:$AA$304,B75),"")</f>
        <v>4.30529516304348</v>
      </c>
      <c r="G75" s="38" t="str">
        <f>IF(N(C75)=0,"",IF(C75&lt;10,"样本太少",""))</f>
        <v>样本太少</v>
      </c>
    </row>
    <row r="76">
      <c r="B76" s="61" t="str">
        <f>T('参数'!$C$43)</f>
        <v>16～20 点</v>
      </c>
      <c r="C76" s="58">
        <f>IF(B76="","",COUNTIFS('例-交易记录'!$AF$5:$AF$304,"已平仓",'例-交易记录'!$AA$5:$AA$304,B76))</f>
        <v>0</v>
      </c>
      <c r="D76" s="59" t="str">
        <f>IF(N(C76)&gt;0,COUNTIFS('例-交易记录'!$AF$5:$AF$304,"已平仓",'例-交易记录'!$AA$5:$AA$304,B76,'例-交易记录'!$AK$5:$AK$304,"&gt;0")/C76,"")</f>
        <v/>
      </c>
      <c r="E76" s="53" t="str">
        <f>IF(N(C76)&gt;0,SUMIFS('例-交易记录'!$AK$5:$AK$304,'例-交易记录'!$AF$5:$AF$304,"已平仓",'例-交易记录'!$AA$5:$AA$304,B76)/C76,"")</f>
        <v/>
      </c>
      <c r="F76" s="53" t="str">
        <f>IF(N(C76)&gt;0,SUMIFS('例-交易记录'!$AK$5:$AK$304,'例-交易记录'!$AF$5:$AF$304,"已平仓",'例-交易记录'!$AA$5:$AA$304,B76),"")</f>
        <v/>
      </c>
      <c r="G76" s="38" t="str">
        <f>IF(N(C76)=0,"",IF(C76&lt;10,"样本太少",""))</f>
        <v/>
      </c>
    </row>
    <row r="77">
      <c r="B77" s="61" t="str">
        <f>T('参数'!$C$44)</f>
        <v>20～24 点</v>
      </c>
      <c r="C77" s="58">
        <f>IF(B77="","",COUNTIFS('例-交易记录'!$AF$5:$AF$304,"已平仓",'例-交易记录'!$AA$5:$AA$304,B77))</f>
        <v>2</v>
      </c>
      <c r="D77" s="59">
        <f>IF(N(C77)&gt;0,COUNTIFS('例-交易记录'!$AF$5:$AF$304,"已平仓",'例-交易记录'!$AA$5:$AA$304,B77,'例-交易记录'!$AK$5:$AK$304,"&gt;0")/C77,"")</f>
        <v>0</v>
      </c>
      <c r="E77" s="53">
        <f>IF(N(C77)&gt;0,SUMIFS('例-交易记录'!$AK$5:$AK$304,'例-交易记录'!$AF$5:$AF$304,"已平仓",'例-交易记录'!$AA$5:$AA$304,B77)/C77,"")</f>
        <v>-1.76027</v>
      </c>
      <c r="F77" s="53">
        <f>IF(N(C77)&gt;0,SUMIFS('例-交易记录'!$AK$5:$AK$304,'例-交易记录'!$AF$5:$AF$304,"已平仓",'例-交易记录'!$AA$5:$AA$304,B77),"")</f>
        <v>-3.52054</v>
      </c>
      <c r="G77" s="38" t="str">
        <f>IF(N(C77)=0,"",IF(C77&lt;10,"样本太少",""))</f>
        <v>样本太少</v>
      </c>
    </row>
    <row r="78">
      <c r="B78" s="61" t="str">
        <f>T('参数'!$C$45)</f>
        <v/>
      </c>
      <c r="C78" s="58" t="str">
        <f>IF(B78="","",COUNTIFS('例-交易记录'!$AF$5:$AF$304,"已平仓",'例-交易记录'!$AA$5:$AA$304,B78))</f>
        <v/>
      </c>
      <c r="D78" s="59" t="str">
        <f>IF(N(C78)&gt;0,COUNTIFS('例-交易记录'!$AF$5:$AF$304,"已平仓",'例-交易记录'!$AA$5:$AA$304,B78,'例-交易记录'!$AK$5:$AK$304,"&gt;0")/C78,"")</f>
        <v/>
      </c>
      <c r="E78" s="53" t="str">
        <f>IF(N(C78)&gt;0,SUMIFS('例-交易记录'!$AK$5:$AK$304,'例-交易记录'!$AF$5:$AF$304,"已平仓",'例-交易记录'!$AA$5:$AA$304,B78)/C78,"")</f>
        <v/>
      </c>
      <c r="F78" s="53" t="str">
        <f>IF(N(C78)&gt;0,SUMIFS('例-交易记录'!$AK$5:$AK$304,'例-交易记录'!$AF$5:$AF$304,"已平仓",'例-交易记录'!$AA$5:$AA$304,B78),"")</f>
        <v/>
      </c>
      <c r="G78" s="38" t="str">
        <f>IF(N(C78)=0,"",IF(C78&lt;10,"样本太少",""))</f>
        <v/>
      </c>
    </row>
    <row r="79">
      <c r="B79" s="61" t="str">
        <f>T('参数'!$C$46)</f>
        <v/>
      </c>
      <c r="C79" s="58" t="str">
        <f>IF(B79="","",COUNTIFS('例-交易记录'!$AF$5:$AF$304,"已平仓",'例-交易记录'!$AA$5:$AA$304,B79))</f>
        <v/>
      </c>
      <c r="D79" s="59" t="str">
        <f>IF(N(C79)&gt;0,COUNTIFS('例-交易记录'!$AF$5:$AF$304,"已平仓",'例-交易记录'!$AA$5:$AA$304,B79,'例-交易记录'!$AK$5:$AK$304,"&gt;0")/C79,"")</f>
        <v/>
      </c>
      <c r="E79" s="53" t="str">
        <f>IF(N(C79)&gt;0,SUMIFS('例-交易记录'!$AK$5:$AK$304,'例-交易记录'!$AF$5:$AF$304,"已平仓",'例-交易记录'!$AA$5:$AA$304,B79)/C79,"")</f>
        <v/>
      </c>
      <c r="F79" s="53" t="str">
        <f>IF(N(C79)&gt;0,SUMIFS('例-交易记录'!$AK$5:$AK$304,'例-交易记录'!$AF$5:$AF$304,"已平仓",'例-交易记录'!$AA$5:$AA$304,B79),"")</f>
        <v/>
      </c>
      <c r="G79" s="38" t="str">
        <f>IF(N(C79)=0,"",IF(C79&lt;10,"样本太少",""))</f>
        <v/>
      </c>
    </row>
    <row r="81">
      <c r="B81" s="25" t="inlineStr">
        <is>
          <t>现货还是合约</t>
        </is>
      </c>
      <c r="C81" s="25" t="inlineStr">
        <is>
          <t>笔数</t>
        </is>
      </c>
      <c r="D81" s="25" t="inlineStr">
        <is>
          <t>胜率</t>
        </is>
      </c>
      <c r="E81" s="25" t="inlineStr">
        <is>
          <t>每笔平均净R</t>
        </is>
      </c>
      <c r="F81" s="25" t="inlineStr">
        <is>
          <t>合计净R</t>
        </is>
      </c>
      <c r="G81" s="25" t="inlineStr">
        <is>
          <t>样本</t>
        </is>
      </c>
    </row>
    <row r="82">
      <c r="B82" s="61" t="str">
        <f>T('参数'!$I$22)</f>
        <v>现货</v>
      </c>
      <c r="C82" s="58">
        <f>IF(B82="","",COUNTIFS('例-交易记录'!$AF$5:$AF$304,"已平仓",'例-交易记录'!$D$5:$D$304,B82))</f>
        <v>1</v>
      </c>
      <c r="D82" s="59">
        <f>IF(N(C82)&gt;0,COUNTIFS('例-交易记录'!$AF$5:$AF$304,"已平仓",'例-交易记录'!$D$5:$D$304,B82,'例-交易记录'!$AK$5:$AK$304,"&gt;0")/C82,"")</f>
        <v>1</v>
      </c>
      <c r="E82" s="53">
        <f>IF(N(C82)&gt;0,SUMIFS('例-交易记录'!$AK$5:$AK$304,'例-交易记录'!$AF$5:$AF$304,"已平仓",'例-交易记录'!$D$5:$D$304,B82)/C82,"")</f>
        <v>2.83514256410256</v>
      </c>
      <c r="F82" s="53">
        <f>IF(N(C82)&gt;0,SUMIFS('例-交易记录'!$AK$5:$AK$304,'例-交易记录'!$AF$5:$AF$304,"已平仓",'例-交易记录'!$D$5:$D$304,B82),"")</f>
        <v>2.83514256410256</v>
      </c>
      <c r="G82" s="38" t="str">
        <f>IF(N(C82)=0,"",IF(C82&lt;10,"样本太少",""))</f>
        <v>样本太少</v>
      </c>
    </row>
    <row r="83">
      <c r="B83" s="61" t="str">
        <f>T('参数'!$I$23)</f>
        <v>合约</v>
      </c>
      <c r="C83" s="58">
        <f>IF(B83="","",COUNTIFS('例-交易记录'!$AF$5:$AF$304,"已平仓",'例-交易记录'!$D$5:$D$304,B83))</f>
        <v>4</v>
      </c>
      <c r="D83" s="59">
        <f>IF(N(C83)&gt;0,COUNTIFS('例-交易记录'!$AF$5:$AF$304,"已平仓",'例-交易记录'!$D$5:$D$304,B83,'例-交易记录'!$AK$5:$AK$304,"&gt;0")/C83,"")</f>
        <v>0.5</v>
      </c>
      <c r="E83" s="53">
        <f>IF(N(C83)&gt;0,SUMIFS('例-交易记录'!$AK$5:$AK$304,'例-交易记录'!$AF$5:$AF$304,"已平仓",'例-交易记录'!$D$5:$D$304,B83)/C83,"")</f>
        <v>0.19618879076087</v>
      </c>
      <c r="F83" s="53">
        <f>IF(N(C83)&gt;0,SUMIFS('例-交易记录'!$AK$5:$AK$304,'例-交易记录'!$AF$5:$AF$304,"已平仓",'例-交易记录'!$D$5:$D$304,B83),"")</f>
        <v>0.784755163043478</v>
      </c>
      <c r="G83" s="38" t="str">
        <f>IF(N(C83)=0,"",IF(C83&lt;10,"样本太少",""))</f>
        <v>样本太少</v>
      </c>
    </row>
    <row r="85">
      <c r="B85" s="15" t="inlineStr">
        <is>
          <t>5. 下周只改一处</t>
        </is>
      </c>
    </row>
    <row r="86" ht="34" customHeight="1">
      <c r="B86" s="54" t="inlineStr">
        <is>
          <t>本区间最多的偏差是什么，发生在什么情况下</t>
        </is>
      </c>
      <c r="C86" s="30" t="inlineStr">
        <is>
          <t>两笔 C 档：5 日追单赚了，7 日空单破止损没走，扛到第二天，亏了 2R 多。</t>
        </is>
      </c>
      <c r="D86" s="30" t="n"/>
      <c r="E86" s="30" t="n"/>
      <c r="F86" s="30" t="n"/>
      <c r="G86" s="30" t="n"/>
      <c r="H86" s="30" t="n"/>
      <c r="I86" s="30" t="n"/>
      <c r="J86" s="30" t="n"/>
    </row>
    <row r="87" ht="34" customHeight="1">
      <c r="B87" s="54" t="inlineStr">
        <is>
          <t>下周只练的一个动作（写成能检查的规则）</t>
        </is>
      </c>
      <c r="C87" s="30" t="inlineStr">
        <is>
          <t>合约开仓时把止损单一起挂上，不挂不开。</t>
        </is>
      </c>
      <c r="D87" s="30" t="n"/>
      <c r="E87" s="30" t="n"/>
      <c r="F87" s="30" t="n"/>
      <c r="G87" s="30" t="n"/>
      <c r="H87" s="30" t="n"/>
      <c r="I87" s="30" t="n"/>
      <c r="J87" s="30" t="n"/>
    </row>
    <row r="88" ht="34" customHeight="1">
      <c r="B88" s="54" t="inlineStr">
        <is>
          <t>下周不做的情况</t>
        </is>
      </c>
      <c r="C88" s="30" t="inlineStr">
        <is>
          <t>强平检查标红的单不做；杠杆不超过 10 倍。</t>
        </is>
      </c>
      <c r="D88" s="30" t="n"/>
      <c r="E88" s="30" t="n"/>
      <c r="F88" s="30" t="n"/>
      <c r="G88" s="30" t="n"/>
      <c r="H88" s="30" t="n"/>
      <c r="I88" s="30" t="n"/>
      <c r="J88" s="30" t="n"/>
    </row>
    <row r="89" ht="34" customHeight="1">
      <c r="B89" s="54" t="inlineStr">
        <is>
          <t>上一次定的那一处，这次做到了吗</t>
        </is>
      </c>
      <c r="C89" s="30" t="inlineStr">
        <is>
          <t>上周定的是「下单前看强平价」：3 日那笔 20 倍的看到了、放弃了，做到了。</t>
        </is>
      </c>
      <c r="D89" s="30" t="n"/>
      <c r="E89" s="30" t="n"/>
      <c r="F89" s="30" t="n"/>
      <c r="G89" s="30" t="n"/>
      <c r="H89" s="30" t="n"/>
      <c r="I89" s="30" t="n"/>
      <c r="J89" s="30" t="n"/>
    </row>
  </sheetData>
  <mergeCells count="45">
    <mergeCell ref="E19:J19"/>
    <mergeCell ref="C86:J86"/>
    <mergeCell ref="E28:J28"/>
    <mergeCell ref="E40:J40"/>
    <mergeCell ref="I11:J11"/>
    <mergeCell ref="E31:J31"/>
    <mergeCell ref="C89:J89"/>
    <mergeCell ref="E34:J34"/>
    <mergeCell ref="E30:J30"/>
    <mergeCell ref="C88:J88"/>
    <mergeCell ref="E36:J36"/>
    <mergeCell ref="I7:J7"/>
    <mergeCell ref="E27:J27"/>
    <mergeCell ref="E45:J45"/>
    <mergeCell ref="E26:J26"/>
    <mergeCell ref="E44:J44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  <mergeCell ref="C87:J87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79">
    <cfRule type="cellIs" priority="27" operator="greaterThan" dxfId="0">
      <formula>0</formula>
    </cfRule>
    <cfRule type="cellIs" priority="28" operator="lessThan" dxfId="1">
      <formula>0</formula>
    </cfRule>
  </conditionalFormatting>
  <conditionalFormatting sqref="E82:F83">
    <cfRule type="cellIs" priority="29" operator="greaterThan" dxfId="0">
      <formula>0</formula>
    </cfRule>
    <cfRule type="cellIs" priority="30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trade1469.com/templates/crypto-journal/?src=tpl-crypto&amp;R&amp;"Microsoft YaHei"&amp;8 第 &amp;P 页，共 &amp;N 页</oddFooter>
    <evenHeader/>
    <evenFooter>&amp;L&amp;"Microsoft YaHei"&amp;8 TradeLearn · XtradingTime 交易内训&amp;C&amp;"Microsoft YaHei"&amp;8 trade1469.com/templates/crypto-journal/?src=tpl-crypto&amp;R&amp;"Microsoft YaHei"&amp;8 第 &amp;P 页，共 &amp;N 页</evenFooter>
    <firstHeader/>
    <firstFooter/>
  </headerFooter>
  <rowBreaks count="1" manualBreakCount="1">
    <brk id="59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加密货币交易日志</dc:title>
  <dc:subject xmlns:dc="http://purl.org/dc/elements/1.1/">加密货币交易日志：现货与合约、杠杆、强平价估算、资金费流水与周复盘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2026-10-13T09:13:37Z</dcterms:modified>
  <cp:keywords>加密货币交易日志, 合约交易记录表, 资金费率记录, 复盘模板</cp:keywords>
</cp:coreProperties>
</file>