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参数" sheetId="2" state="visible" r:id="rId2"/>
    <sheet xmlns:r="http://schemas.openxmlformats.org/officeDocument/2006/relationships" name="每日复盘" sheetId="3" state="visible" r:id="rId3"/>
    <sheet xmlns:r="http://schemas.openxmlformats.org/officeDocument/2006/relationships" name="主线与计划" sheetId="4" state="visible" r:id="rId4"/>
    <sheet xmlns:r="http://schemas.openxmlformats.org/officeDocument/2006/relationships" name="交易记录" sheetId="5" state="visible" r:id="rId5"/>
    <sheet xmlns:r="http://schemas.openxmlformats.org/officeDocument/2006/relationships" name="成交明细" sheetId="6" state="visible" r:id="rId6"/>
    <sheet xmlns:r="http://schemas.openxmlformats.org/officeDocument/2006/relationships" name="周复盘" sheetId="7" state="visible" r:id="rId7"/>
    <sheet xmlns:r="http://schemas.openxmlformats.org/officeDocument/2006/relationships" name="例-每日复盘" sheetId="8" state="visible" r:id="rId8"/>
    <sheet xmlns:r="http://schemas.openxmlformats.org/officeDocument/2006/relationships" name="例-主线与计划" sheetId="9" state="visible" r:id="rId9"/>
    <sheet xmlns:r="http://schemas.openxmlformats.org/officeDocument/2006/relationships" name="例-交易记录" sheetId="10" state="visible" r:id="rId10"/>
    <sheet xmlns:r="http://schemas.openxmlformats.org/officeDocument/2006/relationships" name="例-成交明细" sheetId="11" state="visible" r:id="rId11"/>
    <sheet xmlns:r="http://schemas.openxmlformats.org/officeDocument/2006/relationships" name="例-周复盘" sheetId="12" state="visible" r:id="rId12"/>
  </sheets>
  <definedNames>
    <definedName name="_xlnm.Print_Area" localSheetId="0">'使用说明'!$A$1:$D$62</definedName>
    <definedName name="_xlnm.Print_Area" localSheetId="1">'参数'!$A$1:$K$80</definedName>
    <definedName name="_xlnm.Print_Titles" localSheetId="2">'每日复盘'!$3:$4</definedName>
    <definedName name="_xlnm.Print_Area" localSheetId="2">'每日复盘'!$A$1:$AB$34</definedName>
    <definedName name="_xlnm.Print_Titles" localSheetId="3">'主线与计划'!$3:$4</definedName>
    <definedName name="_xlnm.Print_Area" localSheetId="3">'主线与计划'!$A$1:$S$34</definedName>
    <definedName name="_xlnm.Print_Titles" localSheetId="4">'交易记录'!$3:$4,'交易记录'!$A:$C</definedName>
    <definedName name="_xlnm.Print_Area" localSheetId="4">'交易记录'!$A$1:$AH$29</definedName>
    <definedName name="_xlnm.Print_Titles" localSheetId="5">'成交明细'!$3:$4</definedName>
    <definedName name="_xlnm.Print_Area" localSheetId="5">'成交明细'!$A$1:$O$29</definedName>
    <definedName name="_xlnm.Print_Area" localSheetId="6">'周复盘'!$A$1:$J$80</definedName>
    <definedName name="_xlnm.Print_Titles" localSheetId="7">'例-每日复盘'!$3:$4</definedName>
    <definedName name="_xlnm.Print_Area" localSheetId="7">'例-每日复盘'!$A$1:$AB$15</definedName>
    <definedName name="_xlnm.Print_Titles" localSheetId="8">'例-主线与计划'!$3:$4</definedName>
    <definedName name="_xlnm.Print_Area" localSheetId="8">'例-主线与计划'!$A$1:$S$15</definedName>
    <definedName name="_xlnm.Print_Titles" localSheetId="9">'例-交易记录'!$3:$4,'例-交易记录'!$A:$C</definedName>
    <definedName name="_xlnm.Print_Area" localSheetId="9">'例-交易记录'!$A$1:$AH$13</definedName>
    <definedName name="_xlnm.Print_Titles" localSheetId="10">'例-成交明细'!$3:$4</definedName>
    <definedName name="_xlnm.Print_Area" localSheetId="10">'例-成交明细'!$A$1:$O$17</definedName>
    <definedName name="_xlnm.Print_Area" localSheetId="11">'例-周复盘'!$A$1:$J$97</definedName>
  </definedNames>
  <calcPr calcId="124519" fullCalcOnLoad="1"/>
</workbook>
</file>

<file path=xl/styles.xml><?xml version="1.0" encoding="utf-8"?>
<styleSheet xmlns="http://schemas.openxmlformats.org/spreadsheetml/2006/main">
  <numFmts count="12">
    <numFmt numFmtId="164" formatCode="0.0%"/>
    <numFmt numFmtId="165" formatCode="0.0"/>
    <numFmt numFmtId="166" formatCode="0.000%"/>
    <numFmt numFmtId="167" formatCode="0.0000%"/>
    <numFmt numFmtId="168" formatCode="yyyy-mm-dd"/>
    <numFmt numFmtId="169" formatCode="+0.00%;-0.00%;0.00%"/>
    <numFmt numFmtId="170" formatCode="+0.0%;-0.0%;0.0%"/>
    <numFmt numFmtId="171" formatCode="+0.00&quot;R&quot;;-0.00&quot;R&quot;;0.00&quot;R&quot;"/>
    <numFmt numFmtId="172" formatCode="0.000"/>
    <numFmt numFmtId="173" formatCode="+#,##0.00;-#,##0.00;0.00"/>
    <numFmt numFmtId="174" formatCode="+0.00;-0.00;0.00"/>
    <numFmt numFmtId="175" formatCode="0.00&quot;R&quot;"/>
  </numFmts>
  <fonts count="17">
    <font>
      <name val="Calibri"/>
      <family val="2"/>
      <color theme="1"/>
      <sz val="11"/>
      <scheme val="minor"/>
    </font>
    <font>
      <name val="Microsoft YaHei"/>
      <b val="1"/>
      <color rgb="009D4616"/>
      <sz val="18"/>
    </font>
    <font>
      <name val="Microsoft YaHei"/>
      <color rgb="005E574D"/>
      <sz val="9"/>
    </font>
    <font>
      <name val="Microsoft YaHei"/>
      <b val="1"/>
      <color rgb="009D4616"/>
      <sz val="12"/>
    </font>
    <font>
      <name val="Microsoft YaHei"/>
      <color rgb="001F1B16"/>
      <sz val="10"/>
    </font>
    <font>
      <name val="Microsoft YaHei"/>
      <b val="1"/>
      <color rgb="00FFFFFF"/>
      <sz val="9"/>
    </font>
    <font>
      <name val="Microsoft YaHei"/>
      <b val="1"/>
      <color rgb="001F1B16"/>
      <sz val="10"/>
    </font>
    <font>
      <name val="Microsoft YaHei"/>
      <color rgb="000000FF"/>
      <sz val="10"/>
      <u val="single"/>
    </font>
    <font>
      <name val="Microsoft YaHei"/>
      <color rgb="005E574D"/>
      <sz val="10"/>
    </font>
    <font>
      <name val="Microsoft YaHei"/>
      <b val="1"/>
      <color rgb="009D4616"/>
      <sz val="15"/>
    </font>
    <font>
      <name val="Microsoft YaHei"/>
      <color rgb="005E574D"/>
      <sz val="8"/>
    </font>
    <font>
      <name val="Microsoft YaHei"/>
      <b val="1"/>
      <color rgb="009D4616"/>
      <sz val="11"/>
    </font>
    <font>
      <name val="Microsoft YaHei"/>
      <color rgb="000000FF"/>
      <sz val="10"/>
    </font>
    <font>
      <name val="Microsoft YaHei"/>
      <b val="1"/>
      <color rgb="007C350E"/>
      <sz val="9"/>
    </font>
    <font>
      <name val="Microsoft YaHei"/>
      <color rgb="00008000"/>
      <sz val="10"/>
    </font>
    <font>
      <name val="Microsoft YaHei"/>
      <color rgb="00008000"/>
      <sz val="9"/>
    </font>
    <font>
      <name val="Microsoft YaHei"/>
      <b val="1"/>
      <color rgb="007C350E"/>
      <sz val="10"/>
    </font>
  </fonts>
  <fills count="6">
    <fill>
      <patternFill/>
    </fill>
    <fill>
      <patternFill patternType="gray125"/>
    </fill>
    <fill>
      <patternFill patternType="solid">
        <fgColor rgb="009D4616"/>
        <bgColor rgb="009D4616"/>
      </patternFill>
    </fill>
    <fill>
      <patternFill patternType="solid">
        <fgColor rgb="00F3EFE8"/>
        <bgColor rgb="00F3EFE8"/>
      </patternFill>
    </fill>
    <fill>
      <patternFill patternType="solid">
        <fgColor rgb="00EFE3D3"/>
        <bgColor rgb="00EFE3D3"/>
      </patternFill>
    </fill>
    <fill>
      <patternFill patternType="solid">
        <fgColor rgb="00FBE3D2"/>
        <bgColor rgb="00FBE3D2"/>
      </patternFill>
    </fill>
  </fills>
  <borders count="4">
    <border>
      <left/>
      <right/>
      <top/>
      <bottom/>
      <diagonal/>
    </border>
    <border>
      <bottom style="thin">
        <color rgb="009D4616"/>
      </bottom>
    </border>
    <border>
      <left style="thin">
        <color rgb="00D9CFBF"/>
      </left>
      <right style="thin">
        <color rgb="00D9CFBF"/>
      </right>
      <top style="thin">
        <color rgb="00D9CFBF"/>
      </top>
      <bottom style="thin">
        <color rgb="00D9CFBF"/>
      </bottom>
    </border>
    <border/>
  </borders>
  <cellStyleXfs count="1">
    <xf numFmtId="0" fontId="0" fillId="0" borderId="0"/>
  </cellStyleXfs>
  <cellXfs count="6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bottom"/>
    </xf>
    <xf numFmtId="0" fontId="0" fillId="0" borderId="1" pivotButton="0" quotePrefix="0" xfId="0"/>
    <xf numFmtId="0" fontId="4" fillId="0" borderId="0" applyAlignment="1" pivotButton="0" quotePrefix="0" xfId="0">
      <alignment horizontal="left" vertical="top" wrapText="1"/>
    </xf>
    <xf numFmtId="0" fontId="5" fillId="2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left" vertical="top" wrapText="1"/>
    </xf>
    <xf numFmtId="0" fontId="4" fillId="0" borderId="2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9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right" vertical="center"/>
    </xf>
    <xf numFmtId="0" fontId="11" fillId="0" borderId="0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 wrapText="1"/>
    </xf>
    <xf numFmtId="3" fontId="12" fillId="0" borderId="2" applyAlignment="1" pivotButton="0" quotePrefix="0" xfId="0">
      <alignment horizontal="center" vertical="center"/>
    </xf>
    <xf numFmtId="164" fontId="12" fillId="0" borderId="2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4" fontId="4" fillId="3" borderId="2" applyAlignment="1" pivotButton="0" quotePrefix="0" xfId="0">
      <alignment horizontal="center" vertical="center"/>
    </xf>
    <xf numFmtId="4" fontId="12" fillId="0" borderId="2" applyAlignment="1" pivotButton="0" quotePrefix="0" xfId="0">
      <alignment horizontal="center" vertical="center"/>
    </xf>
    <xf numFmtId="165" fontId="12" fillId="0" borderId="2" applyAlignment="1" pivotButton="0" quotePrefix="0" xfId="0">
      <alignment horizontal="center" vertical="center"/>
    </xf>
    <xf numFmtId="166" fontId="12" fillId="0" borderId="2" applyAlignment="1" pivotButton="0" quotePrefix="0" xfId="0">
      <alignment horizontal="center" vertical="center"/>
    </xf>
    <xf numFmtId="167" fontId="12" fillId="0" borderId="2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 wrapText="1"/>
    </xf>
    <xf numFmtId="0" fontId="12" fillId="0" borderId="2" applyAlignment="1" pivotButton="0" quotePrefix="0" xfId="0">
      <alignment horizontal="left" vertical="center"/>
    </xf>
    <xf numFmtId="0" fontId="12" fillId="0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left" vertical="center"/>
    </xf>
    <xf numFmtId="0" fontId="4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168" fontId="12" fillId="0" borderId="2" applyAlignment="1" pivotButton="0" quotePrefix="0" xfId="0">
      <alignment horizontal="center" vertical="center"/>
    </xf>
    <xf numFmtId="0" fontId="12" fillId="0" borderId="2" applyAlignment="1" pivotButton="0" quotePrefix="0" xfId="0">
      <alignment horizontal="left" vertical="center" wrapText="1"/>
    </xf>
    <xf numFmtId="0" fontId="13" fillId="4" borderId="2" applyAlignment="1" pivotButton="0" quotePrefix="0" xfId="0">
      <alignment horizontal="center" vertical="center"/>
    </xf>
    <xf numFmtId="0" fontId="10" fillId="0" borderId="0" pivotButton="0" quotePrefix="0" xfId="0"/>
    <xf numFmtId="0" fontId="5" fillId="0" borderId="3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/>
    </xf>
    <xf numFmtId="169" fontId="12" fillId="0" borderId="2" applyAlignment="1" pivotButton="0" quotePrefix="0" xfId="0">
      <alignment horizontal="center" vertical="center"/>
    </xf>
    <xf numFmtId="170" fontId="4" fillId="3" borderId="2" applyAlignment="1" pivotButton="0" quotePrefix="0" xfId="0">
      <alignment horizontal="center" vertical="center"/>
    </xf>
    <xf numFmtId="164" fontId="4" fillId="3" borderId="2" applyAlignment="1" pivotButton="0" quotePrefix="0" xfId="0">
      <alignment horizontal="center" vertical="center"/>
    </xf>
    <xf numFmtId="1" fontId="4" fillId="3" borderId="2" applyAlignment="1" pivotButton="0" quotePrefix="0" xfId="0">
      <alignment horizontal="center" vertical="center"/>
    </xf>
    <xf numFmtId="0" fontId="4" fillId="3" borderId="2" applyAlignment="1" pivotButton="0" quotePrefix="0" xfId="0">
      <alignment horizontal="left" vertical="center" shrinkToFit="1"/>
    </xf>
    <xf numFmtId="168" fontId="14" fillId="3" borderId="2" applyAlignment="1" pivotButton="0" quotePrefix="0" xfId="0">
      <alignment horizontal="center" vertical="center"/>
    </xf>
    <xf numFmtId="0" fontId="14" fillId="3" borderId="2" applyAlignment="1" pivotButton="0" quotePrefix="0" xfId="0">
      <alignment horizontal="center" vertical="center"/>
    </xf>
    <xf numFmtId="3" fontId="14" fillId="3" borderId="2" applyAlignment="1" pivotButton="0" quotePrefix="0" xfId="0">
      <alignment horizontal="center" vertical="center"/>
    </xf>
    <xf numFmtId="171" fontId="14" fillId="3" borderId="2" applyAlignment="1" pivotButton="0" quotePrefix="0" xfId="0">
      <alignment horizontal="center" vertical="center"/>
    </xf>
    <xf numFmtId="1" fontId="12" fillId="0" borderId="2" applyAlignment="1" pivotButton="0" quotePrefix="0" xfId="0">
      <alignment horizontal="center" vertical="center"/>
    </xf>
    <xf numFmtId="164" fontId="14" fillId="3" borderId="2" applyAlignment="1" pivotButton="0" quotePrefix="0" xfId="0">
      <alignment horizontal="center" vertical="center"/>
    </xf>
    <xf numFmtId="2" fontId="12" fillId="0" borderId="2" applyAlignment="1" pivotButton="0" quotePrefix="0" xfId="0">
      <alignment horizontal="center" vertical="center"/>
    </xf>
    <xf numFmtId="165" fontId="4" fillId="3" borderId="2" applyAlignment="1" pivotButton="0" quotePrefix="0" xfId="0">
      <alignment horizontal="center" vertical="center"/>
    </xf>
    <xf numFmtId="172" fontId="14" fillId="3" borderId="2" applyAlignment="1" pivotButton="0" quotePrefix="0" xfId="0">
      <alignment horizontal="center" vertical="center"/>
    </xf>
    <xf numFmtId="4" fontId="14" fillId="3" borderId="2" applyAlignment="1" pivotButton="0" quotePrefix="0" xfId="0">
      <alignment horizontal="center" vertical="center"/>
    </xf>
    <xf numFmtId="173" fontId="14" fillId="3" borderId="2" applyAlignment="1" pivotButton="0" quotePrefix="0" xfId="0">
      <alignment horizontal="center" vertical="center"/>
    </xf>
    <xf numFmtId="171" fontId="4" fillId="3" borderId="2" applyAlignment="1" pivotButton="0" quotePrefix="0" xfId="0">
      <alignment horizontal="center" vertical="center"/>
    </xf>
    <xf numFmtId="174" fontId="4" fillId="3" borderId="2" applyAlignment="1" pivotButton="0" quotePrefix="0" xfId="0">
      <alignment horizontal="center" vertical="center"/>
    </xf>
    <xf numFmtId="175" fontId="4" fillId="3" borderId="2" applyAlignment="1" pivotButton="0" quotePrefix="0" xfId="0">
      <alignment horizontal="center" vertical="center"/>
    </xf>
    <xf numFmtId="172" fontId="12" fillId="0" borderId="2" applyAlignment="1" pivotButton="0" quotePrefix="0" xfId="0">
      <alignment horizontal="center" vertical="center"/>
    </xf>
    <xf numFmtId="168" fontId="4" fillId="3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center" vertical="center"/>
    </xf>
    <xf numFmtId="0" fontId="15" fillId="3" borderId="2" applyAlignment="1" pivotButton="0" quotePrefix="0" xfId="0">
      <alignment horizontal="center" vertical="center" wrapText="1"/>
    </xf>
    <xf numFmtId="175" fontId="14" fillId="3" borderId="2" applyAlignment="1" pivotButton="0" quotePrefix="0" xfId="0">
      <alignment horizontal="center" vertical="center"/>
    </xf>
    <xf numFmtId="0" fontId="14" fillId="3" borderId="2" applyAlignment="1" pivotButton="0" quotePrefix="0" xfId="0">
      <alignment horizontal="left" vertical="center"/>
    </xf>
    <xf numFmtId="0" fontId="16" fillId="5" borderId="0" applyAlignment="1" pivotButton="0" quotePrefix="0" xfId="0">
      <alignment horizontal="left" vertical="center"/>
    </xf>
  </cellXfs>
  <cellStyles count="1">
    <cellStyle name="Normal" xfId="0" builtinId="0" hidden="0"/>
  </cellStyles>
  <dxfs count="9">
    <dxf>
      <font>
        <color rgb="00C0392B"/>
      </font>
    </dxf>
    <dxf>
      <font>
        <color rgb="001E8449"/>
      </font>
    </dxf>
    <dxf>
      <font>
        <b val="1"/>
        <color rgb="007C350E"/>
      </font>
      <fill>
        <patternFill patternType="solid">
          <fgColor rgb="00F2C9A5"/>
          <bgColor rgb="00F2C9A5"/>
        </patternFill>
      </fill>
    </dxf>
    <dxf>
      <fill>
        <patternFill patternType="solid">
          <fgColor rgb="00FBE6D3"/>
          <bgColor rgb="00FBE6D3"/>
        </patternFill>
      </fill>
    </dxf>
    <dxf>
      <fill>
        <patternFill patternType="solid">
          <fgColor rgb="00FFF4D6"/>
          <bgColor rgb="00FFF4D6"/>
        </patternFill>
      </fill>
    </dxf>
    <dxf>
      <font>
        <b val="1"/>
        <color rgb="00C0392B"/>
      </font>
      <fill>
        <patternFill patternType="solid">
          <fgColor rgb="00F6C7BE"/>
          <bgColor rgb="00F6C7BE"/>
        </patternFill>
      </fill>
    </dxf>
    <dxf>
      <fill>
        <patternFill patternType="solid">
          <fgColor rgb="00FCE9C8"/>
          <bgColor rgb="00FCE9C8"/>
        </patternFill>
      </fill>
    </dxf>
    <dxf>
      <fill>
        <patternFill patternType="solid">
          <fgColor rgb="00F6C7BE"/>
          <bgColor rgb="00F6C7BE"/>
        </patternFill>
      </fill>
    </dxf>
    <dxf>
      <fill>
        <patternFill patternType="solid">
          <fgColor rgb="00FFE08A"/>
          <bgColor rgb="00FFE0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累计净R（按交易记录顺序）</a:t>
            </a:r>
          </a:p>
        </rich>
      </tx>
    </title>
    <plotArea>
      <lineChart>
        <grouping val="standard"/>
        <ser>
          <idx val="0"/>
          <order val="0"/>
          <tx>
            <strRef>
              <f>'例-交易记录'!AG4</f>
            </strRef>
          </tx>
          <spPr>
            <a:ln xmlns:a="http://schemas.openxmlformats.org/drawingml/2006/main" w="28575">
              <a:solidFill>
                <a:srgbClr val="9D4616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9D4616"/>
              </a:solidFill>
              <a:ln xmlns:a="http://schemas.openxmlformats.org/drawingml/2006/main">
                <a:solidFill>
                  <a:srgbClr val="9D4616"/>
                </a:solidFill>
                <a:prstDash val="solid"/>
              </a:ln>
            </spPr>
          </marker>
          <cat>
            <numRef>
              <f>'例-交易记录'!$A$5:$A$12</f>
            </numRef>
          </cat>
          <val>
            <numRef>
              <f>'例-交易记录'!$AG$5:$AG$12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交易编号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81</row>
      <rowOff>0</rowOff>
    </from>
    <ext cx="64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rade1469.com/ashare/02-05.html?src=tpl-ashare" TargetMode="External" Id="rId1"/><Relationship Type="http://schemas.openxmlformats.org/officeDocument/2006/relationships/hyperlink" Target="https://trade1469.com/docs/a-share/?src=tpl-ashare" TargetMode="External" Id="rId2"/><Relationship Type="http://schemas.openxmlformats.org/officeDocument/2006/relationships/hyperlink" Target="https://trade1469.com/docs/review/?src=tpl-ashare" TargetMode="External" Id="rId3"/><Relationship Type="http://schemas.openxmlformats.org/officeDocument/2006/relationships/hyperlink" Target="https://trade1469.com/docs/risk/?src=tpl-ashare" TargetMode="External" Id="rId4"/><Relationship Type="http://schemas.openxmlformats.org/officeDocument/2006/relationships/hyperlink" Target="https://trade1469.com/ashare/01-02.html?src=tpl-ashare" TargetMode="External" Id="rId5"/><Relationship Type="http://schemas.openxmlformats.org/officeDocument/2006/relationships/hyperlink" Target="https://trade1469.com/trader/t13-7.html?src=tpl-ashare" TargetMode="External" Id="rId6"/><Relationship Type="http://schemas.openxmlformats.org/officeDocument/2006/relationships/hyperlink" Target="https://trade1469.com/trade-flow/03.html?src=tpl-ashare" TargetMode="External" Id="rId7"/><Relationship Type="http://schemas.openxmlformats.org/officeDocument/2006/relationships/hyperlink" Target="https://trade1469.com/glossary/t-plus-1.html?src=tpl-ashare" TargetMode="External" Id="rId8"/><Relationship Type="http://schemas.openxmlformats.org/officeDocument/2006/relationships/hyperlink" Target="https://trade1469.com/ashare/?src=tpl-ashare" TargetMode="External" Id="rId9"/><Relationship Type="http://schemas.openxmlformats.org/officeDocument/2006/relationships/hyperlink" Target="https://trade1469.com/templates/a-share-review/?src=tpl-ashare" TargetMode="External" Id="rId10"/></Relationships>
</file>

<file path=xl/worksheets/_rels/sheet2.xml.rels><Relationships xmlns="http://schemas.openxmlformats.org/package/2006/relationships"><Relationship Type="http://schemas.openxmlformats.org/officeDocument/2006/relationships/hyperlink" Target="https://trade1469.com/ashare/02-05.html?src=tpl-ashare" TargetMode="Externa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8C8579"/>
    <outlinePr summaryBelow="1" summaryRight="1"/>
    <pageSetUpPr fitToPage="1"/>
  </sheetPr>
  <dimension ref="B1:D6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34" customWidth="1" min="3" max="3"/>
    <col width="52" customWidth="1" min="4" max="4"/>
  </cols>
  <sheetData>
    <row r="1" ht="34" customHeight="1">
      <c r="B1" s="1" t="inlineStr">
        <is>
          <t>A股复盘模板</t>
        </is>
      </c>
    </row>
    <row r="2">
      <c r="B2" s="2" t="inlineStr">
        <is>
          <t>TradeLearn · XtradingTime 交易内训 · v1.0 · 免费使用，可以按自己的习惯改</t>
        </is>
      </c>
    </row>
    <row r="4" ht="24" customHeight="1">
      <c r="B4" s="3" t="inlineStr">
        <is>
          <t>这份表管什么</t>
        </is>
      </c>
      <c r="C4" s="4" t="n"/>
      <c r="D4" s="4" t="n"/>
    </row>
    <row r="5" ht="18" customHeight="1">
      <c r="B5" s="5" t="inlineStr">
        <is>
          <t>每天收盘后花 15 分钟，把市场情绪和自己的交易记在同一份表里；周末花 40 分钟，从记录里找出下周只改的一处。</t>
        </is>
      </c>
    </row>
    <row r="6" ht="32" customHeight="1">
      <c r="B6" s="5" t="inlineStr">
        <is>
          <t>成绩一律按 R 记：这笔赚亏 ÷ 下单前计划亏的钱。佣金、印花税、过户费都扣掉，算的是费后结果。情绪阶段的条件框架已经写好，阈值由你按自己的数据填，填了以后表会数条件给建议；最后写哪个阶段由你自己判断。</t>
        </is>
      </c>
    </row>
    <row r="7" ht="24" customHeight="1">
      <c r="B7" s="3" t="inlineStr">
        <is>
          <t>每张表干什么</t>
        </is>
      </c>
      <c r="C7" s="4" t="n"/>
      <c r="D7" s="4" t="n"/>
    </row>
    <row r="8" ht="18" customHeight="1">
      <c r="B8" s="6" t="inlineStr">
        <is>
          <t>表</t>
        </is>
      </c>
      <c r="C8" s="6" t="inlineStr">
        <is>
          <t>什么时候填</t>
        </is>
      </c>
      <c r="D8" s="6" t="inlineStr">
        <is>
          <t>填什么</t>
        </is>
      </c>
    </row>
    <row r="9" ht="32" customHeight="1">
      <c r="B9" s="7" t="inlineStr">
        <is>
          <t>参数</t>
        </is>
      </c>
      <c r="C9" s="8" t="inlineStr">
        <is>
          <t>第一次用之前</t>
        </is>
      </c>
      <c r="D9" s="8" t="inlineStr">
        <is>
          <t>账户资金、每笔最多亏多少、佣金费率、涨跌幅限制、情绪阈值（留空，自己填）、休市日</t>
        </is>
      </c>
    </row>
    <row r="10" ht="32" customHeight="1">
      <c r="B10" s="7" t="inlineStr">
        <is>
          <t>每日复盘</t>
        </is>
      </c>
      <c r="C10" s="8" t="inlineStr">
        <is>
          <t>每天收盘后</t>
        </is>
      </c>
      <c r="D10" s="8" t="inlineStr">
        <is>
          <t>指数、成交额、涨跌家数、涨跌停、炸板、晋级、最高连板，表会数出情绪阶段的建议</t>
        </is>
      </c>
    </row>
    <row r="11" ht="32" customHeight="1">
      <c r="B11" s="7" t="inlineStr">
        <is>
          <t>主线与计划</t>
        </is>
      </c>
      <c r="C11" s="8" t="inlineStr">
        <is>
          <t>每天收盘后</t>
        </is>
      </c>
      <c r="D11" s="8" t="inlineStr">
        <is>
          <t>主线板块和龙头、连板梯队、今天做了什么、明天只做什么和不做什么</t>
        </is>
      </c>
    </row>
    <row r="12" ht="32" customHeight="1">
      <c r="B12" s="7" t="inlineStr">
        <is>
          <t>交易记录</t>
        </is>
      </c>
      <c r="C12" s="8" t="inlineStr">
        <is>
          <t>下单前写计划，平仓后打分</t>
        </is>
      </c>
      <c r="D12" s="8" t="inlineStr">
        <is>
          <t>一行一个计划：买入价、止损、目标、失效条件；成交后自动汇总成交、费用和 R</t>
        </is>
      </c>
    </row>
    <row r="13" ht="32" customHeight="1">
      <c r="B13" s="7" t="inlineStr">
        <is>
          <t>成交明细</t>
        </is>
      </c>
      <c r="C13" s="8" t="inlineStr">
        <is>
          <t>每成交一笔</t>
        </is>
      </c>
      <c r="D13" s="8" t="inlineStr">
        <is>
          <t>照成交单抄：编号、日期、买卖、价格、股数；分批就记多行</t>
        </is>
      </c>
    </row>
    <row r="14" ht="18" customHeight="1">
      <c r="B14" s="7" t="inlineStr">
        <is>
          <t>周复盘</t>
        </is>
      </c>
      <c r="C14" s="8" t="inlineStr">
        <is>
          <t>每周末</t>
        </is>
      </c>
      <c r="D14" s="8" t="inlineStr">
        <is>
          <t>填开始和结束日期，看执行和成绩，写下周只改的一处</t>
        </is>
      </c>
    </row>
    <row r="15" ht="18" customHeight="1">
      <c r="B15" s="7" t="inlineStr">
        <is>
          <t>示例开头的表</t>
        </is>
      </c>
      <c r="C15" s="8" t="inlineStr">
        <is>
          <t>先看一遍</t>
        </is>
      </c>
      <c r="D15" s="8" t="inlineStr">
        <is>
          <t>虚构的两周示例，演示每一格怎么填，可以直接删掉</t>
        </is>
      </c>
    </row>
    <row r="16" ht="24" customHeight="1">
      <c r="B16" s="3" t="inlineStr">
        <is>
          <t>四步用起来</t>
        </is>
      </c>
      <c r="C16" s="4" t="n"/>
      <c r="D16" s="4" t="n"/>
    </row>
    <row r="17" ht="18" customHeight="1">
      <c r="B17" s="9" t="inlineStr">
        <is>
          <t>1. 先改参数</t>
        </is>
      </c>
      <c r="C17" s="5" t="inlineStr">
        <is>
          <t>账户资金、每笔最多亏多少、你的佣金费率和最低收费。每年年底把下一年的休市日填进去。</t>
        </is>
      </c>
    </row>
    <row r="18" ht="32" customHeight="1">
      <c r="B18" s="9" t="inlineStr">
        <is>
          <t>2. 每天收盘后</t>
        </is>
      </c>
      <c r="C18" s="5" t="inlineStr">
        <is>
          <t>「每日复盘」填一行数，「主线与计划」写主线、龙头和明天的条件。没交易的日子也写，「今天做了什么」选「按计划空仓」或「没等到条件」。</t>
        </is>
      </c>
    </row>
    <row r="19" ht="32" customHeight="1">
      <c r="B19" s="9" t="inlineStr">
        <is>
          <t>3. 下单前</t>
        </is>
      </c>
      <c r="C19" s="5" t="inlineStr">
        <is>
          <t>在「交易记录」写好计划。表会按止损和「次日跌停」两种情况算建议股数，取小的那个。成交后去「成交明细」逐笔记，用同一个编号。</t>
        </is>
      </c>
    </row>
    <row r="20" ht="18" customHeight="1">
      <c r="B20" s="9" t="inlineStr">
        <is>
          <t>4. 周末</t>
        </is>
      </c>
      <c r="C20" s="5" t="inlineStr">
        <is>
          <t>在「周复盘」填日期。先看执行（漏单、违规），再看成绩，最后只写一条下周要练的动作。</t>
        </is>
      </c>
    </row>
    <row r="21" ht="24" customHeight="1">
      <c r="B21" s="3" t="inlineStr">
        <is>
          <t>颜色怎么认</t>
        </is>
      </c>
      <c r="C21" s="4" t="n"/>
      <c r="D21" s="4" t="n"/>
    </row>
    <row r="22" ht="32" customHeight="1">
      <c r="B22" s="5" t="inlineStr">
        <is>
          <t>蓝字是你填的；灰底黑字是公式，别改；灰底绿字是从别的表引用过来的。按A股习惯，红字是赚、绿字是亏。黄底是提醒：你的判断和规则建议不一样时要写依据，或者有一笔「赚了钱的坏交易」。</t>
        </is>
      </c>
    </row>
    <row r="23" ht="24" customHeight="1">
      <c r="B23" s="3" t="inlineStr">
        <is>
          <t>几个口径</t>
        </is>
      </c>
      <c r="C23" s="4" t="n"/>
      <c r="D23" s="4" t="n"/>
    </row>
    <row r="24" ht="18" customHeight="1">
      <c r="B24" s="9" t="inlineStr">
        <is>
          <t>1R</t>
        </is>
      </c>
      <c r="C24" s="5" t="inlineStr">
        <is>
          <t>1R =（计划买入价 − 止损价）× 计划股数。下单前定，平仓后不改；跳空亏得多，也不改分母。</t>
        </is>
      </c>
    </row>
    <row r="25" ht="32" customHeight="1">
      <c r="B25" s="9" t="inlineStr">
        <is>
          <t>净R 与毛R</t>
        </is>
      </c>
      <c r="C25" s="5" t="inlineStr">
        <is>
          <t>净R =（卖出金额 − 买入金额 − 全部费用）÷ 1R；毛R 不扣费用。两个差多少，就是费用吃掉了几个 R。</t>
        </is>
      </c>
    </row>
    <row r="26" ht="32" customHeight="1">
      <c r="B26" s="9" t="inlineStr">
        <is>
          <t>费用</t>
        </is>
      </c>
      <c r="C26" s="5" t="inlineStr">
        <is>
          <t>佣金买卖都收，不足最低收费按最低收；印花税只在卖出收；过户费买卖都收。默认费率是示例，按你的成交单改。成交单上有实际费用，填在「成交单实际费用」，表就用实际数。</t>
        </is>
      </c>
    </row>
    <row r="27" ht="32" customHeight="1">
      <c r="B27" s="9" t="inlineStr">
        <is>
          <t>T+1</t>
        </is>
      </c>
      <c r="C27" s="5" t="inlineStr">
        <is>
          <t>当天买的，最早下一个交易日才能卖。「成交明细」会算最早可卖日，卖出超过可卖股数会提示。休市日要填，节假日前后才算得准。</t>
        </is>
      </c>
    </row>
    <row r="28" ht="32" customHeight="1">
      <c r="B28" s="9" t="inlineStr">
        <is>
          <t>次日跌停情景</t>
        </is>
      </c>
      <c r="C28" s="5" t="inlineStr">
        <is>
          <t>假设当天收在止损价、第二天一字跌停开盘，这一笔要亏多少。超过参数页的上限，建议股数自动变少。创业板、科创板按 20% 算，亏得更多。</t>
        </is>
      </c>
    </row>
    <row r="29" ht="46" customHeight="1">
      <c r="B29" s="9" t="inlineStr">
        <is>
          <t>情绪阶段</t>
        </is>
      </c>
      <c r="C29" s="5" t="inlineStr">
        <is>
          <t>六个阶段各 4 个条件，命中 3 条以上才写。阈值留空，没填的条件不计数，规则建议显示「先填阈值」。建议先照记一个月数据，再按自己标的阶段定阈值；你的数据含不含创业板、科创板，数会差一截，口径定了就别再改。</t>
        </is>
      </c>
    </row>
    <row r="30" ht="32" customHeight="1">
      <c r="B30" s="5" t="inlineStr">
        <is>
          <t>阈值怎么定、每个阶段怎么做：A股短线战法第 2 章（付费，可看试看版）</t>
        </is>
      </c>
      <c r="D30" s="10" t="inlineStr">
        <is>
          <t>trade1469.com/ashare/02-05.html</t>
        </is>
      </c>
    </row>
    <row r="31" ht="32" customHeight="1">
      <c r="B31" s="9" t="inlineStr">
        <is>
          <t>前一日阶段</t>
        </is>
      </c>
      <c r="C31" s="5" t="inlineStr">
        <is>
          <t>交易记录里自动取计划日期之前最近一天你写的判断。用的是下单前已经知道的信息，不拿当天收盘后的结果倒推。</t>
        </is>
      </c>
    </row>
    <row r="32" ht="18" customHeight="1">
      <c r="B32" s="9" t="inlineStr">
        <is>
          <t>胜率</t>
        </is>
      </c>
      <c r="C32" s="5" t="inlineStr">
        <is>
          <t>只算已平仓的交易，按净R 大于 0 算赢。未成交、主动放弃、漏单不进胜率，周复盘里单独数。</t>
        </is>
      </c>
    </row>
    <row r="33" ht="24" customHeight="1">
      <c r="B33" s="3" t="inlineStr">
        <is>
          <t>常见问题</t>
        </is>
      </c>
      <c r="C33" s="4" t="n"/>
      <c r="D33" s="4" t="n"/>
    </row>
    <row r="34" ht="18" customHeight="1">
      <c r="B34" s="9" t="inlineStr">
        <is>
          <t>问：没交易的日子也要写吗？</t>
        </is>
      </c>
    </row>
    <row r="35" ht="21" customHeight="1">
      <c r="B35" s="11" t="inlineStr">
        <is>
          <t>答：要。空仓日记一行市场数据和明天的条件，「今天做了什么」选「按计划空仓」。空仓是按计划做出来的，也算执行。</t>
        </is>
      </c>
    </row>
    <row r="36" ht="18" customHeight="1">
      <c r="B36" s="9" t="inlineStr">
        <is>
          <t>问：没成交的单要记吗？</t>
        </is>
      </c>
    </row>
    <row r="37" ht="35" customHeight="1">
      <c r="B37" s="11" t="inlineStr">
        <is>
          <t>答：要。挂了没成交选「未成交」，看到了但按规则不做选「主动放弃」，该做没做选「漏单」。它们不算胜率，但周复盘会单独数出来；漏单多，说明提醒和流程有问题。</t>
        </is>
      </c>
    </row>
    <row r="38" ht="18" customHeight="1">
      <c r="B38" s="9" t="inlineStr">
        <is>
          <t>问：分批买卖怎么记？</t>
        </is>
      </c>
    </row>
    <row r="39" ht="35" customHeight="1">
      <c r="B39" s="11" t="inlineStr">
        <is>
          <t>答：「交易记录」一行写一个计划，「成交明细」每成交一笔记一行，编号相同。均价、费用、开仓日和平仓日都自动汇总。只卖了一部分的显示「持仓中」，不进统计。</t>
        </is>
      </c>
    </row>
    <row r="40" ht="18" customHeight="1">
      <c r="B40" s="9" t="inlineStr">
        <is>
          <t>问：胜率不低，为什么还亏钱？</t>
        </is>
      </c>
    </row>
    <row r="41" ht="21" customHeight="1">
      <c r="B41" s="11" t="inlineStr">
        <is>
          <t>答：看「周复盘」里的平均盈利 R、平均亏损 R 和每笔平均净R。赢的时候赚得少、亏的时候亏得多，胜率再高也会亏。</t>
        </is>
      </c>
    </row>
    <row r="42" ht="18" customHeight="1">
      <c r="B42" s="9" t="inlineStr">
        <is>
          <t>问：照计划做却亏了，算好交易吗？</t>
        </is>
      </c>
    </row>
    <row r="43" ht="35" customHeight="1">
      <c r="B43" s="11" t="inlineStr">
        <is>
          <t>答：算。过程打分只看有没有照计划：A 完全照计划，B 小偏差，C 违反一条规则，D 没计划就下单。违规赚的钱要单独标出来，周复盘里有一行「赚了钱的坏交易」。</t>
        </is>
      </c>
    </row>
    <row r="44" ht="18" customHeight="1">
      <c r="B44" s="9" t="inlineStr">
        <is>
          <t>问：多少笔才能下结论？</t>
        </is>
      </c>
    </row>
    <row r="45" ht="35" customHeight="1">
      <c r="B45" s="11" t="inlineStr">
        <is>
          <t>答：20 笔够看出执行上的大问题，比如止损常被违反。判断一个方法本身有没有用，至少 50 到 100 笔。分组少于 10 笔，只看不下结论。</t>
        </is>
      </c>
    </row>
    <row r="46" ht="18" customHeight="1">
      <c r="B46" s="9" t="inlineStr">
        <is>
          <t>问：规则建议一栏为什么显示「先填阈值」？</t>
        </is>
      </c>
    </row>
    <row r="47" ht="35" customHeight="1">
      <c r="B47" s="11" t="inlineStr">
        <is>
          <t>答：阈值是留给你自己定的。在参数页把六个阶段的阈值填上，表才会数条件、给建议；只填了一部分，就只数填了的那些条件。</t>
        </is>
      </c>
    </row>
    <row r="48" ht="18" customHeight="1">
      <c r="B48" s="9" t="inlineStr">
        <is>
          <t>问：我的情绪判断和表里的建议不一样怎么办？</t>
        </is>
      </c>
    </row>
    <row r="49" ht="21" customHeight="1">
      <c r="B49" s="11" t="inlineStr">
        <is>
          <t>答：以你的判断为准，在「判断依据」写一句为什么。记满一两个月，回头看哪种判断下你的交易更好，再决定阈值要不要调。</t>
        </is>
      </c>
    </row>
    <row r="50" ht="24" customHeight="1">
      <c r="B50" s="3" t="inlineStr">
        <is>
          <t>接着学（免费）</t>
        </is>
      </c>
      <c r="C50" s="4" t="n"/>
      <c r="D50" s="4" t="n"/>
    </row>
    <row r="51" ht="18" customHeight="1">
      <c r="B51" s="5" t="inlineStr">
        <is>
          <t>A股学习路线：T+1、涨跌停和每天记的三个数</t>
        </is>
      </c>
      <c r="D51" s="10" t="inlineStr">
        <is>
          <t>trade1469.com/docs/a-share/</t>
        </is>
      </c>
    </row>
    <row r="52" ht="18" customHeight="1">
      <c r="B52" s="5" t="inlineStr">
        <is>
          <t>复盘与交易日志：怎么记、记什么、怎么改下一笔</t>
        </is>
      </c>
      <c r="D52" s="10" t="inlineStr">
        <is>
          <t>trade1469.com/docs/review/</t>
        </is>
      </c>
    </row>
    <row r="53" ht="18" customHeight="1">
      <c r="B53" s="5" t="inlineStr">
        <is>
          <t>风控与仓位：每笔该亏多少、该下多少</t>
        </is>
      </c>
      <c r="D53" s="10" t="inlineStr">
        <is>
          <t>trade1469.com/docs/risk/</t>
        </is>
      </c>
    </row>
    <row r="54" ht="18" customHeight="1">
      <c r="B54" s="5" t="inlineStr">
        <is>
          <t>A股短线战法免费节：打板、半路、低吸和尾盘有什么不同</t>
        </is>
      </c>
      <c r="D54" s="10" t="inlineStr">
        <is>
          <t>trade1469.com/ashare/01-02.html</t>
        </is>
      </c>
    </row>
    <row r="55" ht="18" customHeight="1">
      <c r="B55" s="5" t="inlineStr">
        <is>
          <t>交易员训练手册免费节：每日复盘只回答少数关键问题</t>
        </is>
      </c>
      <c r="D55" s="10" t="inlineStr">
        <is>
          <t>trade1469.com/trader/t13-7.html</t>
        </is>
      </c>
    </row>
    <row r="56" ht="18" customHeight="1">
      <c r="B56" s="5" t="inlineStr">
        <is>
          <t>交易实战教学免费课：胜率、盈亏比与打平线</t>
        </is>
      </c>
      <c r="D56" s="10" t="inlineStr">
        <is>
          <t>trade1469.com/trade-flow/03.html</t>
        </is>
      </c>
    </row>
    <row r="57" ht="18" customHeight="1">
      <c r="B57" s="5" t="inlineStr">
        <is>
          <t>词条：T+1、涨跌停板、印花税</t>
        </is>
      </c>
      <c r="D57" s="10" t="inlineStr">
        <is>
          <t>trade1469.com/glossary/t-plus-1.html</t>
        </is>
      </c>
    </row>
    <row r="58" ht="32" customHeight="1">
      <c r="B58" s="5" t="inlineStr">
        <is>
          <t>想系统学情绪周期、主线梯队和龙头：A股短线战法专栏（付费，有免费试看节）</t>
        </is>
      </c>
      <c r="D58" s="10" t="inlineStr">
        <is>
          <t>trade1469.com/ashare/</t>
        </is>
      </c>
    </row>
    <row r="59" ht="24" customHeight="1">
      <c r="B59" s="3" t="inlineStr">
        <is>
          <t>说明</t>
        </is>
      </c>
      <c r="C59" s="4" t="n"/>
      <c r="D59" s="4" t="n"/>
    </row>
    <row r="60" ht="32" customHeight="1">
      <c r="B60" s="5" t="inlineStr">
        <is>
          <t>本表只用于记录和练习，不构成投资建议，不荐股。示例页的日期、指数、股票、板块和成交全部虚构，只演示填法。费率和交易规则以券商成交单和交易所当前公告为准，表里的默认值核对于 2026 年 10 月。</t>
        </is>
      </c>
    </row>
    <row r="62">
      <c r="B62" s="12" t="inlineStr">
        <is>
          <t>TradeLearn · XtradingTime 交易内训 · v1.0</t>
        </is>
      </c>
      <c r="D62" s="10" t="inlineStr">
        <is>
          <t>更新版与使用教程：trade1469.com/templates/a-share-review/</t>
        </is>
      </c>
    </row>
  </sheetData>
  <mergeCells count="51">
    <mergeCell ref="B42:D42"/>
    <mergeCell ref="B54:C54"/>
    <mergeCell ref="B60:D60"/>
    <mergeCell ref="C24:D24"/>
    <mergeCell ref="B23:D23"/>
    <mergeCell ref="B48:D48"/>
    <mergeCell ref="B1:D1"/>
    <mergeCell ref="B44:D44"/>
    <mergeCell ref="B56:C56"/>
    <mergeCell ref="C26:D26"/>
    <mergeCell ref="B38:D38"/>
    <mergeCell ref="B34:D34"/>
    <mergeCell ref="B58:C58"/>
    <mergeCell ref="C20:D20"/>
    <mergeCell ref="B52:C52"/>
    <mergeCell ref="C29:D29"/>
    <mergeCell ref="B37:D37"/>
    <mergeCell ref="C25:D25"/>
    <mergeCell ref="B49:D49"/>
    <mergeCell ref="B40:D40"/>
    <mergeCell ref="C31:D31"/>
    <mergeCell ref="B57:C57"/>
    <mergeCell ref="B6:D6"/>
    <mergeCell ref="B53:C53"/>
    <mergeCell ref="B33:D33"/>
    <mergeCell ref="B5:D5"/>
    <mergeCell ref="B36:D36"/>
    <mergeCell ref="B43:D43"/>
    <mergeCell ref="B45:D45"/>
    <mergeCell ref="B41:D41"/>
    <mergeCell ref="C27:D27"/>
    <mergeCell ref="B4:D4"/>
    <mergeCell ref="B35:D35"/>
    <mergeCell ref="B50:D50"/>
    <mergeCell ref="B7:D7"/>
    <mergeCell ref="C17:D17"/>
    <mergeCell ref="B47:D47"/>
    <mergeCell ref="B16:D16"/>
    <mergeCell ref="B55:C55"/>
    <mergeCell ref="B30:C30"/>
    <mergeCell ref="B59:D59"/>
    <mergeCell ref="C32:D32"/>
    <mergeCell ref="B46:D46"/>
    <mergeCell ref="B22:D22"/>
    <mergeCell ref="B51:C51"/>
    <mergeCell ref="C19:D19"/>
    <mergeCell ref="C28:D28"/>
    <mergeCell ref="B21:D21"/>
    <mergeCell ref="C18:D18"/>
    <mergeCell ref="B39:D39"/>
    <mergeCell ref="B2:D2"/>
  </mergeCells>
  <hyperlinks>
    <hyperlink xmlns:r="http://schemas.openxmlformats.org/officeDocument/2006/relationships" ref="D30" r:id="rId1"/>
    <hyperlink xmlns:r="http://schemas.openxmlformats.org/officeDocument/2006/relationships" ref="D51" r:id="rId2"/>
    <hyperlink xmlns:r="http://schemas.openxmlformats.org/officeDocument/2006/relationships" ref="D52" r:id="rId3"/>
    <hyperlink xmlns:r="http://schemas.openxmlformats.org/officeDocument/2006/relationships" ref="D53" r:id="rId4"/>
    <hyperlink xmlns:r="http://schemas.openxmlformats.org/officeDocument/2006/relationships" ref="D54" r:id="rId5"/>
    <hyperlink xmlns:r="http://schemas.openxmlformats.org/officeDocument/2006/relationships" ref="D55" r:id="rId6"/>
    <hyperlink xmlns:r="http://schemas.openxmlformats.org/officeDocument/2006/relationships" ref="D56" r:id="rId7"/>
    <hyperlink xmlns:r="http://schemas.openxmlformats.org/officeDocument/2006/relationships" ref="D57" r:id="rId8"/>
    <hyperlink xmlns:r="http://schemas.openxmlformats.org/officeDocument/2006/relationships" ref="D58" r:id="rId9"/>
    <hyperlink xmlns:r="http://schemas.openxmlformats.org/officeDocument/2006/relationships" ref="D62" r:id="rId10"/>
  </hyperlinks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trade1469.com/templates/a-share-review/?src=tpl-ashare&amp;R&amp;"Microsoft YaHei"&amp;8 第 &amp;P 页，共 &amp;N 页</oddFooter>
    <evenHeader/>
    <evenFooter>&amp;L&amp;"Microsoft YaHei"&amp;8 TradeLearn · XtradingTime 交易内训&amp;C&amp;"Microsoft YaHei"&amp;8 trade1469.com/templates/a-share-review/?src=tpl-ashare&amp;R&amp;"Microsoft YaHei"&amp;8 第 &amp;P 页，共 &amp;N 页</evenFooter>
    <firstHeader/>
    <firstFooter/>
  </headerFooter>
</worksheet>
</file>

<file path=xl/worksheets/sheet2.xml><?xml version="1.0" encoding="utf-8"?>
<worksheet xmlns="http://schemas.openxmlformats.org/spreadsheetml/2006/main">
  <sheetPr>
    <tabColor rgb="008C8579"/>
    <outlinePr summaryBelow="1" summaryRight="1"/>
    <pageSetUpPr fitToPage="1"/>
  </sheetPr>
  <dimension ref="A1:K8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3" customWidth="1" min="3" max="3"/>
    <col width="17" customWidth="1" min="4" max="4"/>
    <col width="8" customWidth="1" min="5" max="5"/>
    <col width="17" customWidth="1" min="6" max="6"/>
    <col width="8" customWidth="1" min="7" max="7"/>
    <col width="20" customWidth="1" min="8" max="8"/>
    <col width="8" customWidth="1" min="9" max="9"/>
    <col width="20" customWidth="1" min="10" max="10"/>
    <col width="8" customWidth="1" min="11" max="11"/>
  </cols>
  <sheetData>
    <row r="1" ht="30" customHeight="1">
      <c r="A1" s="13" t="inlineStr">
        <is>
          <t>参数：先把这一页改成你自己的</t>
        </is>
      </c>
      <c r="I1" s="14" t="inlineStr">
        <is>
          <t>TradeLearn · XtradingTime 交易内训</t>
        </is>
      </c>
    </row>
    <row r="2" ht="20" customHeight="1">
      <c r="A2" s="2" t="inlineStr">
        <is>
          <t>蓝字可以改。费率和涨跌幅限制是示例，用之前按你的券商成交单和交易所当前规则核对一遍；情绪阶段的阈值留空，按你自己的数据填。</t>
        </is>
      </c>
    </row>
    <row r="4">
      <c r="B4" s="15" t="inlineStr">
        <is>
          <t>账户与风险</t>
        </is>
      </c>
    </row>
    <row r="5">
      <c r="B5" s="16" t="inlineStr">
        <is>
          <t>账户资金（元）</t>
        </is>
      </c>
      <c r="C5" s="17" t="n">
        <v>100000</v>
      </c>
    </row>
    <row r="6">
      <c r="B6" s="16" t="inlineStr">
        <is>
          <t>单笔最多亏（占账户）</t>
        </is>
      </c>
      <c r="C6" s="18" t="n">
        <v>0.01</v>
      </c>
      <c r="D6" s="19" t="inlineStr">
        <is>
          <t>新手先用 1% 或更低。这是教学示例，不是建议。</t>
        </is>
      </c>
      <c r="E6" s="19" t="n"/>
      <c r="F6" s="19" t="n"/>
      <c r="G6" s="19" t="n"/>
      <c r="H6" s="19" t="n"/>
      <c r="I6" s="19" t="n"/>
      <c r="J6" s="19" t="n"/>
      <c r="K6" s="19" t="n"/>
    </row>
    <row r="7">
      <c r="B7" s="16" t="inlineStr">
        <is>
          <t>单笔风险预算（元）</t>
        </is>
      </c>
      <c r="C7" s="20">
        <f>C5*C6</f>
        <v>1000</v>
      </c>
      <c r="D7" s="19" t="inlineStr">
        <is>
          <t>按止损算建议股数时用这个数。</t>
        </is>
      </c>
      <c r="E7" s="19" t="n"/>
      <c r="F7" s="19" t="n"/>
      <c r="G7" s="19" t="n"/>
      <c r="H7" s="19" t="n"/>
      <c r="I7" s="19" t="n"/>
      <c r="J7" s="19" t="n"/>
      <c r="K7" s="19" t="n"/>
    </row>
    <row r="8">
      <c r="B8" s="16" t="inlineStr">
        <is>
          <t>次日跌停情景最多亏（元）</t>
        </is>
      </c>
      <c r="C8" s="21" t="n">
        <v>2500</v>
      </c>
      <c r="D8" s="19" t="inlineStr">
        <is>
          <t>假设当天收在止损价、第二天一字跌停开盘，这一笔你最多能接受亏多少。超过它，建议股数会自动变少。</t>
        </is>
      </c>
      <c r="E8" s="19" t="n"/>
      <c r="F8" s="19" t="n"/>
      <c r="G8" s="19" t="n"/>
      <c r="H8" s="19" t="n"/>
      <c r="I8" s="19" t="n"/>
      <c r="J8" s="19" t="n"/>
      <c r="K8" s="19" t="n"/>
    </row>
    <row r="9">
      <c r="B9" s="16" t="inlineStr">
        <is>
          <t>当天平仓亏到几 R 停手</t>
        </is>
      </c>
      <c r="C9" s="22" t="n">
        <v>3</v>
      </c>
      <c r="D9" s="19" t="inlineStr">
        <is>
          <t>主线与计划页会按当天平仓的净R提示「触及停手线」。</t>
        </is>
      </c>
      <c r="E9" s="19" t="n"/>
      <c r="F9" s="19" t="n"/>
      <c r="G9" s="19" t="n"/>
      <c r="H9" s="19" t="n"/>
      <c r="I9" s="19" t="n"/>
      <c r="J9" s="19" t="n"/>
      <c r="K9" s="19" t="n"/>
    </row>
    <row r="11">
      <c r="B11" s="15" t="inlineStr">
        <is>
          <t>费用（按你的成交单改）</t>
        </is>
      </c>
    </row>
    <row r="12">
      <c r="B12" s="16" t="inlineStr">
        <is>
          <t>佣金率（买卖都收）</t>
        </is>
      </c>
      <c r="C12" s="23" t="n">
        <v>0.00025</v>
      </c>
      <c r="D12" s="19" t="inlineStr">
        <is>
          <t>示例：万分之 2.5。规费如果含在佣金里，就不用另填。</t>
        </is>
      </c>
      <c r="E12" s="19" t="n"/>
      <c r="F12" s="19" t="n"/>
      <c r="G12" s="19" t="n"/>
      <c r="H12" s="19" t="n"/>
      <c r="I12" s="19" t="n"/>
      <c r="J12" s="19" t="n"/>
      <c r="K12" s="19" t="n"/>
    </row>
    <row r="13">
      <c r="B13" s="16" t="inlineStr">
        <is>
          <t>每笔最低佣金（元）</t>
        </is>
      </c>
      <c r="C13" s="21" t="n">
        <v>5</v>
      </c>
      <c r="D13" s="19" t="inlineStr">
        <is>
          <t>不足最低收费的按最低收；免五的填 0。</t>
        </is>
      </c>
      <c r="E13" s="19" t="n"/>
      <c r="F13" s="19" t="n"/>
      <c r="G13" s="19" t="n"/>
      <c r="H13" s="19" t="n"/>
      <c r="I13" s="19" t="n"/>
      <c r="J13" s="19" t="n"/>
      <c r="K13" s="19" t="n"/>
    </row>
    <row r="14">
      <c r="B14" s="16" t="inlineStr">
        <is>
          <t>印花税率（只在卖出收）</t>
        </is>
      </c>
      <c r="C14" s="23" t="n">
        <v>0.0005</v>
      </c>
    </row>
    <row r="15">
      <c r="B15" s="16" t="inlineStr">
        <is>
          <t>过户费率（买卖都收）</t>
        </is>
      </c>
      <c r="C15" s="24" t="n">
        <v>1e-05</v>
      </c>
    </row>
    <row r="16">
      <c r="B16" s="16" t="inlineStr">
        <is>
          <t>其他费用率（券商单列的，没有填 0）</t>
        </is>
      </c>
      <c r="C16" s="24" t="n">
        <v>0</v>
      </c>
    </row>
    <row r="17" ht="28" customHeight="1">
      <c r="B17" s="19" t="inlineStr">
        <is>
          <t>默认值核对于 2026 年 10 月：印花税卖出 0.05%，过户费按成交金额 0.001% 双向收，佣金按你和券商的约定。以后有调整，改这里一处就行。成交单上有实际费用的，在成交明细里填实际数，表会优先用它。</t>
        </is>
      </c>
      <c r="C17" s="19" t="n"/>
      <c r="D17" s="19" t="n"/>
      <c r="E17" s="19" t="n"/>
      <c r="F17" s="19" t="n"/>
      <c r="G17" s="19" t="n"/>
      <c r="H17" s="19" t="n"/>
      <c r="I17" s="19" t="n"/>
      <c r="J17" s="19" t="n"/>
      <c r="K17" s="19" t="n"/>
    </row>
    <row r="19">
      <c r="B19" s="15" t="inlineStr">
        <is>
          <t>涨跌幅限制（以交易所当前规则为准）</t>
        </is>
      </c>
    </row>
    <row r="20">
      <c r="B20" s="25" t="inlineStr">
        <is>
          <t>板块类型</t>
        </is>
      </c>
      <c r="C20" s="25" t="inlineStr">
        <is>
          <t>涨跌幅限制</t>
        </is>
      </c>
    </row>
    <row r="21">
      <c r="B21" s="26" t="inlineStr">
        <is>
          <t>主板</t>
        </is>
      </c>
      <c r="C21" s="18" t="n">
        <v>0.1</v>
      </c>
      <c r="D21" s="19" t="inlineStr">
        <is>
          <t>主板风险警示股自 2026 年 7 月起也按 10%；注册制新股上市前 5 个交易日不设涨跌幅，表里填「不设」，次日跌停情景就不算了，风险要自己多留。规则变了改这里。</t>
        </is>
      </c>
      <c r="E21" s="19" t="n"/>
      <c r="F21" s="19" t="n"/>
      <c r="G21" s="19" t="n"/>
      <c r="H21" s="19" t="n"/>
      <c r="I21" s="19" t="n"/>
      <c r="J21" s="19" t="n"/>
      <c r="K21" s="19" t="n"/>
    </row>
    <row r="22">
      <c r="B22" s="26" t="inlineStr">
        <is>
          <t>创业板</t>
        </is>
      </c>
      <c r="C22" s="18" t="n">
        <v>0.2</v>
      </c>
      <c r="D22" s="19" t="n"/>
      <c r="E22" s="19" t="n"/>
      <c r="F22" s="19" t="n"/>
      <c r="G22" s="19" t="n"/>
      <c r="H22" s="19" t="n"/>
      <c r="I22" s="19" t="n"/>
      <c r="J22" s="19" t="n"/>
      <c r="K22" s="19" t="n"/>
    </row>
    <row r="23">
      <c r="B23" s="26" t="inlineStr">
        <is>
          <t>科创板</t>
        </is>
      </c>
      <c r="C23" s="18" t="n">
        <v>0.2</v>
      </c>
    </row>
    <row r="24">
      <c r="B24" s="26" t="inlineStr">
        <is>
          <t>北交所</t>
        </is>
      </c>
      <c r="C24" s="18" t="n">
        <v>0.3</v>
      </c>
    </row>
    <row r="25">
      <c r="B25" s="26" t="inlineStr">
        <is>
          <t>风险警示</t>
        </is>
      </c>
      <c r="C25" s="18" t="n">
        <v>0.1</v>
      </c>
    </row>
    <row r="26">
      <c r="B26" s="26" t="inlineStr">
        <is>
          <t>新股前5日</t>
        </is>
      </c>
      <c r="C26" s="27" t="inlineStr">
        <is>
          <t>不设</t>
        </is>
      </c>
    </row>
    <row r="29">
      <c r="B29" s="15" t="inlineStr">
        <is>
          <t>情绪阶段的条件（阈值留空，自己填；没填的条件不计数）</t>
        </is>
      </c>
    </row>
    <row r="30">
      <c r="B30" s="25" t="inlineStr">
        <is>
          <t>阶段</t>
        </is>
      </c>
      <c r="C30" s="25" t="inlineStr">
        <is>
          <t>类型</t>
        </is>
      </c>
      <c r="D30" s="25" t="inlineStr">
        <is>
          <t>条件 1</t>
        </is>
      </c>
      <c r="E30" s="25" t="inlineStr">
        <is>
          <t>阈值</t>
        </is>
      </c>
      <c r="F30" s="25" t="inlineStr">
        <is>
          <t>条件 2</t>
        </is>
      </c>
      <c r="G30" s="25" t="inlineStr">
        <is>
          <t>阈值</t>
        </is>
      </c>
      <c r="H30" s="25" t="inlineStr">
        <is>
          <t>条件 3</t>
        </is>
      </c>
      <c r="I30" s="25" t="inlineStr">
        <is>
          <t>阈值</t>
        </is>
      </c>
      <c r="J30" s="25" t="inlineStr">
        <is>
          <t>条件 4</t>
        </is>
      </c>
      <c r="K30" s="25" t="inlineStr">
        <is>
          <t>阈值</t>
        </is>
      </c>
    </row>
    <row r="31">
      <c r="B31" s="28" t="inlineStr">
        <is>
          <t>冰点</t>
        </is>
      </c>
      <c r="C31" s="29" t="inlineStr">
        <is>
          <t>状态</t>
        </is>
      </c>
      <c r="D31" s="30" t="inlineStr">
        <is>
          <t>涨停家数 ≤</t>
        </is>
      </c>
      <c r="E31" s="17" t="n"/>
      <c r="F31" s="30" t="inlineStr">
        <is>
          <t>跌停家数 ≥</t>
        </is>
      </c>
      <c r="G31" s="17" t="n"/>
      <c r="H31" s="30" t="inlineStr">
        <is>
          <t>炸板率 ≥</t>
        </is>
      </c>
      <c r="I31" s="18" t="n"/>
      <c r="J31" s="30" t="inlineStr">
        <is>
          <t>晋级率 ≤</t>
        </is>
      </c>
      <c r="K31" s="18" t="n"/>
    </row>
    <row r="32">
      <c r="B32" s="28" t="inlineStr">
        <is>
          <t>启动</t>
        </is>
      </c>
      <c r="C32" s="29" t="inlineStr">
        <is>
          <t>拐点</t>
        </is>
      </c>
      <c r="D32" s="30" t="inlineStr">
        <is>
          <t>涨停连续 2 天增加</t>
        </is>
      </c>
      <c r="E32" s="29" t="inlineStr">
        <is>
          <t>不用填</t>
        </is>
      </c>
      <c r="F32" s="30" t="inlineStr">
        <is>
          <t>涨停家数 &lt;</t>
        </is>
      </c>
      <c r="G32" s="17" t="n"/>
      <c r="H32" s="30" t="inlineStr">
        <is>
          <t>晋级率 ≥</t>
        </is>
      </c>
      <c r="I32" s="18" t="n"/>
      <c r="J32" s="30" t="inlineStr">
        <is>
          <t>昨日涨停今日均涨 ≥</t>
        </is>
      </c>
      <c r="K32" s="18" t="n"/>
    </row>
    <row r="33">
      <c r="B33" s="28" t="inlineStr">
        <is>
          <t>发酵</t>
        </is>
      </c>
      <c r="C33" s="29" t="inlineStr">
        <is>
          <t>状态</t>
        </is>
      </c>
      <c r="D33" s="30" t="inlineStr">
        <is>
          <t>涨停 ≥ 且比昨天多</t>
        </is>
      </c>
      <c r="E33" s="17" t="n"/>
      <c r="F33" s="30" t="inlineStr">
        <is>
          <t>炸板率 ≤</t>
        </is>
      </c>
      <c r="G33" s="18" t="n"/>
      <c r="H33" s="30" t="inlineStr">
        <is>
          <t>晋级率 ≥</t>
        </is>
      </c>
      <c r="I33" s="18" t="n"/>
      <c r="J33" s="30" t="inlineStr">
        <is>
          <t>昨日涨停今日均涨 ≥</t>
        </is>
      </c>
      <c r="K33" s="18" t="n"/>
    </row>
    <row r="34">
      <c r="B34" s="28" t="inlineStr">
        <is>
          <t>高潮</t>
        </is>
      </c>
      <c r="C34" s="29" t="inlineStr">
        <is>
          <t>拐点</t>
        </is>
      </c>
      <c r="D34" s="30" t="inlineStr">
        <is>
          <t>涨停家数 ≥</t>
        </is>
      </c>
      <c r="E34" s="17" t="n"/>
      <c r="F34" s="30" t="inlineStr">
        <is>
          <t>炸板率 ≤</t>
        </is>
      </c>
      <c r="G34" s="18" t="n"/>
      <c r="H34" s="30" t="inlineStr">
        <is>
          <t>昨日涨停今日均涨 ≥</t>
        </is>
      </c>
      <c r="I34" s="18" t="n"/>
      <c r="J34" s="30" t="inlineStr">
        <is>
          <t>最高连板 ≥</t>
        </is>
      </c>
      <c r="K34" s="17" t="n"/>
    </row>
    <row r="35">
      <c r="B35" s="28" t="inlineStr">
        <is>
          <t>分歧</t>
        </is>
      </c>
      <c r="C35" s="29" t="inlineStr">
        <is>
          <t>拐点</t>
        </is>
      </c>
      <c r="D35" s="30" t="inlineStr">
        <is>
          <t>炸板率比昨天升（百分点）≥</t>
        </is>
      </c>
      <c r="E35" s="18" t="n"/>
      <c r="F35" s="30" t="inlineStr">
        <is>
          <t>晋级率比昨天降（百分点）≥</t>
        </is>
      </c>
      <c r="G35" s="18" t="n"/>
      <c r="H35" s="30" t="inlineStr">
        <is>
          <t>昨日涨停均涨比昨天低（百分点）≥</t>
        </is>
      </c>
      <c r="I35" s="18" t="n"/>
      <c r="J35" s="30" t="inlineStr">
        <is>
          <t>涨停比昨天少</t>
        </is>
      </c>
      <c r="K35" s="29" t="inlineStr">
        <is>
          <t>不用填</t>
        </is>
      </c>
    </row>
    <row r="36">
      <c r="B36" s="28" t="inlineStr">
        <is>
          <t>退潮</t>
        </is>
      </c>
      <c r="C36" s="29" t="inlineStr">
        <is>
          <t>状态</t>
        </is>
      </c>
      <c r="D36" s="30" t="inlineStr">
        <is>
          <t>涨停 ≤ 且比昨天少</t>
        </is>
      </c>
      <c r="E36" s="17" t="n"/>
      <c r="F36" s="30" t="inlineStr">
        <is>
          <t>跌停家数 ≥</t>
        </is>
      </c>
      <c r="G36" s="17" t="n"/>
      <c r="H36" s="30" t="inlineStr">
        <is>
          <t>昨日涨停今日均涨 &lt;</t>
        </is>
      </c>
      <c r="I36" s="18" t="n"/>
      <c r="J36" s="30" t="inlineStr">
        <is>
          <t>最高连板比昨天低</t>
        </is>
      </c>
      <c r="K36" s="29" t="inlineStr">
        <is>
          <t>不用填</t>
        </is>
      </c>
    </row>
    <row r="37" ht="41.8" customHeight="1">
      <c r="B37" s="19" t="inlineStr">
        <is>
          <t>怎么出建议：每个阶段 4 个条件，命中 3 条以上才写。冰点、发酵、退潮是「状态」，4 条全中写「高」，3 条写「中」；启动、高潮、分歧是「拐点」，最多写「中」。冰点和退潮同时命中时，冰点 4 条全中、或者退潮命中的不比冰点多，就只写冰点。几个阶段同时命中，先排「高」，再比命中条数，再按冰点、退潮、分歧、高潮、发酵、启动的顺序，最多写两个。</t>
        </is>
      </c>
      <c r="C37" s="19" t="n"/>
      <c r="D37" s="19" t="n"/>
      <c r="E37" s="19" t="n"/>
      <c r="F37" s="19" t="n"/>
      <c r="G37" s="19" t="n"/>
      <c r="H37" s="19" t="n"/>
      <c r="I37" s="19" t="n"/>
      <c r="J37" s="19" t="n"/>
      <c r="K37" s="19" t="n"/>
    </row>
    <row r="38" ht="29.2" customHeight="1">
      <c r="B38" s="19" t="inlineStr">
        <is>
          <t>阈值留空是有意的：没有一套数对所有人的数据都合适。先照记一个月，把每天的家数和比例攒下来，再回头看自己标的阶段，取能把它们分开的数填进去。没填阈值的条件不计数，规则建议一栏会显示「先填阈值」。</t>
        </is>
      </c>
      <c r="C38" s="19" t="n"/>
      <c r="D38" s="19" t="n"/>
      <c r="E38" s="19" t="n"/>
      <c r="F38" s="19" t="n"/>
      <c r="G38" s="19" t="n"/>
      <c r="H38" s="19" t="n"/>
      <c r="I38" s="19" t="n"/>
      <c r="J38" s="19" t="n"/>
      <c r="K38" s="19" t="n"/>
    </row>
    <row r="39" ht="16.6" customHeight="1">
      <c r="B39" s="19" t="inlineStr">
        <is>
          <t>建议只是在数条件。最后写哪个阶段由你判断，和建议不一样时，在每日复盘的「判断依据」里写清楚为什么。</t>
        </is>
      </c>
      <c r="C39" s="19" t="n"/>
      <c r="D39" s="19" t="n"/>
      <c r="E39" s="19" t="n"/>
      <c r="F39" s="19" t="n"/>
      <c r="G39" s="19" t="n"/>
      <c r="H39" s="19" t="n"/>
      <c r="I39" s="19" t="n"/>
      <c r="J39" s="19" t="n"/>
      <c r="K39" s="19" t="n"/>
    </row>
    <row r="40">
      <c r="B40" s="10" t="inlineStr">
        <is>
          <t>阈值怎么定、每个阶段该怎么做：A股短线战法专栏第 2 章「情绪周期与情绪战法」（付费，可先看试看版）</t>
        </is>
      </c>
    </row>
    <row r="41">
      <c r="B41" s="15" t="inlineStr">
        <is>
          <t>下拉选项（可以增删，改完下拉会跟着变）</t>
        </is>
      </c>
    </row>
    <row r="42">
      <c r="B42" s="25" t="inlineStr">
        <is>
          <t>买点类型</t>
        </is>
      </c>
      <c r="C42" s="25" t="inlineStr">
        <is>
          <t>执行情况</t>
        </is>
      </c>
      <c r="D42" s="25" t="inlineStr">
        <is>
          <t>过程打分</t>
        </is>
      </c>
      <c r="E42" s="25" t="inlineStr">
        <is>
          <t>偏差标签</t>
        </is>
      </c>
      <c r="F42" s="25" t="inlineStr">
        <is>
          <t>我的判断</t>
        </is>
      </c>
      <c r="G42" s="25" t="inlineStr">
        <is>
          <t>今天做了什么</t>
        </is>
      </c>
      <c r="H42" s="25" t="inlineStr">
        <is>
          <t>方向</t>
        </is>
      </c>
    </row>
    <row r="43">
      <c r="B43" s="26" t="inlineStr">
        <is>
          <t>打板</t>
        </is>
      </c>
      <c r="C43" s="26" t="inlineStr">
        <is>
          <t>已执行</t>
        </is>
      </c>
      <c r="D43" s="26" t="inlineStr">
        <is>
          <t>A</t>
        </is>
      </c>
      <c r="E43" s="26" t="inlineStr">
        <is>
          <t>无</t>
        </is>
      </c>
      <c r="F43" s="26" t="inlineStr">
        <is>
          <t>冰点</t>
        </is>
      </c>
      <c r="G43" s="26" t="inlineStr">
        <is>
          <t>有成交</t>
        </is>
      </c>
      <c r="H43" s="26" t="inlineStr">
        <is>
          <t>买</t>
        </is>
      </c>
      <c r="I43" s="19" t="inlineStr">
        <is>
          <t>过程打分：A 完全照计划；B 有小偏差；C 违反一条规则；D 没有计划就下单。打分只看有没有照计划，不看这笔赚没赚。</t>
        </is>
      </c>
      <c r="J43" s="19" t="n"/>
      <c r="K43" s="19" t="n"/>
    </row>
    <row r="44">
      <c r="B44" s="26" t="inlineStr">
        <is>
          <t>半路</t>
        </is>
      </c>
      <c r="C44" s="26" t="inlineStr">
        <is>
          <t>未成交</t>
        </is>
      </c>
      <c r="D44" s="26" t="inlineStr">
        <is>
          <t>B</t>
        </is>
      </c>
      <c r="E44" s="26" t="inlineStr">
        <is>
          <t>追单</t>
        </is>
      </c>
      <c r="F44" s="26" t="inlineStr">
        <is>
          <t>启动</t>
        </is>
      </c>
      <c r="G44" s="26" t="inlineStr">
        <is>
          <t>挂单没成交</t>
        </is>
      </c>
      <c r="H44" s="26" t="inlineStr">
        <is>
          <t>卖</t>
        </is>
      </c>
      <c r="I44" s="19" t="n"/>
      <c r="J44" s="19" t="n"/>
      <c r="K44" s="19" t="n"/>
    </row>
    <row r="45">
      <c r="B45" s="26" t="inlineStr">
        <is>
          <t>低吸</t>
        </is>
      </c>
      <c r="C45" s="26" t="inlineStr">
        <is>
          <t>主动放弃</t>
        </is>
      </c>
      <c r="D45" s="26" t="inlineStr">
        <is>
          <t>C</t>
        </is>
      </c>
      <c r="E45" s="26" t="inlineStr">
        <is>
          <t>扛单</t>
        </is>
      </c>
      <c r="F45" s="26" t="inlineStr">
        <is>
          <t>发酵</t>
        </is>
      </c>
      <c r="G45" s="26" t="inlineStr">
        <is>
          <t>按计划空仓</t>
        </is>
      </c>
      <c r="H45" s="26" t="n"/>
      <c r="I45" s="19" t="n"/>
      <c r="J45" s="19" t="n"/>
      <c r="K45" s="19" t="n"/>
    </row>
    <row r="46">
      <c r="B46" s="26" t="inlineStr">
        <is>
          <t>尾盘</t>
        </is>
      </c>
      <c r="C46" s="26" t="inlineStr">
        <is>
          <t>漏单</t>
        </is>
      </c>
      <c r="D46" s="26" t="inlineStr">
        <is>
          <t>D</t>
        </is>
      </c>
      <c r="E46" s="26" t="inlineStr">
        <is>
          <t>提前跑</t>
        </is>
      </c>
      <c r="F46" s="26" t="inlineStr">
        <is>
          <t>高潮</t>
        </is>
      </c>
      <c r="G46" s="26" t="inlineStr">
        <is>
          <t>没等到条件</t>
        </is>
      </c>
      <c r="H46" s="26" t="n"/>
      <c r="I46" s="19" t="n"/>
      <c r="J46" s="19" t="n"/>
      <c r="K46" s="19" t="n"/>
    </row>
    <row r="47">
      <c r="B47" s="26" t="inlineStr">
        <is>
          <t>趋势回踩</t>
        </is>
      </c>
      <c r="C47" s="26" t="n"/>
      <c r="D47" s="26" t="n"/>
      <c r="E47" s="26" t="inlineStr">
        <is>
          <t>加仓回本</t>
        </is>
      </c>
      <c r="F47" s="26" t="inlineStr">
        <is>
          <t>分歧</t>
        </is>
      </c>
      <c r="G47" s="26" t="inlineStr">
        <is>
          <t>休息</t>
        </is>
      </c>
      <c r="H47" s="26" t="n"/>
    </row>
    <row r="48">
      <c r="B48" s="26" t="inlineStr">
        <is>
          <t>其他</t>
        </is>
      </c>
      <c r="C48" s="26" t="n"/>
      <c r="D48" s="26" t="n"/>
      <c r="E48" s="26" t="inlineStr">
        <is>
          <t>没计划</t>
        </is>
      </c>
      <c r="F48" s="26" t="inlineStr">
        <is>
          <t>退潮</t>
        </is>
      </c>
      <c r="G48" s="26" t="n"/>
      <c r="H48" s="26" t="n"/>
    </row>
    <row r="49">
      <c r="B49" s="26" t="n"/>
      <c r="C49" s="26" t="n"/>
      <c r="D49" s="26" t="n"/>
      <c r="E49" s="26" t="inlineStr">
        <is>
          <t>超仓位</t>
        </is>
      </c>
      <c r="F49" s="26" t="inlineStr">
        <is>
          <t>说不清</t>
        </is>
      </c>
      <c r="G49" s="26" t="n"/>
      <c r="H49" s="26" t="n"/>
    </row>
    <row r="50">
      <c r="B50" s="26" t="n"/>
      <c r="C50" s="26" t="n"/>
      <c r="D50" s="26" t="n"/>
      <c r="E50" s="26" t="inlineStr">
        <is>
          <t>止损挪远</t>
        </is>
      </c>
      <c r="F50" s="26" t="n"/>
      <c r="G50" s="26" t="n"/>
      <c r="H50" s="26" t="n"/>
    </row>
    <row r="51">
      <c r="B51" s="26" t="n"/>
      <c r="C51" s="26" t="n"/>
      <c r="D51" s="26" t="n"/>
      <c r="E51" s="26" t="inlineStr">
        <is>
          <t>盘中改计划</t>
        </is>
      </c>
      <c r="F51" s="26" t="n"/>
      <c r="G51" s="26" t="n"/>
      <c r="H51" s="26" t="n"/>
    </row>
    <row r="52">
      <c r="B52" s="26" t="n"/>
      <c r="C52" s="26" t="n"/>
      <c r="D52" s="26" t="n"/>
      <c r="E52" s="26" t="inlineStr">
        <is>
          <t>其他</t>
        </is>
      </c>
      <c r="F52" s="26" t="n"/>
      <c r="G52" s="26" t="n"/>
      <c r="H52" s="26" t="n"/>
    </row>
    <row r="53">
      <c r="B53" s="26" t="n"/>
      <c r="C53" s="26" t="n"/>
      <c r="D53" s="26" t="n"/>
      <c r="E53" s="26" t="n"/>
      <c r="F53" s="26" t="n"/>
      <c r="G53" s="26" t="n"/>
      <c r="H53" s="26" t="n"/>
    </row>
    <row r="54">
      <c r="B54" s="26" t="n"/>
      <c r="C54" s="26" t="n"/>
      <c r="D54" s="26" t="n"/>
      <c r="E54" s="26" t="n"/>
      <c r="F54" s="26" t="n"/>
      <c r="G54" s="26" t="n"/>
      <c r="H54" s="26" t="n"/>
    </row>
    <row r="56">
      <c r="B56" s="15" t="inlineStr">
        <is>
          <t>休市日（算 T+1 最早可卖日用，每年年底照交易所的休市安排填一次）</t>
        </is>
      </c>
    </row>
    <row r="57">
      <c r="B57" s="25" t="inlineStr">
        <is>
          <t>日期</t>
        </is>
      </c>
      <c r="C57" s="25" t="inlineStr">
        <is>
          <t>说明</t>
        </is>
      </c>
    </row>
    <row r="58">
      <c r="B58" s="31" t="n"/>
      <c r="C58" s="32" t="n"/>
    </row>
    <row r="59">
      <c r="B59" s="31" t="n"/>
      <c r="C59" s="32" t="n"/>
    </row>
    <row r="60">
      <c r="B60" s="31" t="n"/>
      <c r="C60" s="32" t="n"/>
    </row>
    <row r="61">
      <c r="B61" s="31" t="n"/>
      <c r="C61" s="32" t="n"/>
    </row>
    <row r="62">
      <c r="B62" s="31" t="n"/>
      <c r="C62" s="32" t="n"/>
    </row>
    <row r="63">
      <c r="B63" s="31" t="n"/>
      <c r="C63" s="32" t="n"/>
    </row>
    <row r="64">
      <c r="B64" s="31" t="n"/>
      <c r="C64" s="32" t="n"/>
    </row>
    <row r="65">
      <c r="B65" s="31" t="n"/>
      <c r="C65" s="32" t="n"/>
    </row>
    <row r="66">
      <c r="B66" s="31" t="n"/>
      <c r="C66" s="32" t="n"/>
    </row>
    <row r="67">
      <c r="B67" s="31" t="n"/>
      <c r="C67" s="32" t="n"/>
    </row>
    <row r="68">
      <c r="B68" s="31" t="n"/>
      <c r="C68" s="32" t="n"/>
    </row>
    <row r="69">
      <c r="B69" s="31" t="n"/>
      <c r="C69" s="32" t="n"/>
    </row>
    <row r="70">
      <c r="B70" s="31" t="n"/>
      <c r="C70" s="32" t="n"/>
    </row>
    <row r="71">
      <c r="B71" s="31" t="n"/>
      <c r="C71" s="32" t="n"/>
    </row>
    <row r="72">
      <c r="B72" s="31" t="n"/>
      <c r="C72" s="32" t="n"/>
    </row>
    <row r="73">
      <c r="B73" s="31" t="n"/>
      <c r="C73" s="32" t="n"/>
    </row>
    <row r="74">
      <c r="B74" s="31" t="n"/>
      <c r="C74" s="32" t="n"/>
    </row>
    <row r="75">
      <c r="B75" s="31" t="n"/>
      <c r="C75" s="32" t="n"/>
    </row>
    <row r="76">
      <c r="B76" s="31" t="n"/>
      <c r="C76" s="32" t="n"/>
    </row>
    <row r="77">
      <c r="B77" s="31" t="n"/>
      <c r="C77" s="32" t="n"/>
    </row>
    <row r="78">
      <c r="B78" s="31" t="n"/>
      <c r="C78" s="32" t="n"/>
    </row>
    <row r="79">
      <c r="B79" s="31" t="n"/>
      <c r="C79" s="32" t="n"/>
    </row>
    <row r="80">
      <c r="B80" s="31" t="n"/>
      <c r="C80" s="32" t="n"/>
    </row>
  </sheetData>
  <mergeCells count="16">
    <mergeCell ref="D9:K9"/>
    <mergeCell ref="D7:K7"/>
    <mergeCell ref="D8:K8"/>
    <mergeCell ref="D6:K6"/>
    <mergeCell ref="B17:K17"/>
    <mergeCell ref="D21:K22"/>
    <mergeCell ref="B37:K37"/>
    <mergeCell ref="B40:K40"/>
    <mergeCell ref="I43:K46"/>
    <mergeCell ref="I1:K1"/>
    <mergeCell ref="A2:K2"/>
    <mergeCell ref="D13:K13"/>
    <mergeCell ref="B39:K39"/>
    <mergeCell ref="B38:K38"/>
    <mergeCell ref="A1:H1"/>
    <mergeCell ref="D12:K12"/>
  </mergeCells>
  <dataValidations count="1">
    <dataValidation sqref="B58:B80" showDropDown="0" showInputMessage="0" showErrorMessage="1" allowBlank="1" errorTitle="日期格式" error="请填日期，例如 2030-03-04。" type="date" errorStyle="stop" operator="greaterThan">
      <formula1>36526</formula1>
    </dataValidation>
  </dataValidations>
  <hyperlinks>
    <hyperlink xmlns:r="http://schemas.openxmlformats.org/officeDocument/2006/relationships" ref="B40" r:id="rId1"/>
  </hyperlink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trade1469.com/templates/a-share-review/?src=tpl-ashare&amp;R&amp;"Microsoft YaHei"&amp;8 第 &amp;P 页，共 &amp;N 页</oddFooter>
    <evenHeader/>
    <evenFooter>&amp;L&amp;"Microsoft YaHei"&amp;8 TradeLearn · XtradingTime 交易内训&amp;C&amp;"Microsoft YaHei"&amp;8 trade1469.com/templates/a-share-review/?src=tpl-ashare&amp;R&amp;"Microsoft YaHei"&amp;8 第 &amp;P 页，共 &amp;N 页</evenFooter>
    <firstHeader/>
    <firstFooter/>
  </headerFooter>
  <rowBreaks count="3" manualBreakCount="3">
    <brk id="28" min="0" max="16383" man="1"/>
    <brk id="40" min="0" max="16383" man="1"/>
    <brk id="55" min="0" max="16383" man="1"/>
  </rowBreaks>
</worksheet>
</file>

<file path=xl/worksheets/sheet3.xml><?xml version="1.0" encoding="utf-8"?>
<worksheet xmlns="http://schemas.openxmlformats.org/spreadsheetml/2006/main">
  <sheetPr>
    <tabColor rgb="009D4616"/>
    <outlinePr summaryBelow="1" summaryRight="1"/>
    <pageSetUpPr fitToPage="1"/>
  </sheetPr>
  <dimension ref="A1:AI26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5" customWidth="1" min="2" max="2"/>
    <col width="7.5" customWidth="1" min="3" max="3"/>
    <col width="7.5" customWidth="1" min="4" max="4"/>
    <col width="7.5" customWidth="1" min="5" max="5"/>
    <col width="8.5" customWidth="1" min="6" max="6"/>
    <col width="8" customWidth="1" min="7" max="7"/>
    <col width="6.5" customWidth="1" min="8" max="8"/>
    <col width="6.5" customWidth="1" min="9" max="9"/>
    <col width="6" customWidth="1" min="10" max="10"/>
    <col width="6" customWidth="1" min="11" max="11"/>
    <col width="6.5" customWidth="1" min="12" max="12"/>
    <col width="6.5" customWidth="1" min="13" max="13"/>
    <col width="7" customWidth="1" min="14" max="14"/>
    <col width="6.5" customWidth="1" min="15" max="15"/>
    <col width="6.5" customWidth="1" min="16" max="16"/>
    <col width="7" customWidth="1" min="17" max="17"/>
    <col width="6" customWidth="1" min="18" max="18"/>
    <col width="8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21" customWidth="1" min="26" max="26"/>
    <col width="8" customWidth="1" min="27" max="27"/>
    <col width="30" customWidth="1" min="28" max="28"/>
    <col hidden="1" outlineLevel="1" width="2" customWidth="1" min="29" max="35"/>
  </cols>
  <sheetData>
    <row r="1" ht="30" customHeight="1">
      <c r="A1" s="13" t="inlineStr">
        <is>
          <t>A股每日复盘：市场情绪</t>
        </is>
      </c>
      <c r="Z1" s="14" t="inlineStr">
        <is>
          <t>TradeLearn · XtradingTime 交易内训</t>
        </is>
      </c>
    </row>
    <row r="2" ht="20" customHeight="1">
      <c r="A2" s="2" t="inlineStr">
        <is>
          <t>每天收盘后填一行。家数按你的数据来源照抄，口径前后保持一致：触板是盘中碰过涨停价的家数，炸板是碰过却没封住的家数。六个阶段的命中数和规则建议是公式算的，最后的判断由你写。</t>
        </is>
      </c>
    </row>
    <row r="3" ht="18" customHeight="1">
      <c r="A3" s="33" t="inlineStr">
        <is>
          <t>日期</t>
        </is>
      </c>
      <c r="B3" s="33" t="n"/>
      <c r="C3" s="33" t="inlineStr">
        <is>
          <t>大盘</t>
        </is>
      </c>
      <c r="D3" s="33" t="n"/>
      <c r="E3" s="33" t="n"/>
      <c r="F3" s="33" t="n"/>
      <c r="G3" s="33" t="n"/>
      <c r="H3" s="33" t="inlineStr">
        <is>
          <t>情绪数据（收盘后数）</t>
        </is>
      </c>
      <c r="I3" s="33" t="n"/>
      <c r="J3" s="33" t="n"/>
      <c r="K3" s="33" t="n"/>
      <c r="L3" s="33" t="n"/>
      <c r="M3" s="33" t="n"/>
      <c r="N3" s="33" t="n"/>
      <c r="O3" s="33" t="n"/>
      <c r="P3" s="33" t="n"/>
      <c r="Q3" s="33" t="n"/>
      <c r="R3" s="33" t="n"/>
      <c r="S3" s="33" t="n"/>
      <c r="T3" s="33" t="inlineStr">
        <is>
          <t>六个阶段各命中几条</t>
        </is>
      </c>
      <c r="U3" s="33" t="n"/>
      <c r="V3" s="33" t="n"/>
      <c r="W3" s="33" t="n"/>
      <c r="X3" s="33" t="n"/>
      <c r="Y3" s="33" t="n"/>
      <c r="Z3" s="33" t="inlineStr">
        <is>
          <t>阶段</t>
        </is>
      </c>
      <c r="AA3" s="33" t="n"/>
      <c r="AB3" s="33" t="n"/>
      <c r="AD3" s="34" t="inlineStr">
        <is>
          <t>排序用的辅助列，别改</t>
        </is>
      </c>
    </row>
    <row r="4" ht="41.8" customHeight="1">
      <c r="A4" s="25" t="inlineStr">
        <is>
          <t>日期</t>
        </is>
      </c>
      <c r="B4" s="25" t="inlineStr">
        <is>
          <t>星期</t>
        </is>
      </c>
      <c r="C4" s="25" t="inlineStr">
        <is>
          <t>上证指数涨跌</t>
        </is>
      </c>
      <c r="D4" s="25" t="inlineStr">
        <is>
          <t>深证成指涨跌</t>
        </is>
      </c>
      <c r="E4" s="25" t="inlineStr">
        <is>
          <t>创业板指涨跌</t>
        </is>
      </c>
      <c r="F4" s="25" t="inlineStr">
        <is>
          <t>两市成交额（亿元）</t>
        </is>
      </c>
      <c r="G4" s="25" t="inlineStr">
        <is>
          <t>量能变化</t>
        </is>
      </c>
      <c r="H4" s="25" t="inlineStr">
        <is>
          <t>上涨家数</t>
        </is>
      </c>
      <c r="I4" s="25" t="inlineStr">
        <is>
          <t>下跌家数</t>
        </is>
      </c>
      <c r="J4" s="25" t="inlineStr">
        <is>
          <t>涨停家数</t>
        </is>
      </c>
      <c r="K4" s="25" t="inlineStr">
        <is>
          <t>跌停家数</t>
        </is>
      </c>
      <c r="L4" s="25" t="inlineStr">
        <is>
          <t>触板家数</t>
        </is>
      </c>
      <c r="M4" s="25" t="inlineStr">
        <is>
          <t>炸板家数</t>
        </is>
      </c>
      <c r="N4" s="25" t="inlineStr">
        <is>
          <t>炸板率</t>
        </is>
      </c>
      <c r="O4" s="25" t="inlineStr">
        <is>
          <t>昨日首板家数</t>
        </is>
      </c>
      <c r="P4" s="25" t="inlineStr">
        <is>
          <t>今日 2 板家数</t>
        </is>
      </c>
      <c r="Q4" s="25" t="inlineStr">
        <is>
          <t>晋级率（1进2）</t>
        </is>
      </c>
      <c r="R4" s="25" t="inlineStr">
        <is>
          <t>最高连板</t>
        </is>
      </c>
      <c r="S4" s="25" t="inlineStr">
        <is>
          <t>昨日涨停今日均涨</t>
        </is>
      </c>
      <c r="T4" s="25" t="inlineStr">
        <is>
          <t>冰点</t>
        </is>
      </c>
      <c r="U4" s="25" t="inlineStr">
        <is>
          <t>启动</t>
        </is>
      </c>
      <c r="V4" s="25" t="inlineStr">
        <is>
          <t>发酵</t>
        </is>
      </c>
      <c r="W4" s="25" t="inlineStr">
        <is>
          <t>高潮</t>
        </is>
      </c>
      <c r="X4" s="25" t="inlineStr">
        <is>
          <t>分歧</t>
        </is>
      </c>
      <c r="Y4" s="25" t="inlineStr">
        <is>
          <t>退潮</t>
        </is>
      </c>
      <c r="Z4" s="25" t="inlineStr">
        <is>
          <t>规则建议</t>
        </is>
      </c>
      <c r="AA4" s="25" t="inlineStr">
        <is>
          <t>我的判断</t>
        </is>
      </c>
      <c r="AB4" s="25" t="inlineStr">
        <is>
          <t>判断依据（一句话）</t>
        </is>
      </c>
      <c r="AC4" s="35" t="inlineStr"/>
      <c r="AD4" s="25" t="inlineStr">
        <is>
          <t>排序冰点</t>
        </is>
      </c>
      <c r="AE4" s="25" t="inlineStr">
        <is>
          <t>排序启动</t>
        </is>
      </c>
      <c r="AF4" s="25" t="inlineStr">
        <is>
          <t>排序发酵</t>
        </is>
      </c>
      <c r="AG4" s="25" t="inlineStr">
        <is>
          <t>排序高潮</t>
        </is>
      </c>
      <c r="AH4" s="25" t="inlineStr">
        <is>
          <t>排序分歧</t>
        </is>
      </c>
      <c r="AI4" s="25" t="inlineStr">
        <is>
          <t>排序退潮</t>
        </is>
      </c>
    </row>
    <row r="5">
      <c r="A5" s="31" t="n"/>
      <c r="B5" s="36" t="str">
        <f>IF(ISNUMBER(A5),"周"&amp;CHOOSE(WEEKDAY(A5,2),"一","二","三","四","五","六","日"),"")</f>
        <v/>
      </c>
      <c r="C5" s="37" t="n"/>
      <c r="D5" s="37" t="n"/>
      <c r="E5" s="37" t="n"/>
      <c r="F5" s="17" t="n"/>
      <c r="G5" s="38" t="str">
        <f>IF(AND(ISNUMBER(F5),ISNUMBER(F4)),IF(F4=0,"",F5/F4-1),"")</f>
        <v/>
      </c>
      <c r="H5" s="17" t="n"/>
      <c r="I5" s="17" t="n"/>
      <c r="J5" s="17" t="n"/>
      <c r="K5" s="17" t="n"/>
      <c r="L5" s="17" t="n"/>
      <c r="M5" s="17" t="n"/>
      <c r="N5" s="39" t="str">
        <f>IF(AND(ISNUMBER(L5),ISNUMBER(M5),N(L5)&gt;0),M5/L5,"")</f>
        <v/>
      </c>
      <c r="O5" s="17" t="n"/>
      <c r="P5" s="17" t="n"/>
      <c r="Q5" s="39" t="str">
        <f>IF(AND(ISNUMBER(O5),ISNUMBER(P5),N(O5)&gt;0),P5/O5,"")</f>
        <v/>
      </c>
      <c r="R5" s="17" t="n"/>
      <c r="S5" s="37" t="n"/>
      <c r="T5" s="40" t="str">
        <f>IF(AND(ISNUMBER(J5),ISNUMBER(K5)),IF(N(ISNUMBER('参数'!$E$31))+N(ISNUMBER('参数'!$G$31))+N(ISNUMBER('参数'!$I$31))+N(ISNUMBER('参数'!$K$31))=0,"",IF(ISNUMBER('参数'!$E$31),J5&lt;='参数'!$E$31,FALSE)+IF(ISNUMBER('参数'!$G$31),K5&gt;='参数'!$G$31,FALSE)+IF(AND(ISNUMBER('参数'!$I$31),ISNUMBER(N5)),N5&gt;='参数'!$I$31,FALSE)+IF(AND(ISNUMBER('参数'!$K$31),ISNUMBER(Q5)),Q5&lt;='参数'!$K$31,FALSE)),"")</f>
        <v/>
      </c>
      <c r="U5" s="40" t="str">
        <f>IF(AND(ISNUMBER(J5),ISNUMBER(K5)),IF(N(ISNUMBER('参数'!$G$32))+N(ISNUMBER('参数'!$I$32))+N(ISNUMBER('参数'!$K$32))=0,"",IF(AND(ISNUMBER(J4),ISNUMBER(J3)),AND(J5&gt;J4,J4&gt;J3),FALSE)+IF(ISNUMBER('参数'!$G$32),J5&lt;'参数'!$G$32,FALSE)+IF(AND(ISNUMBER('参数'!$I$32),ISNUMBER(Q5)),Q5&gt;='参数'!$I$32,FALSE)+IF(AND(ISNUMBER('参数'!$K$32),ISNUMBER(S5)),S5&gt;='参数'!$K$32,FALSE)),"")</f>
        <v/>
      </c>
      <c r="V5" s="40" t="str">
        <f>IF(AND(ISNUMBER(J5),ISNUMBER(K5)),IF(N(ISNUMBER('参数'!$E$33))+N(ISNUMBER('参数'!$G$33))+N(ISNUMBER('参数'!$I$33))+N(ISNUMBER('参数'!$K$33))=0,"",IF(AND(ISNUMBER('参数'!$E$33),ISNUMBER(J4)),AND(J5&gt;='参数'!$E$33,J5&gt;J4),FALSE)+IF(AND(ISNUMBER('参数'!$G$33),ISNUMBER(N5)),N5&lt;='参数'!$G$33,FALSE)+IF(AND(ISNUMBER('参数'!$I$33),ISNUMBER(Q5)),Q5&gt;='参数'!$I$33,FALSE)+IF(AND(ISNUMBER('参数'!$K$33),ISNUMBER(S5)),S5&gt;='参数'!$K$33,FALSE)),"")</f>
        <v/>
      </c>
      <c r="W5" s="40" t="str">
        <f>IF(AND(ISNUMBER(J5),ISNUMBER(K5)),IF(N(ISNUMBER('参数'!$E$34))+N(ISNUMBER('参数'!$G$34))+N(ISNUMBER('参数'!$I$34))+N(ISNUMBER('参数'!$K$34))=0,"",IF(ISNUMBER('参数'!$E$34),J5&gt;='参数'!$E$34,FALSE)+IF(AND(ISNUMBER('参数'!$G$34),ISNUMBER(N5)),N5&lt;='参数'!$G$34,FALSE)+IF(AND(ISNUMBER('参数'!$I$34),ISNUMBER(S5)),S5&gt;='参数'!$I$34,FALSE)+IF(AND(ISNUMBER('参数'!$K$34),ISNUMBER(R5)),R5&gt;='参数'!$K$34,FALSE)),"")</f>
        <v/>
      </c>
      <c r="X5" s="40" t="str">
        <f>IF(AND(ISNUMBER(J5),ISNUMBER(K5)),IF(N(ISNUMBER('参数'!$E$35))+N(ISNUMBER('参数'!$G$35))+N(ISNUMBER('参数'!$I$35))=0,"",IF(AND(ISNUMBER('参数'!$E$35),ISNUMBER(N5),ISNUMBER(N4)),ROUND(N5-N4,6)&gt;='参数'!$E$35,FALSE)+IF(AND(ISNUMBER('参数'!$G$35),ISNUMBER(Q5),ISNUMBER(Q4)),ROUND(Q4-Q5,6)&gt;='参数'!$G$35,FALSE)+IF(AND(ISNUMBER('参数'!$I$35),ISNUMBER(S5),ISNUMBER(S4)),ROUND(S4-S5,6)&gt;='参数'!$I$35,FALSE)+IF(ISNUMBER(J4),J5&lt;J4,FALSE)),"")</f>
        <v/>
      </c>
      <c r="Y5" s="40" t="str">
        <f>IF(AND(ISNUMBER(J5),ISNUMBER(K5)),IF(N(ISNUMBER('参数'!$E$36))+N(ISNUMBER('参数'!$G$36))+N(ISNUMBER('参数'!$I$36))=0,"",IF(AND(ISNUMBER('参数'!$E$36),ISNUMBER(J4)),AND(J5&lt;='参数'!$E$36,J5&lt;J4),FALSE)+IF(ISNUMBER('参数'!$G$36),K5&gt;='参数'!$G$36,FALSE)+IF(AND(ISNUMBER('参数'!$I$36),ISNUMBER(S5)),S5&lt;'参数'!$I$36,FALSE)+IF(AND(ISNUMBER(R5),ISNUMBER(R4)),R5&lt;R4,FALSE)),"")</f>
        <v/>
      </c>
      <c r="Z5" s="41" t="str">
        <f>IF(NOT(AND(ISNUMBER(J5),ISNUMBER(K5))),"",IF(COUNT(T5:Y5)=0,"先填阈值",IF(MAX(AD5:AI5)=0,"不写",INDEX($T$4:$Y$4,MATCH(MAX(AD5:AI5),AD5:AI5,0))&amp;"·"&amp;IF(MAX(AD5:AI5)&gt;=200,"高","中")&amp;IF(LARGE(AD5:AI5,2)&gt;0,"（也像"&amp;INDEX($T$4:$Y$4,MATCH(LARGE(AD5:AI5,2),AD5:AI5,0))&amp;"·"&amp;IF(LARGE(AD5:AI5,2)&gt;=200,"高","中")&amp;"）",""))))</f>
        <v/>
      </c>
      <c r="AA5" s="27" t="n"/>
      <c r="AB5" s="32" t="n"/>
      <c r="AC5" s="16" t="n"/>
      <c r="AD5" s="40">
        <f>IF(N(T5)&gt;=3,IF(T5=4,2,1)*100+T5*10+6,0)</f>
        <v>0</v>
      </c>
      <c r="AE5" s="40">
        <f>IF(N(U5)&gt;=3,1*100+U5*10+1,0)</f>
        <v>0</v>
      </c>
      <c r="AF5" s="40">
        <f>IF(N(V5)&gt;=3,IF(V5=4,2,1)*100+V5*10+2,0)</f>
        <v>0</v>
      </c>
      <c r="AG5" s="40">
        <f>IF(N(W5)&gt;=3,1*100+W5*10+3,0)</f>
        <v>0</v>
      </c>
      <c r="AH5" s="40">
        <f>IF(N(X5)&gt;=3,1*100+X5*10+4,0)</f>
        <v>0</v>
      </c>
      <c r="AI5" s="40">
        <f>IF(N(Y5)&gt;=3,IF(AND(N(T5)&gt;=3,OR(N(T5)=4,N(Y5)&lt;=N(T5))),0,IF(Y5=4,2,1)*100+Y5*10+5),0)</f>
        <v>0</v>
      </c>
    </row>
    <row r="6">
      <c r="A6" s="31" t="n"/>
      <c r="B6" s="36" t="str">
        <f>IF(ISNUMBER(A6),"周"&amp;CHOOSE(WEEKDAY(A6,2),"一","二","三","四","五","六","日"),"")</f>
        <v/>
      </c>
      <c r="C6" s="37" t="n"/>
      <c r="D6" s="37" t="n"/>
      <c r="E6" s="37" t="n"/>
      <c r="F6" s="17" t="n"/>
      <c r="G6" s="38" t="str">
        <f>IF(AND(ISNUMBER(F6),ISNUMBER(F5)),IF(F5=0,"",F6/F5-1),"")</f>
        <v/>
      </c>
      <c r="H6" s="17" t="n"/>
      <c r="I6" s="17" t="n"/>
      <c r="J6" s="17" t="n"/>
      <c r="K6" s="17" t="n"/>
      <c r="L6" s="17" t="n"/>
      <c r="M6" s="17" t="n"/>
      <c r="N6" s="39" t="str">
        <f>IF(AND(ISNUMBER(L6),ISNUMBER(M6),N(L6)&gt;0),M6/L6,"")</f>
        <v/>
      </c>
      <c r="O6" s="17" t="n"/>
      <c r="P6" s="17" t="n"/>
      <c r="Q6" s="39" t="str">
        <f>IF(AND(ISNUMBER(O6),ISNUMBER(P6),N(O6)&gt;0),P6/O6,"")</f>
        <v/>
      </c>
      <c r="R6" s="17" t="n"/>
      <c r="S6" s="37" t="n"/>
      <c r="T6" s="40" t="str">
        <f>IF(AND(ISNUMBER(J6),ISNUMBER(K6)),IF(N(ISNUMBER('参数'!$E$31))+N(ISNUMBER('参数'!$G$31))+N(ISNUMBER('参数'!$I$31))+N(ISNUMBER('参数'!$K$31))=0,"",IF(ISNUMBER('参数'!$E$31),J6&lt;='参数'!$E$31,FALSE)+IF(ISNUMBER('参数'!$G$31),K6&gt;='参数'!$G$31,FALSE)+IF(AND(ISNUMBER('参数'!$I$31),ISNUMBER(N6)),N6&gt;='参数'!$I$31,FALSE)+IF(AND(ISNUMBER('参数'!$K$31),ISNUMBER(Q6)),Q6&lt;='参数'!$K$31,FALSE)),"")</f>
        <v/>
      </c>
      <c r="U6" s="40" t="str">
        <f>IF(AND(ISNUMBER(J6),ISNUMBER(K6)),IF(N(ISNUMBER('参数'!$G$32))+N(ISNUMBER('参数'!$I$32))+N(ISNUMBER('参数'!$K$32))=0,"",IF(AND(ISNUMBER(J5),ISNUMBER(J4)),AND(J6&gt;J5,J5&gt;J4),FALSE)+IF(ISNUMBER('参数'!$G$32),J6&lt;'参数'!$G$32,FALSE)+IF(AND(ISNUMBER('参数'!$I$32),ISNUMBER(Q6)),Q6&gt;='参数'!$I$32,FALSE)+IF(AND(ISNUMBER('参数'!$K$32),ISNUMBER(S6)),S6&gt;='参数'!$K$32,FALSE)),"")</f>
        <v/>
      </c>
      <c r="V6" s="40" t="str">
        <f>IF(AND(ISNUMBER(J6),ISNUMBER(K6)),IF(N(ISNUMBER('参数'!$E$33))+N(ISNUMBER('参数'!$G$33))+N(ISNUMBER('参数'!$I$33))+N(ISNUMBER('参数'!$K$33))=0,"",IF(AND(ISNUMBER('参数'!$E$33),ISNUMBER(J5)),AND(J6&gt;='参数'!$E$33,J6&gt;J5),FALSE)+IF(AND(ISNUMBER('参数'!$G$33),ISNUMBER(N6)),N6&lt;='参数'!$G$33,FALSE)+IF(AND(ISNUMBER('参数'!$I$33),ISNUMBER(Q6)),Q6&gt;='参数'!$I$33,FALSE)+IF(AND(ISNUMBER('参数'!$K$33),ISNUMBER(S6)),S6&gt;='参数'!$K$33,FALSE)),"")</f>
        <v/>
      </c>
      <c r="W6" s="40" t="str">
        <f>IF(AND(ISNUMBER(J6),ISNUMBER(K6)),IF(N(ISNUMBER('参数'!$E$34))+N(ISNUMBER('参数'!$G$34))+N(ISNUMBER('参数'!$I$34))+N(ISNUMBER('参数'!$K$34))=0,"",IF(ISNUMBER('参数'!$E$34),J6&gt;='参数'!$E$34,FALSE)+IF(AND(ISNUMBER('参数'!$G$34),ISNUMBER(N6)),N6&lt;='参数'!$G$34,FALSE)+IF(AND(ISNUMBER('参数'!$I$34),ISNUMBER(S6)),S6&gt;='参数'!$I$34,FALSE)+IF(AND(ISNUMBER('参数'!$K$34),ISNUMBER(R6)),R6&gt;='参数'!$K$34,FALSE)),"")</f>
        <v/>
      </c>
      <c r="X6" s="40" t="str">
        <f>IF(AND(ISNUMBER(J6),ISNUMBER(K6)),IF(N(ISNUMBER('参数'!$E$35))+N(ISNUMBER('参数'!$G$35))+N(ISNUMBER('参数'!$I$35))=0,"",IF(AND(ISNUMBER('参数'!$E$35),ISNUMBER(N6),ISNUMBER(N5)),ROUND(N6-N5,6)&gt;='参数'!$E$35,FALSE)+IF(AND(ISNUMBER('参数'!$G$35),ISNUMBER(Q6),ISNUMBER(Q5)),ROUND(Q5-Q6,6)&gt;='参数'!$G$35,FALSE)+IF(AND(ISNUMBER('参数'!$I$35),ISNUMBER(S6),ISNUMBER(S5)),ROUND(S5-S6,6)&gt;='参数'!$I$35,FALSE)+IF(ISNUMBER(J5),J6&lt;J5,FALSE)),"")</f>
        <v/>
      </c>
      <c r="Y6" s="40" t="str">
        <f>IF(AND(ISNUMBER(J6),ISNUMBER(K6)),IF(N(ISNUMBER('参数'!$E$36))+N(ISNUMBER('参数'!$G$36))+N(ISNUMBER('参数'!$I$36))=0,"",IF(AND(ISNUMBER('参数'!$E$36),ISNUMBER(J5)),AND(J6&lt;='参数'!$E$36,J6&lt;J5),FALSE)+IF(ISNUMBER('参数'!$G$36),K6&gt;='参数'!$G$36,FALSE)+IF(AND(ISNUMBER('参数'!$I$36),ISNUMBER(S6)),S6&lt;'参数'!$I$36,FALSE)+IF(AND(ISNUMBER(R6),ISNUMBER(R5)),R6&lt;R5,FALSE)),"")</f>
        <v/>
      </c>
      <c r="Z6" s="41" t="str">
        <f>IF(NOT(AND(ISNUMBER(J6),ISNUMBER(K6))),"",IF(COUNT(T6:Y6)=0,"先填阈值",IF(MAX(AD6:AI6)=0,"不写",INDEX($T$4:$Y$4,MATCH(MAX(AD6:AI6),AD6:AI6,0))&amp;"·"&amp;IF(MAX(AD6:AI6)&gt;=200,"高","中")&amp;IF(LARGE(AD6:AI6,2)&gt;0,"（也像"&amp;INDEX($T$4:$Y$4,MATCH(LARGE(AD6:AI6,2),AD6:AI6,0))&amp;"·"&amp;IF(LARGE(AD6:AI6,2)&gt;=200,"高","中")&amp;"）",""))))</f>
        <v/>
      </c>
      <c r="AA6" s="27" t="n"/>
      <c r="AB6" s="32" t="n"/>
      <c r="AC6" s="16" t="n"/>
      <c r="AD6" s="40">
        <f>IF(N(T6)&gt;=3,IF(T6=4,2,1)*100+T6*10+6,0)</f>
        <v>0</v>
      </c>
      <c r="AE6" s="40">
        <f>IF(N(U6)&gt;=3,1*100+U6*10+1,0)</f>
        <v>0</v>
      </c>
      <c r="AF6" s="40">
        <f>IF(N(V6)&gt;=3,IF(V6=4,2,1)*100+V6*10+2,0)</f>
        <v>0</v>
      </c>
      <c r="AG6" s="40">
        <f>IF(N(W6)&gt;=3,1*100+W6*10+3,0)</f>
        <v>0</v>
      </c>
      <c r="AH6" s="40">
        <f>IF(N(X6)&gt;=3,1*100+X6*10+4,0)</f>
        <v>0</v>
      </c>
      <c r="AI6" s="40">
        <f>IF(N(Y6)&gt;=3,IF(AND(N(T6)&gt;=3,OR(N(T6)=4,N(Y6)&lt;=N(T6))),0,IF(Y6=4,2,1)*100+Y6*10+5),0)</f>
        <v>0</v>
      </c>
    </row>
    <row r="7">
      <c r="A7" s="31" t="n"/>
      <c r="B7" s="36" t="str">
        <f>IF(ISNUMBER(A7),"周"&amp;CHOOSE(WEEKDAY(A7,2),"一","二","三","四","五","六","日"),"")</f>
        <v/>
      </c>
      <c r="C7" s="37" t="n"/>
      <c r="D7" s="37" t="n"/>
      <c r="E7" s="37" t="n"/>
      <c r="F7" s="17" t="n"/>
      <c r="G7" s="38" t="str">
        <f>IF(AND(ISNUMBER(F7),ISNUMBER(F6)),IF(F6=0,"",F7/F6-1),"")</f>
        <v/>
      </c>
      <c r="H7" s="17" t="n"/>
      <c r="I7" s="17" t="n"/>
      <c r="J7" s="17" t="n"/>
      <c r="K7" s="17" t="n"/>
      <c r="L7" s="17" t="n"/>
      <c r="M7" s="17" t="n"/>
      <c r="N7" s="39" t="str">
        <f>IF(AND(ISNUMBER(L7),ISNUMBER(M7),N(L7)&gt;0),M7/L7,"")</f>
        <v/>
      </c>
      <c r="O7" s="17" t="n"/>
      <c r="P7" s="17" t="n"/>
      <c r="Q7" s="39" t="str">
        <f>IF(AND(ISNUMBER(O7),ISNUMBER(P7),N(O7)&gt;0),P7/O7,"")</f>
        <v/>
      </c>
      <c r="R7" s="17" t="n"/>
      <c r="S7" s="37" t="n"/>
      <c r="T7" s="40" t="str">
        <f>IF(AND(ISNUMBER(J7),ISNUMBER(K7)),IF(N(ISNUMBER('参数'!$E$31))+N(ISNUMBER('参数'!$G$31))+N(ISNUMBER('参数'!$I$31))+N(ISNUMBER('参数'!$K$31))=0,"",IF(ISNUMBER('参数'!$E$31),J7&lt;='参数'!$E$31,FALSE)+IF(ISNUMBER('参数'!$G$31),K7&gt;='参数'!$G$31,FALSE)+IF(AND(ISNUMBER('参数'!$I$31),ISNUMBER(N7)),N7&gt;='参数'!$I$31,FALSE)+IF(AND(ISNUMBER('参数'!$K$31),ISNUMBER(Q7)),Q7&lt;='参数'!$K$31,FALSE)),"")</f>
        <v/>
      </c>
      <c r="U7" s="40" t="str">
        <f>IF(AND(ISNUMBER(J7),ISNUMBER(K7)),IF(N(ISNUMBER('参数'!$G$32))+N(ISNUMBER('参数'!$I$32))+N(ISNUMBER('参数'!$K$32))=0,"",IF(AND(ISNUMBER(J6),ISNUMBER(J5)),AND(J7&gt;J6,J6&gt;J5),FALSE)+IF(ISNUMBER('参数'!$G$32),J7&lt;'参数'!$G$32,FALSE)+IF(AND(ISNUMBER('参数'!$I$32),ISNUMBER(Q7)),Q7&gt;='参数'!$I$32,FALSE)+IF(AND(ISNUMBER('参数'!$K$32),ISNUMBER(S7)),S7&gt;='参数'!$K$32,FALSE)),"")</f>
        <v/>
      </c>
      <c r="V7" s="40" t="str">
        <f>IF(AND(ISNUMBER(J7),ISNUMBER(K7)),IF(N(ISNUMBER('参数'!$E$33))+N(ISNUMBER('参数'!$G$33))+N(ISNUMBER('参数'!$I$33))+N(ISNUMBER('参数'!$K$33))=0,"",IF(AND(ISNUMBER('参数'!$E$33),ISNUMBER(J6)),AND(J7&gt;='参数'!$E$33,J7&gt;J6),FALSE)+IF(AND(ISNUMBER('参数'!$G$33),ISNUMBER(N7)),N7&lt;='参数'!$G$33,FALSE)+IF(AND(ISNUMBER('参数'!$I$33),ISNUMBER(Q7)),Q7&gt;='参数'!$I$33,FALSE)+IF(AND(ISNUMBER('参数'!$K$33),ISNUMBER(S7)),S7&gt;='参数'!$K$33,FALSE)),"")</f>
        <v/>
      </c>
      <c r="W7" s="40" t="str">
        <f>IF(AND(ISNUMBER(J7),ISNUMBER(K7)),IF(N(ISNUMBER('参数'!$E$34))+N(ISNUMBER('参数'!$G$34))+N(ISNUMBER('参数'!$I$34))+N(ISNUMBER('参数'!$K$34))=0,"",IF(ISNUMBER('参数'!$E$34),J7&gt;='参数'!$E$34,FALSE)+IF(AND(ISNUMBER('参数'!$G$34),ISNUMBER(N7)),N7&lt;='参数'!$G$34,FALSE)+IF(AND(ISNUMBER('参数'!$I$34),ISNUMBER(S7)),S7&gt;='参数'!$I$34,FALSE)+IF(AND(ISNUMBER('参数'!$K$34),ISNUMBER(R7)),R7&gt;='参数'!$K$34,FALSE)),"")</f>
        <v/>
      </c>
      <c r="X7" s="40" t="str">
        <f>IF(AND(ISNUMBER(J7),ISNUMBER(K7)),IF(N(ISNUMBER('参数'!$E$35))+N(ISNUMBER('参数'!$G$35))+N(ISNUMBER('参数'!$I$35))=0,"",IF(AND(ISNUMBER('参数'!$E$35),ISNUMBER(N7),ISNUMBER(N6)),ROUND(N7-N6,6)&gt;='参数'!$E$35,FALSE)+IF(AND(ISNUMBER('参数'!$G$35),ISNUMBER(Q7),ISNUMBER(Q6)),ROUND(Q6-Q7,6)&gt;='参数'!$G$35,FALSE)+IF(AND(ISNUMBER('参数'!$I$35),ISNUMBER(S7),ISNUMBER(S6)),ROUND(S6-S7,6)&gt;='参数'!$I$35,FALSE)+IF(ISNUMBER(J6),J7&lt;J6,FALSE)),"")</f>
        <v/>
      </c>
      <c r="Y7" s="40" t="str">
        <f>IF(AND(ISNUMBER(J7),ISNUMBER(K7)),IF(N(ISNUMBER('参数'!$E$36))+N(ISNUMBER('参数'!$G$36))+N(ISNUMBER('参数'!$I$36))=0,"",IF(AND(ISNUMBER('参数'!$E$36),ISNUMBER(J6)),AND(J7&lt;='参数'!$E$36,J7&lt;J6),FALSE)+IF(ISNUMBER('参数'!$G$36),K7&gt;='参数'!$G$36,FALSE)+IF(AND(ISNUMBER('参数'!$I$36),ISNUMBER(S7)),S7&lt;'参数'!$I$36,FALSE)+IF(AND(ISNUMBER(R7),ISNUMBER(R6)),R7&lt;R6,FALSE)),"")</f>
        <v/>
      </c>
      <c r="Z7" s="41" t="str">
        <f>IF(NOT(AND(ISNUMBER(J7),ISNUMBER(K7))),"",IF(COUNT(T7:Y7)=0,"先填阈值",IF(MAX(AD7:AI7)=0,"不写",INDEX($T$4:$Y$4,MATCH(MAX(AD7:AI7),AD7:AI7,0))&amp;"·"&amp;IF(MAX(AD7:AI7)&gt;=200,"高","中")&amp;IF(LARGE(AD7:AI7,2)&gt;0,"（也像"&amp;INDEX($T$4:$Y$4,MATCH(LARGE(AD7:AI7,2),AD7:AI7,0))&amp;"·"&amp;IF(LARGE(AD7:AI7,2)&gt;=200,"高","中")&amp;"）",""))))</f>
        <v/>
      </c>
      <c r="AA7" s="27" t="n"/>
      <c r="AB7" s="32" t="n"/>
      <c r="AC7" s="16" t="n"/>
      <c r="AD7" s="40">
        <f>IF(N(T7)&gt;=3,IF(T7=4,2,1)*100+T7*10+6,0)</f>
        <v>0</v>
      </c>
      <c r="AE7" s="40">
        <f>IF(N(U7)&gt;=3,1*100+U7*10+1,0)</f>
        <v>0</v>
      </c>
      <c r="AF7" s="40">
        <f>IF(N(V7)&gt;=3,IF(V7=4,2,1)*100+V7*10+2,0)</f>
        <v>0</v>
      </c>
      <c r="AG7" s="40">
        <f>IF(N(W7)&gt;=3,1*100+W7*10+3,0)</f>
        <v>0</v>
      </c>
      <c r="AH7" s="40">
        <f>IF(N(X7)&gt;=3,1*100+X7*10+4,0)</f>
        <v>0</v>
      </c>
      <c r="AI7" s="40">
        <f>IF(N(Y7)&gt;=3,IF(AND(N(T7)&gt;=3,OR(N(T7)=4,N(Y7)&lt;=N(T7))),0,IF(Y7=4,2,1)*100+Y7*10+5),0)</f>
        <v>0</v>
      </c>
    </row>
    <row r="8">
      <c r="A8" s="31" t="n"/>
      <c r="B8" s="36" t="str">
        <f>IF(ISNUMBER(A8),"周"&amp;CHOOSE(WEEKDAY(A8,2),"一","二","三","四","五","六","日"),"")</f>
        <v/>
      </c>
      <c r="C8" s="37" t="n"/>
      <c r="D8" s="37" t="n"/>
      <c r="E8" s="37" t="n"/>
      <c r="F8" s="17" t="n"/>
      <c r="G8" s="38" t="str">
        <f>IF(AND(ISNUMBER(F8),ISNUMBER(F7)),IF(F7=0,"",F8/F7-1),"")</f>
        <v/>
      </c>
      <c r="H8" s="17" t="n"/>
      <c r="I8" s="17" t="n"/>
      <c r="J8" s="17" t="n"/>
      <c r="K8" s="17" t="n"/>
      <c r="L8" s="17" t="n"/>
      <c r="M8" s="17" t="n"/>
      <c r="N8" s="39" t="str">
        <f>IF(AND(ISNUMBER(L8),ISNUMBER(M8),N(L8)&gt;0),M8/L8,"")</f>
        <v/>
      </c>
      <c r="O8" s="17" t="n"/>
      <c r="P8" s="17" t="n"/>
      <c r="Q8" s="39" t="str">
        <f>IF(AND(ISNUMBER(O8),ISNUMBER(P8),N(O8)&gt;0),P8/O8,"")</f>
        <v/>
      </c>
      <c r="R8" s="17" t="n"/>
      <c r="S8" s="37" t="n"/>
      <c r="T8" s="40" t="str">
        <f>IF(AND(ISNUMBER(J8),ISNUMBER(K8)),IF(N(ISNUMBER('参数'!$E$31))+N(ISNUMBER('参数'!$G$31))+N(ISNUMBER('参数'!$I$31))+N(ISNUMBER('参数'!$K$31))=0,"",IF(ISNUMBER('参数'!$E$31),J8&lt;='参数'!$E$31,FALSE)+IF(ISNUMBER('参数'!$G$31),K8&gt;='参数'!$G$31,FALSE)+IF(AND(ISNUMBER('参数'!$I$31),ISNUMBER(N8)),N8&gt;='参数'!$I$31,FALSE)+IF(AND(ISNUMBER('参数'!$K$31),ISNUMBER(Q8)),Q8&lt;='参数'!$K$31,FALSE)),"")</f>
        <v/>
      </c>
      <c r="U8" s="40" t="str">
        <f>IF(AND(ISNUMBER(J8),ISNUMBER(K8)),IF(N(ISNUMBER('参数'!$G$32))+N(ISNUMBER('参数'!$I$32))+N(ISNUMBER('参数'!$K$32))=0,"",IF(AND(ISNUMBER(J7),ISNUMBER(J6)),AND(J8&gt;J7,J7&gt;J6),FALSE)+IF(ISNUMBER('参数'!$G$32),J8&lt;'参数'!$G$32,FALSE)+IF(AND(ISNUMBER('参数'!$I$32),ISNUMBER(Q8)),Q8&gt;='参数'!$I$32,FALSE)+IF(AND(ISNUMBER('参数'!$K$32),ISNUMBER(S8)),S8&gt;='参数'!$K$32,FALSE)),"")</f>
        <v/>
      </c>
      <c r="V8" s="40" t="str">
        <f>IF(AND(ISNUMBER(J8),ISNUMBER(K8)),IF(N(ISNUMBER('参数'!$E$33))+N(ISNUMBER('参数'!$G$33))+N(ISNUMBER('参数'!$I$33))+N(ISNUMBER('参数'!$K$33))=0,"",IF(AND(ISNUMBER('参数'!$E$33),ISNUMBER(J7)),AND(J8&gt;='参数'!$E$33,J8&gt;J7),FALSE)+IF(AND(ISNUMBER('参数'!$G$33),ISNUMBER(N8)),N8&lt;='参数'!$G$33,FALSE)+IF(AND(ISNUMBER('参数'!$I$33),ISNUMBER(Q8)),Q8&gt;='参数'!$I$33,FALSE)+IF(AND(ISNUMBER('参数'!$K$33),ISNUMBER(S8)),S8&gt;='参数'!$K$33,FALSE)),"")</f>
        <v/>
      </c>
      <c r="W8" s="40" t="str">
        <f>IF(AND(ISNUMBER(J8),ISNUMBER(K8)),IF(N(ISNUMBER('参数'!$E$34))+N(ISNUMBER('参数'!$G$34))+N(ISNUMBER('参数'!$I$34))+N(ISNUMBER('参数'!$K$34))=0,"",IF(ISNUMBER('参数'!$E$34),J8&gt;='参数'!$E$34,FALSE)+IF(AND(ISNUMBER('参数'!$G$34),ISNUMBER(N8)),N8&lt;='参数'!$G$34,FALSE)+IF(AND(ISNUMBER('参数'!$I$34),ISNUMBER(S8)),S8&gt;='参数'!$I$34,FALSE)+IF(AND(ISNUMBER('参数'!$K$34),ISNUMBER(R8)),R8&gt;='参数'!$K$34,FALSE)),"")</f>
        <v/>
      </c>
      <c r="X8" s="40" t="str">
        <f>IF(AND(ISNUMBER(J8),ISNUMBER(K8)),IF(N(ISNUMBER('参数'!$E$35))+N(ISNUMBER('参数'!$G$35))+N(ISNUMBER('参数'!$I$35))=0,"",IF(AND(ISNUMBER('参数'!$E$35),ISNUMBER(N8),ISNUMBER(N7)),ROUND(N8-N7,6)&gt;='参数'!$E$35,FALSE)+IF(AND(ISNUMBER('参数'!$G$35),ISNUMBER(Q8),ISNUMBER(Q7)),ROUND(Q7-Q8,6)&gt;='参数'!$G$35,FALSE)+IF(AND(ISNUMBER('参数'!$I$35),ISNUMBER(S8),ISNUMBER(S7)),ROUND(S7-S8,6)&gt;='参数'!$I$35,FALSE)+IF(ISNUMBER(J7),J8&lt;J7,FALSE)),"")</f>
        <v/>
      </c>
      <c r="Y8" s="40" t="str">
        <f>IF(AND(ISNUMBER(J8),ISNUMBER(K8)),IF(N(ISNUMBER('参数'!$E$36))+N(ISNUMBER('参数'!$G$36))+N(ISNUMBER('参数'!$I$36))=0,"",IF(AND(ISNUMBER('参数'!$E$36),ISNUMBER(J7)),AND(J8&lt;='参数'!$E$36,J8&lt;J7),FALSE)+IF(ISNUMBER('参数'!$G$36),K8&gt;='参数'!$G$36,FALSE)+IF(AND(ISNUMBER('参数'!$I$36),ISNUMBER(S8)),S8&lt;'参数'!$I$36,FALSE)+IF(AND(ISNUMBER(R8),ISNUMBER(R7)),R8&lt;R7,FALSE)),"")</f>
        <v/>
      </c>
      <c r="Z8" s="41" t="str">
        <f>IF(NOT(AND(ISNUMBER(J8),ISNUMBER(K8))),"",IF(COUNT(T8:Y8)=0,"先填阈值",IF(MAX(AD8:AI8)=0,"不写",INDEX($T$4:$Y$4,MATCH(MAX(AD8:AI8),AD8:AI8,0))&amp;"·"&amp;IF(MAX(AD8:AI8)&gt;=200,"高","中")&amp;IF(LARGE(AD8:AI8,2)&gt;0,"（也像"&amp;INDEX($T$4:$Y$4,MATCH(LARGE(AD8:AI8,2),AD8:AI8,0))&amp;"·"&amp;IF(LARGE(AD8:AI8,2)&gt;=200,"高","中")&amp;"）",""))))</f>
        <v/>
      </c>
      <c r="AA8" s="27" t="n"/>
      <c r="AB8" s="32" t="n"/>
      <c r="AC8" s="16" t="n"/>
      <c r="AD8" s="40">
        <f>IF(N(T8)&gt;=3,IF(T8=4,2,1)*100+T8*10+6,0)</f>
        <v>0</v>
      </c>
      <c r="AE8" s="40">
        <f>IF(N(U8)&gt;=3,1*100+U8*10+1,0)</f>
        <v>0</v>
      </c>
      <c r="AF8" s="40">
        <f>IF(N(V8)&gt;=3,IF(V8=4,2,1)*100+V8*10+2,0)</f>
        <v>0</v>
      </c>
      <c r="AG8" s="40">
        <f>IF(N(W8)&gt;=3,1*100+W8*10+3,0)</f>
        <v>0</v>
      </c>
      <c r="AH8" s="40">
        <f>IF(N(X8)&gt;=3,1*100+X8*10+4,0)</f>
        <v>0</v>
      </c>
      <c r="AI8" s="40">
        <f>IF(N(Y8)&gt;=3,IF(AND(N(T8)&gt;=3,OR(N(T8)=4,N(Y8)&lt;=N(T8))),0,IF(Y8=4,2,1)*100+Y8*10+5),0)</f>
        <v>0</v>
      </c>
    </row>
    <row r="9">
      <c r="A9" s="31" t="n"/>
      <c r="B9" s="36" t="str">
        <f>IF(ISNUMBER(A9),"周"&amp;CHOOSE(WEEKDAY(A9,2),"一","二","三","四","五","六","日"),"")</f>
        <v/>
      </c>
      <c r="C9" s="37" t="n"/>
      <c r="D9" s="37" t="n"/>
      <c r="E9" s="37" t="n"/>
      <c r="F9" s="17" t="n"/>
      <c r="G9" s="38" t="str">
        <f>IF(AND(ISNUMBER(F9),ISNUMBER(F8)),IF(F8=0,"",F9/F8-1),"")</f>
        <v/>
      </c>
      <c r="H9" s="17" t="n"/>
      <c r="I9" s="17" t="n"/>
      <c r="J9" s="17" t="n"/>
      <c r="K9" s="17" t="n"/>
      <c r="L9" s="17" t="n"/>
      <c r="M9" s="17" t="n"/>
      <c r="N9" s="39" t="str">
        <f>IF(AND(ISNUMBER(L9),ISNUMBER(M9),N(L9)&gt;0),M9/L9,"")</f>
        <v/>
      </c>
      <c r="O9" s="17" t="n"/>
      <c r="P9" s="17" t="n"/>
      <c r="Q9" s="39" t="str">
        <f>IF(AND(ISNUMBER(O9),ISNUMBER(P9),N(O9)&gt;0),P9/O9,"")</f>
        <v/>
      </c>
      <c r="R9" s="17" t="n"/>
      <c r="S9" s="37" t="n"/>
      <c r="T9" s="40" t="str">
        <f>IF(AND(ISNUMBER(J9),ISNUMBER(K9)),IF(N(ISNUMBER('参数'!$E$31))+N(ISNUMBER('参数'!$G$31))+N(ISNUMBER('参数'!$I$31))+N(ISNUMBER('参数'!$K$31))=0,"",IF(ISNUMBER('参数'!$E$31),J9&lt;='参数'!$E$31,FALSE)+IF(ISNUMBER('参数'!$G$31),K9&gt;='参数'!$G$31,FALSE)+IF(AND(ISNUMBER('参数'!$I$31),ISNUMBER(N9)),N9&gt;='参数'!$I$31,FALSE)+IF(AND(ISNUMBER('参数'!$K$31),ISNUMBER(Q9)),Q9&lt;='参数'!$K$31,FALSE)),"")</f>
        <v/>
      </c>
      <c r="U9" s="40" t="str">
        <f>IF(AND(ISNUMBER(J9),ISNUMBER(K9)),IF(N(ISNUMBER('参数'!$G$32))+N(ISNUMBER('参数'!$I$32))+N(ISNUMBER('参数'!$K$32))=0,"",IF(AND(ISNUMBER(J8),ISNUMBER(J7)),AND(J9&gt;J8,J8&gt;J7),FALSE)+IF(ISNUMBER('参数'!$G$32),J9&lt;'参数'!$G$32,FALSE)+IF(AND(ISNUMBER('参数'!$I$32),ISNUMBER(Q9)),Q9&gt;='参数'!$I$32,FALSE)+IF(AND(ISNUMBER('参数'!$K$32),ISNUMBER(S9)),S9&gt;='参数'!$K$32,FALSE)),"")</f>
        <v/>
      </c>
      <c r="V9" s="40" t="str">
        <f>IF(AND(ISNUMBER(J9),ISNUMBER(K9)),IF(N(ISNUMBER('参数'!$E$33))+N(ISNUMBER('参数'!$G$33))+N(ISNUMBER('参数'!$I$33))+N(ISNUMBER('参数'!$K$33))=0,"",IF(AND(ISNUMBER('参数'!$E$33),ISNUMBER(J8)),AND(J9&gt;='参数'!$E$33,J9&gt;J8),FALSE)+IF(AND(ISNUMBER('参数'!$G$33),ISNUMBER(N9)),N9&lt;='参数'!$G$33,FALSE)+IF(AND(ISNUMBER('参数'!$I$33),ISNUMBER(Q9)),Q9&gt;='参数'!$I$33,FALSE)+IF(AND(ISNUMBER('参数'!$K$33),ISNUMBER(S9)),S9&gt;='参数'!$K$33,FALSE)),"")</f>
        <v/>
      </c>
      <c r="W9" s="40" t="str">
        <f>IF(AND(ISNUMBER(J9),ISNUMBER(K9)),IF(N(ISNUMBER('参数'!$E$34))+N(ISNUMBER('参数'!$G$34))+N(ISNUMBER('参数'!$I$34))+N(ISNUMBER('参数'!$K$34))=0,"",IF(ISNUMBER('参数'!$E$34),J9&gt;='参数'!$E$34,FALSE)+IF(AND(ISNUMBER('参数'!$G$34),ISNUMBER(N9)),N9&lt;='参数'!$G$34,FALSE)+IF(AND(ISNUMBER('参数'!$I$34),ISNUMBER(S9)),S9&gt;='参数'!$I$34,FALSE)+IF(AND(ISNUMBER('参数'!$K$34),ISNUMBER(R9)),R9&gt;='参数'!$K$34,FALSE)),"")</f>
        <v/>
      </c>
      <c r="X9" s="40" t="str">
        <f>IF(AND(ISNUMBER(J9),ISNUMBER(K9)),IF(N(ISNUMBER('参数'!$E$35))+N(ISNUMBER('参数'!$G$35))+N(ISNUMBER('参数'!$I$35))=0,"",IF(AND(ISNUMBER('参数'!$E$35),ISNUMBER(N9),ISNUMBER(N8)),ROUND(N9-N8,6)&gt;='参数'!$E$35,FALSE)+IF(AND(ISNUMBER('参数'!$G$35),ISNUMBER(Q9),ISNUMBER(Q8)),ROUND(Q8-Q9,6)&gt;='参数'!$G$35,FALSE)+IF(AND(ISNUMBER('参数'!$I$35),ISNUMBER(S9),ISNUMBER(S8)),ROUND(S8-S9,6)&gt;='参数'!$I$35,FALSE)+IF(ISNUMBER(J8),J9&lt;J8,FALSE)),"")</f>
        <v/>
      </c>
      <c r="Y9" s="40" t="str">
        <f>IF(AND(ISNUMBER(J9),ISNUMBER(K9)),IF(N(ISNUMBER('参数'!$E$36))+N(ISNUMBER('参数'!$G$36))+N(ISNUMBER('参数'!$I$36))=0,"",IF(AND(ISNUMBER('参数'!$E$36),ISNUMBER(J8)),AND(J9&lt;='参数'!$E$36,J9&lt;J8),FALSE)+IF(ISNUMBER('参数'!$G$36),K9&gt;='参数'!$G$36,FALSE)+IF(AND(ISNUMBER('参数'!$I$36),ISNUMBER(S9)),S9&lt;'参数'!$I$36,FALSE)+IF(AND(ISNUMBER(R9),ISNUMBER(R8)),R9&lt;R8,FALSE)),"")</f>
        <v/>
      </c>
      <c r="Z9" s="41" t="str">
        <f>IF(NOT(AND(ISNUMBER(J9),ISNUMBER(K9))),"",IF(COUNT(T9:Y9)=0,"先填阈值",IF(MAX(AD9:AI9)=0,"不写",INDEX($T$4:$Y$4,MATCH(MAX(AD9:AI9),AD9:AI9,0))&amp;"·"&amp;IF(MAX(AD9:AI9)&gt;=200,"高","中")&amp;IF(LARGE(AD9:AI9,2)&gt;0,"（也像"&amp;INDEX($T$4:$Y$4,MATCH(LARGE(AD9:AI9,2),AD9:AI9,0))&amp;"·"&amp;IF(LARGE(AD9:AI9,2)&gt;=200,"高","中")&amp;"）",""))))</f>
        <v/>
      </c>
      <c r="AA9" s="27" t="n"/>
      <c r="AB9" s="32" t="n"/>
      <c r="AC9" s="16" t="n"/>
      <c r="AD9" s="40">
        <f>IF(N(T9)&gt;=3,IF(T9=4,2,1)*100+T9*10+6,0)</f>
        <v>0</v>
      </c>
      <c r="AE9" s="40">
        <f>IF(N(U9)&gt;=3,1*100+U9*10+1,0)</f>
        <v>0</v>
      </c>
      <c r="AF9" s="40">
        <f>IF(N(V9)&gt;=3,IF(V9=4,2,1)*100+V9*10+2,0)</f>
        <v>0</v>
      </c>
      <c r="AG9" s="40">
        <f>IF(N(W9)&gt;=3,1*100+W9*10+3,0)</f>
        <v>0</v>
      </c>
      <c r="AH9" s="40">
        <f>IF(N(X9)&gt;=3,1*100+X9*10+4,0)</f>
        <v>0</v>
      </c>
      <c r="AI9" s="40">
        <f>IF(N(Y9)&gt;=3,IF(AND(N(T9)&gt;=3,OR(N(T9)=4,N(Y9)&lt;=N(T9))),0,IF(Y9=4,2,1)*100+Y9*10+5),0)</f>
        <v>0</v>
      </c>
    </row>
    <row r="10">
      <c r="A10" s="31" t="n"/>
      <c r="B10" s="36" t="str">
        <f>IF(ISNUMBER(A10),"周"&amp;CHOOSE(WEEKDAY(A10,2),"一","二","三","四","五","六","日"),"")</f>
        <v/>
      </c>
      <c r="C10" s="37" t="n"/>
      <c r="D10" s="37" t="n"/>
      <c r="E10" s="37" t="n"/>
      <c r="F10" s="17" t="n"/>
      <c r="G10" s="38" t="str">
        <f>IF(AND(ISNUMBER(F10),ISNUMBER(F9)),IF(F9=0,"",F10/F9-1),"")</f>
        <v/>
      </c>
      <c r="H10" s="17" t="n"/>
      <c r="I10" s="17" t="n"/>
      <c r="J10" s="17" t="n"/>
      <c r="K10" s="17" t="n"/>
      <c r="L10" s="17" t="n"/>
      <c r="M10" s="17" t="n"/>
      <c r="N10" s="39" t="str">
        <f>IF(AND(ISNUMBER(L10),ISNUMBER(M10),N(L10)&gt;0),M10/L10,"")</f>
        <v/>
      </c>
      <c r="O10" s="17" t="n"/>
      <c r="P10" s="17" t="n"/>
      <c r="Q10" s="39" t="str">
        <f>IF(AND(ISNUMBER(O10),ISNUMBER(P10),N(O10)&gt;0),P10/O10,"")</f>
        <v/>
      </c>
      <c r="R10" s="17" t="n"/>
      <c r="S10" s="37" t="n"/>
      <c r="T10" s="40" t="str">
        <f>IF(AND(ISNUMBER(J10),ISNUMBER(K10)),IF(N(ISNUMBER('参数'!$E$31))+N(ISNUMBER('参数'!$G$31))+N(ISNUMBER('参数'!$I$31))+N(ISNUMBER('参数'!$K$31))=0,"",IF(ISNUMBER('参数'!$E$31),J10&lt;='参数'!$E$31,FALSE)+IF(ISNUMBER('参数'!$G$31),K10&gt;='参数'!$G$31,FALSE)+IF(AND(ISNUMBER('参数'!$I$31),ISNUMBER(N10)),N10&gt;='参数'!$I$31,FALSE)+IF(AND(ISNUMBER('参数'!$K$31),ISNUMBER(Q10)),Q10&lt;='参数'!$K$31,FALSE)),"")</f>
        <v/>
      </c>
      <c r="U10" s="40" t="str">
        <f>IF(AND(ISNUMBER(J10),ISNUMBER(K10)),IF(N(ISNUMBER('参数'!$G$32))+N(ISNUMBER('参数'!$I$32))+N(ISNUMBER('参数'!$K$32))=0,"",IF(AND(ISNUMBER(J9),ISNUMBER(J8)),AND(J10&gt;J9,J9&gt;J8),FALSE)+IF(ISNUMBER('参数'!$G$32),J10&lt;'参数'!$G$32,FALSE)+IF(AND(ISNUMBER('参数'!$I$32),ISNUMBER(Q10)),Q10&gt;='参数'!$I$32,FALSE)+IF(AND(ISNUMBER('参数'!$K$32),ISNUMBER(S10)),S10&gt;='参数'!$K$32,FALSE)),"")</f>
        <v/>
      </c>
      <c r="V10" s="40" t="str">
        <f>IF(AND(ISNUMBER(J10),ISNUMBER(K10)),IF(N(ISNUMBER('参数'!$E$33))+N(ISNUMBER('参数'!$G$33))+N(ISNUMBER('参数'!$I$33))+N(ISNUMBER('参数'!$K$33))=0,"",IF(AND(ISNUMBER('参数'!$E$33),ISNUMBER(J9)),AND(J10&gt;='参数'!$E$33,J10&gt;J9),FALSE)+IF(AND(ISNUMBER('参数'!$G$33),ISNUMBER(N10)),N10&lt;='参数'!$G$33,FALSE)+IF(AND(ISNUMBER('参数'!$I$33),ISNUMBER(Q10)),Q10&gt;='参数'!$I$33,FALSE)+IF(AND(ISNUMBER('参数'!$K$33),ISNUMBER(S10)),S10&gt;='参数'!$K$33,FALSE)),"")</f>
        <v/>
      </c>
      <c r="W10" s="40" t="str">
        <f>IF(AND(ISNUMBER(J10),ISNUMBER(K10)),IF(N(ISNUMBER('参数'!$E$34))+N(ISNUMBER('参数'!$G$34))+N(ISNUMBER('参数'!$I$34))+N(ISNUMBER('参数'!$K$34))=0,"",IF(ISNUMBER('参数'!$E$34),J10&gt;='参数'!$E$34,FALSE)+IF(AND(ISNUMBER('参数'!$G$34),ISNUMBER(N10)),N10&lt;='参数'!$G$34,FALSE)+IF(AND(ISNUMBER('参数'!$I$34),ISNUMBER(S10)),S10&gt;='参数'!$I$34,FALSE)+IF(AND(ISNUMBER('参数'!$K$34),ISNUMBER(R10)),R10&gt;='参数'!$K$34,FALSE)),"")</f>
        <v/>
      </c>
      <c r="X10" s="40" t="str">
        <f>IF(AND(ISNUMBER(J10),ISNUMBER(K10)),IF(N(ISNUMBER('参数'!$E$35))+N(ISNUMBER('参数'!$G$35))+N(ISNUMBER('参数'!$I$35))=0,"",IF(AND(ISNUMBER('参数'!$E$35),ISNUMBER(N10),ISNUMBER(N9)),ROUND(N10-N9,6)&gt;='参数'!$E$35,FALSE)+IF(AND(ISNUMBER('参数'!$G$35),ISNUMBER(Q10),ISNUMBER(Q9)),ROUND(Q9-Q10,6)&gt;='参数'!$G$35,FALSE)+IF(AND(ISNUMBER('参数'!$I$35),ISNUMBER(S10),ISNUMBER(S9)),ROUND(S9-S10,6)&gt;='参数'!$I$35,FALSE)+IF(ISNUMBER(J9),J10&lt;J9,FALSE)),"")</f>
        <v/>
      </c>
      <c r="Y10" s="40" t="str">
        <f>IF(AND(ISNUMBER(J10),ISNUMBER(K10)),IF(N(ISNUMBER('参数'!$E$36))+N(ISNUMBER('参数'!$G$36))+N(ISNUMBER('参数'!$I$36))=0,"",IF(AND(ISNUMBER('参数'!$E$36),ISNUMBER(J9)),AND(J10&lt;='参数'!$E$36,J10&lt;J9),FALSE)+IF(ISNUMBER('参数'!$G$36),K10&gt;='参数'!$G$36,FALSE)+IF(AND(ISNUMBER('参数'!$I$36),ISNUMBER(S10)),S10&lt;'参数'!$I$36,FALSE)+IF(AND(ISNUMBER(R10),ISNUMBER(R9)),R10&lt;R9,FALSE)),"")</f>
        <v/>
      </c>
      <c r="Z10" s="41" t="str">
        <f>IF(NOT(AND(ISNUMBER(J10),ISNUMBER(K10))),"",IF(COUNT(T10:Y10)=0,"先填阈值",IF(MAX(AD10:AI10)=0,"不写",INDEX($T$4:$Y$4,MATCH(MAX(AD10:AI10),AD10:AI10,0))&amp;"·"&amp;IF(MAX(AD10:AI10)&gt;=200,"高","中")&amp;IF(LARGE(AD10:AI10,2)&gt;0,"（也像"&amp;INDEX($T$4:$Y$4,MATCH(LARGE(AD10:AI10,2),AD10:AI10,0))&amp;"·"&amp;IF(LARGE(AD10:AI10,2)&gt;=200,"高","中")&amp;"）",""))))</f>
        <v/>
      </c>
      <c r="AA10" s="27" t="n"/>
      <c r="AB10" s="32" t="n"/>
      <c r="AC10" s="16" t="n"/>
      <c r="AD10" s="40">
        <f>IF(N(T10)&gt;=3,IF(T10=4,2,1)*100+T10*10+6,0)</f>
        <v>0</v>
      </c>
      <c r="AE10" s="40">
        <f>IF(N(U10)&gt;=3,1*100+U10*10+1,0)</f>
        <v>0</v>
      </c>
      <c r="AF10" s="40">
        <f>IF(N(V10)&gt;=3,IF(V10=4,2,1)*100+V10*10+2,0)</f>
        <v>0</v>
      </c>
      <c r="AG10" s="40">
        <f>IF(N(W10)&gt;=3,1*100+W10*10+3,0)</f>
        <v>0</v>
      </c>
      <c r="AH10" s="40">
        <f>IF(N(X10)&gt;=3,1*100+X10*10+4,0)</f>
        <v>0</v>
      </c>
      <c r="AI10" s="40">
        <f>IF(N(Y10)&gt;=3,IF(AND(N(T10)&gt;=3,OR(N(T10)=4,N(Y10)&lt;=N(T10))),0,IF(Y10=4,2,1)*100+Y10*10+5),0)</f>
        <v>0</v>
      </c>
    </row>
    <row r="11">
      <c r="A11" s="31" t="n"/>
      <c r="B11" s="36" t="str">
        <f>IF(ISNUMBER(A11),"周"&amp;CHOOSE(WEEKDAY(A11,2),"一","二","三","四","五","六","日"),"")</f>
        <v/>
      </c>
      <c r="C11" s="37" t="n"/>
      <c r="D11" s="37" t="n"/>
      <c r="E11" s="37" t="n"/>
      <c r="F11" s="17" t="n"/>
      <c r="G11" s="38" t="str">
        <f>IF(AND(ISNUMBER(F11),ISNUMBER(F10)),IF(F10=0,"",F11/F10-1),"")</f>
        <v/>
      </c>
      <c r="H11" s="17" t="n"/>
      <c r="I11" s="17" t="n"/>
      <c r="J11" s="17" t="n"/>
      <c r="K11" s="17" t="n"/>
      <c r="L11" s="17" t="n"/>
      <c r="M11" s="17" t="n"/>
      <c r="N11" s="39" t="str">
        <f>IF(AND(ISNUMBER(L11),ISNUMBER(M11),N(L11)&gt;0),M11/L11,"")</f>
        <v/>
      </c>
      <c r="O11" s="17" t="n"/>
      <c r="P11" s="17" t="n"/>
      <c r="Q11" s="39" t="str">
        <f>IF(AND(ISNUMBER(O11),ISNUMBER(P11),N(O11)&gt;0),P11/O11,"")</f>
        <v/>
      </c>
      <c r="R11" s="17" t="n"/>
      <c r="S11" s="37" t="n"/>
      <c r="T11" s="40" t="str">
        <f>IF(AND(ISNUMBER(J11),ISNUMBER(K11)),IF(N(ISNUMBER('参数'!$E$31))+N(ISNUMBER('参数'!$G$31))+N(ISNUMBER('参数'!$I$31))+N(ISNUMBER('参数'!$K$31))=0,"",IF(ISNUMBER('参数'!$E$31),J11&lt;='参数'!$E$31,FALSE)+IF(ISNUMBER('参数'!$G$31),K11&gt;='参数'!$G$31,FALSE)+IF(AND(ISNUMBER('参数'!$I$31),ISNUMBER(N11)),N11&gt;='参数'!$I$31,FALSE)+IF(AND(ISNUMBER('参数'!$K$31),ISNUMBER(Q11)),Q11&lt;='参数'!$K$31,FALSE)),"")</f>
        <v/>
      </c>
      <c r="U11" s="40" t="str">
        <f>IF(AND(ISNUMBER(J11),ISNUMBER(K11)),IF(N(ISNUMBER('参数'!$G$32))+N(ISNUMBER('参数'!$I$32))+N(ISNUMBER('参数'!$K$32))=0,"",IF(AND(ISNUMBER(J10),ISNUMBER(J9)),AND(J11&gt;J10,J10&gt;J9),FALSE)+IF(ISNUMBER('参数'!$G$32),J11&lt;'参数'!$G$32,FALSE)+IF(AND(ISNUMBER('参数'!$I$32),ISNUMBER(Q11)),Q11&gt;='参数'!$I$32,FALSE)+IF(AND(ISNUMBER('参数'!$K$32),ISNUMBER(S11)),S11&gt;='参数'!$K$32,FALSE)),"")</f>
        <v/>
      </c>
      <c r="V11" s="40" t="str">
        <f>IF(AND(ISNUMBER(J11),ISNUMBER(K11)),IF(N(ISNUMBER('参数'!$E$33))+N(ISNUMBER('参数'!$G$33))+N(ISNUMBER('参数'!$I$33))+N(ISNUMBER('参数'!$K$33))=0,"",IF(AND(ISNUMBER('参数'!$E$33),ISNUMBER(J10)),AND(J11&gt;='参数'!$E$33,J11&gt;J10),FALSE)+IF(AND(ISNUMBER('参数'!$G$33),ISNUMBER(N11)),N11&lt;='参数'!$G$33,FALSE)+IF(AND(ISNUMBER('参数'!$I$33),ISNUMBER(Q11)),Q11&gt;='参数'!$I$33,FALSE)+IF(AND(ISNUMBER('参数'!$K$33),ISNUMBER(S11)),S11&gt;='参数'!$K$33,FALSE)),"")</f>
        <v/>
      </c>
      <c r="W11" s="40" t="str">
        <f>IF(AND(ISNUMBER(J11),ISNUMBER(K11)),IF(N(ISNUMBER('参数'!$E$34))+N(ISNUMBER('参数'!$G$34))+N(ISNUMBER('参数'!$I$34))+N(ISNUMBER('参数'!$K$34))=0,"",IF(ISNUMBER('参数'!$E$34),J11&gt;='参数'!$E$34,FALSE)+IF(AND(ISNUMBER('参数'!$G$34),ISNUMBER(N11)),N11&lt;='参数'!$G$34,FALSE)+IF(AND(ISNUMBER('参数'!$I$34),ISNUMBER(S11)),S11&gt;='参数'!$I$34,FALSE)+IF(AND(ISNUMBER('参数'!$K$34),ISNUMBER(R11)),R11&gt;='参数'!$K$34,FALSE)),"")</f>
        <v/>
      </c>
      <c r="X11" s="40" t="str">
        <f>IF(AND(ISNUMBER(J11),ISNUMBER(K11)),IF(N(ISNUMBER('参数'!$E$35))+N(ISNUMBER('参数'!$G$35))+N(ISNUMBER('参数'!$I$35))=0,"",IF(AND(ISNUMBER('参数'!$E$35),ISNUMBER(N11),ISNUMBER(N10)),ROUND(N11-N10,6)&gt;='参数'!$E$35,FALSE)+IF(AND(ISNUMBER('参数'!$G$35),ISNUMBER(Q11),ISNUMBER(Q10)),ROUND(Q10-Q11,6)&gt;='参数'!$G$35,FALSE)+IF(AND(ISNUMBER('参数'!$I$35),ISNUMBER(S11),ISNUMBER(S10)),ROUND(S10-S11,6)&gt;='参数'!$I$35,FALSE)+IF(ISNUMBER(J10),J11&lt;J10,FALSE)),"")</f>
        <v/>
      </c>
      <c r="Y11" s="40" t="str">
        <f>IF(AND(ISNUMBER(J11),ISNUMBER(K11)),IF(N(ISNUMBER('参数'!$E$36))+N(ISNUMBER('参数'!$G$36))+N(ISNUMBER('参数'!$I$36))=0,"",IF(AND(ISNUMBER('参数'!$E$36),ISNUMBER(J10)),AND(J11&lt;='参数'!$E$36,J11&lt;J10),FALSE)+IF(ISNUMBER('参数'!$G$36),K11&gt;='参数'!$G$36,FALSE)+IF(AND(ISNUMBER('参数'!$I$36),ISNUMBER(S11)),S11&lt;'参数'!$I$36,FALSE)+IF(AND(ISNUMBER(R11),ISNUMBER(R10)),R11&lt;R10,FALSE)),"")</f>
        <v/>
      </c>
      <c r="Z11" s="41" t="str">
        <f>IF(NOT(AND(ISNUMBER(J11),ISNUMBER(K11))),"",IF(COUNT(T11:Y11)=0,"先填阈值",IF(MAX(AD11:AI11)=0,"不写",INDEX($T$4:$Y$4,MATCH(MAX(AD11:AI11),AD11:AI11,0))&amp;"·"&amp;IF(MAX(AD11:AI11)&gt;=200,"高","中")&amp;IF(LARGE(AD11:AI11,2)&gt;0,"（也像"&amp;INDEX($T$4:$Y$4,MATCH(LARGE(AD11:AI11,2),AD11:AI11,0))&amp;"·"&amp;IF(LARGE(AD11:AI11,2)&gt;=200,"高","中")&amp;"）",""))))</f>
        <v/>
      </c>
      <c r="AA11" s="27" t="n"/>
      <c r="AB11" s="32" t="n"/>
      <c r="AC11" s="16" t="n"/>
      <c r="AD11" s="40">
        <f>IF(N(T11)&gt;=3,IF(T11=4,2,1)*100+T11*10+6,0)</f>
        <v>0</v>
      </c>
      <c r="AE11" s="40">
        <f>IF(N(U11)&gt;=3,1*100+U11*10+1,0)</f>
        <v>0</v>
      </c>
      <c r="AF11" s="40">
        <f>IF(N(V11)&gt;=3,IF(V11=4,2,1)*100+V11*10+2,0)</f>
        <v>0</v>
      </c>
      <c r="AG11" s="40">
        <f>IF(N(W11)&gt;=3,1*100+W11*10+3,0)</f>
        <v>0</v>
      </c>
      <c r="AH11" s="40">
        <f>IF(N(X11)&gt;=3,1*100+X11*10+4,0)</f>
        <v>0</v>
      </c>
      <c r="AI11" s="40">
        <f>IF(N(Y11)&gt;=3,IF(AND(N(T11)&gt;=3,OR(N(T11)=4,N(Y11)&lt;=N(T11))),0,IF(Y11=4,2,1)*100+Y11*10+5),0)</f>
        <v>0</v>
      </c>
    </row>
    <row r="12">
      <c r="A12" s="31" t="n"/>
      <c r="B12" s="36" t="str">
        <f>IF(ISNUMBER(A12),"周"&amp;CHOOSE(WEEKDAY(A12,2),"一","二","三","四","五","六","日"),"")</f>
        <v/>
      </c>
      <c r="C12" s="37" t="n"/>
      <c r="D12" s="37" t="n"/>
      <c r="E12" s="37" t="n"/>
      <c r="F12" s="17" t="n"/>
      <c r="G12" s="38" t="str">
        <f>IF(AND(ISNUMBER(F12),ISNUMBER(F11)),IF(F11=0,"",F12/F11-1),"")</f>
        <v/>
      </c>
      <c r="H12" s="17" t="n"/>
      <c r="I12" s="17" t="n"/>
      <c r="J12" s="17" t="n"/>
      <c r="K12" s="17" t="n"/>
      <c r="L12" s="17" t="n"/>
      <c r="M12" s="17" t="n"/>
      <c r="N12" s="39" t="str">
        <f>IF(AND(ISNUMBER(L12),ISNUMBER(M12),N(L12)&gt;0),M12/L12,"")</f>
        <v/>
      </c>
      <c r="O12" s="17" t="n"/>
      <c r="P12" s="17" t="n"/>
      <c r="Q12" s="39" t="str">
        <f>IF(AND(ISNUMBER(O12),ISNUMBER(P12),N(O12)&gt;0),P12/O12,"")</f>
        <v/>
      </c>
      <c r="R12" s="17" t="n"/>
      <c r="S12" s="37" t="n"/>
      <c r="T12" s="40" t="str">
        <f>IF(AND(ISNUMBER(J12),ISNUMBER(K12)),IF(N(ISNUMBER('参数'!$E$31))+N(ISNUMBER('参数'!$G$31))+N(ISNUMBER('参数'!$I$31))+N(ISNUMBER('参数'!$K$31))=0,"",IF(ISNUMBER('参数'!$E$31),J12&lt;='参数'!$E$31,FALSE)+IF(ISNUMBER('参数'!$G$31),K12&gt;='参数'!$G$31,FALSE)+IF(AND(ISNUMBER('参数'!$I$31),ISNUMBER(N12)),N12&gt;='参数'!$I$31,FALSE)+IF(AND(ISNUMBER('参数'!$K$31),ISNUMBER(Q12)),Q12&lt;='参数'!$K$31,FALSE)),"")</f>
        <v/>
      </c>
      <c r="U12" s="40" t="str">
        <f>IF(AND(ISNUMBER(J12),ISNUMBER(K12)),IF(N(ISNUMBER('参数'!$G$32))+N(ISNUMBER('参数'!$I$32))+N(ISNUMBER('参数'!$K$32))=0,"",IF(AND(ISNUMBER(J11),ISNUMBER(J10)),AND(J12&gt;J11,J11&gt;J10),FALSE)+IF(ISNUMBER('参数'!$G$32),J12&lt;'参数'!$G$32,FALSE)+IF(AND(ISNUMBER('参数'!$I$32),ISNUMBER(Q12)),Q12&gt;='参数'!$I$32,FALSE)+IF(AND(ISNUMBER('参数'!$K$32),ISNUMBER(S12)),S12&gt;='参数'!$K$32,FALSE)),"")</f>
        <v/>
      </c>
      <c r="V12" s="40" t="str">
        <f>IF(AND(ISNUMBER(J12),ISNUMBER(K12)),IF(N(ISNUMBER('参数'!$E$33))+N(ISNUMBER('参数'!$G$33))+N(ISNUMBER('参数'!$I$33))+N(ISNUMBER('参数'!$K$33))=0,"",IF(AND(ISNUMBER('参数'!$E$33),ISNUMBER(J11)),AND(J12&gt;='参数'!$E$33,J12&gt;J11),FALSE)+IF(AND(ISNUMBER('参数'!$G$33),ISNUMBER(N12)),N12&lt;='参数'!$G$33,FALSE)+IF(AND(ISNUMBER('参数'!$I$33),ISNUMBER(Q12)),Q12&gt;='参数'!$I$33,FALSE)+IF(AND(ISNUMBER('参数'!$K$33),ISNUMBER(S12)),S12&gt;='参数'!$K$33,FALSE)),"")</f>
        <v/>
      </c>
      <c r="W12" s="40" t="str">
        <f>IF(AND(ISNUMBER(J12),ISNUMBER(K12)),IF(N(ISNUMBER('参数'!$E$34))+N(ISNUMBER('参数'!$G$34))+N(ISNUMBER('参数'!$I$34))+N(ISNUMBER('参数'!$K$34))=0,"",IF(ISNUMBER('参数'!$E$34),J12&gt;='参数'!$E$34,FALSE)+IF(AND(ISNUMBER('参数'!$G$34),ISNUMBER(N12)),N12&lt;='参数'!$G$34,FALSE)+IF(AND(ISNUMBER('参数'!$I$34),ISNUMBER(S12)),S12&gt;='参数'!$I$34,FALSE)+IF(AND(ISNUMBER('参数'!$K$34),ISNUMBER(R12)),R12&gt;='参数'!$K$34,FALSE)),"")</f>
        <v/>
      </c>
      <c r="X12" s="40" t="str">
        <f>IF(AND(ISNUMBER(J12),ISNUMBER(K12)),IF(N(ISNUMBER('参数'!$E$35))+N(ISNUMBER('参数'!$G$35))+N(ISNUMBER('参数'!$I$35))=0,"",IF(AND(ISNUMBER('参数'!$E$35),ISNUMBER(N12),ISNUMBER(N11)),ROUND(N12-N11,6)&gt;='参数'!$E$35,FALSE)+IF(AND(ISNUMBER('参数'!$G$35),ISNUMBER(Q12),ISNUMBER(Q11)),ROUND(Q11-Q12,6)&gt;='参数'!$G$35,FALSE)+IF(AND(ISNUMBER('参数'!$I$35),ISNUMBER(S12),ISNUMBER(S11)),ROUND(S11-S12,6)&gt;='参数'!$I$35,FALSE)+IF(ISNUMBER(J11),J12&lt;J11,FALSE)),"")</f>
        <v/>
      </c>
      <c r="Y12" s="40" t="str">
        <f>IF(AND(ISNUMBER(J12),ISNUMBER(K12)),IF(N(ISNUMBER('参数'!$E$36))+N(ISNUMBER('参数'!$G$36))+N(ISNUMBER('参数'!$I$36))=0,"",IF(AND(ISNUMBER('参数'!$E$36),ISNUMBER(J11)),AND(J12&lt;='参数'!$E$36,J12&lt;J11),FALSE)+IF(ISNUMBER('参数'!$G$36),K12&gt;='参数'!$G$36,FALSE)+IF(AND(ISNUMBER('参数'!$I$36),ISNUMBER(S12)),S12&lt;'参数'!$I$36,FALSE)+IF(AND(ISNUMBER(R12),ISNUMBER(R11)),R12&lt;R11,FALSE)),"")</f>
        <v/>
      </c>
      <c r="Z12" s="41" t="str">
        <f>IF(NOT(AND(ISNUMBER(J12),ISNUMBER(K12))),"",IF(COUNT(T12:Y12)=0,"先填阈值",IF(MAX(AD12:AI12)=0,"不写",INDEX($T$4:$Y$4,MATCH(MAX(AD12:AI12),AD12:AI12,0))&amp;"·"&amp;IF(MAX(AD12:AI12)&gt;=200,"高","中")&amp;IF(LARGE(AD12:AI12,2)&gt;0,"（也像"&amp;INDEX($T$4:$Y$4,MATCH(LARGE(AD12:AI12,2),AD12:AI12,0))&amp;"·"&amp;IF(LARGE(AD12:AI12,2)&gt;=200,"高","中")&amp;"）",""))))</f>
        <v/>
      </c>
      <c r="AA12" s="27" t="n"/>
      <c r="AB12" s="32" t="n"/>
      <c r="AC12" s="16" t="n"/>
      <c r="AD12" s="40">
        <f>IF(N(T12)&gt;=3,IF(T12=4,2,1)*100+T12*10+6,0)</f>
        <v>0</v>
      </c>
      <c r="AE12" s="40">
        <f>IF(N(U12)&gt;=3,1*100+U12*10+1,0)</f>
        <v>0</v>
      </c>
      <c r="AF12" s="40">
        <f>IF(N(V12)&gt;=3,IF(V12=4,2,1)*100+V12*10+2,0)</f>
        <v>0</v>
      </c>
      <c r="AG12" s="40">
        <f>IF(N(W12)&gt;=3,1*100+W12*10+3,0)</f>
        <v>0</v>
      </c>
      <c r="AH12" s="40">
        <f>IF(N(X12)&gt;=3,1*100+X12*10+4,0)</f>
        <v>0</v>
      </c>
      <c r="AI12" s="40">
        <f>IF(N(Y12)&gt;=3,IF(AND(N(T12)&gt;=3,OR(N(T12)=4,N(Y12)&lt;=N(T12))),0,IF(Y12=4,2,1)*100+Y12*10+5),0)</f>
        <v>0</v>
      </c>
    </row>
    <row r="13">
      <c r="A13" s="31" t="n"/>
      <c r="B13" s="36" t="str">
        <f>IF(ISNUMBER(A13),"周"&amp;CHOOSE(WEEKDAY(A13,2),"一","二","三","四","五","六","日"),"")</f>
        <v/>
      </c>
      <c r="C13" s="37" t="n"/>
      <c r="D13" s="37" t="n"/>
      <c r="E13" s="37" t="n"/>
      <c r="F13" s="17" t="n"/>
      <c r="G13" s="38" t="str">
        <f>IF(AND(ISNUMBER(F13),ISNUMBER(F12)),IF(F12=0,"",F13/F12-1),"")</f>
        <v/>
      </c>
      <c r="H13" s="17" t="n"/>
      <c r="I13" s="17" t="n"/>
      <c r="J13" s="17" t="n"/>
      <c r="K13" s="17" t="n"/>
      <c r="L13" s="17" t="n"/>
      <c r="M13" s="17" t="n"/>
      <c r="N13" s="39" t="str">
        <f>IF(AND(ISNUMBER(L13),ISNUMBER(M13),N(L13)&gt;0),M13/L13,"")</f>
        <v/>
      </c>
      <c r="O13" s="17" t="n"/>
      <c r="P13" s="17" t="n"/>
      <c r="Q13" s="39" t="str">
        <f>IF(AND(ISNUMBER(O13),ISNUMBER(P13),N(O13)&gt;0),P13/O13,"")</f>
        <v/>
      </c>
      <c r="R13" s="17" t="n"/>
      <c r="S13" s="37" t="n"/>
      <c r="T13" s="40" t="str">
        <f>IF(AND(ISNUMBER(J13),ISNUMBER(K13)),IF(N(ISNUMBER('参数'!$E$31))+N(ISNUMBER('参数'!$G$31))+N(ISNUMBER('参数'!$I$31))+N(ISNUMBER('参数'!$K$31))=0,"",IF(ISNUMBER('参数'!$E$31),J13&lt;='参数'!$E$31,FALSE)+IF(ISNUMBER('参数'!$G$31),K13&gt;='参数'!$G$31,FALSE)+IF(AND(ISNUMBER('参数'!$I$31),ISNUMBER(N13)),N13&gt;='参数'!$I$31,FALSE)+IF(AND(ISNUMBER('参数'!$K$31),ISNUMBER(Q13)),Q13&lt;='参数'!$K$31,FALSE)),"")</f>
        <v/>
      </c>
      <c r="U13" s="40" t="str">
        <f>IF(AND(ISNUMBER(J13),ISNUMBER(K13)),IF(N(ISNUMBER('参数'!$G$32))+N(ISNUMBER('参数'!$I$32))+N(ISNUMBER('参数'!$K$32))=0,"",IF(AND(ISNUMBER(J12),ISNUMBER(J11)),AND(J13&gt;J12,J12&gt;J11),FALSE)+IF(ISNUMBER('参数'!$G$32),J13&lt;'参数'!$G$32,FALSE)+IF(AND(ISNUMBER('参数'!$I$32),ISNUMBER(Q13)),Q13&gt;='参数'!$I$32,FALSE)+IF(AND(ISNUMBER('参数'!$K$32),ISNUMBER(S13)),S13&gt;='参数'!$K$32,FALSE)),"")</f>
        <v/>
      </c>
      <c r="V13" s="40" t="str">
        <f>IF(AND(ISNUMBER(J13),ISNUMBER(K13)),IF(N(ISNUMBER('参数'!$E$33))+N(ISNUMBER('参数'!$G$33))+N(ISNUMBER('参数'!$I$33))+N(ISNUMBER('参数'!$K$33))=0,"",IF(AND(ISNUMBER('参数'!$E$33),ISNUMBER(J12)),AND(J13&gt;='参数'!$E$33,J13&gt;J12),FALSE)+IF(AND(ISNUMBER('参数'!$G$33),ISNUMBER(N13)),N13&lt;='参数'!$G$33,FALSE)+IF(AND(ISNUMBER('参数'!$I$33),ISNUMBER(Q13)),Q13&gt;='参数'!$I$33,FALSE)+IF(AND(ISNUMBER('参数'!$K$33),ISNUMBER(S13)),S13&gt;='参数'!$K$33,FALSE)),"")</f>
        <v/>
      </c>
      <c r="W13" s="40" t="str">
        <f>IF(AND(ISNUMBER(J13),ISNUMBER(K13)),IF(N(ISNUMBER('参数'!$E$34))+N(ISNUMBER('参数'!$G$34))+N(ISNUMBER('参数'!$I$34))+N(ISNUMBER('参数'!$K$34))=0,"",IF(ISNUMBER('参数'!$E$34),J13&gt;='参数'!$E$34,FALSE)+IF(AND(ISNUMBER('参数'!$G$34),ISNUMBER(N13)),N13&lt;='参数'!$G$34,FALSE)+IF(AND(ISNUMBER('参数'!$I$34),ISNUMBER(S13)),S13&gt;='参数'!$I$34,FALSE)+IF(AND(ISNUMBER('参数'!$K$34),ISNUMBER(R13)),R13&gt;='参数'!$K$34,FALSE)),"")</f>
        <v/>
      </c>
      <c r="X13" s="40" t="str">
        <f>IF(AND(ISNUMBER(J13),ISNUMBER(K13)),IF(N(ISNUMBER('参数'!$E$35))+N(ISNUMBER('参数'!$G$35))+N(ISNUMBER('参数'!$I$35))=0,"",IF(AND(ISNUMBER('参数'!$E$35),ISNUMBER(N13),ISNUMBER(N12)),ROUND(N13-N12,6)&gt;='参数'!$E$35,FALSE)+IF(AND(ISNUMBER('参数'!$G$35),ISNUMBER(Q13),ISNUMBER(Q12)),ROUND(Q12-Q13,6)&gt;='参数'!$G$35,FALSE)+IF(AND(ISNUMBER('参数'!$I$35),ISNUMBER(S13),ISNUMBER(S12)),ROUND(S12-S13,6)&gt;='参数'!$I$35,FALSE)+IF(ISNUMBER(J12),J13&lt;J12,FALSE)),"")</f>
        <v/>
      </c>
      <c r="Y13" s="40" t="str">
        <f>IF(AND(ISNUMBER(J13),ISNUMBER(K13)),IF(N(ISNUMBER('参数'!$E$36))+N(ISNUMBER('参数'!$G$36))+N(ISNUMBER('参数'!$I$36))=0,"",IF(AND(ISNUMBER('参数'!$E$36),ISNUMBER(J12)),AND(J13&lt;='参数'!$E$36,J13&lt;J12),FALSE)+IF(ISNUMBER('参数'!$G$36),K13&gt;='参数'!$G$36,FALSE)+IF(AND(ISNUMBER('参数'!$I$36),ISNUMBER(S13)),S13&lt;'参数'!$I$36,FALSE)+IF(AND(ISNUMBER(R13),ISNUMBER(R12)),R13&lt;R12,FALSE)),"")</f>
        <v/>
      </c>
      <c r="Z13" s="41" t="str">
        <f>IF(NOT(AND(ISNUMBER(J13),ISNUMBER(K13))),"",IF(COUNT(T13:Y13)=0,"先填阈值",IF(MAX(AD13:AI13)=0,"不写",INDEX($T$4:$Y$4,MATCH(MAX(AD13:AI13),AD13:AI13,0))&amp;"·"&amp;IF(MAX(AD13:AI13)&gt;=200,"高","中")&amp;IF(LARGE(AD13:AI13,2)&gt;0,"（也像"&amp;INDEX($T$4:$Y$4,MATCH(LARGE(AD13:AI13,2),AD13:AI13,0))&amp;"·"&amp;IF(LARGE(AD13:AI13,2)&gt;=200,"高","中")&amp;"）",""))))</f>
        <v/>
      </c>
      <c r="AA13" s="27" t="n"/>
      <c r="AB13" s="32" t="n"/>
      <c r="AC13" s="16" t="n"/>
      <c r="AD13" s="40">
        <f>IF(N(T13)&gt;=3,IF(T13=4,2,1)*100+T13*10+6,0)</f>
        <v>0</v>
      </c>
      <c r="AE13" s="40">
        <f>IF(N(U13)&gt;=3,1*100+U13*10+1,0)</f>
        <v>0</v>
      </c>
      <c r="AF13" s="40">
        <f>IF(N(V13)&gt;=3,IF(V13=4,2,1)*100+V13*10+2,0)</f>
        <v>0</v>
      </c>
      <c r="AG13" s="40">
        <f>IF(N(W13)&gt;=3,1*100+W13*10+3,0)</f>
        <v>0</v>
      </c>
      <c r="AH13" s="40">
        <f>IF(N(X13)&gt;=3,1*100+X13*10+4,0)</f>
        <v>0</v>
      </c>
      <c r="AI13" s="40">
        <f>IF(N(Y13)&gt;=3,IF(AND(N(T13)&gt;=3,OR(N(T13)=4,N(Y13)&lt;=N(T13))),0,IF(Y13=4,2,1)*100+Y13*10+5),0)</f>
        <v>0</v>
      </c>
    </row>
    <row r="14">
      <c r="A14" s="31" t="n"/>
      <c r="B14" s="36" t="str">
        <f>IF(ISNUMBER(A14),"周"&amp;CHOOSE(WEEKDAY(A14,2),"一","二","三","四","五","六","日"),"")</f>
        <v/>
      </c>
      <c r="C14" s="37" t="n"/>
      <c r="D14" s="37" t="n"/>
      <c r="E14" s="37" t="n"/>
      <c r="F14" s="17" t="n"/>
      <c r="G14" s="38" t="str">
        <f>IF(AND(ISNUMBER(F14),ISNUMBER(F13)),IF(F13=0,"",F14/F13-1),"")</f>
        <v/>
      </c>
      <c r="H14" s="17" t="n"/>
      <c r="I14" s="17" t="n"/>
      <c r="J14" s="17" t="n"/>
      <c r="K14" s="17" t="n"/>
      <c r="L14" s="17" t="n"/>
      <c r="M14" s="17" t="n"/>
      <c r="N14" s="39" t="str">
        <f>IF(AND(ISNUMBER(L14),ISNUMBER(M14),N(L14)&gt;0),M14/L14,"")</f>
        <v/>
      </c>
      <c r="O14" s="17" t="n"/>
      <c r="P14" s="17" t="n"/>
      <c r="Q14" s="39" t="str">
        <f>IF(AND(ISNUMBER(O14),ISNUMBER(P14),N(O14)&gt;0),P14/O14,"")</f>
        <v/>
      </c>
      <c r="R14" s="17" t="n"/>
      <c r="S14" s="37" t="n"/>
      <c r="T14" s="40" t="str">
        <f>IF(AND(ISNUMBER(J14),ISNUMBER(K14)),IF(N(ISNUMBER('参数'!$E$31))+N(ISNUMBER('参数'!$G$31))+N(ISNUMBER('参数'!$I$31))+N(ISNUMBER('参数'!$K$31))=0,"",IF(ISNUMBER('参数'!$E$31),J14&lt;='参数'!$E$31,FALSE)+IF(ISNUMBER('参数'!$G$31),K14&gt;='参数'!$G$31,FALSE)+IF(AND(ISNUMBER('参数'!$I$31),ISNUMBER(N14)),N14&gt;='参数'!$I$31,FALSE)+IF(AND(ISNUMBER('参数'!$K$31),ISNUMBER(Q14)),Q14&lt;='参数'!$K$31,FALSE)),"")</f>
        <v/>
      </c>
      <c r="U14" s="40" t="str">
        <f>IF(AND(ISNUMBER(J14),ISNUMBER(K14)),IF(N(ISNUMBER('参数'!$G$32))+N(ISNUMBER('参数'!$I$32))+N(ISNUMBER('参数'!$K$32))=0,"",IF(AND(ISNUMBER(J13),ISNUMBER(J12)),AND(J14&gt;J13,J13&gt;J12),FALSE)+IF(ISNUMBER('参数'!$G$32),J14&lt;'参数'!$G$32,FALSE)+IF(AND(ISNUMBER('参数'!$I$32),ISNUMBER(Q14)),Q14&gt;='参数'!$I$32,FALSE)+IF(AND(ISNUMBER('参数'!$K$32),ISNUMBER(S14)),S14&gt;='参数'!$K$32,FALSE)),"")</f>
        <v/>
      </c>
      <c r="V14" s="40" t="str">
        <f>IF(AND(ISNUMBER(J14),ISNUMBER(K14)),IF(N(ISNUMBER('参数'!$E$33))+N(ISNUMBER('参数'!$G$33))+N(ISNUMBER('参数'!$I$33))+N(ISNUMBER('参数'!$K$33))=0,"",IF(AND(ISNUMBER('参数'!$E$33),ISNUMBER(J13)),AND(J14&gt;='参数'!$E$33,J14&gt;J13),FALSE)+IF(AND(ISNUMBER('参数'!$G$33),ISNUMBER(N14)),N14&lt;='参数'!$G$33,FALSE)+IF(AND(ISNUMBER('参数'!$I$33),ISNUMBER(Q14)),Q14&gt;='参数'!$I$33,FALSE)+IF(AND(ISNUMBER('参数'!$K$33),ISNUMBER(S14)),S14&gt;='参数'!$K$33,FALSE)),"")</f>
        <v/>
      </c>
      <c r="W14" s="40" t="str">
        <f>IF(AND(ISNUMBER(J14),ISNUMBER(K14)),IF(N(ISNUMBER('参数'!$E$34))+N(ISNUMBER('参数'!$G$34))+N(ISNUMBER('参数'!$I$34))+N(ISNUMBER('参数'!$K$34))=0,"",IF(ISNUMBER('参数'!$E$34),J14&gt;='参数'!$E$34,FALSE)+IF(AND(ISNUMBER('参数'!$G$34),ISNUMBER(N14)),N14&lt;='参数'!$G$34,FALSE)+IF(AND(ISNUMBER('参数'!$I$34),ISNUMBER(S14)),S14&gt;='参数'!$I$34,FALSE)+IF(AND(ISNUMBER('参数'!$K$34),ISNUMBER(R14)),R14&gt;='参数'!$K$34,FALSE)),"")</f>
        <v/>
      </c>
      <c r="X14" s="40" t="str">
        <f>IF(AND(ISNUMBER(J14),ISNUMBER(K14)),IF(N(ISNUMBER('参数'!$E$35))+N(ISNUMBER('参数'!$G$35))+N(ISNUMBER('参数'!$I$35))=0,"",IF(AND(ISNUMBER('参数'!$E$35),ISNUMBER(N14),ISNUMBER(N13)),ROUND(N14-N13,6)&gt;='参数'!$E$35,FALSE)+IF(AND(ISNUMBER('参数'!$G$35),ISNUMBER(Q14),ISNUMBER(Q13)),ROUND(Q13-Q14,6)&gt;='参数'!$G$35,FALSE)+IF(AND(ISNUMBER('参数'!$I$35),ISNUMBER(S14),ISNUMBER(S13)),ROUND(S13-S14,6)&gt;='参数'!$I$35,FALSE)+IF(ISNUMBER(J13),J14&lt;J13,FALSE)),"")</f>
        <v/>
      </c>
      <c r="Y14" s="40" t="str">
        <f>IF(AND(ISNUMBER(J14),ISNUMBER(K14)),IF(N(ISNUMBER('参数'!$E$36))+N(ISNUMBER('参数'!$G$36))+N(ISNUMBER('参数'!$I$36))=0,"",IF(AND(ISNUMBER('参数'!$E$36),ISNUMBER(J13)),AND(J14&lt;='参数'!$E$36,J14&lt;J13),FALSE)+IF(ISNUMBER('参数'!$G$36),K14&gt;='参数'!$G$36,FALSE)+IF(AND(ISNUMBER('参数'!$I$36),ISNUMBER(S14)),S14&lt;'参数'!$I$36,FALSE)+IF(AND(ISNUMBER(R14),ISNUMBER(R13)),R14&lt;R13,FALSE)),"")</f>
        <v/>
      </c>
      <c r="Z14" s="41" t="str">
        <f>IF(NOT(AND(ISNUMBER(J14),ISNUMBER(K14))),"",IF(COUNT(T14:Y14)=0,"先填阈值",IF(MAX(AD14:AI14)=0,"不写",INDEX($T$4:$Y$4,MATCH(MAX(AD14:AI14),AD14:AI14,0))&amp;"·"&amp;IF(MAX(AD14:AI14)&gt;=200,"高","中")&amp;IF(LARGE(AD14:AI14,2)&gt;0,"（也像"&amp;INDEX($T$4:$Y$4,MATCH(LARGE(AD14:AI14,2),AD14:AI14,0))&amp;"·"&amp;IF(LARGE(AD14:AI14,2)&gt;=200,"高","中")&amp;"）",""))))</f>
        <v/>
      </c>
      <c r="AA14" s="27" t="n"/>
      <c r="AB14" s="32" t="n"/>
      <c r="AC14" s="16" t="n"/>
      <c r="AD14" s="40">
        <f>IF(N(T14)&gt;=3,IF(T14=4,2,1)*100+T14*10+6,0)</f>
        <v>0</v>
      </c>
      <c r="AE14" s="40">
        <f>IF(N(U14)&gt;=3,1*100+U14*10+1,0)</f>
        <v>0</v>
      </c>
      <c r="AF14" s="40">
        <f>IF(N(V14)&gt;=3,IF(V14=4,2,1)*100+V14*10+2,0)</f>
        <v>0</v>
      </c>
      <c r="AG14" s="40">
        <f>IF(N(W14)&gt;=3,1*100+W14*10+3,0)</f>
        <v>0</v>
      </c>
      <c r="AH14" s="40">
        <f>IF(N(X14)&gt;=3,1*100+X14*10+4,0)</f>
        <v>0</v>
      </c>
      <c r="AI14" s="40">
        <f>IF(N(Y14)&gt;=3,IF(AND(N(T14)&gt;=3,OR(N(T14)=4,N(Y14)&lt;=N(T14))),0,IF(Y14=4,2,1)*100+Y14*10+5),0)</f>
        <v>0</v>
      </c>
    </row>
    <row r="15">
      <c r="A15" s="31" t="n"/>
      <c r="B15" s="36" t="str">
        <f>IF(ISNUMBER(A15),"周"&amp;CHOOSE(WEEKDAY(A15,2),"一","二","三","四","五","六","日"),"")</f>
        <v/>
      </c>
      <c r="C15" s="37" t="n"/>
      <c r="D15" s="37" t="n"/>
      <c r="E15" s="37" t="n"/>
      <c r="F15" s="17" t="n"/>
      <c r="G15" s="38" t="str">
        <f>IF(AND(ISNUMBER(F15),ISNUMBER(F14)),IF(F14=0,"",F15/F14-1),"")</f>
        <v/>
      </c>
      <c r="H15" s="17" t="n"/>
      <c r="I15" s="17" t="n"/>
      <c r="J15" s="17" t="n"/>
      <c r="K15" s="17" t="n"/>
      <c r="L15" s="17" t="n"/>
      <c r="M15" s="17" t="n"/>
      <c r="N15" s="39" t="str">
        <f>IF(AND(ISNUMBER(L15),ISNUMBER(M15),N(L15)&gt;0),M15/L15,"")</f>
        <v/>
      </c>
      <c r="O15" s="17" t="n"/>
      <c r="P15" s="17" t="n"/>
      <c r="Q15" s="39" t="str">
        <f>IF(AND(ISNUMBER(O15),ISNUMBER(P15),N(O15)&gt;0),P15/O15,"")</f>
        <v/>
      </c>
      <c r="R15" s="17" t="n"/>
      <c r="S15" s="37" t="n"/>
      <c r="T15" s="40" t="str">
        <f>IF(AND(ISNUMBER(J15),ISNUMBER(K15)),IF(N(ISNUMBER('参数'!$E$31))+N(ISNUMBER('参数'!$G$31))+N(ISNUMBER('参数'!$I$31))+N(ISNUMBER('参数'!$K$31))=0,"",IF(ISNUMBER('参数'!$E$31),J15&lt;='参数'!$E$31,FALSE)+IF(ISNUMBER('参数'!$G$31),K15&gt;='参数'!$G$31,FALSE)+IF(AND(ISNUMBER('参数'!$I$31),ISNUMBER(N15)),N15&gt;='参数'!$I$31,FALSE)+IF(AND(ISNUMBER('参数'!$K$31),ISNUMBER(Q15)),Q15&lt;='参数'!$K$31,FALSE)),"")</f>
        <v/>
      </c>
      <c r="U15" s="40" t="str">
        <f>IF(AND(ISNUMBER(J15),ISNUMBER(K15)),IF(N(ISNUMBER('参数'!$G$32))+N(ISNUMBER('参数'!$I$32))+N(ISNUMBER('参数'!$K$32))=0,"",IF(AND(ISNUMBER(J14),ISNUMBER(J13)),AND(J15&gt;J14,J14&gt;J13),FALSE)+IF(ISNUMBER('参数'!$G$32),J15&lt;'参数'!$G$32,FALSE)+IF(AND(ISNUMBER('参数'!$I$32),ISNUMBER(Q15)),Q15&gt;='参数'!$I$32,FALSE)+IF(AND(ISNUMBER('参数'!$K$32),ISNUMBER(S15)),S15&gt;='参数'!$K$32,FALSE)),"")</f>
        <v/>
      </c>
      <c r="V15" s="40" t="str">
        <f>IF(AND(ISNUMBER(J15),ISNUMBER(K15)),IF(N(ISNUMBER('参数'!$E$33))+N(ISNUMBER('参数'!$G$33))+N(ISNUMBER('参数'!$I$33))+N(ISNUMBER('参数'!$K$33))=0,"",IF(AND(ISNUMBER('参数'!$E$33),ISNUMBER(J14)),AND(J15&gt;='参数'!$E$33,J15&gt;J14),FALSE)+IF(AND(ISNUMBER('参数'!$G$33),ISNUMBER(N15)),N15&lt;='参数'!$G$33,FALSE)+IF(AND(ISNUMBER('参数'!$I$33),ISNUMBER(Q15)),Q15&gt;='参数'!$I$33,FALSE)+IF(AND(ISNUMBER('参数'!$K$33),ISNUMBER(S15)),S15&gt;='参数'!$K$33,FALSE)),"")</f>
        <v/>
      </c>
      <c r="W15" s="40" t="str">
        <f>IF(AND(ISNUMBER(J15),ISNUMBER(K15)),IF(N(ISNUMBER('参数'!$E$34))+N(ISNUMBER('参数'!$G$34))+N(ISNUMBER('参数'!$I$34))+N(ISNUMBER('参数'!$K$34))=0,"",IF(ISNUMBER('参数'!$E$34),J15&gt;='参数'!$E$34,FALSE)+IF(AND(ISNUMBER('参数'!$G$34),ISNUMBER(N15)),N15&lt;='参数'!$G$34,FALSE)+IF(AND(ISNUMBER('参数'!$I$34),ISNUMBER(S15)),S15&gt;='参数'!$I$34,FALSE)+IF(AND(ISNUMBER('参数'!$K$34),ISNUMBER(R15)),R15&gt;='参数'!$K$34,FALSE)),"")</f>
        <v/>
      </c>
      <c r="X15" s="40" t="str">
        <f>IF(AND(ISNUMBER(J15),ISNUMBER(K15)),IF(N(ISNUMBER('参数'!$E$35))+N(ISNUMBER('参数'!$G$35))+N(ISNUMBER('参数'!$I$35))=0,"",IF(AND(ISNUMBER('参数'!$E$35),ISNUMBER(N15),ISNUMBER(N14)),ROUND(N15-N14,6)&gt;='参数'!$E$35,FALSE)+IF(AND(ISNUMBER('参数'!$G$35),ISNUMBER(Q15),ISNUMBER(Q14)),ROUND(Q14-Q15,6)&gt;='参数'!$G$35,FALSE)+IF(AND(ISNUMBER('参数'!$I$35),ISNUMBER(S15),ISNUMBER(S14)),ROUND(S14-S15,6)&gt;='参数'!$I$35,FALSE)+IF(ISNUMBER(J14),J15&lt;J14,FALSE)),"")</f>
        <v/>
      </c>
      <c r="Y15" s="40" t="str">
        <f>IF(AND(ISNUMBER(J15),ISNUMBER(K15)),IF(N(ISNUMBER('参数'!$E$36))+N(ISNUMBER('参数'!$G$36))+N(ISNUMBER('参数'!$I$36))=0,"",IF(AND(ISNUMBER('参数'!$E$36),ISNUMBER(J14)),AND(J15&lt;='参数'!$E$36,J15&lt;J14),FALSE)+IF(ISNUMBER('参数'!$G$36),K15&gt;='参数'!$G$36,FALSE)+IF(AND(ISNUMBER('参数'!$I$36),ISNUMBER(S15)),S15&lt;'参数'!$I$36,FALSE)+IF(AND(ISNUMBER(R15),ISNUMBER(R14)),R15&lt;R14,FALSE)),"")</f>
        <v/>
      </c>
      <c r="Z15" s="41" t="str">
        <f>IF(NOT(AND(ISNUMBER(J15),ISNUMBER(K15))),"",IF(COUNT(T15:Y15)=0,"先填阈值",IF(MAX(AD15:AI15)=0,"不写",INDEX($T$4:$Y$4,MATCH(MAX(AD15:AI15),AD15:AI15,0))&amp;"·"&amp;IF(MAX(AD15:AI15)&gt;=200,"高","中")&amp;IF(LARGE(AD15:AI15,2)&gt;0,"（也像"&amp;INDEX($T$4:$Y$4,MATCH(LARGE(AD15:AI15,2),AD15:AI15,0))&amp;"·"&amp;IF(LARGE(AD15:AI15,2)&gt;=200,"高","中")&amp;"）",""))))</f>
        <v/>
      </c>
      <c r="AA15" s="27" t="n"/>
      <c r="AB15" s="32" t="n"/>
      <c r="AC15" s="16" t="n"/>
      <c r="AD15" s="40">
        <f>IF(N(T15)&gt;=3,IF(T15=4,2,1)*100+T15*10+6,0)</f>
        <v>0</v>
      </c>
      <c r="AE15" s="40">
        <f>IF(N(U15)&gt;=3,1*100+U15*10+1,0)</f>
        <v>0</v>
      </c>
      <c r="AF15" s="40">
        <f>IF(N(V15)&gt;=3,IF(V15=4,2,1)*100+V15*10+2,0)</f>
        <v>0</v>
      </c>
      <c r="AG15" s="40">
        <f>IF(N(W15)&gt;=3,1*100+W15*10+3,0)</f>
        <v>0</v>
      </c>
      <c r="AH15" s="40">
        <f>IF(N(X15)&gt;=3,1*100+X15*10+4,0)</f>
        <v>0</v>
      </c>
      <c r="AI15" s="40">
        <f>IF(N(Y15)&gt;=3,IF(AND(N(T15)&gt;=3,OR(N(T15)=4,N(Y15)&lt;=N(T15))),0,IF(Y15=4,2,1)*100+Y15*10+5),0)</f>
        <v>0</v>
      </c>
    </row>
    <row r="16">
      <c r="A16" s="31" t="n"/>
      <c r="B16" s="36" t="str">
        <f>IF(ISNUMBER(A16),"周"&amp;CHOOSE(WEEKDAY(A16,2),"一","二","三","四","五","六","日"),"")</f>
        <v/>
      </c>
      <c r="C16" s="37" t="n"/>
      <c r="D16" s="37" t="n"/>
      <c r="E16" s="37" t="n"/>
      <c r="F16" s="17" t="n"/>
      <c r="G16" s="38" t="str">
        <f>IF(AND(ISNUMBER(F16),ISNUMBER(F15)),IF(F15=0,"",F16/F15-1),"")</f>
        <v/>
      </c>
      <c r="H16" s="17" t="n"/>
      <c r="I16" s="17" t="n"/>
      <c r="J16" s="17" t="n"/>
      <c r="K16" s="17" t="n"/>
      <c r="L16" s="17" t="n"/>
      <c r="M16" s="17" t="n"/>
      <c r="N16" s="39" t="str">
        <f>IF(AND(ISNUMBER(L16),ISNUMBER(M16),N(L16)&gt;0),M16/L16,"")</f>
        <v/>
      </c>
      <c r="O16" s="17" t="n"/>
      <c r="P16" s="17" t="n"/>
      <c r="Q16" s="39" t="str">
        <f>IF(AND(ISNUMBER(O16),ISNUMBER(P16),N(O16)&gt;0),P16/O16,"")</f>
        <v/>
      </c>
      <c r="R16" s="17" t="n"/>
      <c r="S16" s="37" t="n"/>
      <c r="T16" s="40" t="str">
        <f>IF(AND(ISNUMBER(J16),ISNUMBER(K16)),IF(N(ISNUMBER('参数'!$E$31))+N(ISNUMBER('参数'!$G$31))+N(ISNUMBER('参数'!$I$31))+N(ISNUMBER('参数'!$K$31))=0,"",IF(ISNUMBER('参数'!$E$31),J16&lt;='参数'!$E$31,FALSE)+IF(ISNUMBER('参数'!$G$31),K16&gt;='参数'!$G$31,FALSE)+IF(AND(ISNUMBER('参数'!$I$31),ISNUMBER(N16)),N16&gt;='参数'!$I$31,FALSE)+IF(AND(ISNUMBER('参数'!$K$31),ISNUMBER(Q16)),Q16&lt;='参数'!$K$31,FALSE)),"")</f>
        <v/>
      </c>
      <c r="U16" s="40" t="str">
        <f>IF(AND(ISNUMBER(J16),ISNUMBER(K16)),IF(N(ISNUMBER('参数'!$G$32))+N(ISNUMBER('参数'!$I$32))+N(ISNUMBER('参数'!$K$32))=0,"",IF(AND(ISNUMBER(J15),ISNUMBER(J14)),AND(J16&gt;J15,J15&gt;J14),FALSE)+IF(ISNUMBER('参数'!$G$32),J16&lt;'参数'!$G$32,FALSE)+IF(AND(ISNUMBER('参数'!$I$32),ISNUMBER(Q16)),Q16&gt;='参数'!$I$32,FALSE)+IF(AND(ISNUMBER('参数'!$K$32),ISNUMBER(S16)),S16&gt;='参数'!$K$32,FALSE)),"")</f>
        <v/>
      </c>
      <c r="V16" s="40" t="str">
        <f>IF(AND(ISNUMBER(J16),ISNUMBER(K16)),IF(N(ISNUMBER('参数'!$E$33))+N(ISNUMBER('参数'!$G$33))+N(ISNUMBER('参数'!$I$33))+N(ISNUMBER('参数'!$K$33))=0,"",IF(AND(ISNUMBER('参数'!$E$33),ISNUMBER(J15)),AND(J16&gt;='参数'!$E$33,J16&gt;J15),FALSE)+IF(AND(ISNUMBER('参数'!$G$33),ISNUMBER(N16)),N16&lt;='参数'!$G$33,FALSE)+IF(AND(ISNUMBER('参数'!$I$33),ISNUMBER(Q16)),Q16&gt;='参数'!$I$33,FALSE)+IF(AND(ISNUMBER('参数'!$K$33),ISNUMBER(S16)),S16&gt;='参数'!$K$33,FALSE)),"")</f>
        <v/>
      </c>
      <c r="W16" s="40" t="str">
        <f>IF(AND(ISNUMBER(J16),ISNUMBER(K16)),IF(N(ISNUMBER('参数'!$E$34))+N(ISNUMBER('参数'!$G$34))+N(ISNUMBER('参数'!$I$34))+N(ISNUMBER('参数'!$K$34))=0,"",IF(ISNUMBER('参数'!$E$34),J16&gt;='参数'!$E$34,FALSE)+IF(AND(ISNUMBER('参数'!$G$34),ISNUMBER(N16)),N16&lt;='参数'!$G$34,FALSE)+IF(AND(ISNUMBER('参数'!$I$34),ISNUMBER(S16)),S16&gt;='参数'!$I$34,FALSE)+IF(AND(ISNUMBER('参数'!$K$34),ISNUMBER(R16)),R16&gt;='参数'!$K$34,FALSE)),"")</f>
        <v/>
      </c>
      <c r="X16" s="40" t="str">
        <f>IF(AND(ISNUMBER(J16),ISNUMBER(K16)),IF(N(ISNUMBER('参数'!$E$35))+N(ISNUMBER('参数'!$G$35))+N(ISNUMBER('参数'!$I$35))=0,"",IF(AND(ISNUMBER('参数'!$E$35),ISNUMBER(N16),ISNUMBER(N15)),ROUND(N16-N15,6)&gt;='参数'!$E$35,FALSE)+IF(AND(ISNUMBER('参数'!$G$35),ISNUMBER(Q16),ISNUMBER(Q15)),ROUND(Q15-Q16,6)&gt;='参数'!$G$35,FALSE)+IF(AND(ISNUMBER('参数'!$I$35),ISNUMBER(S16),ISNUMBER(S15)),ROUND(S15-S16,6)&gt;='参数'!$I$35,FALSE)+IF(ISNUMBER(J15),J16&lt;J15,FALSE)),"")</f>
        <v/>
      </c>
      <c r="Y16" s="40" t="str">
        <f>IF(AND(ISNUMBER(J16),ISNUMBER(K16)),IF(N(ISNUMBER('参数'!$E$36))+N(ISNUMBER('参数'!$G$36))+N(ISNUMBER('参数'!$I$36))=0,"",IF(AND(ISNUMBER('参数'!$E$36),ISNUMBER(J15)),AND(J16&lt;='参数'!$E$36,J16&lt;J15),FALSE)+IF(ISNUMBER('参数'!$G$36),K16&gt;='参数'!$G$36,FALSE)+IF(AND(ISNUMBER('参数'!$I$36),ISNUMBER(S16)),S16&lt;'参数'!$I$36,FALSE)+IF(AND(ISNUMBER(R16),ISNUMBER(R15)),R16&lt;R15,FALSE)),"")</f>
        <v/>
      </c>
      <c r="Z16" s="41" t="str">
        <f>IF(NOT(AND(ISNUMBER(J16),ISNUMBER(K16))),"",IF(COUNT(T16:Y16)=0,"先填阈值",IF(MAX(AD16:AI16)=0,"不写",INDEX($T$4:$Y$4,MATCH(MAX(AD16:AI16),AD16:AI16,0))&amp;"·"&amp;IF(MAX(AD16:AI16)&gt;=200,"高","中")&amp;IF(LARGE(AD16:AI16,2)&gt;0,"（也像"&amp;INDEX($T$4:$Y$4,MATCH(LARGE(AD16:AI16,2),AD16:AI16,0))&amp;"·"&amp;IF(LARGE(AD16:AI16,2)&gt;=200,"高","中")&amp;"）",""))))</f>
        <v/>
      </c>
      <c r="AA16" s="27" t="n"/>
      <c r="AB16" s="32" t="n"/>
      <c r="AC16" s="16" t="n"/>
      <c r="AD16" s="40">
        <f>IF(N(T16)&gt;=3,IF(T16=4,2,1)*100+T16*10+6,0)</f>
        <v>0</v>
      </c>
      <c r="AE16" s="40">
        <f>IF(N(U16)&gt;=3,1*100+U16*10+1,0)</f>
        <v>0</v>
      </c>
      <c r="AF16" s="40">
        <f>IF(N(V16)&gt;=3,IF(V16=4,2,1)*100+V16*10+2,0)</f>
        <v>0</v>
      </c>
      <c r="AG16" s="40">
        <f>IF(N(W16)&gt;=3,1*100+W16*10+3,0)</f>
        <v>0</v>
      </c>
      <c r="AH16" s="40">
        <f>IF(N(X16)&gt;=3,1*100+X16*10+4,0)</f>
        <v>0</v>
      </c>
      <c r="AI16" s="40">
        <f>IF(N(Y16)&gt;=3,IF(AND(N(T16)&gt;=3,OR(N(T16)=4,N(Y16)&lt;=N(T16))),0,IF(Y16=4,2,1)*100+Y16*10+5),0)</f>
        <v>0</v>
      </c>
    </row>
    <row r="17">
      <c r="A17" s="31" t="n"/>
      <c r="B17" s="36" t="str">
        <f>IF(ISNUMBER(A17),"周"&amp;CHOOSE(WEEKDAY(A17,2),"一","二","三","四","五","六","日"),"")</f>
        <v/>
      </c>
      <c r="C17" s="37" t="n"/>
      <c r="D17" s="37" t="n"/>
      <c r="E17" s="37" t="n"/>
      <c r="F17" s="17" t="n"/>
      <c r="G17" s="38" t="str">
        <f>IF(AND(ISNUMBER(F17),ISNUMBER(F16)),IF(F16=0,"",F17/F16-1),"")</f>
        <v/>
      </c>
      <c r="H17" s="17" t="n"/>
      <c r="I17" s="17" t="n"/>
      <c r="J17" s="17" t="n"/>
      <c r="K17" s="17" t="n"/>
      <c r="L17" s="17" t="n"/>
      <c r="M17" s="17" t="n"/>
      <c r="N17" s="39" t="str">
        <f>IF(AND(ISNUMBER(L17),ISNUMBER(M17),N(L17)&gt;0),M17/L17,"")</f>
        <v/>
      </c>
      <c r="O17" s="17" t="n"/>
      <c r="P17" s="17" t="n"/>
      <c r="Q17" s="39" t="str">
        <f>IF(AND(ISNUMBER(O17),ISNUMBER(P17),N(O17)&gt;0),P17/O17,"")</f>
        <v/>
      </c>
      <c r="R17" s="17" t="n"/>
      <c r="S17" s="37" t="n"/>
      <c r="T17" s="40" t="str">
        <f>IF(AND(ISNUMBER(J17),ISNUMBER(K17)),IF(N(ISNUMBER('参数'!$E$31))+N(ISNUMBER('参数'!$G$31))+N(ISNUMBER('参数'!$I$31))+N(ISNUMBER('参数'!$K$31))=0,"",IF(ISNUMBER('参数'!$E$31),J17&lt;='参数'!$E$31,FALSE)+IF(ISNUMBER('参数'!$G$31),K17&gt;='参数'!$G$31,FALSE)+IF(AND(ISNUMBER('参数'!$I$31),ISNUMBER(N17)),N17&gt;='参数'!$I$31,FALSE)+IF(AND(ISNUMBER('参数'!$K$31),ISNUMBER(Q17)),Q17&lt;='参数'!$K$31,FALSE)),"")</f>
        <v/>
      </c>
      <c r="U17" s="40" t="str">
        <f>IF(AND(ISNUMBER(J17),ISNUMBER(K17)),IF(N(ISNUMBER('参数'!$G$32))+N(ISNUMBER('参数'!$I$32))+N(ISNUMBER('参数'!$K$32))=0,"",IF(AND(ISNUMBER(J16),ISNUMBER(J15)),AND(J17&gt;J16,J16&gt;J15),FALSE)+IF(ISNUMBER('参数'!$G$32),J17&lt;'参数'!$G$32,FALSE)+IF(AND(ISNUMBER('参数'!$I$32),ISNUMBER(Q17)),Q17&gt;='参数'!$I$32,FALSE)+IF(AND(ISNUMBER('参数'!$K$32),ISNUMBER(S17)),S17&gt;='参数'!$K$32,FALSE)),"")</f>
        <v/>
      </c>
      <c r="V17" s="40" t="str">
        <f>IF(AND(ISNUMBER(J17),ISNUMBER(K17)),IF(N(ISNUMBER('参数'!$E$33))+N(ISNUMBER('参数'!$G$33))+N(ISNUMBER('参数'!$I$33))+N(ISNUMBER('参数'!$K$33))=0,"",IF(AND(ISNUMBER('参数'!$E$33),ISNUMBER(J16)),AND(J17&gt;='参数'!$E$33,J17&gt;J16),FALSE)+IF(AND(ISNUMBER('参数'!$G$33),ISNUMBER(N17)),N17&lt;='参数'!$G$33,FALSE)+IF(AND(ISNUMBER('参数'!$I$33),ISNUMBER(Q17)),Q17&gt;='参数'!$I$33,FALSE)+IF(AND(ISNUMBER('参数'!$K$33),ISNUMBER(S17)),S17&gt;='参数'!$K$33,FALSE)),"")</f>
        <v/>
      </c>
      <c r="W17" s="40" t="str">
        <f>IF(AND(ISNUMBER(J17),ISNUMBER(K17)),IF(N(ISNUMBER('参数'!$E$34))+N(ISNUMBER('参数'!$G$34))+N(ISNUMBER('参数'!$I$34))+N(ISNUMBER('参数'!$K$34))=0,"",IF(ISNUMBER('参数'!$E$34),J17&gt;='参数'!$E$34,FALSE)+IF(AND(ISNUMBER('参数'!$G$34),ISNUMBER(N17)),N17&lt;='参数'!$G$34,FALSE)+IF(AND(ISNUMBER('参数'!$I$34),ISNUMBER(S17)),S17&gt;='参数'!$I$34,FALSE)+IF(AND(ISNUMBER('参数'!$K$34),ISNUMBER(R17)),R17&gt;='参数'!$K$34,FALSE)),"")</f>
        <v/>
      </c>
      <c r="X17" s="40" t="str">
        <f>IF(AND(ISNUMBER(J17),ISNUMBER(K17)),IF(N(ISNUMBER('参数'!$E$35))+N(ISNUMBER('参数'!$G$35))+N(ISNUMBER('参数'!$I$35))=0,"",IF(AND(ISNUMBER('参数'!$E$35),ISNUMBER(N17),ISNUMBER(N16)),ROUND(N17-N16,6)&gt;='参数'!$E$35,FALSE)+IF(AND(ISNUMBER('参数'!$G$35),ISNUMBER(Q17),ISNUMBER(Q16)),ROUND(Q16-Q17,6)&gt;='参数'!$G$35,FALSE)+IF(AND(ISNUMBER('参数'!$I$35),ISNUMBER(S17),ISNUMBER(S16)),ROUND(S16-S17,6)&gt;='参数'!$I$35,FALSE)+IF(ISNUMBER(J16),J17&lt;J16,FALSE)),"")</f>
        <v/>
      </c>
      <c r="Y17" s="40" t="str">
        <f>IF(AND(ISNUMBER(J17),ISNUMBER(K17)),IF(N(ISNUMBER('参数'!$E$36))+N(ISNUMBER('参数'!$G$36))+N(ISNUMBER('参数'!$I$36))=0,"",IF(AND(ISNUMBER('参数'!$E$36),ISNUMBER(J16)),AND(J17&lt;='参数'!$E$36,J17&lt;J16),FALSE)+IF(ISNUMBER('参数'!$G$36),K17&gt;='参数'!$G$36,FALSE)+IF(AND(ISNUMBER('参数'!$I$36),ISNUMBER(S17)),S17&lt;'参数'!$I$36,FALSE)+IF(AND(ISNUMBER(R17),ISNUMBER(R16)),R17&lt;R16,FALSE)),"")</f>
        <v/>
      </c>
      <c r="Z17" s="41" t="str">
        <f>IF(NOT(AND(ISNUMBER(J17),ISNUMBER(K17))),"",IF(COUNT(T17:Y17)=0,"先填阈值",IF(MAX(AD17:AI17)=0,"不写",INDEX($T$4:$Y$4,MATCH(MAX(AD17:AI17),AD17:AI17,0))&amp;"·"&amp;IF(MAX(AD17:AI17)&gt;=200,"高","中")&amp;IF(LARGE(AD17:AI17,2)&gt;0,"（也像"&amp;INDEX($T$4:$Y$4,MATCH(LARGE(AD17:AI17,2),AD17:AI17,0))&amp;"·"&amp;IF(LARGE(AD17:AI17,2)&gt;=200,"高","中")&amp;"）",""))))</f>
        <v/>
      </c>
      <c r="AA17" s="27" t="n"/>
      <c r="AB17" s="32" t="n"/>
      <c r="AC17" s="16" t="n"/>
      <c r="AD17" s="40">
        <f>IF(N(T17)&gt;=3,IF(T17=4,2,1)*100+T17*10+6,0)</f>
        <v>0</v>
      </c>
      <c r="AE17" s="40">
        <f>IF(N(U17)&gt;=3,1*100+U17*10+1,0)</f>
        <v>0</v>
      </c>
      <c r="AF17" s="40">
        <f>IF(N(V17)&gt;=3,IF(V17=4,2,1)*100+V17*10+2,0)</f>
        <v>0</v>
      </c>
      <c r="AG17" s="40">
        <f>IF(N(W17)&gt;=3,1*100+W17*10+3,0)</f>
        <v>0</v>
      </c>
      <c r="AH17" s="40">
        <f>IF(N(X17)&gt;=3,1*100+X17*10+4,0)</f>
        <v>0</v>
      </c>
      <c r="AI17" s="40">
        <f>IF(N(Y17)&gt;=3,IF(AND(N(T17)&gt;=3,OR(N(T17)=4,N(Y17)&lt;=N(T17))),0,IF(Y17=4,2,1)*100+Y17*10+5),0)</f>
        <v>0</v>
      </c>
    </row>
    <row r="18">
      <c r="A18" s="31" t="n"/>
      <c r="B18" s="36" t="str">
        <f>IF(ISNUMBER(A18),"周"&amp;CHOOSE(WEEKDAY(A18,2),"一","二","三","四","五","六","日"),"")</f>
        <v/>
      </c>
      <c r="C18" s="37" t="n"/>
      <c r="D18" s="37" t="n"/>
      <c r="E18" s="37" t="n"/>
      <c r="F18" s="17" t="n"/>
      <c r="G18" s="38" t="str">
        <f>IF(AND(ISNUMBER(F18),ISNUMBER(F17)),IF(F17=0,"",F18/F17-1),"")</f>
        <v/>
      </c>
      <c r="H18" s="17" t="n"/>
      <c r="I18" s="17" t="n"/>
      <c r="J18" s="17" t="n"/>
      <c r="K18" s="17" t="n"/>
      <c r="L18" s="17" t="n"/>
      <c r="M18" s="17" t="n"/>
      <c r="N18" s="39" t="str">
        <f>IF(AND(ISNUMBER(L18),ISNUMBER(M18),N(L18)&gt;0),M18/L18,"")</f>
        <v/>
      </c>
      <c r="O18" s="17" t="n"/>
      <c r="P18" s="17" t="n"/>
      <c r="Q18" s="39" t="str">
        <f>IF(AND(ISNUMBER(O18),ISNUMBER(P18),N(O18)&gt;0),P18/O18,"")</f>
        <v/>
      </c>
      <c r="R18" s="17" t="n"/>
      <c r="S18" s="37" t="n"/>
      <c r="T18" s="40" t="str">
        <f>IF(AND(ISNUMBER(J18),ISNUMBER(K18)),IF(N(ISNUMBER('参数'!$E$31))+N(ISNUMBER('参数'!$G$31))+N(ISNUMBER('参数'!$I$31))+N(ISNUMBER('参数'!$K$31))=0,"",IF(ISNUMBER('参数'!$E$31),J18&lt;='参数'!$E$31,FALSE)+IF(ISNUMBER('参数'!$G$31),K18&gt;='参数'!$G$31,FALSE)+IF(AND(ISNUMBER('参数'!$I$31),ISNUMBER(N18)),N18&gt;='参数'!$I$31,FALSE)+IF(AND(ISNUMBER('参数'!$K$31),ISNUMBER(Q18)),Q18&lt;='参数'!$K$31,FALSE)),"")</f>
        <v/>
      </c>
      <c r="U18" s="40" t="str">
        <f>IF(AND(ISNUMBER(J18),ISNUMBER(K18)),IF(N(ISNUMBER('参数'!$G$32))+N(ISNUMBER('参数'!$I$32))+N(ISNUMBER('参数'!$K$32))=0,"",IF(AND(ISNUMBER(J17),ISNUMBER(J16)),AND(J18&gt;J17,J17&gt;J16),FALSE)+IF(ISNUMBER('参数'!$G$32),J18&lt;'参数'!$G$32,FALSE)+IF(AND(ISNUMBER('参数'!$I$32),ISNUMBER(Q18)),Q18&gt;='参数'!$I$32,FALSE)+IF(AND(ISNUMBER('参数'!$K$32),ISNUMBER(S18)),S18&gt;='参数'!$K$32,FALSE)),"")</f>
        <v/>
      </c>
      <c r="V18" s="40" t="str">
        <f>IF(AND(ISNUMBER(J18),ISNUMBER(K18)),IF(N(ISNUMBER('参数'!$E$33))+N(ISNUMBER('参数'!$G$33))+N(ISNUMBER('参数'!$I$33))+N(ISNUMBER('参数'!$K$33))=0,"",IF(AND(ISNUMBER('参数'!$E$33),ISNUMBER(J17)),AND(J18&gt;='参数'!$E$33,J18&gt;J17),FALSE)+IF(AND(ISNUMBER('参数'!$G$33),ISNUMBER(N18)),N18&lt;='参数'!$G$33,FALSE)+IF(AND(ISNUMBER('参数'!$I$33),ISNUMBER(Q18)),Q18&gt;='参数'!$I$33,FALSE)+IF(AND(ISNUMBER('参数'!$K$33),ISNUMBER(S18)),S18&gt;='参数'!$K$33,FALSE)),"")</f>
        <v/>
      </c>
      <c r="W18" s="40" t="str">
        <f>IF(AND(ISNUMBER(J18),ISNUMBER(K18)),IF(N(ISNUMBER('参数'!$E$34))+N(ISNUMBER('参数'!$G$34))+N(ISNUMBER('参数'!$I$34))+N(ISNUMBER('参数'!$K$34))=0,"",IF(ISNUMBER('参数'!$E$34),J18&gt;='参数'!$E$34,FALSE)+IF(AND(ISNUMBER('参数'!$G$34),ISNUMBER(N18)),N18&lt;='参数'!$G$34,FALSE)+IF(AND(ISNUMBER('参数'!$I$34),ISNUMBER(S18)),S18&gt;='参数'!$I$34,FALSE)+IF(AND(ISNUMBER('参数'!$K$34),ISNUMBER(R18)),R18&gt;='参数'!$K$34,FALSE)),"")</f>
        <v/>
      </c>
      <c r="X18" s="40" t="str">
        <f>IF(AND(ISNUMBER(J18),ISNUMBER(K18)),IF(N(ISNUMBER('参数'!$E$35))+N(ISNUMBER('参数'!$G$35))+N(ISNUMBER('参数'!$I$35))=0,"",IF(AND(ISNUMBER('参数'!$E$35),ISNUMBER(N18),ISNUMBER(N17)),ROUND(N18-N17,6)&gt;='参数'!$E$35,FALSE)+IF(AND(ISNUMBER('参数'!$G$35),ISNUMBER(Q18),ISNUMBER(Q17)),ROUND(Q17-Q18,6)&gt;='参数'!$G$35,FALSE)+IF(AND(ISNUMBER('参数'!$I$35),ISNUMBER(S18),ISNUMBER(S17)),ROUND(S17-S18,6)&gt;='参数'!$I$35,FALSE)+IF(ISNUMBER(J17),J18&lt;J17,FALSE)),"")</f>
        <v/>
      </c>
      <c r="Y18" s="40" t="str">
        <f>IF(AND(ISNUMBER(J18),ISNUMBER(K18)),IF(N(ISNUMBER('参数'!$E$36))+N(ISNUMBER('参数'!$G$36))+N(ISNUMBER('参数'!$I$36))=0,"",IF(AND(ISNUMBER('参数'!$E$36),ISNUMBER(J17)),AND(J18&lt;='参数'!$E$36,J18&lt;J17),FALSE)+IF(ISNUMBER('参数'!$G$36),K18&gt;='参数'!$G$36,FALSE)+IF(AND(ISNUMBER('参数'!$I$36),ISNUMBER(S18)),S18&lt;'参数'!$I$36,FALSE)+IF(AND(ISNUMBER(R18),ISNUMBER(R17)),R18&lt;R17,FALSE)),"")</f>
        <v/>
      </c>
      <c r="Z18" s="41" t="str">
        <f>IF(NOT(AND(ISNUMBER(J18),ISNUMBER(K18))),"",IF(COUNT(T18:Y18)=0,"先填阈值",IF(MAX(AD18:AI18)=0,"不写",INDEX($T$4:$Y$4,MATCH(MAX(AD18:AI18),AD18:AI18,0))&amp;"·"&amp;IF(MAX(AD18:AI18)&gt;=200,"高","中")&amp;IF(LARGE(AD18:AI18,2)&gt;0,"（也像"&amp;INDEX($T$4:$Y$4,MATCH(LARGE(AD18:AI18,2),AD18:AI18,0))&amp;"·"&amp;IF(LARGE(AD18:AI18,2)&gt;=200,"高","中")&amp;"）",""))))</f>
        <v/>
      </c>
      <c r="AA18" s="27" t="n"/>
      <c r="AB18" s="32" t="n"/>
      <c r="AC18" s="16" t="n"/>
      <c r="AD18" s="40">
        <f>IF(N(T18)&gt;=3,IF(T18=4,2,1)*100+T18*10+6,0)</f>
        <v>0</v>
      </c>
      <c r="AE18" s="40">
        <f>IF(N(U18)&gt;=3,1*100+U18*10+1,0)</f>
        <v>0</v>
      </c>
      <c r="AF18" s="40">
        <f>IF(N(V18)&gt;=3,IF(V18=4,2,1)*100+V18*10+2,0)</f>
        <v>0</v>
      </c>
      <c r="AG18" s="40">
        <f>IF(N(W18)&gt;=3,1*100+W18*10+3,0)</f>
        <v>0</v>
      </c>
      <c r="AH18" s="40">
        <f>IF(N(X18)&gt;=3,1*100+X18*10+4,0)</f>
        <v>0</v>
      </c>
      <c r="AI18" s="40">
        <f>IF(N(Y18)&gt;=3,IF(AND(N(T18)&gt;=3,OR(N(T18)=4,N(Y18)&lt;=N(T18))),0,IF(Y18=4,2,1)*100+Y18*10+5),0)</f>
        <v>0</v>
      </c>
    </row>
    <row r="19">
      <c r="A19" s="31" t="n"/>
      <c r="B19" s="36" t="str">
        <f>IF(ISNUMBER(A19),"周"&amp;CHOOSE(WEEKDAY(A19,2),"一","二","三","四","五","六","日"),"")</f>
        <v/>
      </c>
      <c r="C19" s="37" t="n"/>
      <c r="D19" s="37" t="n"/>
      <c r="E19" s="37" t="n"/>
      <c r="F19" s="17" t="n"/>
      <c r="G19" s="38" t="str">
        <f>IF(AND(ISNUMBER(F19),ISNUMBER(F18)),IF(F18=0,"",F19/F18-1),"")</f>
        <v/>
      </c>
      <c r="H19" s="17" t="n"/>
      <c r="I19" s="17" t="n"/>
      <c r="J19" s="17" t="n"/>
      <c r="K19" s="17" t="n"/>
      <c r="L19" s="17" t="n"/>
      <c r="M19" s="17" t="n"/>
      <c r="N19" s="39" t="str">
        <f>IF(AND(ISNUMBER(L19),ISNUMBER(M19),N(L19)&gt;0),M19/L19,"")</f>
        <v/>
      </c>
      <c r="O19" s="17" t="n"/>
      <c r="P19" s="17" t="n"/>
      <c r="Q19" s="39" t="str">
        <f>IF(AND(ISNUMBER(O19),ISNUMBER(P19),N(O19)&gt;0),P19/O19,"")</f>
        <v/>
      </c>
      <c r="R19" s="17" t="n"/>
      <c r="S19" s="37" t="n"/>
      <c r="T19" s="40" t="str">
        <f>IF(AND(ISNUMBER(J19),ISNUMBER(K19)),IF(N(ISNUMBER('参数'!$E$31))+N(ISNUMBER('参数'!$G$31))+N(ISNUMBER('参数'!$I$31))+N(ISNUMBER('参数'!$K$31))=0,"",IF(ISNUMBER('参数'!$E$31),J19&lt;='参数'!$E$31,FALSE)+IF(ISNUMBER('参数'!$G$31),K19&gt;='参数'!$G$31,FALSE)+IF(AND(ISNUMBER('参数'!$I$31),ISNUMBER(N19)),N19&gt;='参数'!$I$31,FALSE)+IF(AND(ISNUMBER('参数'!$K$31),ISNUMBER(Q19)),Q19&lt;='参数'!$K$31,FALSE)),"")</f>
        <v/>
      </c>
      <c r="U19" s="40" t="str">
        <f>IF(AND(ISNUMBER(J19),ISNUMBER(K19)),IF(N(ISNUMBER('参数'!$G$32))+N(ISNUMBER('参数'!$I$32))+N(ISNUMBER('参数'!$K$32))=0,"",IF(AND(ISNUMBER(J18),ISNUMBER(J17)),AND(J19&gt;J18,J18&gt;J17),FALSE)+IF(ISNUMBER('参数'!$G$32),J19&lt;'参数'!$G$32,FALSE)+IF(AND(ISNUMBER('参数'!$I$32),ISNUMBER(Q19)),Q19&gt;='参数'!$I$32,FALSE)+IF(AND(ISNUMBER('参数'!$K$32),ISNUMBER(S19)),S19&gt;='参数'!$K$32,FALSE)),"")</f>
        <v/>
      </c>
      <c r="V19" s="40" t="str">
        <f>IF(AND(ISNUMBER(J19),ISNUMBER(K19)),IF(N(ISNUMBER('参数'!$E$33))+N(ISNUMBER('参数'!$G$33))+N(ISNUMBER('参数'!$I$33))+N(ISNUMBER('参数'!$K$33))=0,"",IF(AND(ISNUMBER('参数'!$E$33),ISNUMBER(J18)),AND(J19&gt;='参数'!$E$33,J19&gt;J18),FALSE)+IF(AND(ISNUMBER('参数'!$G$33),ISNUMBER(N19)),N19&lt;='参数'!$G$33,FALSE)+IF(AND(ISNUMBER('参数'!$I$33),ISNUMBER(Q19)),Q19&gt;='参数'!$I$33,FALSE)+IF(AND(ISNUMBER('参数'!$K$33),ISNUMBER(S19)),S19&gt;='参数'!$K$33,FALSE)),"")</f>
        <v/>
      </c>
      <c r="W19" s="40" t="str">
        <f>IF(AND(ISNUMBER(J19),ISNUMBER(K19)),IF(N(ISNUMBER('参数'!$E$34))+N(ISNUMBER('参数'!$G$34))+N(ISNUMBER('参数'!$I$34))+N(ISNUMBER('参数'!$K$34))=0,"",IF(ISNUMBER('参数'!$E$34),J19&gt;='参数'!$E$34,FALSE)+IF(AND(ISNUMBER('参数'!$G$34),ISNUMBER(N19)),N19&lt;='参数'!$G$34,FALSE)+IF(AND(ISNUMBER('参数'!$I$34),ISNUMBER(S19)),S19&gt;='参数'!$I$34,FALSE)+IF(AND(ISNUMBER('参数'!$K$34),ISNUMBER(R19)),R19&gt;='参数'!$K$34,FALSE)),"")</f>
        <v/>
      </c>
      <c r="X19" s="40" t="str">
        <f>IF(AND(ISNUMBER(J19),ISNUMBER(K19)),IF(N(ISNUMBER('参数'!$E$35))+N(ISNUMBER('参数'!$G$35))+N(ISNUMBER('参数'!$I$35))=0,"",IF(AND(ISNUMBER('参数'!$E$35),ISNUMBER(N19),ISNUMBER(N18)),ROUND(N19-N18,6)&gt;='参数'!$E$35,FALSE)+IF(AND(ISNUMBER('参数'!$G$35),ISNUMBER(Q19),ISNUMBER(Q18)),ROUND(Q18-Q19,6)&gt;='参数'!$G$35,FALSE)+IF(AND(ISNUMBER('参数'!$I$35),ISNUMBER(S19),ISNUMBER(S18)),ROUND(S18-S19,6)&gt;='参数'!$I$35,FALSE)+IF(ISNUMBER(J18),J19&lt;J18,FALSE)),"")</f>
        <v/>
      </c>
      <c r="Y19" s="40" t="str">
        <f>IF(AND(ISNUMBER(J19),ISNUMBER(K19)),IF(N(ISNUMBER('参数'!$E$36))+N(ISNUMBER('参数'!$G$36))+N(ISNUMBER('参数'!$I$36))=0,"",IF(AND(ISNUMBER('参数'!$E$36),ISNUMBER(J18)),AND(J19&lt;='参数'!$E$36,J19&lt;J18),FALSE)+IF(ISNUMBER('参数'!$G$36),K19&gt;='参数'!$G$36,FALSE)+IF(AND(ISNUMBER('参数'!$I$36),ISNUMBER(S19)),S19&lt;'参数'!$I$36,FALSE)+IF(AND(ISNUMBER(R19),ISNUMBER(R18)),R19&lt;R18,FALSE)),"")</f>
        <v/>
      </c>
      <c r="Z19" s="41" t="str">
        <f>IF(NOT(AND(ISNUMBER(J19),ISNUMBER(K19))),"",IF(COUNT(T19:Y19)=0,"先填阈值",IF(MAX(AD19:AI19)=0,"不写",INDEX($T$4:$Y$4,MATCH(MAX(AD19:AI19),AD19:AI19,0))&amp;"·"&amp;IF(MAX(AD19:AI19)&gt;=200,"高","中")&amp;IF(LARGE(AD19:AI19,2)&gt;0,"（也像"&amp;INDEX($T$4:$Y$4,MATCH(LARGE(AD19:AI19,2),AD19:AI19,0))&amp;"·"&amp;IF(LARGE(AD19:AI19,2)&gt;=200,"高","中")&amp;"）",""))))</f>
        <v/>
      </c>
      <c r="AA19" s="27" t="n"/>
      <c r="AB19" s="32" t="n"/>
      <c r="AC19" s="16" t="n"/>
      <c r="AD19" s="40">
        <f>IF(N(T19)&gt;=3,IF(T19=4,2,1)*100+T19*10+6,0)</f>
        <v>0</v>
      </c>
      <c r="AE19" s="40">
        <f>IF(N(U19)&gt;=3,1*100+U19*10+1,0)</f>
        <v>0</v>
      </c>
      <c r="AF19" s="40">
        <f>IF(N(V19)&gt;=3,IF(V19=4,2,1)*100+V19*10+2,0)</f>
        <v>0</v>
      </c>
      <c r="AG19" s="40">
        <f>IF(N(W19)&gt;=3,1*100+W19*10+3,0)</f>
        <v>0</v>
      </c>
      <c r="AH19" s="40">
        <f>IF(N(X19)&gt;=3,1*100+X19*10+4,0)</f>
        <v>0</v>
      </c>
      <c r="AI19" s="40">
        <f>IF(N(Y19)&gt;=3,IF(AND(N(T19)&gt;=3,OR(N(T19)=4,N(Y19)&lt;=N(T19))),0,IF(Y19=4,2,1)*100+Y19*10+5),0)</f>
        <v>0</v>
      </c>
    </row>
    <row r="20">
      <c r="A20" s="31" t="n"/>
      <c r="B20" s="36" t="str">
        <f>IF(ISNUMBER(A20),"周"&amp;CHOOSE(WEEKDAY(A20,2),"一","二","三","四","五","六","日"),"")</f>
        <v/>
      </c>
      <c r="C20" s="37" t="n"/>
      <c r="D20" s="37" t="n"/>
      <c r="E20" s="37" t="n"/>
      <c r="F20" s="17" t="n"/>
      <c r="G20" s="38" t="str">
        <f>IF(AND(ISNUMBER(F20),ISNUMBER(F19)),IF(F19=0,"",F20/F19-1),"")</f>
        <v/>
      </c>
      <c r="H20" s="17" t="n"/>
      <c r="I20" s="17" t="n"/>
      <c r="J20" s="17" t="n"/>
      <c r="K20" s="17" t="n"/>
      <c r="L20" s="17" t="n"/>
      <c r="M20" s="17" t="n"/>
      <c r="N20" s="39" t="str">
        <f>IF(AND(ISNUMBER(L20),ISNUMBER(M20),N(L20)&gt;0),M20/L20,"")</f>
        <v/>
      </c>
      <c r="O20" s="17" t="n"/>
      <c r="P20" s="17" t="n"/>
      <c r="Q20" s="39" t="str">
        <f>IF(AND(ISNUMBER(O20),ISNUMBER(P20),N(O20)&gt;0),P20/O20,"")</f>
        <v/>
      </c>
      <c r="R20" s="17" t="n"/>
      <c r="S20" s="37" t="n"/>
      <c r="T20" s="40" t="str">
        <f>IF(AND(ISNUMBER(J20),ISNUMBER(K20)),IF(N(ISNUMBER('参数'!$E$31))+N(ISNUMBER('参数'!$G$31))+N(ISNUMBER('参数'!$I$31))+N(ISNUMBER('参数'!$K$31))=0,"",IF(ISNUMBER('参数'!$E$31),J20&lt;='参数'!$E$31,FALSE)+IF(ISNUMBER('参数'!$G$31),K20&gt;='参数'!$G$31,FALSE)+IF(AND(ISNUMBER('参数'!$I$31),ISNUMBER(N20)),N20&gt;='参数'!$I$31,FALSE)+IF(AND(ISNUMBER('参数'!$K$31),ISNUMBER(Q20)),Q20&lt;='参数'!$K$31,FALSE)),"")</f>
        <v/>
      </c>
      <c r="U20" s="40" t="str">
        <f>IF(AND(ISNUMBER(J20),ISNUMBER(K20)),IF(N(ISNUMBER('参数'!$G$32))+N(ISNUMBER('参数'!$I$32))+N(ISNUMBER('参数'!$K$32))=0,"",IF(AND(ISNUMBER(J19),ISNUMBER(J18)),AND(J20&gt;J19,J19&gt;J18),FALSE)+IF(ISNUMBER('参数'!$G$32),J20&lt;'参数'!$G$32,FALSE)+IF(AND(ISNUMBER('参数'!$I$32),ISNUMBER(Q20)),Q20&gt;='参数'!$I$32,FALSE)+IF(AND(ISNUMBER('参数'!$K$32),ISNUMBER(S20)),S20&gt;='参数'!$K$32,FALSE)),"")</f>
        <v/>
      </c>
      <c r="V20" s="40" t="str">
        <f>IF(AND(ISNUMBER(J20),ISNUMBER(K20)),IF(N(ISNUMBER('参数'!$E$33))+N(ISNUMBER('参数'!$G$33))+N(ISNUMBER('参数'!$I$33))+N(ISNUMBER('参数'!$K$33))=0,"",IF(AND(ISNUMBER('参数'!$E$33),ISNUMBER(J19)),AND(J20&gt;='参数'!$E$33,J20&gt;J19),FALSE)+IF(AND(ISNUMBER('参数'!$G$33),ISNUMBER(N20)),N20&lt;='参数'!$G$33,FALSE)+IF(AND(ISNUMBER('参数'!$I$33),ISNUMBER(Q20)),Q20&gt;='参数'!$I$33,FALSE)+IF(AND(ISNUMBER('参数'!$K$33),ISNUMBER(S20)),S20&gt;='参数'!$K$33,FALSE)),"")</f>
        <v/>
      </c>
      <c r="W20" s="40" t="str">
        <f>IF(AND(ISNUMBER(J20),ISNUMBER(K20)),IF(N(ISNUMBER('参数'!$E$34))+N(ISNUMBER('参数'!$G$34))+N(ISNUMBER('参数'!$I$34))+N(ISNUMBER('参数'!$K$34))=0,"",IF(ISNUMBER('参数'!$E$34),J20&gt;='参数'!$E$34,FALSE)+IF(AND(ISNUMBER('参数'!$G$34),ISNUMBER(N20)),N20&lt;='参数'!$G$34,FALSE)+IF(AND(ISNUMBER('参数'!$I$34),ISNUMBER(S20)),S20&gt;='参数'!$I$34,FALSE)+IF(AND(ISNUMBER('参数'!$K$34),ISNUMBER(R20)),R20&gt;='参数'!$K$34,FALSE)),"")</f>
        <v/>
      </c>
      <c r="X20" s="40" t="str">
        <f>IF(AND(ISNUMBER(J20),ISNUMBER(K20)),IF(N(ISNUMBER('参数'!$E$35))+N(ISNUMBER('参数'!$G$35))+N(ISNUMBER('参数'!$I$35))=0,"",IF(AND(ISNUMBER('参数'!$E$35),ISNUMBER(N20),ISNUMBER(N19)),ROUND(N20-N19,6)&gt;='参数'!$E$35,FALSE)+IF(AND(ISNUMBER('参数'!$G$35),ISNUMBER(Q20),ISNUMBER(Q19)),ROUND(Q19-Q20,6)&gt;='参数'!$G$35,FALSE)+IF(AND(ISNUMBER('参数'!$I$35),ISNUMBER(S20),ISNUMBER(S19)),ROUND(S19-S20,6)&gt;='参数'!$I$35,FALSE)+IF(ISNUMBER(J19),J20&lt;J19,FALSE)),"")</f>
        <v/>
      </c>
      <c r="Y20" s="40" t="str">
        <f>IF(AND(ISNUMBER(J20),ISNUMBER(K20)),IF(N(ISNUMBER('参数'!$E$36))+N(ISNUMBER('参数'!$G$36))+N(ISNUMBER('参数'!$I$36))=0,"",IF(AND(ISNUMBER('参数'!$E$36),ISNUMBER(J19)),AND(J20&lt;='参数'!$E$36,J20&lt;J19),FALSE)+IF(ISNUMBER('参数'!$G$36),K20&gt;='参数'!$G$36,FALSE)+IF(AND(ISNUMBER('参数'!$I$36),ISNUMBER(S20)),S20&lt;'参数'!$I$36,FALSE)+IF(AND(ISNUMBER(R20),ISNUMBER(R19)),R20&lt;R19,FALSE)),"")</f>
        <v/>
      </c>
      <c r="Z20" s="41" t="str">
        <f>IF(NOT(AND(ISNUMBER(J20),ISNUMBER(K20))),"",IF(COUNT(T20:Y20)=0,"先填阈值",IF(MAX(AD20:AI20)=0,"不写",INDEX($T$4:$Y$4,MATCH(MAX(AD20:AI20),AD20:AI20,0))&amp;"·"&amp;IF(MAX(AD20:AI20)&gt;=200,"高","中")&amp;IF(LARGE(AD20:AI20,2)&gt;0,"（也像"&amp;INDEX($T$4:$Y$4,MATCH(LARGE(AD20:AI20,2),AD20:AI20,0))&amp;"·"&amp;IF(LARGE(AD20:AI20,2)&gt;=200,"高","中")&amp;"）",""))))</f>
        <v/>
      </c>
      <c r="AA20" s="27" t="n"/>
      <c r="AB20" s="32" t="n"/>
      <c r="AC20" s="16" t="n"/>
      <c r="AD20" s="40">
        <f>IF(N(T20)&gt;=3,IF(T20=4,2,1)*100+T20*10+6,0)</f>
        <v>0</v>
      </c>
      <c r="AE20" s="40">
        <f>IF(N(U20)&gt;=3,1*100+U20*10+1,0)</f>
        <v>0</v>
      </c>
      <c r="AF20" s="40">
        <f>IF(N(V20)&gt;=3,IF(V20=4,2,1)*100+V20*10+2,0)</f>
        <v>0</v>
      </c>
      <c r="AG20" s="40">
        <f>IF(N(W20)&gt;=3,1*100+W20*10+3,0)</f>
        <v>0</v>
      </c>
      <c r="AH20" s="40">
        <f>IF(N(X20)&gt;=3,1*100+X20*10+4,0)</f>
        <v>0</v>
      </c>
      <c r="AI20" s="40">
        <f>IF(N(Y20)&gt;=3,IF(AND(N(T20)&gt;=3,OR(N(T20)=4,N(Y20)&lt;=N(T20))),0,IF(Y20=4,2,1)*100+Y20*10+5),0)</f>
        <v>0</v>
      </c>
    </row>
    <row r="21">
      <c r="A21" s="31" t="n"/>
      <c r="B21" s="36" t="str">
        <f>IF(ISNUMBER(A21),"周"&amp;CHOOSE(WEEKDAY(A21,2),"一","二","三","四","五","六","日"),"")</f>
        <v/>
      </c>
      <c r="C21" s="37" t="n"/>
      <c r="D21" s="37" t="n"/>
      <c r="E21" s="37" t="n"/>
      <c r="F21" s="17" t="n"/>
      <c r="G21" s="38" t="str">
        <f>IF(AND(ISNUMBER(F21),ISNUMBER(F20)),IF(F20=0,"",F21/F20-1),"")</f>
        <v/>
      </c>
      <c r="H21" s="17" t="n"/>
      <c r="I21" s="17" t="n"/>
      <c r="J21" s="17" t="n"/>
      <c r="K21" s="17" t="n"/>
      <c r="L21" s="17" t="n"/>
      <c r="M21" s="17" t="n"/>
      <c r="N21" s="39" t="str">
        <f>IF(AND(ISNUMBER(L21),ISNUMBER(M21),N(L21)&gt;0),M21/L21,"")</f>
        <v/>
      </c>
      <c r="O21" s="17" t="n"/>
      <c r="P21" s="17" t="n"/>
      <c r="Q21" s="39" t="str">
        <f>IF(AND(ISNUMBER(O21),ISNUMBER(P21),N(O21)&gt;0),P21/O21,"")</f>
        <v/>
      </c>
      <c r="R21" s="17" t="n"/>
      <c r="S21" s="37" t="n"/>
      <c r="T21" s="40" t="str">
        <f>IF(AND(ISNUMBER(J21),ISNUMBER(K21)),IF(N(ISNUMBER('参数'!$E$31))+N(ISNUMBER('参数'!$G$31))+N(ISNUMBER('参数'!$I$31))+N(ISNUMBER('参数'!$K$31))=0,"",IF(ISNUMBER('参数'!$E$31),J21&lt;='参数'!$E$31,FALSE)+IF(ISNUMBER('参数'!$G$31),K21&gt;='参数'!$G$31,FALSE)+IF(AND(ISNUMBER('参数'!$I$31),ISNUMBER(N21)),N21&gt;='参数'!$I$31,FALSE)+IF(AND(ISNUMBER('参数'!$K$31),ISNUMBER(Q21)),Q21&lt;='参数'!$K$31,FALSE)),"")</f>
        <v/>
      </c>
      <c r="U21" s="40" t="str">
        <f>IF(AND(ISNUMBER(J21),ISNUMBER(K21)),IF(N(ISNUMBER('参数'!$G$32))+N(ISNUMBER('参数'!$I$32))+N(ISNUMBER('参数'!$K$32))=0,"",IF(AND(ISNUMBER(J20),ISNUMBER(J19)),AND(J21&gt;J20,J20&gt;J19),FALSE)+IF(ISNUMBER('参数'!$G$32),J21&lt;'参数'!$G$32,FALSE)+IF(AND(ISNUMBER('参数'!$I$32),ISNUMBER(Q21)),Q21&gt;='参数'!$I$32,FALSE)+IF(AND(ISNUMBER('参数'!$K$32),ISNUMBER(S21)),S21&gt;='参数'!$K$32,FALSE)),"")</f>
        <v/>
      </c>
      <c r="V21" s="40" t="str">
        <f>IF(AND(ISNUMBER(J21),ISNUMBER(K21)),IF(N(ISNUMBER('参数'!$E$33))+N(ISNUMBER('参数'!$G$33))+N(ISNUMBER('参数'!$I$33))+N(ISNUMBER('参数'!$K$33))=0,"",IF(AND(ISNUMBER('参数'!$E$33),ISNUMBER(J20)),AND(J21&gt;='参数'!$E$33,J21&gt;J20),FALSE)+IF(AND(ISNUMBER('参数'!$G$33),ISNUMBER(N21)),N21&lt;='参数'!$G$33,FALSE)+IF(AND(ISNUMBER('参数'!$I$33),ISNUMBER(Q21)),Q21&gt;='参数'!$I$33,FALSE)+IF(AND(ISNUMBER('参数'!$K$33),ISNUMBER(S21)),S21&gt;='参数'!$K$33,FALSE)),"")</f>
        <v/>
      </c>
      <c r="W21" s="40" t="str">
        <f>IF(AND(ISNUMBER(J21),ISNUMBER(K21)),IF(N(ISNUMBER('参数'!$E$34))+N(ISNUMBER('参数'!$G$34))+N(ISNUMBER('参数'!$I$34))+N(ISNUMBER('参数'!$K$34))=0,"",IF(ISNUMBER('参数'!$E$34),J21&gt;='参数'!$E$34,FALSE)+IF(AND(ISNUMBER('参数'!$G$34),ISNUMBER(N21)),N21&lt;='参数'!$G$34,FALSE)+IF(AND(ISNUMBER('参数'!$I$34),ISNUMBER(S21)),S21&gt;='参数'!$I$34,FALSE)+IF(AND(ISNUMBER('参数'!$K$34),ISNUMBER(R21)),R21&gt;='参数'!$K$34,FALSE)),"")</f>
        <v/>
      </c>
      <c r="X21" s="40" t="str">
        <f>IF(AND(ISNUMBER(J21),ISNUMBER(K21)),IF(N(ISNUMBER('参数'!$E$35))+N(ISNUMBER('参数'!$G$35))+N(ISNUMBER('参数'!$I$35))=0,"",IF(AND(ISNUMBER('参数'!$E$35),ISNUMBER(N21),ISNUMBER(N20)),ROUND(N21-N20,6)&gt;='参数'!$E$35,FALSE)+IF(AND(ISNUMBER('参数'!$G$35),ISNUMBER(Q21),ISNUMBER(Q20)),ROUND(Q20-Q21,6)&gt;='参数'!$G$35,FALSE)+IF(AND(ISNUMBER('参数'!$I$35),ISNUMBER(S21),ISNUMBER(S20)),ROUND(S20-S21,6)&gt;='参数'!$I$35,FALSE)+IF(ISNUMBER(J20),J21&lt;J20,FALSE)),"")</f>
        <v/>
      </c>
      <c r="Y21" s="40" t="str">
        <f>IF(AND(ISNUMBER(J21),ISNUMBER(K21)),IF(N(ISNUMBER('参数'!$E$36))+N(ISNUMBER('参数'!$G$36))+N(ISNUMBER('参数'!$I$36))=0,"",IF(AND(ISNUMBER('参数'!$E$36),ISNUMBER(J20)),AND(J21&lt;='参数'!$E$36,J21&lt;J20),FALSE)+IF(ISNUMBER('参数'!$G$36),K21&gt;='参数'!$G$36,FALSE)+IF(AND(ISNUMBER('参数'!$I$36),ISNUMBER(S21)),S21&lt;'参数'!$I$36,FALSE)+IF(AND(ISNUMBER(R21),ISNUMBER(R20)),R21&lt;R20,FALSE)),"")</f>
        <v/>
      </c>
      <c r="Z21" s="41" t="str">
        <f>IF(NOT(AND(ISNUMBER(J21),ISNUMBER(K21))),"",IF(COUNT(T21:Y21)=0,"先填阈值",IF(MAX(AD21:AI21)=0,"不写",INDEX($T$4:$Y$4,MATCH(MAX(AD21:AI21),AD21:AI21,0))&amp;"·"&amp;IF(MAX(AD21:AI21)&gt;=200,"高","中")&amp;IF(LARGE(AD21:AI21,2)&gt;0,"（也像"&amp;INDEX($T$4:$Y$4,MATCH(LARGE(AD21:AI21,2),AD21:AI21,0))&amp;"·"&amp;IF(LARGE(AD21:AI21,2)&gt;=200,"高","中")&amp;"）",""))))</f>
        <v/>
      </c>
      <c r="AA21" s="27" t="n"/>
      <c r="AB21" s="32" t="n"/>
      <c r="AC21" s="16" t="n"/>
      <c r="AD21" s="40">
        <f>IF(N(T21)&gt;=3,IF(T21=4,2,1)*100+T21*10+6,0)</f>
        <v>0</v>
      </c>
      <c r="AE21" s="40">
        <f>IF(N(U21)&gt;=3,1*100+U21*10+1,0)</f>
        <v>0</v>
      </c>
      <c r="AF21" s="40">
        <f>IF(N(V21)&gt;=3,IF(V21=4,2,1)*100+V21*10+2,0)</f>
        <v>0</v>
      </c>
      <c r="AG21" s="40">
        <f>IF(N(W21)&gt;=3,1*100+W21*10+3,0)</f>
        <v>0</v>
      </c>
      <c r="AH21" s="40">
        <f>IF(N(X21)&gt;=3,1*100+X21*10+4,0)</f>
        <v>0</v>
      </c>
      <c r="AI21" s="40">
        <f>IF(N(Y21)&gt;=3,IF(AND(N(T21)&gt;=3,OR(N(T21)=4,N(Y21)&lt;=N(T21))),0,IF(Y21=4,2,1)*100+Y21*10+5),0)</f>
        <v>0</v>
      </c>
    </row>
    <row r="22">
      <c r="A22" s="31" t="n"/>
      <c r="B22" s="36" t="str">
        <f>IF(ISNUMBER(A22),"周"&amp;CHOOSE(WEEKDAY(A22,2),"一","二","三","四","五","六","日"),"")</f>
        <v/>
      </c>
      <c r="C22" s="37" t="n"/>
      <c r="D22" s="37" t="n"/>
      <c r="E22" s="37" t="n"/>
      <c r="F22" s="17" t="n"/>
      <c r="G22" s="38" t="str">
        <f>IF(AND(ISNUMBER(F22),ISNUMBER(F21)),IF(F21=0,"",F22/F21-1),"")</f>
        <v/>
      </c>
      <c r="H22" s="17" t="n"/>
      <c r="I22" s="17" t="n"/>
      <c r="J22" s="17" t="n"/>
      <c r="K22" s="17" t="n"/>
      <c r="L22" s="17" t="n"/>
      <c r="M22" s="17" t="n"/>
      <c r="N22" s="39" t="str">
        <f>IF(AND(ISNUMBER(L22),ISNUMBER(M22),N(L22)&gt;0),M22/L22,"")</f>
        <v/>
      </c>
      <c r="O22" s="17" t="n"/>
      <c r="P22" s="17" t="n"/>
      <c r="Q22" s="39" t="str">
        <f>IF(AND(ISNUMBER(O22),ISNUMBER(P22),N(O22)&gt;0),P22/O22,"")</f>
        <v/>
      </c>
      <c r="R22" s="17" t="n"/>
      <c r="S22" s="37" t="n"/>
      <c r="T22" s="40" t="str">
        <f>IF(AND(ISNUMBER(J22),ISNUMBER(K22)),IF(N(ISNUMBER('参数'!$E$31))+N(ISNUMBER('参数'!$G$31))+N(ISNUMBER('参数'!$I$31))+N(ISNUMBER('参数'!$K$31))=0,"",IF(ISNUMBER('参数'!$E$31),J22&lt;='参数'!$E$31,FALSE)+IF(ISNUMBER('参数'!$G$31),K22&gt;='参数'!$G$31,FALSE)+IF(AND(ISNUMBER('参数'!$I$31),ISNUMBER(N22)),N22&gt;='参数'!$I$31,FALSE)+IF(AND(ISNUMBER('参数'!$K$31),ISNUMBER(Q22)),Q22&lt;='参数'!$K$31,FALSE)),"")</f>
        <v/>
      </c>
      <c r="U22" s="40" t="str">
        <f>IF(AND(ISNUMBER(J22),ISNUMBER(K22)),IF(N(ISNUMBER('参数'!$G$32))+N(ISNUMBER('参数'!$I$32))+N(ISNUMBER('参数'!$K$32))=0,"",IF(AND(ISNUMBER(J21),ISNUMBER(J20)),AND(J22&gt;J21,J21&gt;J20),FALSE)+IF(ISNUMBER('参数'!$G$32),J22&lt;'参数'!$G$32,FALSE)+IF(AND(ISNUMBER('参数'!$I$32),ISNUMBER(Q22)),Q22&gt;='参数'!$I$32,FALSE)+IF(AND(ISNUMBER('参数'!$K$32),ISNUMBER(S22)),S22&gt;='参数'!$K$32,FALSE)),"")</f>
        <v/>
      </c>
      <c r="V22" s="40" t="str">
        <f>IF(AND(ISNUMBER(J22),ISNUMBER(K22)),IF(N(ISNUMBER('参数'!$E$33))+N(ISNUMBER('参数'!$G$33))+N(ISNUMBER('参数'!$I$33))+N(ISNUMBER('参数'!$K$33))=0,"",IF(AND(ISNUMBER('参数'!$E$33),ISNUMBER(J21)),AND(J22&gt;='参数'!$E$33,J22&gt;J21),FALSE)+IF(AND(ISNUMBER('参数'!$G$33),ISNUMBER(N22)),N22&lt;='参数'!$G$33,FALSE)+IF(AND(ISNUMBER('参数'!$I$33),ISNUMBER(Q22)),Q22&gt;='参数'!$I$33,FALSE)+IF(AND(ISNUMBER('参数'!$K$33),ISNUMBER(S22)),S22&gt;='参数'!$K$33,FALSE)),"")</f>
        <v/>
      </c>
      <c r="W22" s="40" t="str">
        <f>IF(AND(ISNUMBER(J22),ISNUMBER(K22)),IF(N(ISNUMBER('参数'!$E$34))+N(ISNUMBER('参数'!$G$34))+N(ISNUMBER('参数'!$I$34))+N(ISNUMBER('参数'!$K$34))=0,"",IF(ISNUMBER('参数'!$E$34),J22&gt;='参数'!$E$34,FALSE)+IF(AND(ISNUMBER('参数'!$G$34),ISNUMBER(N22)),N22&lt;='参数'!$G$34,FALSE)+IF(AND(ISNUMBER('参数'!$I$34),ISNUMBER(S22)),S22&gt;='参数'!$I$34,FALSE)+IF(AND(ISNUMBER('参数'!$K$34),ISNUMBER(R22)),R22&gt;='参数'!$K$34,FALSE)),"")</f>
        <v/>
      </c>
      <c r="X22" s="40" t="str">
        <f>IF(AND(ISNUMBER(J22),ISNUMBER(K22)),IF(N(ISNUMBER('参数'!$E$35))+N(ISNUMBER('参数'!$G$35))+N(ISNUMBER('参数'!$I$35))=0,"",IF(AND(ISNUMBER('参数'!$E$35),ISNUMBER(N22),ISNUMBER(N21)),ROUND(N22-N21,6)&gt;='参数'!$E$35,FALSE)+IF(AND(ISNUMBER('参数'!$G$35),ISNUMBER(Q22),ISNUMBER(Q21)),ROUND(Q21-Q22,6)&gt;='参数'!$G$35,FALSE)+IF(AND(ISNUMBER('参数'!$I$35),ISNUMBER(S22),ISNUMBER(S21)),ROUND(S21-S22,6)&gt;='参数'!$I$35,FALSE)+IF(ISNUMBER(J21),J22&lt;J21,FALSE)),"")</f>
        <v/>
      </c>
      <c r="Y22" s="40" t="str">
        <f>IF(AND(ISNUMBER(J22),ISNUMBER(K22)),IF(N(ISNUMBER('参数'!$E$36))+N(ISNUMBER('参数'!$G$36))+N(ISNUMBER('参数'!$I$36))=0,"",IF(AND(ISNUMBER('参数'!$E$36),ISNUMBER(J21)),AND(J22&lt;='参数'!$E$36,J22&lt;J21),FALSE)+IF(ISNUMBER('参数'!$G$36),K22&gt;='参数'!$G$36,FALSE)+IF(AND(ISNUMBER('参数'!$I$36),ISNUMBER(S22)),S22&lt;'参数'!$I$36,FALSE)+IF(AND(ISNUMBER(R22),ISNUMBER(R21)),R22&lt;R21,FALSE)),"")</f>
        <v/>
      </c>
      <c r="Z22" s="41" t="str">
        <f>IF(NOT(AND(ISNUMBER(J22),ISNUMBER(K22))),"",IF(COUNT(T22:Y22)=0,"先填阈值",IF(MAX(AD22:AI22)=0,"不写",INDEX($T$4:$Y$4,MATCH(MAX(AD22:AI22),AD22:AI22,0))&amp;"·"&amp;IF(MAX(AD22:AI22)&gt;=200,"高","中")&amp;IF(LARGE(AD22:AI22,2)&gt;0,"（也像"&amp;INDEX($T$4:$Y$4,MATCH(LARGE(AD22:AI22,2),AD22:AI22,0))&amp;"·"&amp;IF(LARGE(AD22:AI22,2)&gt;=200,"高","中")&amp;"）",""))))</f>
        <v/>
      </c>
      <c r="AA22" s="27" t="n"/>
      <c r="AB22" s="32" t="n"/>
      <c r="AC22" s="16" t="n"/>
      <c r="AD22" s="40">
        <f>IF(N(T22)&gt;=3,IF(T22=4,2,1)*100+T22*10+6,0)</f>
        <v>0</v>
      </c>
      <c r="AE22" s="40">
        <f>IF(N(U22)&gt;=3,1*100+U22*10+1,0)</f>
        <v>0</v>
      </c>
      <c r="AF22" s="40">
        <f>IF(N(V22)&gt;=3,IF(V22=4,2,1)*100+V22*10+2,0)</f>
        <v>0</v>
      </c>
      <c r="AG22" s="40">
        <f>IF(N(W22)&gt;=3,1*100+W22*10+3,0)</f>
        <v>0</v>
      </c>
      <c r="AH22" s="40">
        <f>IF(N(X22)&gt;=3,1*100+X22*10+4,0)</f>
        <v>0</v>
      </c>
      <c r="AI22" s="40">
        <f>IF(N(Y22)&gt;=3,IF(AND(N(T22)&gt;=3,OR(N(T22)=4,N(Y22)&lt;=N(T22))),0,IF(Y22=4,2,1)*100+Y22*10+5),0)</f>
        <v>0</v>
      </c>
    </row>
    <row r="23">
      <c r="A23" s="31" t="n"/>
      <c r="B23" s="36" t="str">
        <f>IF(ISNUMBER(A23),"周"&amp;CHOOSE(WEEKDAY(A23,2),"一","二","三","四","五","六","日"),"")</f>
        <v/>
      </c>
      <c r="C23" s="37" t="n"/>
      <c r="D23" s="37" t="n"/>
      <c r="E23" s="37" t="n"/>
      <c r="F23" s="17" t="n"/>
      <c r="G23" s="38" t="str">
        <f>IF(AND(ISNUMBER(F23),ISNUMBER(F22)),IF(F22=0,"",F23/F22-1),"")</f>
        <v/>
      </c>
      <c r="H23" s="17" t="n"/>
      <c r="I23" s="17" t="n"/>
      <c r="J23" s="17" t="n"/>
      <c r="K23" s="17" t="n"/>
      <c r="L23" s="17" t="n"/>
      <c r="M23" s="17" t="n"/>
      <c r="N23" s="39" t="str">
        <f>IF(AND(ISNUMBER(L23),ISNUMBER(M23),N(L23)&gt;0),M23/L23,"")</f>
        <v/>
      </c>
      <c r="O23" s="17" t="n"/>
      <c r="P23" s="17" t="n"/>
      <c r="Q23" s="39" t="str">
        <f>IF(AND(ISNUMBER(O23),ISNUMBER(P23),N(O23)&gt;0),P23/O23,"")</f>
        <v/>
      </c>
      <c r="R23" s="17" t="n"/>
      <c r="S23" s="37" t="n"/>
      <c r="T23" s="40" t="str">
        <f>IF(AND(ISNUMBER(J23),ISNUMBER(K23)),IF(N(ISNUMBER('参数'!$E$31))+N(ISNUMBER('参数'!$G$31))+N(ISNUMBER('参数'!$I$31))+N(ISNUMBER('参数'!$K$31))=0,"",IF(ISNUMBER('参数'!$E$31),J23&lt;='参数'!$E$31,FALSE)+IF(ISNUMBER('参数'!$G$31),K23&gt;='参数'!$G$31,FALSE)+IF(AND(ISNUMBER('参数'!$I$31),ISNUMBER(N23)),N23&gt;='参数'!$I$31,FALSE)+IF(AND(ISNUMBER('参数'!$K$31),ISNUMBER(Q23)),Q23&lt;='参数'!$K$31,FALSE)),"")</f>
        <v/>
      </c>
      <c r="U23" s="40" t="str">
        <f>IF(AND(ISNUMBER(J23),ISNUMBER(K23)),IF(N(ISNUMBER('参数'!$G$32))+N(ISNUMBER('参数'!$I$32))+N(ISNUMBER('参数'!$K$32))=0,"",IF(AND(ISNUMBER(J22),ISNUMBER(J21)),AND(J23&gt;J22,J22&gt;J21),FALSE)+IF(ISNUMBER('参数'!$G$32),J23&lt;'参数'!$G$32,FALSE)+IF(AND(ISNUMBER('参数'!$I$32),ISNUMBER(Q23)),Q23&gt;='参数'!$I$32,FALSE)+IF(AND(ISNUMBER('参数'!$K$32),ISNUMBER(S23)),S23&gt;='参数'!$K$32,FALSE)),"")</f>
        <v/>
      </c>
      <c r="V23" s="40" t="str">
        <f>IF(AND(ISNUMBER(J23),ISNUMBER(K23)),IF(N(ISNUMBER('参数'!$E$33))+N(ISNUMBER('参数'!$G$33))+N(ISNUMBER('参数'!$I$33))+N(ISNUMBER('参数'!$K$33))=0,"",IF(AND(ISNUMBER('参数'!$E$33),ISNUMBER(J22)),AND(J23&gt;='参数'!$E$33,J23&gt;J22),FALSE)+IF(AND(ISNUMBER('参数'!$G$33),ISNUMBER(N23)),N23&lt;='参数'!$G$33,FALSE)+IF(AND(ISNUMBER('参数'!$I$33),ISNUMBER(Q23)),Q23&gt;='参数'!$I$33,FALSE)+IF(AND(ISNUMBER('参数'!$K$33),ISNUMBER(S23)),S23&gt;='参数'!$K$33,FALSE)),"")</f>
        <v/>
      </c>
      <c r="W23" s="40" t="str">
        <f>IF(AND(ISNUMBER(J23),ISNUMBER(K23)),IF(N(ISNUMBER('参数'!$E$34))+N(ISNUMBER('参数'!$G$34))+N(ISNUMBER('参数'!$I$34))+N(ISNUMBER('参数'!$K$34))=0,"",IF(ISNUMBER('参数'!$E$34),J23&gt;='参数'!$E$34,FALSE)+IF(AND(ISNUMBER('参数'!$G$34),ISNUMBER(N23)),N23&lt;='参数'!$G$34,FALSE)+IF(AND(ISNUMBER('参数'!$I$34),ISNUMBER(S23)),S23&gt;='参数'!$I$34,FALSE)+IF(AND(ISNUMBER('参数'!$K$34),ISNUMBER(R23)),R23&gt;='参数'!$K$34,FALSE)),"")</f>
        <v/>
      </c>
      <c r="X23" s="40" t="str">
        <f>IF(AND(ISNUMBER(J23),ISNUMBER(K23)),IF(N(ISNUMBER('参数'!$E$35))+N(ISNUMBER('参数'!$G$35))+N(ISNUMBER('参数'!$I$35))=0,"",IF(AND(ISNUMBER('参数'!$E$35),ISNUMBER(N23),ISNUMBER(N22)),ROUND(N23-N22,6)&gt;='参数'!$E$35,FALSE)+IF(AND(ISNUMBER('参数'!$G$35),ISNUMBER(Q23),ISNUMBER(Q22)),ROUND(Q22-Q23,6)&gt;='参数'!$G$35,FALSE)+IF(AND(ISNUMBER('参数'!$I$35),ISNUMBER(S23),ISNUMBER(S22)),ROUND(S22-S23,6)&gt;='参数'!$I$35,FALSE)+IF(ISNUMBER(J22),J23&lt;J22,FALSE)),"")</f>
        <v/>
      </c>
      <c r="Y23" s="40" t="str">
        <f>IF(AND(ISNUMBER(J23),ISNUMBER(K23)),IF(N(ISNUMBER('参数'!$E$36))+N(ISNUMBER('参数'!$G$36))+N(ISNUMBER('参数'!$I$36))=0,"",IF(AND(ISNUMBER('参数'!$E$36),ISNUMBER(J22)),AND(J23&lt;='参数'!$E$36,J23&lt;J22),FALSE)+IF(ISNUMBER('参数'!$G$36),K23&gt;='参数'!$G$36,FALSE)+IF(AND(ISNUMBER('参数'!$I$36),ISNUMBER(S23)),S23&lt;'参数'!$I$36,FALSE)+IF(AND(ISNUMBER(R23),ISNUMBER(R22)),R23&lt;R22,FALSE)),"")</f>
        <v/>
      </c>
      <c r="Z23" s="41" t="str">
        <f>IF(NOT(AND(ISNUMBER(J23),ISNUMBER(K23))),"",IF(COUNT(T23:Y23)=0,"先填阈值",IF(MAX(AD23:AI23)=0,"不写",INDEX($T$4:$Y$4,MATCH(MAX(AD23:AI23),AD23:AI23,0))&amp;"·"&amp;IF(MAX(AD23:AI23)&gt;=200,"高","中")&amp;IF(LARGE(AD23:AI23,2)&gt;0,"（也像"&amp;INDEX($T$4:$Y$4,MATCH(LARGE(AD23:AI23,2),AD23:AI23,0))&amp;"·"&amp;IF(LARGE(AD23:AI23,2)&gt;=200,"高","中")&amp;"）",""))))</f>
        <v/>
      </c>
      <c r="AA23" s="27" t="n"/>
      <c r="AB23" s="32" t="n"/>
      <c r="AC23" s="16" t="n"/>
      <c r="AD23" s="40">
        <f>IF(N(T23)&gt;=3,IF(T23=4,2,1)*100+T23*10+6,0)</f>
        <v>0</v>
      </c>
      <c r="AE23" s="40">
        <f>IF(N(U23)&gt;=3,1*100+U23*10+1,0)</f>
        <v>0</v>
      </c>
      <c r="AF23" s="40">
        <f>IF(N(V23)&gt;=3,IF(V23=4,2,1)*100+V23*10+2,0)</f>
        <v>0</v>
      </c>
      <c r="AG23" s="40">
        <f>IF(N(W23)&gt;=3,1*100+W23*10+3,0)</f>
        <v>0</v>
      </c>
      <c r="AH23" s="40">
        <f>IF(N(X23)&gt;=3,1*100+X23*10+4,0)</f>
        <v>0</v>
      </c>
      <c r="AI23" s="40">
        <f>IF(N(Y23)&gt;=3,IF(AND(N(T23)&gt;=3,OR(N(T23)=4,N(Y23)&lt;=N(T23))),0,IF(Y23=4,2,1)*100+Y23*10+5),0)</f>
        <v>0</v>
      </c>
    </row>
    <row r="24">
      <c r="A24" s="31" t="n"/>
      <c r="B24" s="36" t="str">
        <f>IF(ISNUMBER(A24),"周"&amp;CHOOSE(WEEKDAY(A24,2),"一","二","三","四","五","六","日"),"")</f>
        <v/>
      </c>
      <c r="C24" s="37" t="n"/>
      <c r="D24" s="37" t="n"/>
      <c r="E24" s="37" t="n"/>
      <c r="F24" s="17" t="n"/>
      <c r="G24" s="38" t="str">
        <f>IF(AND(ISNUMBER(F24),ISNUMBER(F23)),IF(F23=0,"",F24/F23-1),"")</f>
        <v/>
      </c>
      <c r="H24" s="17" t="n"/>
      <c r="I24" s="17" t="n"/>
      <c r="J24" s="17" t="n"/>
      <c r="K24" s="17" t="n"/>
      <c r="L24" s="17" t="n"/>
      <c r="M24" s="17" t="n"/>
      <c r="N24" s="39" t="str">
        <f>IF(AND(ISNUMBER(L24),ISNUMBER(M24),N(L24)&gt;0),M24/L24,"")</f>
        <v/>
      </c>
      <c r="O24" s="17" t="n"/>
      <c r="P24" s="17" t="n"/>
      <c r="Q24" s="39" t="str">
        <f>IF(AND(ISNUMBER(O24),ISNUMBER(P24),N(O24)&gt;0),P24/O24,"")</f>
        <v/>
      </c>
      <c r="R24" s="17" t="n"/>
      <c r="S24" s="37" t="n"/>
      <c r="T24" s="40" t="str">
        <f>IF(AND(ISNUMBER(J24),ISNUMBER(K24)),IF(N(ISNUMBER('参数'!$E$31))+N(ISNUMBER('参数'!$G$31))+N(ISNUMBER('参数'!$I$31))+N(ISNUMBER('参数'!$K$31))=0,"",IF(ISNUMBER('参数'!$E$31),J24&lt;='参数'!$E$31,FALSE)+IF(ISNUMBER('参数'!$G$31),K24&gt;='参数'!$G$31,FALSE)+IF(AND(ISNUMBER('参数'!$I$31),ISNUMBER(N24)),N24&gt;='参数'!$I$31,FALSE)+IF(AND(ISNUMBER('参数'!$K$31),ISNUMBER(Q24)),Q24&lt;='参数'!$K$31,FALSE)),"")</f>
        <v/>
      </c>
      <c r="U24" s="40" t="str">
        <f>IF(AND(ISNUMBER(J24),ISNUMBER(K24)),IF(N(ISNUMBER('参数'!$G$32))+N(ISNUMBER('参数'!$I$32))+N(ISNUMBER('参数'!$K$32))=0,"",IF(AND(ISNUMBER(J23),ISNUMBER(J22)),AND(J24&gt;J23,J23&gt;J22),FALSE)+IF(ISNUMBER('参数'!$G$32),J24&lt;'参数'!$G$32,FALSE)+IF(AND(ISNUMBER('参数'!$I$32),ISNUMBER(Q24)),Q24&gt;='参数'!$I$32,FALSE)+IF(AND(ISNUMBER('参数'!$K$32),ISNUMBER(S24)),S24&gt;='参数'!$K$32,FALSE)),"")</f>
        <v/>
      </c>
      <c r="V24" s="40" t="str">
        <f>IF(AND(ISNUMBER(J24),ISNUMBER(K24)),IF(N(ISNUMBER('参数'!$E$33))+N(ISNUMBER('参数'!$G$33))+N(ISNUMBER('参数'!$I$33))+N(ISNUMBER('参数'!$K$33))=0,"",IF(AND(ISNUMBER('参数'!$E$33),ISNUMBER(J23)),AND(J24&gt;='参数'!$E$33,J24&gt;J23),FALSE)+IF(AND(ISNUMBER('参数'!$G$33),ISNUMBER(N24)),N24&lt;='参数'!$G$33,FALSE)+IF(AND(ISNUMBER('参数'!$I$33),ISNUMBER(Q24)),Q24&gt;='参数'!$I$33,FALSE)+IF(AND(ISNUMBER('参数'!$K$33),ISNUMBER(S24)),S24&gt;='参数'!$K$33,FALSE)),"")</f>
        <v/>
      </c>
      <c r="W24" s="40" t="str">
        <f>IF(AND(ISNUMBER(J24),ISNUMBER(K24)),IF(N(ISNUMBER('参数'!$E$34))+N(ISNUMBER('参数'!$G$34))+N(ISNUMBER('参数'!$I$34))+N(ISNUMBER('参数'!$K$34))=0,"",IF(ISNUMBER('参数'!$E$34),J24&gt;='参数'!$E$34,FALSE)+IF(AND(ISNUMBER('参数'!$G$34),ISNUMBER(N24)),N24&lt;='参数'!$G$34,FALSE)+IF(AND(ISNUMBER('参数'!$I$34),ISNUMBER(S24)),S24&gt;='参数'!$I$34,FALSE)+IF(AND(ISNUMBER('参数'!$K$34),ISNUMBER(R24)),R24&gt;='参数'!$K$34,FALSE)),"")</f>
        <v/>
      </c>
      <c r="X24" s="40" t="str">
        <f>IF(AND(ISNUMBER(J24),ISNUMBER(K24)),IF(N(ISNUMBER('参数'!$E$35))+N(ISNUMBER('参数'!$G$35))+N(ISNUMBER('参数'!$I$35))=0,"",IF(AND(ISNUMBER('参数'!$E$35),ISNUMBER(N24),ISNUMBER(N23)),ROUND(N24-N23,6)&gt;='参数'!$E$35,FALSE)+IF(AND(ISNUMBER('参数'!$G$35),ISNUMBER(Q24),ISNUMBER(Q23)),ROUND(Q23-Q24,6)&gt;='参数'!$G$35,FALSE)+IF(AND(ISNUMBER('参数'!$I$35),ISNUMBER(S24),ISNUMBER(S23)),ROUND(S23-S24,6)&gt;='参数'!$I$35,FALSE)+IF(ISNUMBER(J23),J24&lt;J23,FALSE)),"")</f>
        <v/>
      </c>
      <c r="Y24" s="40" t="str">
        <f>IF(AND(ISNUMBER(J24),ISNUMBER(K24)),IF(N(ISNUMBER('参数'!$E$36))+N(ISNUMBER('参数'!$G$36))+N(ISNUMBER('参数'!$I$36))=0,"",IF(AND(ISNUMBER('参数'!$E$36),ISNUMBER(J23)),AND(J24&lt;='参数'!$E$36,J24&lt;J23),FALSE)+IF(ISNUMBER('参数'!$G$36),K24&gt;='参数'!$G$36,FALSE)+IF(AND(ISNUMBER('参数'!$I$36),ISNUMBER(S24)),S24&lt;'参数'!$I$36,FALSE)+IF(AND(ISNUMBER(R24),ISNUMBER(R23)),R24&lt;R23,FALSE)),"")</f>
        <v/>
      </c>
      <c r="Z24" s="41" t="str">
        <f>IF(NOT(AND(ISNUMBER(J24),ISNUMBER(K24))),"",IF(COUNT(T24:Y24)=0,"先填阈值",IF(MAX(AD24:AI24)=0,"不写",INDEX($T$4:$Y$4,MATCH(MAX(AD24:AI24),AD24:AI24,0))&amp;"·"&amp;IF(MAX(AD24:AI24)&gt;=200,"高","中")&amp;IF(LARGE(AD24:AI24,2)&gt;0,"（也像"&amp;INDEX($T$4:$Y$4,MATCH(LARGE(AD24:AI24,2),AD24:AI24,0))&amp;"·"&amp;IF(LARGE(AD24:AI24,2)&gt;=200,"高","中")&amp;"）",""))))</f>
        <v/>
      </c>
      <c r="AA24" s="27" t="n"/>
      <c r="AB24" s="32" t="n"/>
      <c r="AC24" s="16" t="n"/>
      <c r="AD24" s="40">
        <f>IF(N(T24)&gt;=3,IF(T24=4,2,1)*100+T24*10+6,0)</f>
        <v>0</v>
      </c>
      <c r="AE24" s="40">
        <f>IF(N(U24)&gt;=3,1*100+U24*10+1,0)</f>
        <v>0</v>
      </c>
      <c r="AF24" s="40">
        <f>IF(N(V24)&gt;=3,IF(V24=4,2,1)*100+V24*10+2,0)</f>
        <v>0</v>
      </c>
      <c r="AG24" s="40">
        <f>IF(N(W24)&gt;=3,1*100+W24*10+3,0)</f>
        <v>0</v>
      </c>
      <c r="AH24" s="40">
        <f>IF(N(X24)&gt;=3,1*100+X24*10+4,0)</f>
        <v>0</v>
      </c>
      <c r="AI24" s="40">
        <f>IF(N(Y24)&gt;=3,IF(AND(N(T24)&gt;=3,OR(N(T24)=4,N(Y24)&lt;=N(T24))),0,IF(Y24=4,2,1)*100+Y24*10+5),0)</f>
        <v>0</v>
      </c>
    </row>
    <row r="25">
      <c r="A25" s="31" t="n"/>
      <c r="B25" s="36" t="str">
        <f>IF(ISNUMBER(A25),"周"&amp;CHOOSE(WEEKDAY(A25,2),"一","二","三","四","五","六","日"),"")</f>
        <v/>
      </c>
      <c r="C25" s="37" t="n"/>
      <c r="D25" s="37" t="n"/>
      <c r="E25" s="37" t="n"/>
      <c r="F25" s="17" t="n"/>
      <c r="G25" s="38" t="str">
        <f>IF(AND(ISNUMBER(F25),ISNUMBER(F24)),IF(F24=0,"",F25/F24-1),"")</f>
        <v/>
      </c>
      <c r="H25" s="17" t="n"/>
      <c r="I25" s="17" t="n"/>
      <c r="J25" s="17" t="n"/>
      <c r="K25" s="17" t="n"/>
      <c r="L25" s="17" t="n"/>
      <c r="M25" s="17" t="n"/>
      <c r="N25" s="39" t="str">
        <f>IF(AND(ISNUMBER(L25),ISNUMBER(M25),N(L25)&gt;0),M25/L25,"")</f>
        <v/>
      </c>
      <c r="O25" s="17" t="n"/>
      <c r="P25" s="17" t="n"/>
      <c r="Q25" s="39" t="str">
        <f>IF(AND(ISNUMBER(O25),ISNUMBER(P25),N(O25)&gt;0),P25/O25,"")</f>
        <v/>
      </c>
      <c r="R25" s="17" t="n"/>
      <c r="S25" s="37" t="n"/>
      <c r="T25" s="40" t="str">
        <f>IF(AND(ISNUMBER(J25),ISNUMBER(K25)),IF(N(ISNUMBER('参数'!$E$31))+N(ISNUMBER('参数'!$G$31))+N(ISNUMBER('参数'!$I$31))+N(ISNUMBER('参数'!$K$31))=0,"",IF(ISNUMBER('参数'!$E$31),J25&lt;='参数'!$E$31,FALSE)+IF(ISNUMBER('参数'!$G$31),K25&gt;='参数'!$G$31,FALSE)+IF(AND(ISNUMBER('参数'!$I$31),ISNUMBER(N25)),N25&gt;='参数'!$I$31,FALSE)+IF(AND(ISNUMBER('参数'!$K$31),ISNUMBER(Q25)),Q25&lt;='参数'!$K$31,FALSE)),"")</f>
        <v/>
      </c>
      <c r="U25" s="40" t="str">
        <f>IF(AND(ISNUMBER(J25),ISNUMBER(K25)),IF(N(ISNUMBER('参数'!$G$32))+N(ISNUMBER('参数'!$I$32))+N(ISNUMBER('参数'!$K$32))=0,"",IF(AND(ISNUMBER(J24),ISNUMBER(J23)),AND(J25&gt;J24,J24&gt;J23),FALSE)+IF(ISNUMBER('参数'!$G$32),J25&lt;'参数'!$G$32,FALSE)+IF(AND(ISNUMBER('参数'!$I$32),ISNUMBER(Q25)),Q25&gt;='参数'!$I$32,FALSE)+IF(AND(ISNUMBER('参数'!$K$32),ISNUMBER(S25)),S25&gt;='参数'!$K$32,FALSE)),"")</f>
        <v/>
      </c>
      <c r="V25" s="40" t="str">
        <f>IF(AND(ISNUMBER(J25),ISNUMBER(K25)),IF(N(ISNUMBER('参数'!$E$33))+N(ISNUMBER('参数'!$G$33))+N(ISNUMBER('参数'!$I$33))+N(ISNUMBER('参数'!$K$33))=0,"",IF(AND(ISNUMBER('参数'!$E$33),ISNUMBER(J24)),AND(J25&gt;='参数'!$E$33,J25&gt;J24),FALSE)+IF(AND(ISNUMBER('参数'!$G$33),ISNUMBER(N25)),N25&lt;='参数'!$G$33,FALSE)+IF(AND(ISNUMBER('参数'!$I$33),ISNUMBER(Q25)),Q25&gt;='参数'!$I$33,FALSE)+IF(AND(ISNUMBER('参数'!$K$33),ISNUMBER(S25)),S25&gt;='参数'!$K$33,FALSE)),"")</f>
        <v/>
      </c>
      <c r="W25" s="40" t="str">
        <f>IF(AND(ISNUMBER(J25),ISNUMBER(K25)),IF(N(ISNUMBER('参数'!$E$34))+N(ISNUMBER('参数'!$G$34))+N(ISNUMBER('参数'!$I$34))+N(ISNUMBER('参数'!$K$34))=0,"",IF(ISNUMBER('参数'!$E$34),J25&gt;='参数'!$E$34,FALSE)+IF(AND(ISNUMBER('参数'!$G$34),ISNUMBER(N25)),N25&lt;='参数'!$G$34,FALSE)+IF(AND(ISNUMBER('参数'!$I$34),ISNUMBER(S25)),S25&gt;='参数'!$I$34,FALSE)+IF(AND(ISNUMBER('参数'!$K$34),ISNUMBER(R25)),R25&gt;='参数'!$K$34,FALSE)),"")</f>
        <v/>
      </c>
      <c r="X25" s="40" t="str">
        <f>IF(AND(ISNUMBER(J25),ISNUMBER(K25)),IF(N(ISNUMBER('参数'!$E$35))+N(ISNUMBER('参数'!$G$35))+N(ISNUMBER('参数'!$I$35))=0,"",IF(AND(ISNUMBER('参数'!$E$35),ISNUMBER(N25),ISNUMBER(N24)),ROUND(N25-N24,6)&gt;='参数'!$E$35,FALSE)+IF(AND(ISNUMBER('参数'!$G$35),ISNUMBER(Q25),ISNUMBER(Q24)),ROUND(Q24-Q25,6)&gt;='参数'!$G$35,FALSE)+IF(AND(ISNUMBER('参数'!$I$35),ISNUMBER(S25),ISNUMBER(S24)),ROUND(S24-S25,6)&gt;='参数'!$I$35,FALSE)+IF(ISNUMBER(J24),J25&lt;J24,FALSE)),"")</f>
        <v/>
      </c>
      <c r="Y25" s="40" t="str">
        <f>IF(AND(ISNUMBER(J25),ISNUMBER(K25)),IF(N(ISNUMBER('参数'!$E$36))+N(ISNUMBER('参数'!$G$36))+N(ISNUMBER('参数'!$I$36))=0,"",IF(AND(ISNUMBER('参数'!$E$36),ISNUMBER(J24)),AND(J25&lt;='参数'!$E$36,J25&lt;J24),FALSE)+IF(ISNUMBER('参数'!$G$36),K25&gt;='参数'!$G$36,FALSE)+IF(AND(ISNUMBER('参数'!$I$36),ISNUMBER(S25)),S25&lt;'参数'!$I$36,FALSE)+IF(AND(ISNUMBER(R25),ISNUMBER(R24)),R25&lt;R24,FALSE)),"")</f>
        <v/>
      </c>
      <c r="Z25" s="41" t="str">
        <f>IF(NOT(AND(ISNUMBER(J25),ISNUMBER(K25))),"",IF(COUNT(T25:Y25)=0,"先填阈值",IF(MAX(AD25:AI25)=0,"不写",INDEX($T$4:$Y$4,MATCH(MAX(AD25:AI25),AD25:AI25,0))&amp;"·"&amp;IF(MAX(AD25:AI25)&gt;=200,"高","中")&amp;IF(LARGE(AD25:AI25,2)&gt;0,"（也像"&amp;INDEX($T$4:$Y$4,MATCH(LARGE(AD25:AI25,2),AD25:AI25,0))&amp;"·"&amp;IF(LARGE(AD25:AI25,2)&gt;=200,"高","中")&amp;"）",""))))</f>
        <v/>
      </c>
      <c r="AA25" s="27" t="n"/>
      <c r="AB25" s="32" t="n"/>
      <c r="AC25" s="16" t="n"/>
      <c r="AD25" s="40">
        <f>IF(N(T25)&gt;=3,IF(T25=4,2,1)*100+T25*10+6,0)</f>
        <v>0</v>
      </c>
      <c r="AE25" s="40">
        <f>IF(N(U25)&gt;=3,1*100+U25*10+1,0)</f>
        <v>0</v>
      </c>
      <c r="AF25" s="40">
        <f>IF(N(V25)&gt;=3,IF(V25=4,2,1)*100+V25*10+2,0)</f>
        <v>0</v>
      </c>
      <c r="AG25" s="40">
        <f>IF(N(W25)&gt;=3,1*100+W25*10+3,0)</f>
        <v>0</v>
      </c>
      <c r="AH25" s="40">
        <f>IF(N(X25)&gt;=3,1*100+X25*10+4,0)</f>
        <v>0</v>
      </c>
      <c r="AI25" s="40">
        <f>IF(N(Y25)&gt;=3,IF(AND(N(T25)&gt;=3,OR(N(T25)=4,N(Y25)&lt;=N(T25))),0,IF(Y25=4,2,1)*100+Y25*10+5),0)</f>
        <v>0</v>
      </c>
    </row>
    <row r="26">
      <c r="A26" s="31" t="n"/>
      <c r="B26" s="36" t="str">
        <f>IF(ISNUMBER(A26),"周"&amp;CHOOSE(WEEKDAY(A26,2),"一","二","三","四","五","六","日"),"")</f>
        <v/>
      </c>
      <c r="C26" s="37" t="n"/>
      <c r="D26" s="37" t="n"/>
      <c r="E26" s="37" t="n"/>
      <c r="F26" s="17" t="n"/>
      <c r="G26" s="38" t="str">
        <f>IF(AND(ISNUMBER(F26),ISNUMBER(F25)),IF(F25=0,"",F26/F25-1),"")</f>
        <v/>
      </c>
      <c r="H26" s="17" t="n"/>
      <c r="I26" s="17" t="n"/>
      <c r="J26" s="17" t="n"/>
      <c r="K26" s="17" t="n"/>
      <c r="L26" s="17" t="n"/>
      <c r="M26" s="17" t="n"/>
      <c r="N26" s="39" t="str">
        <f>IF(AND(ISNUMBER(L26),ISNUMBER(M26),N(L26)&gt;0),M26/L26,"")</f>
        <v/>
      </c>
      <c r="O26" s="17" t="n"/>
      <c r="P26" s="17" t="n"/>
      <c r="Q26" s="39" t="str">
        <f>IF(AND(ISNUMBER(O26),ISNUMBER(P26),N(O26)&gt;0),P26/O26,"")</f>
        <v/>
      </c>
      <c r="R26" s="17" t="n"/>
      <c r="S26" s="37" t="n"/>
      <c r="T26" s="40" t="str">
        <f>IF(AND(ISNUMBER(J26),ISNUMBER(K26)),IF(N(ISNUMBER('参数'!$E$31))+N(ISNUMBER('参数'!$G$31))+N(ISNUMBER('参数'!$I$31))+N(ISNUMBER('参数'!$K$31))=0,"",IF(ISNUMBER('参数'!$E$31),J26&lt;='参数'!$E$31,FALSE)+IF(ISNUMBER('参数'!$G$31),K26&gt;='参数'!$G$31,FALSE)+IF(AND(ISNUMBER('参数'!$I$31),ISNUMBER(N26)),N26&gt;='参数'!$I$31,FALSE)+IF(AND(ISNUMBER('参数'!$K$31),ISNUMBER(Q26)),Q26&lt;='参数'!$K$31,FALSE)),"")</f>
        <v/>
      </c>
      <c r="U26" s="40" t="str">
        <f>IF(AND(ISNUMBER(J26),ISNUMBER(K26)),IF(N(ISNUMBER('参数'!$G$32))+N(ISNUMBER('参数'!$I$32))+N(ISNUMBER('参数'!$K$32))=0,"",IF(AND(ISNUMBER(J25),ISNUMBER(J24)),AND(J26&gt;J25,J25&gt;J24),FALSE)+IF(ISNUMBER('参数'!$G$32),J26&lt;'参数'!$G$32,FALSE)+IF(AND(ISNUMBER('参数'!$I$32),ISNUMBER(Q26)),Q26&gt;='参数'!$I$32,FALSE)+IF(AND(ISNUMBER('参数'!$K$32),ISNUMBER(S26)),S26&gt;='参数'!$K$32,FALSE)),"")</f>
        <v/>
      </c>
      <c r="V26" s="40" t="str">
        <f>IF(AND(ISNUMBER(J26),ISNUMBER(K26)),IF(N(ISNUMBER('参数'!$E$33))+N(ISNUMBER('参数'!$G$33))+N(ISNUMBER('参数'!$I$33))+N(ISNUMBER('参数'!$K$33))=0,"",IF(AND(ISNUMBER('参数'!$E$33),ISNUMBER(J25)),AND(J26&gt;='参数'!$E$33,J26&gt;J25),FALSE)+IF(AND(ISNUMBER('参数'!$G$33),ISNUMBER(N26)),N26&lt;='参数'!$G$33,FALSE)+IF(AND(ISNUMBER('参数'!$I$33),ISNUMBER(Q26)),Q26&gt;='参数'!$I$33,FALSE)+IF(AND(ISNUMBER('参数'!$K$33),ISNUMBER(S26)),S26&gt;='参数'!$K$33,FALSE)),"")</f>
        <v/>
      </c>
      <c r="W26" s="40" t="str">
        <f>IF(AND(ISNUMBER(J26),ISNUMBER(K26)),IF(N(ISNUMBER('参数'!$E$34))+N(ISNUMBER('参数'!$G$34))+N(ISNUMBER('参数'!$I$34))+N(ISNUMBER('参数'!$K$34))=0,"",IF(ISNUMBER('参数'!$E$34),J26&gt;='参数'!$E$34,FALSE)+IF(AND(ISNUMBER('参数'!$G$34),ISNUMBER(N26)),N26&lt;='参数'!$G$34,FALSE)+IF(AND(ISNUMBER('参数'!$I$34),ISNUMBER(S26)),S26&gt;='参数'!$I$34,FALSE)+IF(AND(ISNUMBER('参数'!$K$34),ISNUMBER(R26)),R26&gt;='参数'!$K$34,FALSE)),"")</f>
        <v/>
      </c>
      <c r="X26" s="40" t="str">
        <f>IF(AND(ISNUMBER(J26),ISNUMBER(K26)),IF(N(ISNUMBER('参数'!$E$35))+N(ISNUMBER('参数'!$G$35))+N(ISNUMBER('参数'!$I$35))=0,"",IF(AND(ISNUMBER('参数'!$E$35),ISNUMBER(N26),ISNUMBER(N25)),ROUND(N26-N25,6)&gt;='参数'!$E$35,FALSE)+IF(AND(ISNUMBER('参数'!$G$35),ISNUMBER(Q26),ISNUMBER(Q25)),ROUND(Q25-Q26,6)&gt;='参数'!$G$35,FALSE)+IF(AND(ISNUMBER('参数'!$I$35),ISNUMBER(S26),ISNUMBER(S25)),ROUND(S25-S26,6)&gt;='参数'!$I$35,FALSE)+IF(ISNUMBER(J25),J26&lt;J25,FALSE)),"")</f>
        <v/>
      </c>
      <c r="Y26" s="40" t="str">
        <f>IF(AND(ISNUMBER(J26),ISNUMBER(K26)),IF(N(ISNUMBER('参数'!$E$36))+N(ISNUMBER('参数'!$G$36))+N(ISNUMBER('参数'!$I$36))=0,"",IF(AND(ISNUMBER('参数'!$E$36),ISNUMBER(J25)),AND(J26&lt;='参数'!$E$36,J26&lt;J25),FALSE)+IF(ISNUMBER('参数'!$G$36),K26&gt;='参数'!$G$36,FALSE)+IF(AND(ISNUMBER('参数'!$I$36),ISNUMBER(S26)),S26&lt;'参数'!$I$36,FALSE)+IF(AND(ISNUMBER(R26),ISNUMBER(R25)),R26&lt;R25,FALSE)),"")</f>
        <v/>
      </c>
      <c r="Z26" s="41" t="str">
        <f>IF(NOT(AND(ISNUMBER(J26),ISNUMBER(K26))),"",IF(COUNT(T26:Y26)=0,"先填阈值",IF(MAX(AD26:AI26)=0,"不写",INDEX($T$4:$Y$4,MATCH(MAX(AD26:AI26),AD26:AI26,0))&amp;"·"&amp;IF(MAX(AD26:AI26)&gt;=200,"高","中")&amp;IF(LARGE(AD26:AI26,2)&gt;0,"（也像"&amp;INDEX($T$4:$Y$4,MATCH(LARGE(AD26:AI26,2),AD26:AI26,0))&amp;"·"&amp;IF(LARGE(AD26:AI26,2)&gt;=200,"高","中")&amp;"）",""))))</f>
        <v/>
      </c>
      <c r="AA26" s="27" t="n"/>
      <c r="AB26" s="32" t="n"/>
      <c r="AC26" s="16" t="n"/>
      <c r="AD26" s="40">
        <f>IF(N(T26)&gt;=3,IF(T26=4,2,1)*100+T26*10+6,0)</f>
        <v>0</v>
      </c>
      <c r="AE26" s="40">
        <f>IF(N(U26)&gt;=3,1*100+U26*10+1,0)</f>
        <v>0</v>
      </c>
      <c r="AF26" s="40">
        <f>IF(N(V26)&gt;=3,IF(V26=4,2,1)*100+V26*10+2,0)</f>
        <v>0</v>
      </c>
      <c r="AG26" s="40">
        <f>IF(N(W26)&gt;=3,1*100+W26*10+3,0)</f>
        <v>0</v>
      </c>
      <c r="AH26" s="40">
        <f>IF(N(X26)&gt;=3,1*100+X26*10+4,0)</f>
        <v>0</v>
      </c>
      <c r="AI26" s="40">
        <f>IF(N(Y26)&gt;=3,IF(AND(N(T26)&gt;=3,OR(N(T26)=4,N(Y26)&lt;=N(T26))),0,IF(Y26=4,2,1)*100+Y26*10+5),0)</f>
        <v>0</v>
      </c>
    </row>
    <row r="27">
      <c r="A27" s="31" t="n"/>
      <c r="B27" s="36" t="str">
        <f>IF(ISNUMBER(A27),"周"&amp;CHOOSE(WEEKDAY(A27,2),"一","二","三","四","五","六","日"),"")</f>
        <v/>
      </c>
      <c r="C27" s="37" t="n"/>
      <c r="D27" s="37" t="n"/>
      <c r="E27" s="37" t="n"/>
      <c r="F27" s="17" t="n"/>
      <c r="G27" s="38" t="str">
        <f>IF(AND(ISNUMBER(F27),ISNUMBER(F26)),IF(F26=0,"",F27/F26-1),"")</f>
        <v/>
      </c>
      <c r="H27" s="17" t="n"/>
      <c r="I27" s="17" t="n"/>
      <c r="J27" s="17" t="n"/>
      <c r="K27" s="17" t="n"/>
      <c r="L27" s="17" t="n"/>
      <c r="M27" s="17" t="n"/>
      <c r="N27" s="39" t="str">
        <f>IF(AND(ISNUMBER(L27),ISNUMBER(M27),N(L27)&gt;0),M27/L27,"")</f>
        <v/>
      </c>
      <c r="O27" s="17" t="n"/>
      <c r="P27" s="17" t="n"/>
      <c r="Q27" s="39" t="str">
        <f>IF(AND(ISNUMBER(O27),ISNUMBER(P27),N(O27)&gt;0),P27/O27,"")</f>
        <v/>
      </c>
      <c r="R27" s="17" t="n"/>
      <c r="S27" s="37" t="n"/>
      <c r="T27" s="40" t="str">
        <f>IF(AND(ISNUMBER(J27),ISNUMBER(K27)),IF(N(ISNUMBER('参数'!$E$31))+N(ISNUMBER('参数'!$G$31))+N(ISNUMBER('参数'!$I$31))+N(ISNUMBER('参数'!$K$31))=0,"",IF(ISNUMBER('参数'!$E$31),J27&lt;='参数'!$E$31,FALSE)+IF(ISNUMBER('参数'!$G$31),K27&gt;='参数'!$G$31,FALSE)+IF(AND(ISNUMBER('参数'!$I$31),ISNUMBER(N27)),N27&gt;='参数'!$I$31,FALSE)+IF(AND(ISNUMBER('参数'!$K$31),ISNUMBER(Q27)),Q27&lt;='参数'!$K$31,FALSE)),"")</f>
        <v/>
      </c>
      <c r="U27" s="40" t="str">
        <f>IF(AND(ISNUMBER(J27),ISNUMBER(K27)),IF(N(ISNUMBER('参数'!$G$32))+N(ISNUMBER('参数'!$I$32))+N(ISNUMBER('参数'!$K$32))=0,"",IF(AND(ISNUMBER(J26),ISNUMBER(J25)),AND(J27&gt;J26,J26&gt;J25),FALSE)+IF(ISNUMBER('参数'!$G$32),J27&lt;'参数'!$G$32,FALSE)+IF(AND(ISNUMBER('参数'!$I$32),ISNUMBER(Q27)),Q27&gt;='参数'!$I$32,FALSE)+IF(AND(ISNUMBER('参数'!$K$32),ISNUMBER(S27)),S27&gt;='参数'!$K$32,FALSE)),"")</f>
        <v/>
      </c>
      <c r="V27" s="40" t="str">
        <f>IF(AND(ISNUMBER(J27),ISNUMBER(K27)),IF(N(ISNUMBER('参数'!$E$33))+N(ISNUMBER('参数'!$G$33))+N(ISNUMBER('参数'!$I$33))+N(ISNUMBER('参数'!$K$33))=0,"",IF(AND(ISNUMBER('参数'!$E$33),ISNUMBER(J26)),AND(J27&gt;='参数'!$E$33,J27&gt;J26),FALSE)+IF(AND(ISNUMBER('参数'!$G$33),ISNUMBER(N27)),N27&lt;='参数'!$G$33,FALSE)+IF(AND(ISNUMBER('参数'!$I$33),ISNUMBER(Q27)),Q27&gt;='参数'!$I$33,FALSE)+IF(AND(ISNUMBER('参数'!$K$33),ISNUMBER(S27)),S27&gt;='参数'!$K$33,FALSE)),"")</f>
        <v/>
      </c>
      <c r="W27" s="40" t="str">
        <f>IF(AND(ISNUMBER(J27),ISNUMBER(K27)),IF(N(ISNUMBER('参数'!$E$34))+N(ISNUMBER('参数'!$G$34))+N(ISNUMBER('参数'!$I$34))+N(ISNUMBER('参数'!$K$34))=0,"",IF(ISNUMBER('参数'!$E$34),J27&gt;='参数'!$E$34,FALSE)+IF(AND(ISNUMBER('参数'!$G$34),ISNUMBER(N27)),N27&lt;='参数'!$G$34,FALSE)+IF(AND(ISNUMBER('参数'!$I$34),ISNUMBER(S27)),S27&gt;='参数'!$I$34,FALSE)+IF(AND(ISNUMBER('参数'!$K$34),ISNUMBER(R27)),R27&gt;='参数'!$K$34,FALSE)),"")</f>
        <v/>
      </c>
      <c r="X27" s="40" t="str">
        <f>IF(AND(ISNUMBER(J27),ISNUMBER(K27)),IF(N(ISNUMBER('参数'!$E$35))+N(ISNUMBER('参数'!$G$35))+N(ISNUMBER('参数'!$I$35))=0,"",IF(AND(ISNUMBER('参数'!$E$35),ISNUMBER(N27),ISNUMBER(N26)),ROUND(N27-N26,6)&gt;='参数'!$E$35,FALSE)+IF(AND(ISNUMBER('参数'!$G$35),ISNUMBER(Q27),ISNUMBER(Q26)),ROUND(Q26-Q27,6)&gt;='参数'!$G$35,FALSE)+IF(AND(ISNUMBER('参数'!$I$35),ISNUMBER(S27),ISNUMBER(S26)),ROUND(S26-S27,6)&gt;='参数'!$I$35,FALSE)+IF(ISNUMBER(J26),J27&lt;J26,FALSE)),"")</f>
        <v/>
      </c>
      <c r="Y27" s="40" t="str">
        <f>IF(AND(ISNUMBER(J27),ISNUMBER(K27)),IF(N(ISNUMBER('参数'!$E$36))+N(ISNUMBER('参数'!$G$36))+N(ISNUMBER('参数'!$I$36))=0,"",IF(AND(ISNUMBER('参数'!$E$36),ISNUMBER(J26)),AND(J27&lt;='参数'!$E$36,J27&lt;J26),FALSE)+IF(ISNUMBER('参数'!$G$36),K27&gt;='参数'!$G$36,FALSE)+IF(AND(ISNUMBER('参数'!$I$36),ISNUMBER(S27)),S27&lt;'参数'!$I$36,FALSE)+IF(AND(ISNUMBER(R27),ISNUMBER(R26)),R27&lt;R26,FALSE)),"")</f>
        <v/>
      </c>
      <c r="Z27" s="41" t="str">
        <f>IF(NOT(AND(ISNUMBER(J27),ISNUMBER(K27))),"",IF(COUNT(T27:Y27)=0,"先填阈值",IF(MAX(AD27:AI27)=0,"不写",INDEX($T$4:$Y$4,MATCH(MAX(AD27:AI27),AD27:AI27,0))&amp;"·"&amp;IF(MAX(AD27:AI27)&gt;=200,"高","中")&amp;IF(LARGE(AD27:AI27,2)&gt;0,"（也像"&amp;INDEX($T$4:$Y$4,MATCH(LARGE(AD27:AI27,2),AD27:AI27,0))&amp;"·"&amp;IF(LARGE(AD27:AI27,2)&gt;=200,"高","中")&amp;"）",""))))</f>
        <v/>
      </c>
      <c r="AA27" s="27" t="n"/>
      <c r="AB27" s="32" t="n"/>
      <c r="AC27" s="16" t="n"/>
      <c r="AD27" s="40">
        <f>IF(N(T27)&gt;=3,IF(T27=4,2,1)*100+T27*10+6,0)</f>
        <v>0</v>
      </c>
      <c r="AE27" s="40">
        <f>IF(N(U27)&gt;=3,1*100+U27*10+1,0)</f>
        <v>0</v>
      </c>
      <c r="AF27" s="40">
        <f>IF(N(V27)&gt;=3,IF(V27=4,2,1)*100+V27*10+2,0)</f>
        <v>0</v>
      </c>
      <c r="AG27" s="40">
        <f>IF(N(W27)&gt;=3,1*100+W27*10+3,0)</f>
        <v>0</v>
      </c>
      <c r="AH27" s="40">
        <f>IF(N(X27)&gt;=3,1*100+X27*10+4,0)</f>
        <v>0</v>
      </c>
      <c r="AI27" s="40">
        <f>IF(N(Y27)&gt;=3,IF(AND(N(T27)&gt;=3,OR(N(T27)=4,N(Y27)&lt;=N(T27))),0,IF(Y27=4,2,1)*100+Y27*10+5),0)</f>
        <v>0</v>
      </c>
    </row>
    <row r="28">
      <c r="A28" s="31" t="n"/>
      <c r="B28" s="36" t="str">
        <f>IF(ISNUMBER(A28),"周"&amp;CHOOSE(WEEKDAY(A28,2),"一","二","三","四","五","六","日"),"")</f>
        <v/>
      </c>
      <c r="C28" s="37" t="n"/>
      <c r="D28" s="37" t="n"/>
      <c r="E28" s="37" t="n"/>
      <c r="F28" s="17" t="n"/>
      <c r="G28" s="38" t="str">
        <f>IF(AND(ISNUMBER(F28),ISNUMBER(F27)),IF(F27=0,"",F28/F27-1),"")</f>
        <v/>
      </c>
      <c r="H28" s="17" t="n"/>
      <c r="I28" s="17" t="n"/>
      <c r="J28" s="17" t="n"/>
      <c r="K28" s="17" t="n"/>
      <c r="L28" s="17" t="n"/>
      <c r="M28" s="17" t="n"/>
      <c r="N28" s="39" t="str">
        <f>IF(AND(ISNUMBER(L28),ISNUMBER(M28),N(L28)&gt;0),M28/L28,"")</f>
        <v/>
      </c>
      <c r="O28" s="17" t="n"/>
      <c r="P28" s="17" t="n"/>
      <c r="Q28" s="39" t="str">
        <f>IF(AND(ISNUMBER(O28),ISNUMBER(P28),N(O28)&gt;0),P28/O28,"")</f>
        <v/>
      </c>
      <c r="R28" s="17" t="n"/>
      <c r="S28" s="37" t="n"/>
      <c r="T28" s="40" t="str">
        <f>IF(AND(ISNUMBER(J28),ISNUMBER(K28)),IF(N(ISNUMBER('参数'!$E$31))+N(ISNUMBER('参数'!$G$31))+N(ISNUMBER('参数'!$I$31))+N(ISNUMBER('参数'!$K$31))=0,"",IF(ISNUMBER('参数'!$E$31),J28&lt;='参数'!$E$31,FALSE)+IF(ISNUMBER('参数'!$G$31),K28&gt;='参数'!$G$31,FALSE)+IF(AND(ISNUMBER('参数'!$I$31),ISNUMBER(N28)),N28&gt;='参数'!$I$31,FALSE)+IF(AND(ISNUMBER('参数'!$K$31),ISNUMBER(Q28)),Q28&lt;='参数'!$K$31,FALSE)),"")</f>
        <v/>
      </c>
      <c r="U28" s="40" t="str">
        <f>IF(AND(ISNUMBER(J28),ISNUMBER(K28)),IF(N(ISNUMBER('参数'!$G$32))+N(ISNUMBER('参数'!$I$32))+N(ISNUMBER('参数'!$K$32))=0,"",IF(AND(ISNUMBER(J27),ISNUMBER(J26)),AND(J28&gt;J27,J27&gt;J26),FALSE)+IF(ISNUMBER('参数'!$G$32),J28&lt;'参数'!$G$32,FALSE)+IF(AND(ISNUMBER('参数'!$I$32),ISNUMBER(Q28)),Q28&gt;='参数'!$I$32,FALSE)+IF(AND(ISNUMBER('参数'!$K$32),ISNUMBER(S28)),S28&gt;='参数'!$K$32,FALSE)),"")</f>
        <v/>
      </c>
      <c r="V28" s="40" t="str">
        <f>IF(AND(ISNUMBER(J28),ISNUMBER(K28)),IF(N(ISNUMBER('参数'!$E$33))+N(ISNUMBER('参数'!$G$33))+N(ISNUMBER('参数'!$I$33))+N(ISNUMBER('参数'!$K$33))=0,"",IF(AND(ISNUMBER('参数'!$E$33),ISNUMBER(J27)),AND(J28&gt;='参数'!$E$33,J28&gt;J27),FALSE)+IF(AND(ISNUMBER('参数'!$G$33),ISNUMBER(N28)),N28&lt;='参数'!$G$33,FALSE)+IF(AND(ISNUMBER('参数'!$I$33),ISNUMBER(Q28)),Q28&gt;='参数'!$I$33,FALSE)+IF(AND(ISNUMBER('参数'!$K$33),ISNUMBER(S28)),S28&gt;='参数'!$K$33,FALSE)),"")</f>
        <v/>
      </c>
      <c r="W28" s="40" t="str">
        <f>IF(AND(ISNUMBER(J28),ISNUMBER(K28)),IF(N(ISNUMBER('参数'!$E$34))+N(ISNUMBER('参数'!$G$34))+N(ISNUMBER('参数'!$I$34))+N(ISNUMBER('参数'!$K$34))=0,"",IF(ISNUMBER('参数'!$E$34),J28&gt;='参数'!$E$34,FALSE)+IF(AND(ISNUMBER('参数'!$G$34),ISNUMBER(N28)),N28&lt;='参数'!$G$34,FALSE)+IF(AND(ISNUMBER('参数'!$I$34),ISNUMBER(S28)),S28&gt;='参数'!$I$34,FALSE)+IF(AND(ISNUMBER('参数'!$K$34),ISNUMBER(R28)),R28&gt;='参数'!$K$34,FALSE)),"")</f>
        <v/>
      </c>
      <c r="X28" s="40" t="str">
        <f>IF(AND(ISNUMBER(J28),ISNUMBER(K28)),IF(N(ISNUMBER('参数'!$E$35))+N(ISNUMBER('参数'!$G$35))+N(ISNUMBER('参数'!$I$35))=0,"",IF(AND(ISNUMBER('参数'!$E$35),ISNUMBER(N28),ISNUMBER(N27)),ROUND(N28-N27,6)&gt;='参数'!$E$35,FALSE)+IF(AND(ISNUMBER('参数'!$G$35),ISNUMBER(Q28),ISNUMBER(Q27)),ROUND(Q27-Q28,6)&gt;='参数'!$G$35,FALSE)+IF(AND(ISNUMBER('参数'!$I$35),ISNUMBER(S28),ISNUMBER(S27)),ROUND(S27-S28,6)&gt;='参数'!$I$35,FALSE)+IF(ISNUMBER(J27),J28&lt;J27,FALSE)),"")</f>
        <v/>
      </c>
      <c r="Y28" s="40" t="str">
        <f>IF(AND(ISNUMBER(J28),ISNUMBER(K28)),IF(N(ISNUMBER('参数'!$E$36))+N(ISNUMBER('参数'!$G$36))+N(ISNUMBER('参数'!$I$36))=0,"",IF(AND(ISNUMBER('参数'!$E$36),ISNUMBER(J27)),AND(J28&lt;='参数'!$E$36,J28&lt;J27),FALSE)+IF(ISNUMBER('参数'!$G$36),K28&gt;='参数'!$G$36,FALSE)+IF(AND(ISNUMBER('参数'!$I$36),ISNUMBER(S28)),S28&lt;'参数'!$I$36,FALSE)+IF(AND(ISNUMBER(R28),ISNUMBER(R27)),R28&lt;R27,FALSE)),"")</f>
        <v/>
      </c>
      <c r="Z28" s="41" t="str">
        <f>IF(NOT(AND(ISNUMBER(J28),ISNUMBER(K28))),"",IF(COUNT(T28:Y28)=0,"先填阈值",IF(MAX(AD28:AI28)=0,"不写",INDEX($T$4:$Y$4,MATCH(MAX(AD28:AI28),AD28:AI28,0))&amp;"·"&amp;IF(MAX(AD28:AI28)&gt;=200,"高","中")&amp;IF(LARGE(AD28:AI28,2)&gt;0,"（也像"&amp;INDEX($T$4:$Y$4,MATCH(LARGE(AD28:AI28,2),AD28:AI28,0))&amp;"·"&amp;IF(LARGE(AD28:AI28,2)&gt;=200,"高","中")&amp;"）",""))))</f>
        <v/>
      </c>
      <c r="AA28" s="27" t="n"/>
      <c r="AB28" s="32" t="n"/>
      <c r="AC28" s="16" t="n"/>
      <c r="AD28" s="40">
        <f>IF(N(T28)&gt;=3,IF(T28=4,2,1)*100+T28*10+6,0)</f>
        <v>0</v>
      </c>
      <c r="AE28" s="40">
        <f>IF(N(U28)&gt;=3,1*100+U28*10+1,0)</f>
        <v>0</v>
      </c>
      <c r="AF28" s="40">
        <f>IF(N(V28)&gt;=3,IF(V28=4,2,1)*100+V28*10+2,0)</f>
        <v>0</v>
      </c>
      <c r="AG28" s="40">
        <f>IF(N(W28)&gt;=3,1*100+W28*10+3,0)</f>
        <v>0</v>
      </c>
      <c r="AH28" s="40">
        <f>IF(N(X28)&gt;=3,1*100+X28*10+4,0)</f>
        <v>0</v>
      </c>
      <c r="AI28" s="40">
        <f>IF(N(Y28)&gt;=3,IF(AND(N(T28)&gt;=3,OR(N(T28)=4,N(Y28)&lt;=N(T28))),0,IF(Y28=4,2,1)*100+Y28*10+5),0)</f>
        <v>0</v>
      </c>
    </row>
    <row r="29">
      <c r="A29" s="31" t="n"/>
      <c r="B29" s="36" t="str">
        <f>IF(ISNUMBER(A29),"周"&amp;CHOOSE(WEEKDAY(A29,2),"一","二","三","四","五","六","日"),"")</f>
        <v/>
      </c>
      <c r="C29" s="37" t="n"/>
      <c r="D29" s="37" t="n"/>
      <c r="E29" s="37" t="n"/>
      <c r="F29" s="17" t="n"/>
      <c r="G29" s="38" t="str">
        <f>IF(AND(ISNUMBER(F29),ISNUMBER(F28)),IF(F28=0,"",F29/F28-1),"")</f>
        <v/>
      </c>
      <c r="H29" s="17" t="n"/>
      <c r="I29" s="17" t="n"/>
      <c r="J29" s="17" t="n"/>
      <c r="K29" s="17" t="n"/>
      <c r="L29" s="17" t="n"/>
      <c r="M29" s="17" t="n"/>
      <c r="N29" s="39" t="str">
        <f>IF(AND(ISNUMBER(L29),ISNUMBER(M29),N(L29)&gt;0),M29/L29,"")</f>
        <v/>
      </c>
      <c r="O29" s="17" t="n"/>
      <c r="P29" s="17" t="n"/>
      <c r="Q29" s="39" t="str">
        <f>IF(AND(ISNUMBER(O29),ISNUMBER(P29),N(O29)&gt;0),P29/O29,"")</f>
        <v/>
      </c>
      <c r="R29" s="17" t="n"/>
      <c r="S29" s="37" t="n"/>
      <c r="T29" s="40" t="str">
        <f>IF(AND(ISNUMBER(J29),ISNUMBER(K29)),IF(N(ISNUMBER('参数'!$E$31))+N(ISNUMBER('参数'!$G$31))+N(ISNUMBER('参数'!$I$31))+N(ISNUMBER('参数'!$K$31))=0,"",IF(ISNUMBER('参数'!$E$31),J29&lt;='参数'!$E$31,FALSE)+IF(ISNUMBER('参数'!$G$31),K29&gt;='参数'!$G$31,FALSE)+IF(AND(ISNUMBER('参数'!$I$31),ISNUMBER(N29)),N29&gt;='参数'!$I$31,FALSE)+IF(AND(ISNUMBER('参数'!$K$31),ISNUMBER(Q29)),Q29&lt;='参数'!$K$31,FALSE)),"")</f>
        <v/>
      </c>
      <c r="U29" s="40" t="str">
        <f>IF(AND(ISNUMBER(J29),ISNUMBER(K29)),IF(N(ISNUMBER('参数'!$G$32))+N(ISNUMBER('参数'!$I$32))+N(ISNUMBER('参数'!$K$32))=0,"",IF(AND(ISNUMBER(J28),ISNUMBER(J27)),AND(J29&gt;J28,J28&gt;J27),FALSE)+IF(ISNUMBER('参数'!$G$32),J29&lt;'参数'!$G$32,FALSE)+IF(AND(ISNUMBER('参数'!$I$32),ISNUMBER(Q29)),Q29&gt;='参数'!$I$32,FALSE)+IF(AND(ISNUMBER('参数'!$K$32),ISNUMBER(S29)),S29&gt;='参数'!$K$32,FALSE)),"")</f>
        <v/>
      </c>
      <c r="V29" s="40" t="str">
        <f>IF(AND(ISNUMBER(J29),ISNUMBER(K29)),IF(N(ISNUMBER('参数'!$E$33))+N(ISNUMBER('参数'!$G$33))+N(ISNUMBER('参数'!$I$33))+N(ISNUMBER('参数'!$K$33))=0,"",IF(AND(ISNUMBER('参数'!$E$33),ISNUMBER(J28)),AND(J29&gt;='参数'!$E$33,J29&gt;J28),FALSE)+IF(AND(ISNUMBER('参数'!$G$33),ISNUMBER(N29)),N29&lt;='参数'!$G$33,FALSE)+IF(AND(ISNUMBER('参数'!$I$33),ISNUMBER(Q29)),Q29&gt;='参数'!$I$33,FALSE)+IF(AND(ISNUMBER('参数'!$K$33),ISNUMBER(S29)),S29&gt;='参数'!$K$33,FALSE)),"")</f>
        <v/>
      </c>
      <c r="W29" s="40" t="str">
        <f>IF(AND(ISNUMBER(J29),ISNUMBER(K29)),IF(N(ISNUMBER('参数'!$E$34))+N(ISNUMBER('参数'!$G$34))+N(ISNUMBER('参数'!$I$34))+N(ISNUMBER('参数'!$K$34))=0,"",IF(ISNUMBER('参数'!$E$34),J29&gt;='参数'!$E$34,FALSE)+IF(AND(ISNUMBER('参数'!$G$34),ISNUMBER(N29)),N29&lt;='参数'!$G$34,FALSE)+IF(AND(ISNUMBER('参数'!$I$34),ISNUMBER(S29)),S29&gt;='参数'!$I$34,FALSE)+IF(AND(ISNUMBER('参数'!$K$34),ISNUMBER(R29)),R29&gt;='参数'!$K$34,FALSE)),"")</f>
        <v/>
      </c>
      <c r="X29" s="40" t="str">
        <f>IF(AND(ISNUMBER(J29),ISNUMBER(K29)),IF(N(ISNUMBER('参数'!$E$35))+N(ISNUMBER('参数'!$G$35))+N(ISNUMBER('参数'!$I$35))=0,"",IF(AND(ISNUMBER('参数'!$E$35),ISNUMBER(N29),ISNUMBER(N28)),ROUND(N29-N28,6)&gt;='参数'!$E$35,FALSE)+IF(AND(ISNUMBER('参数'!$G$35),ISNUMBER(Q29),ISNUMBER(Q28)),ROUND(Q28-Q29,6)&gt;='参数'!$G$35,FALSE)+IF(AND(ISNUMBER('参数'!$I$35),ISNUMBER(S29),ISNUMBER(S28)),ROUND(S28-S29,6)&gt;='参数'!$I$35,FALSE)+IF(ISNUMBER(J28),J29&lt;J28,FALSE)),"")</f>
        <v/>
      </c>
      <c r="Y29" s="40" t="str">
        <f>IF(AND(ISNUMBER(J29),ISNUMBER(K29)),IF(N(ISNUMBER('参数'!$E$36))+N(ISNUMBER('参数'!$G$36))+N(ISNUMBER('参数'!$I$36))=0,"",IF(AND(ISNUMBER('参数'!$E$36),ISNUMBER(J28)),AND(J29&lt;='参数'!$E$36,J29&lt;J28),FALSE)+IF(ISNUMBER('参数'!$G$36),K29&gt;='参数'!$G$36,FALSE)+IF(AND(ISNUMBER('参数'!$I$36),ISNUMBER(S29)),S29&lt;'参数'!$I$36,FALSE)+IF(AND(ISNUMBER(R29),ISNUMBER(R28)),R29&lt;R28,FALSE)),"")</f>
        <v/>
      </c>
      <c r="Z29" s="41" t="str">
        <f>IF(NOT(AND(ISNUMBER(J29),ISNUMBER(K29))),"",IF(COUNT(T29:Y29)=0,"先填阈值",IF(MAX(AD29:AI29)=0,"不写",INDEX($T$4:$Y$4,MATCH(MAX(AD29:AI29),AD29:AI29,0))&amp;"·"&amp;IF(MAX(AD29:AI29)&gt;=200,"高","中")&amp;IF(LARGE(AD29:AI29,2)&gt;0,"（也像"&amp;INDEX($T$4:$Y$4,MATCH(LARGE(AD29:AI29,2),AD29:AI29,0))&amp;"·"&amp;IF(LARGE(AD29:AI29,2)&gt;=200,"高","中")&amp;"）",""))))</f>
        <v/>
      </c>
      <c r="AA29" s="27" t="n"/>
      <c r="AB29" s="32" t="n"/>
      <c r="AC29" s="16" t="n"/>
      <c r="AD29" s="40">
        <f>IF(N(T29)&gt;=3,IF(T29=4,2,1)*100+T29*10+6,0)</f>
        <v>0</v>
      </c>
      <c r="AE29" s="40">
        <f>IF(N(U29)&gt;=3,1*100+U29*10+1,0)</f>
        <v>0</v>
      </c>
      <c r="AF29" s="40">
        <f>IF(N(V29)&gt;=3,IF(V29=4,2,1)*100+V29*10+2,0)</f>
        <v>0</v>
      </c>
      <c r="AG29" s="40">
        <f>IF(N(W29)&gt;=3,1*100+W29*10+3,0)</f>
        <v>0</v>
      </c>
      <c r="AH29" s="40">
        <f>IF(N(X29)&gt;=3,1*100+X29*10+4,0)</f>
        <v>0</v>
      </c>
      <c r="AI29" s="40">
        <f>IF(N(Y29)&gt;=3,IF(AND(N(T29)&gt;=3,OR(N(T29)=4,N(Y29)&lt;=N(T29))),0,IF(Y29=4,2,1)*100+Y29*10+5),0)</f>
        <v>0</v>
      </c>
    </row>
    <row r="30">
      <c r="A30" s="31" t="n"/>
      <c r="B30" s="36" t="str">
        <f>IF(ISNUMBER(A30),"周"&amp;CHOOSE(WEEKDAY(A30,2),"一","二","三","四","五","六","日"),"")</f>
        <v/>
      </c>
      <c r="C30" s="37" t="n"/>
      <c r="D30" s="37" t="n"/>
      <c r="E30" s="37" t="n"/>
      <c r="F30" s="17" t="n"/>
      <c r="G30" s="38" t="str">
        <f>IF(AND(ISNUMBER(F30),ISNUMBER(F29)),IF(F29=0,"",F30/F29-1),"")</f>
        <v/>
      </c>
      <c r="H30" s="17" t="n"/>
      <c r="I30" s="17" t="n"/>
      <c r="J30" s="17" t="n"/>
      <c r="K30" s="17" t="n"/>
      <c r="L30" s="17" t="n"/>
      <c r="M30" s="17" t="n"/>
      <c r="N30" s="39" t="str">
        <f>IF(AND(ISNUMBER(L30),ISNUMBER(M30),N(L30)&gt;0),M30/L30,"")</f>
        <v/>
      </c>
      <c r="O30" s="17" t="n"/>
      <c r="P30" s="17" t="n"/>
      <c r="Q30" s="39" t="str">
        <f>IF(AND(ISNUMBER(O30),ISNUMBER(P30),N(O30)&gt;0),P30/O30,"")</f>
        <v/>
      </c>
      <c r="R30" s="17" t="n"/>
      <c r="S30" s="37" t="n"/>
      <c r="T30" s="40" t="str">
        <f>IF(AND(ISNUMBER(J30),ISNUMBER(K30)),IF(N(ISNUMBER('参数'!$E$31))+N(ISNUMBER('参数'!$G$31))+N(ISNUMBER('参数'!$I$31))+N(ISNUMBER('参数'!$K$31))=0,"",IF(ISNUMBER('参数'!$E$31),J30&lt;='参数'!$E$31,FALSE)+IF(ISNUMBER('参数'!$G$31),K30&gt;='参数'!$G$31,FALSE)+IF(AND(ISNUMBER('参数'!$I$31),ISNUMBER(N30)),N30&gt;='参数'!$I$31,FALSE)+IF(AND(ISNUMBER('参数'!$K$31),ISNUMBER(Q30)),Q30&lt;='参数'!$K$31,FALSE)),"")</f>
        <v/>
      </c>
      <c r="U30" s="40" t="str">
        <f>IF(AND(ISNUMBER(J30),ISNUMBER(K30)),IF(N(ISNUMBER('参数'!$G$32))+N(ISNUMBER('参数'!$I$32))+N(ISNUMBER('参数'!$K$32))=0,"",IF(AND(ISNUMBER(J29),ISNUMBER(J28)),AND(J30&gt;J29,J29&gt;J28),FALSE)+IF(ISNUMBER('参数'!$G$32),J30&lt;'参数'!$G$32,FALSE)+IF(AND(ISNUMBER('参数'!$I$32),ISNUMBER(Q30)),Q30&gt;='参数'!$I$32,FALSE)+IF(AND(ISNUMBER('参数'!$K$32),ISNUMBER(S30)),S30&gt;='参数'!$K$32,FALSE)),"")</f>
        <v/>
      </c>
      <c r="V30" s="40" t="str">
        <f>IF(AND(ISNUMBER(J30),ISNUMBER(K30)),IF(N(ISNUMBER('参数'!$E$33))+N(ISNUMBER('参数'!$G$33))+N(ISNUMBER('参数'!$I$33))+N(ISNUMBER('参数'!$K$33))=0,"",IF(AND(ISNUMBER('参数'!$E$33),ISNUMBER(J29)),AND(J30&gt;='参数'!$E$33,J30&gt;J29),FALSE)+IF(AND(ISNUMBER('参数'!$G$33),ISNUMBER(N30)),N30&lt;='参数'!$G$33,FALSE)+IF(AND(ISNUMBER('参数'!$I$33),ISNUMBER(Q30)),Q30&gt;='参数'!$I$33,FALSE)+IF(AND(ISNUMBER('参数'!$K$33),ISNUMBER(S30)),S30&gt;='参数'!$K$33,FALSE)),"")</f>
        <v/>
      </c>
      <c r="W30" s="40" t="str">
        <f>IF(AND(ISNUMBER(J30),ISNUMBER(K30)),IF(N(ISNUMBER('参数'!$E$34))+N(ISNUMBER('参数'!$G$34))+N(ISNUMBER('参数'!$I$34))+N(ISNUMBER('参数'!$K$34))=0,"",IF(ISNUMBER('参数'!$E$34),J30&gt;='参数'!$E$34,FALSE)+IF(AND(ISNUMBER('参数'!$G$34),ISNUMBER(N30)),N30&lt;='参数'!$G$34,FALSE)+IF(AND(ISNUMBER('参数'!$I$34),ISNUMBER(S30)),S30&gt;='参数'!$I$34,FALSE)+IF(AND(ISNUMBER('参数'!$K$34),ISNUMBER(R30)),R30&gt;='参数'!$K$34,FALSE)),"")</f>
        <v/>
      </c>
      <c r="X30" s="40" t="str">
        <f>IF(AND(ISNUMBER(J30),ISNUMBER(K30)),IF(N(ISNUMBER('参数'!$E$35))+N(ISNUMBER('参数'!$G$35))+N(ISNUMBER('参数'!$I$35))=0,"",IF(AND(ISNUMBER('参数'!$E$35),ISNUMBER(N30),ISNUMBER(N29)),ROUND(N30-N29,6)&gt;='参数'!$E$35,FALSE)+IF(AND(ISNUMBER('参数'!$G$35),ISNUMBER(Q30),ISNUMBER(Q29)),ROUND(Q29-Q30,6)&gt;='参数'!$G$35,FALSE)+IF(AND(ISNUMBER('参数'!$I$35),ISNUMBER(S30),ISNUMBER(S29)),ROUND(S29-S30,6)&gt;='参数'!$I$35,FALSE)+IF(ISNUMBER(J29),J30&lt;J29,FALSE)),"")</f>
        <v/>
      </c>
      <c r="Y30" s="40" t="str">
        <f>IF(AND(ISNUMBER(J30),ISNUMBER(K30)),IF(N(ISNUMBER('参数'!$E$36))+N(ISNUMBER('参数'!$G$36))+N(ISNUMBER('参数'!$I$36))=0,"",IF(AND(ISNUMBER('参数'!$E$36),ISNUMBER(J29)),AND(J30&lt;='参数'!$E$36,J30&lt;J29),FALSE)+IF(ISNUMBER('参数'!$G$36),K30&gt;='参数'!$G$36,FALSE)+IF(AND(ISNUMBER('参数'!$I$36),ISNUMBER(S30)),S30&lt;'参数'!$I$36,FALSE)+IF(AND(ISNUMBER(R30),ISNUMBER(R29)),R30&lt;R29,FALSE)),"")</f>
        <v/>
      </c>
      <c r="Z30" s="41" t="str">
        <f>IF(NOT(AND(ISNUMBER(J30),ISNUMBER(K30))),"",IF(COUNT(T30:Y30)=0,"先填阈值",IF(MAX(AD30:AI30)=0,"不写",INDEX($T$4:$Y$4,MATCH(MAX(AD30:AI30),AD30:AI30,0))&amp;"·"&amp;IF(MAX(AD30:AI30)&gt;=200,"高","中")&amp;IF(LARGE(AD30:AI30,2)&gt;0,"（也像"&amp;INDEX($T$4:$Y$4,MATCH(LARGE(AD30:AI30,2),AD30:AI30,0))&amp;"·"&amp;IF(LARGE(AD30:AI30,2)&gt;=200,"高","中")&amp;"）",""))))</f>
        <v/>
      </c>
      <c r="AA30" s="27" t="n"/>
      <c r="AB30" s="32" t="n"/>
      <c r="AC30" s="16" t="n"/>
      <c r="AD30" s="40">
        <f>IF(N(T30)&gt;=3,IF(T30=4,2,1)*100+T30*10+6,0)</f>
        <v>0</v>
      </c>
      <c r="AE30" s="40">
        <f>IF(N(U30)&gt;=3,1*100+U30*10+1,0)</f>
        <v>0</v>
      </c>
      <c r="AF30" s="40">
        <f>IF(N(V30)&gt;=3,IF(V30=4,2,1)*100+V30*10+2,0)</f>
        <v>0</v>
      </c>
      <c r="AG30" s="40">
        <f>IF(N(W30)&gt;=3,1*100+W30*10+3,0)</f>
        <v>0</v>
      </c>
      <c r="AH30" s="40">
        <f>IF(N(X30)&gt;=3,1*100+X30*10+4,0)</f>
        <v>0</v>
      </c>
      <c r="AI30" s="40">
        <f>IF(N(Y30)&gt;=3,IF(AND(N(T30)&gt;=3,OR(N(T30)=4,N(Y30)&lt;=N(T30))),0,IF(Y30=4,2,1)*100+Y30*10+5),0)</f>
        <v>0</v>
      </c>
    </row>
    <row r="31">
      <c r="A31" s="31" t="n"/>
      <c r="B31" s="36" t="str">
        <f>IF(ISNUMBER(A31),"周"&amp;CHOOSE(WEEKDAY(A31,2),"一","二","三","四","五","六","日"),"")</f>
        <v/>
      </c>
      <c r="C31" s="37" t="n"/>
      <c r="D31" s="37" t="n"/>
      <c r="E31" s="37" t="n"/>
      <c r="F31" s="17" t="n"/>
      <c r="G31" s="38" t="str">
        <f>IF(AND(ISNUMBER(F31),ISNUMBER(F30)),IF(F30=0,"",F31/F30-1),"")</f>
        <v/>
      </c>
      <c r="H31" s="17" t="n"/>
      <c r="I31" s="17" t="n"/>
      <c r="J31" s="17" t="n"/>
      <c r="K31" s="17" t="n"/>
      <c r="L31" s="17" t="n"/>
      <c r="M31" s="17" t="n"/>
      <c r="N31" s="39" t="str">
        <f>IF(AND(ISNUMBER(L31),ISNUMBER(M31),N(L31)&gt;0),M31/L31,"")</f>
        <v/>
      </c>
      <c r="O31" s="17" t="n"/>
      <c r="P31" s="17" t="n"/>
      <c r="Q31" s="39" t="str">
        <f>IF(AND(ISNUMBER(O31),ISNUMBER(P31),N(O31)&gt;0),P31/O31,"")</f>
        <v/>
      </c>
      <c r="R31" s="17" t="n"/>
      <c r="S31" s="37" t="n"/>
      <c r="T31" s="40" t="str">
        <f>IF(AND(ISNUMBER(J31),ISNUMBER(K31)),IF(N(ISNUMBER('参数'!$E$31))+N(ISNUMBER('参数'!$G$31))+N(ISNUMBER('参数'!$I$31))+N(ISNUMBER('参数'!$K$31))=0,"",IF(ISNUMBER('参数'!$E$31),J31&lt;='参数'!$E$31,FALSE)+IF(ISNUMBER('参数'!$G$31),K31&gt;='参数'!$G$31,FALSE)+IF(AND(ISNUMBER('参数'!$I$31),ISNUMBER(N31)),N31&gt;='参数'!$I$31,FALSE)+IF(AND(ISNUMBER('参数'!$K$31),ISNUMBER(Q31)),Q31&lt;='参数'!$K$31,FALSE)),"")</f>
        <v/>
      </c>
      <c r="U31" s="40" t="str">
        <f>IF(AND(ISNUMBER(J31),ISNUMBER(K31)),IF(N(ISNUMBER('参数'!$G$32))+N(ISNUMBER('参数'!$I$32))+N(ISNUMBER('参数'!$K$32))=0,"",IF(AND(ISNUMBER(J30),ISNUMBER(J29)),AND(J31&gt;J30,J30&gt;J29),FALSE)+IF(ISNUMBER('参数'!$G$32),J31&lt;'参数'!$G$32,FALSE)+IF(AND(ISNUMBER('参数'!$I$32),ISNUMBER(Q31)),Q31&gt;='参数'!$I$32,FALSE)+IF(AND(ISNUMBER('参数'!$K$32),ISNUMBER(S31)),S31&gt;='参数'!$K$32,FALSE)),"")</f>
        <v/>
      </c>
      <c r="V31" s="40" t="str">
        <f>IF(AND(ISNUMBER(J31),ISNUMBER(K31)),IF(N(ISNUMBER('参数'!$E$33))+N(ISNUMBER('参数'!$G$33))+N(ISNUMBER('参数'!$I$33))+N(ISNUMBER('参数'!$K$33))=0,"",IF(AND(ISNUMBER('参数'!$E$33),ISNUMBER(J30)),AND(J31&gt;='参数'!$E$33,J31&gt;J30),FALSE)+IF(AND(ISNUMBER('参数'!$G$33),ISNUMBER(N31)),N31&lt;='参数'!$G$33,FALSE)+IF(AND(ISNUMBER('参数'!$I$33),ISNUMBER(Q31)),Q31&gt;='参数'!$I$33,FALSE)+IF(AND(ISNUMBER('参数'!$K$33),ISNUMBER(S31)),S31&gt;='参数'!$K$33,FALSE)),"")</f>
        <v/>
      </c>
      <c r="W31" s="40" t="str">
        <f>IF(AND(ISNUMBER(J31),ISNUMBER(K31)),IF(N(ISNUMBER('参数'!$E$34))+N(ISNUMBER('参数'!$G$34))+N(ISNUMBER('参数'!$I$34))+N(ISNUMBER('参数'!$K$34))=0,"",IF(ISNUMBER('参数'!$E$34),J31&gt;='参数'!$E$34,FALSE)+IF(AND(ISNUMBER('参数'!$G$34),ISNUMBER(N31)),N31&lt;='参数'!$G$34,FALSE)+IF(AND(ISNUMBER('参数'!$I$34),ISNUMBER(S31)),S31&gt;='参数'!$I$34,FALSE)+IF(AND(ISNUMBER('参数'!$K$34),ISNUMBER(R31)),R31&gt;='参数'!$K$34,FALSE)),"")</f>
        <v/>
      </c>
      <c r="X31" s="40" t="str">
        <f>IF(AND(ISNUMBER(J31),ISNUMBER(K31)),IF(N(ISNUMBER('参数'!$E$35))+N(ISNUMBER('参数'!$G$35))+N(ISNUMBER('参数'!$I$35))=0,"",IF(AND(ISNUMBER('参数'!$E$35),ISNUMBER(N31),ISNUMBER(N30)),ROUND(N31-N30,6)&gt;='参数'!$E$35,FALSE)+IF(AND(ISNUMBER('参数'!$G$35),ISNUMBER(Q31),ISNUMBER(Q30)),ROUND(Q30-Q31,6)&gt;='参数'!$G$35,FALSE)+IF(AND(ISNUMBER('参数'!$I$35),ISNUMBER(S31),ISNUMBER(S30)),ROUND(S30-S31,6)&gt;='参数'!$I$35,FALSE)+IF(ISNUMBER(J30),J31&lt;J30,FALSE)),"")</f>
        <v/>
      </c>
      <c r="Y31" s="40" t="str">
        <f>IF(AND(ISNUMBER(J31),ISNUMBER(K31)),IF(N(ISNUMBER('参数'!$E$36))+N(ISNUMBER('参数'!$G$36))+N(ISNUMBER('参数'!$I$36))=0,"",IF(AND(ISNUMBER('参数'!$E$36),ISNUMBER(J30)),AND(J31&lt;='参数'!$E$36,J31&lt;J30),FALSE)+IF(ISNUMBER('参数'!$G$36),K31&gt;='参数'!$G$36,FALSE)+IF(AND(ISNUMBER('参数'!$I$36),ISNUMBER(S31)),S31&lt;'参数'!$I$36,FALSE)+IF(AND(ISNUMBER(R31),ISNUMBER(R30)),R31&lt;R30,FALSE)),"")</f>
        <v/>
      </c>
      <c r="Z31" s="41" t="str">
        <f>IF(NOT(AND(ISNUMBER(J31),ISNUMBER(K31))),"",IF(COUNT(T31:Y31)=0,"先填阈值",IF(MAX(AD31:AI31)=0,"不写",INDEX($T$4:$Y$4,MATCH(MAX(AD31:AI31),AD31:AI31,0))&amp;"·"&amp;IF(MAX(AD31:AI31)&gt;=200,"高","中")&amp;IF(LARGE(AD31:AI31,2)&gt;0,"（也像"&amp;INDEX($T$4:$Y$4,MATCH(LARGE(AD31:AI31,2),AD31:AI31,0))&amp;"·"&amp;IF(LARGE(AD31:AI31,2)&gt;=200,"高","中")&amp;"）",""))))</f>
        <v/>
      </c>
      <c r="AA31" s="27" t="n"/>
      <c r="AB31" s="32" t="n"/>
      <c r="AC31" s="16" t="n"/>
      <c r="AD31" s="40">
        <f>IF(N(T31)&gt;=3,IF(T31=4,2,1)*100+T31*10+6,0)</f>
        <v>0</v>
      </c>
      <c r="AE31" s="40">
        <f>IF(N(U31)&gt;=3,1*100+U31*10+1,0)</f>
        <v>0</v>
      </c>
      <c r="AF31" s="40">
        <f>IF(N(V31)&gt;=3,IF(V31=4,2,1)*100+V31*10+2,0)</f>
        <v>0</v>
      </c>
      <c r="AG31" s="40">
        <f>IF(N(W31)&gt;=3,1*100+W31*10+3,0)</f>
        <v>0</v>
      </c>
      <c r="AH31" s="40">
        <f>IF(N(X31)&gt;=3,1*100+X31*10+4,0)</f>
        <v>0</v>
      </c>
      <c r="AI31" s="40">
        <f>IF(N(Y31)&gt;=3,IF(AND(N(T31)&gt;=3,OR(N(T31)=4,N(Y31)&lt;=N(T31))),0,IF(Y31=4,2,1)*100+Y31*10+5),0)</f>
        <v>0</v>
      </c>
    </row>
    <row r="32">
      <c r="A32" s="31" t="n"/>
      <c r="B32" s="36" t="str">
        <f>IF(ISNUMBER(A32),"周"&amp;CHOOSE(WEEKDAY(A32,2),"一","二","三","四","五","六","日"),"")</f>
        <v/>
      </c>
      <c r="C32" s="37" t="n"/>
      <c r="D32" s="37" t="n"/>
      <c r="E32" s="37" t="n"/>
      <c r="F32" s="17" t="n"/>
      <c r="G32" s="38" t="str">
        <f>IF(AND(ISNUMBER(F32),ISNUMBER(F31)),IF(F31=0,"",F32/F31-1),"")</f>
        <v/>
      </c>
      <c r="H32" s="17" t="n"/>
      <c r="I32" s="17" t="n"/>
      <c r="J32" s="17" t="n"/>
      <c r="K32" s="17" t="n"/>
      <c r="L32" s="17" t="n"/>
      <c r="M32" s="17" t="n"/>
      <c r="N32" s="39" t="str">
        <f>IF(AND(ISNUMBER(L32),ISNUMBER(M32),N(L32)&gt;0),M32/L32,"")</f>
        <v/>
      </c>
      <c r="O32" s="17" t="n"/>
      <c r="P32" s="17" t="n"/>
      <c r="Q32" s="39" t="str">
        <f>IF(AND(ISNUMBER(O32),ISNUMBER(P32),N(O32)&gt;0),P32/O32,"")</f>
        <v/>
      </c>
      <c r="R32" s="17" t="n"/>
      <c r="S32" s="37" t="n"/>
      <c r="T32" s="40" t="str">
        <f>IF(AND(ISNUMBER(J32),ISNUMBER(K32)),IF(N(ISNUMBER('参数'!$E$31))+N(ISNUMBER('参数'!$G$31))+N(ISNUMBER('参数'!$I$31))+N(ISNUMBER('参数'!$K$31))=0,"",IF(ISNUMBER('参数'!$E$31),J32&lt;='参数'!$E$31,FALSE)+IF(ISNUMBER('参数'!$G$31),K32&gt;='参数'!$G$31,FALSE)+IF(AND(ISNUMBER('参数'!$I$31),ISNUMBER(N32)),N32&gt;='参数'!$I$31,FALSE)+IF(AND(ISNUMBER('参数'!$K$31),ISNUMBER(Q32)),Q32&lt;='参数'!$K$31,FALSE)),"")</f>
        <v/>
      </c>
      <c r="U32" s="40" t="str">
        <f>IF(AND(ISNUMBER(J32),ISNUMBER(K32)),IF(N(ISNUMBER('参数'!$G$32))+N(ISNUMBER('参数'!$I$32))+N(ISNUMBER('参数'!$K$32))=0,"",IF(AND(ISNUMBER(J31),ISNUMBER(J30)),AND(J32&gt;J31,J31&gt;J30),FALSE)+IF(ISNUMBER('参数'!$G$32),J32&lt;'参数'!$G$32,FALSE)+IF(AND(ISNUMBER('参数'!$I$32),ISNUMBER(Q32)),Q32&gt;='参数'!$I$32,FALSE)+IF(AND(ISNUMBER('参数'!$K$32),ISNUMBER(S32)),S32&gt;='参数'!$K$32,FALSE)),"")</f>
        <v/>
      </c>
      <c r="V32" s="40" t="str">
        <f>IF(AND(ISNUMBER(J32),ISNUMBER(K32)),IF(N(ISNUMBER('参数'!$E$33))+N(ISNUMBER('参数'!$G$33))+N(ISNUMBER('参数'!$I$33))+N(ISNUMBER('参数'!$K$33))=0,"",IF(AND(ISNUMBER('参数'!$E$33),ISNUMBER(J31)),AND(J32&gt;='参数'!$E$33,J32&gt;J31),FALSE)+IF(AND(ISNUMBER('参数'!$G$33),ISNUMBER(N32)),N32&lt;='参数'!$G$33,FALSE)+IF(AND(ISNUMBER('参数'!$I$33),ISNUMBER(Q32)),Q32&gt;='参数'!$I$33,FALSE)+IF(AND(ISNUMBER('参数'!$K$33),ISNUMBER(S32)),S32&gt;='参数'!$K$33,FALSE)),"")</f>
        <v/>
      </c>
      <c r="W32" s="40" t="str">
        <f>IF(AND(ISNUMBER(J32),ISNUMBER(K32)),IF(N(ISNUMBER('参数'!$E$34))+N(ISNUMBER('参数'!$G$34))+N(ISNUMBER('参数'!$I$34))+N(ISNUMBER('参数'!$K$34))=0,"",IF(ISNUMBER('参数'!$E$34),J32&gt;='参数'!$E$34,FALSE)+IF(AND(ISNUMBER('参数'!$G$34),ISNUMBER(N32)),N32&lt;='参数'!$G$34,FALSE)+IF(AND(ISNUMBER('参数'!$I$34),ISNUMBER(S32)),S32&gt;='参数'!$I$34,FALSE)+IF(AND(ISNUMBER('参数'!$K$34),ISNUMBER(R32)),R32&gt;='参数'!$K$34,FALSE)),"")</f>
        <v/>
      </c>
      <c r="X32" s="40" t="str">
        <f>IF(AND(ISNUMBER(J32),ISNUMBER(K32)),IF(N(ISNUMBER('参数'!$E$35))+N(ISNUMBER('参数'!$G$35))+N(ISNUMBER('参数'!$I$35))=0,"",IF(AND(ISNUMBER('参数'!$E$35),ISNUMBER(N32),ISNUMBER(N31)),ROUND(N32-N31,6)&gt;='参数'!$E$35,FALSE)+IF(AND(ISNUMBER('参数'!$G$35),ISNUMBER(Q32),ISNUMBER(Q31)),ROUND(Q31-Q32,6)&gt;='参数'!$G$35,FALSE)+IF(AND(ISNUMBER('参数'!$I$35),ISNUMBER(S32),ISNUMBER(S31)),ROUND(S31-S32,6)&gt;='参数'!$I$35,FALSE)+IF(ISNUMBER(J31),J32&lt;J31,FALSE)),"")</f>
        <v/>
      </c>
      <c r="Y32" s="40" t="str">
        <f>IF(AND(ISNUMBER(J32),ISNUMBER(K32)),IF(N(ISNUMBER('参数'!$E$36))+N(ISNUMBER('参数'!$G$36))+N(ISNUMBER('参数'!$I$36))=0,"",IF(AND(ISNUMBER('参数'!$E$36),ISNUMBER(J31)),AND(J32&lt;='参数'!$E$36,J32&lt;J31),FALSE)+IF(ISNUMBER('参数'!$G$36),K32&gt;='参数'!$G$36,FALSE)+IF(AND(ISNUMBER('参数'!$I$36),ISNUMBER(S32)),S32&lt;'参数'!$I$36,FALSE)+IF(AND(ISNUMBER(R32),ISNUMBER(R31)),R32&lt;R31,FALSE)),"")</f>
        <v/>
      </c>
      <c r="Z32" s="41" t="str">
        <f>IF(NOT(AND(ISNUMBER(J32),ISNUMBER(K32))),"",IF(COUNT(T32:Y32)=0,"先填阈值",IF(MAX(AD32:AI32)=0,"不写",INDEX($T$4:$Y$4,MATCH(MAX(AD32:AI32),AD32:AI32,0))&amp;"·"&amp;IF(MAX(AD32:AI32)&gt;=200,"高","中")&amp;IF(LARGE(AD32:AI32,2)&gt;0,"（也像"&amp;INDEX($T$4:$Y$4,MATCH(LARGE(AD32:AI32,2),AD32:AI32,0))&amp;"·"&amp;IF(LARGE(AD32:AI32,2)&gt;=200,"高","中")&amp;"）",""))))</f>
        <v/>
      </c>
      <c r="AA32" s="27" t="n"/>
      <c r="AB32" s="32" t="n"/>
      <c r="AC32" s="16" t="n"/>
      <c r="AD32" s="40">
        <f>IF(N(T32)&gt;=3,IF(T32=4,2,1)*100+T32*10+6,0)</f>
        <v>0</v>
      </c>
      <c r="AE32" s="40">
        <f>IF(N(U32)&gt;=3,1*100+U32*10+1,0)</f>
        <v>0</v>
      </c>
      <c r="AF32" s="40">
        <f>IF(N(V32)&gt;=3,IF(V32=4,2,1)*100+V32*10+2,0)</f>
        <v>0</v>
      </c>
      <c r="AG32" s="40">
        <f>IF(N(W32)&gt;=3,1*100+W32*10+3,0)</f>
        <v>0</v>
      </c>
      <c r="AH32" s="40">
        <f>IF(N(X32)&gt;=3,1*100+X32*10+4,0)</f>
        <v>0</v>
      </c>
      <c r="AI32" s="40">
        <f>IF(N(Y32)&gt;=3,IF(AND(N(T32)&gt;=3,OR(N(T32)=4,N(Y32)&lt;=N(T32))),0,IF(Y32=4,2,1)*100+Y32*10+5),0)</f>
        <v>0</v>
      </c>
    </row>
    <row r="33">
      <c r="A33" s="31" t="n"/>
      <c r="B33" s="36" t="str">
        <f>IF(ISNUMBER(A33),"周"&amp;CHOOSE(WEEKDAY(A33,2),"一","二","三","四","五","六","日"),"")</f>
        <v/>
      </c>
      <c r="C33" s="37" t="n"/>
      <c r="D33" s="37" t="n"/>
      <c r="E33" s="37" t="n"/>
      <c r="F33" s="17" t="n"/>
      <c r="G33" s="38" t="str">
        <f>IF(AND(ISNUMBER(F33),ISNUMBER(F32)),IF(F32=0,"",F33/F32-1),"")</f>
        <v/>
      </c>
      <c r="H33" s="17" t="n"/>
      <c r="I33" s="17" t="n"/>
      <c r="J33" s="17" t="n"/>
      <c r="K33" s="17" t="n"/>
      <c r="L33" s="17" t="n"/>
      <c r="M33" s="17" t="n"/>
      <c r="N33" s="39" t="str">
        <f>IF(AND(ISNUMBER(L33),ISNUMBER(M33),N(L33)&gt;0),M33/L33,"")</f>
        <v/>
      </c>
      <c r="O33" s="17" t="n"/>
      <c r="P33" s="17" t="n"/>
      <c r="Q33" s="39" t="str">
        <f>IF(AND(ISNUMBER(O33),ISNUMBER(P33),N(O33)&gt;0),P33/O33,"")</f>
        <v/>
      </c>
      <c r="R33" s="17" t="n"/>
      <c r="S33" s="37" t="n"/>
      <c r="T33" s="40" t="str">
        <f>IF(AND(ISNUMBER(J33),ISNUMBER(K33)),IF(N(ISNUMBER('参数'!$E$31))+N(ISNUMBER('参数'!$G$31))+N(ISNUMBER('参数'!$I$31))+N(ISNUMBER('参数'!$K$31))=0,"",IF(ISNUMBER('参数'!$E$31),J33&lt;='参数'!$E$31,FALSE)+IF(ISNUMBER('参数'!$G$31),K33&gt;='参数'!$G$31,FALSE)+IF(AND(ISNUMBER('参数'!$I$31),ISNUMBER(N33)),N33&gt;='参数'!$I$31,FALSE)+IF(AND(ISNUMBER('参数'!$K$31),ISNUMBER(Q33)),Q33&lt;='参数'!$K$31,FALSE)),"")</f>
        <v/>
      </c>
      <c r="U33" s="40" t="str">
        <f>IF(AND(ISNUMBER(J33),ISNUMBER(K33)),IF(N(ISNUMBER('参数'!$G$32))+N(ISNUMBER('参数'!$I$32))+N(ISNUMBER('参数'!$K$32))=0,"",IF(AND(ISNUMBER(J32),ISNUMBER(J31)),AND(J33&gt;J32,J32&gt;J31),FALSE)+IF(ISNUMBER('参数'!$G$32),J33&lt;'参数'!$G$32,FALSE)+IF(AND(ISNUMBER('参数'!$I$32),ISNUMBER(Q33)),Q33&gt;='参数'!$I$32,FALSE)+IF(AND(ISNUMBER('参数'!$K$32),ISNUMBER(S33)),S33&gt;='参数'!$K$32,FALSE)),"")</f>
        <v/>
      </c>
      <c r="V33" s="40" t="str">
        <f>IF(AND(ISNUMBER(J33),ISNUMBER(K33)),IF(N(ISNUMBER('参数'!$E$33))+N(ISNUMBER('参数'!$G$33))+N(ISNUMBER('参数'!$I$33))+N(ISNUMBER('参数'!$K$33))=0,"",IF(AND(ISNUMBER('参数'!$E$33),ISNUMBER(J32)),AND(J33&gt;='参数'!$E$33,J33&gt;J32),FALSE)+IF(AND(ISNUMBER('参数'!$G$33),ISNUMBER(N33)),N33&lt;='参数'!$G$33,FALSE)+IF(AND(ISNUMBER('参数'!$I$33),ISNUMBER(Q33)),Q33&gt;='参数'!$I$33,FALSE)+IF(AND(ISNUMBER('参数'!$K$33),ISNUMBER(S33)),S33&gt;='参数'!$K$33,FALSE)),"")</f>
        <v/>
      </c>
      <c r="W33" s="40" t="str">
        <f>IF(AND(ISNUMBER(J33),ISNUMBER(K33)),IF(N(ISNUMBER('参数'!$E$34))+N(ISNUMBER('参数'!$G$34))+N(ISNUMBER('参数'!$I$34))+N(ISNUMBER('参数'!$K$34))=0,"",IF(ISNUMBER('参数'!$E$34),J33&gt;='参数'!$E$34,FALSE)+IF(AND(ISNUMBER('参数'!$G$34),ISNUMBER(N33)),N33&lt;='参数'!$G$34,FALSE)+IF(AND(ISNUMBER('参数'!$I$34),ISNUMBER(S33)),S33&gt;='参数'!$I$34,FALSE)+IF(AND(ISNUMBER('参数'!$K$34),ISNUMBER(R33)),R33&gt;='参数'!$K$34,FALSE)),"")</f>
        <v/>
      </c>
      <c r="X33" s="40" t="str">
        <f>IF(AND(ISNUMBER(J33),ISNUMBER(K33)),IF(N(ISNUMBER('参数'!$E$35))+N(ISNUMBER('参数'!$G$35))+N(ISNUMBER('参数'!$I$35))=0,"",IF(AND(ISNUMBER('参数'!$E$35),ISNUMBER(N33),ISNUMBER(N32)),ROUND(N33-N32,6)&gt;='参数'!$E$35,FALSE)+IF(AND(ISNUMBER('参数'!$G$35),ISNUMBER(Q33),ISNUMBER(Q32)),ROUND(Q32-Q33,6)&gt;='参数'!$G$35,FALSE)+IF(AND(ISNUMBER('参数'!$I$35),ISNUMBER(S33),ISNUMBER(S32)),ROUND(S32-S33,6)&gt;='参数'!$I$35,FALSE)+IF(ISNUMBER(J32),J33&lt;J32,FALSE)),"")</f>
        <v/>
      </c>
      <c r="Y33" s="40" t="str">
        <f>IF(AND(ISNUMBER(J33),ISNUMBER(K33)),IF(N(ISNUMBER('参数'!$E$36))+N(ISNUMBER('参数'!$G$36))+N(ISNUMBER('参数'!$I$36))=0,"",IF(AND(ISNUMBER('参数'!$E$36),ISNUMBER(J32)),AND(J33&lt;='参数'!$E$36,J33&lt;J32),FALSE)+IF(ISNUMBER('参数'!$G$36),K33&gt;='参数'!$G$36,FALSE)+IF(AND(ISNUMBER('参数'!$I$36),ISNUMBER(S33)),S33&lt;'参数'!$I$36,FALSE)+IF(AND(ISNUMBER(R33),ISNUMBER(R32)),R33&lt;R32,FALSE)),"")</f>
        <v/>
      </c>
      <c r="Z33" s="41" t="str">
        <f>IF(NOT(AND(ISNUMBER(J33),ISNUMBER(K33))),"",IF(COUNT(T33:Y33)=0,"先填阈值",IF(MAX(AD33:AI33)=0,"不写",INDEX($T$4:$Y$4,MATCH(MAX(AD33:AI33),AD33:AI33,0))&amp;"·"&amp;IF(MAX(AD33:AI33)&gt;=200,"高","中")&amp;IF(LARGE(AD33:AI33,2)&gt;0,"（也像"&amp;INDEX($T$4:$Y$4,MATCH(LARGE(AD33:AI33,2),AD33:AI33,0))&amp;"·"&amp;IF(LARGE(AD33:AI33,2)&gt;=200,"高","中")&amp;"）",""))))</f>
        <v/>
      </c>
      <c r="AA33" s="27" t="n"/>
      <c r="AB33" s="32" t="n"/>
      <c r="AC33" s="16" t="n"/>
      <c r="AD33" s="40">
        <f>IF(N(T33)&gt;=3,IF(T33=4,2,1)*100+T33*10+6,0)</f>
        <v>0</v>
      </c>
      <c r="AE33" s="40">
        <f>IF(N(U33)&gt;=3,1*100+U33*10+1,0)</f>
        <v>0</v>
      </c>
      <c r="AF33" s="40">
        <f>IF(N(V33)&gt;=3,IF(V33=4,2,1)*100+V33*10+2,0)</f>
        <v>0</v>
      </c>
      <c r="AG33" s="40">
        <f>IF(N(W33)&gt;=3,1*100+W33*10+3,0)</f>
        <v>0</v>
      </c>
      <c r="AH33" s="40">
        <f>IF(N(X33)&gt;=3,1*100+X33*10+4,0)</f>
        <v>0</v>
      </c>
      <c r="AI33" s="40">
        <f>IF(N(Y33)&gt;=3,IF(AND(N(T33)&gt;=3,OR(N(T33)=4,N(Y33)&lt;=N(T33))),0,IF(Y33=4,2,1)*100+Y33*10+5),0)</f>
        <v>0</v>
      </c>
    </row>
    <row r="34">
      <c r="A34" s="31" t="n"/>
      <c r="B34" s="36" t="str">
        <f>IF(ISNUMBER(A34),"周"&amp;CHOOSE(WEEKDAY(A34,2),"一","二","三","四","五","六","日"),"")</f>
        <v/>
      </c>
      <c r="C34" s="37" t="n"/>
      <c r="D34" s="37" t="n"/>
      <c r="E34" s="37" t="n"/>
      <c r="F34" s="17" t="n"/>
      <c r="G34" s="38" t="str">
        <f>IF(AND(ISNUMBER(F34),ISNUMBER(F33)),IF(F33=0,"",F34/F33-1),"")</f>
        <v/>
      </c>
      <c r="H34" s="17" t="n"/>
      <c r="I34" s="17" t="n"/>
      <c r="J34" s="17" t="n"/>
      <c r="K34" s="17" t="n"/>
      <c r="L34" s="17" t="n"/>
      <c r="M34" s="17" t="n"/>
      <c r="N34" s="39" t="str">
        <f>IF(AND(ISNUMBER(L34),ISNUMBER(M34),N(L34)&gt;0),M34/L34,"")</f>
        <v/>
      </c>
      <c r="O34" s="17" t="n"/>
      <c r="P34" s="17" t="n"/>
      <c r="Q34" s="39" t="str">
        <f>IF(AND(ISNUMBER(O34),ISNUMBER(P34),N(O34)&gt;0),P34/O34,"")</f>
        <v/>
      </c>
      <c r="R34" s="17" t="n"/>
      <c r="S34" s="37" t="n"/>
      <c r="T34" s="40" t="str">
        <f>IF(AND(ISNUMBER(J34),ISNUMBER(K34)),IF(N(ISNUMBER('参数'!$E$31))+N(ISNUMBER('参数'!$G$31))+N(ISNUMBER('参数'!$I$31))+N(ISNUMBER('参数'!$K$31))=0,"",IF(ISNUMBER('参数'!$E$31),J34&lt;='参数'!$E$31,FALSE)+IF(ISNUMBER('参数'!$G$31),K34&gt;='参数'!$G$31,FALSE)+IF(AND(ISNUMBER('参数'!$I$31),ISNUMBER(N34)),N34&gt;='参数'!$I$31,FALSE)+IF(AND(ISNUMBER('参数'!$K$31),ISNUMBER(Q34)),Q34&lt;='参数'!$K$31,FALSE)),"")</f>
        <v/>
      </c>
      <c r="U34" s="40" t="str">
        <f>IF(AND(ISNUMBER(J34),ISNUMBER(K34)),IF(N(ISNUMBER('参数'!$G$32))+N(ISNUMBER('参数'!$I$32))+N(ISNUMBER('参数'!$K$32))=0,"",IF(AND(ISNUMBER(J33),ISNUMBER(J32)),AND(J34&gt;J33,J33&gt;J32),FALSE)+IF(ISNUMBER('参数'!$G$32),J34&lt;'参数'!$G$32,FALSE)+IF(AND(ISNUMBER('参数'!$I$32),ISNUMBER(Q34)),Q34&gt;='参数'!$I$32,FALSE)+IF(AND(ISNUMBER('参数'!$K$32),ISNUMBER(S34)),S34&gt;='参数'!$K$32,FALSE)),"")</f>
        <v/>
      </c>
      <c r="V34" s="40" t="str">
        <f>IF(AND(ISNUMBER(J34),ISNUMBER(K34)),IF(N(ISNUMBER('参数'!$E$33))+N(ISNUMBER('参数'!$G$33))+N(ISNUMBER('参数'!$I$33))+N(ISNUMBER('参数'!$K$33))=0,"",IF(AND(ISNUMBER('参数'!$E$33),ISNUMBER(J33)),AND(J34&gt;='参数'!$E$33,J34&gt;J33),FALSE)+IF(AND(ISNUMBER('参数'!$G$33),ISNUMBER(N34)),N34&lt;='参数'!$G$33,FALSE)+IF(AND(ISNUMBER('参数'!$I$33),ISNUMBER(Q34)),Q34&gt;='参数'!$I$33,FALSE)+IF(AND(ISNUMBER('参数'!$K$33),ISNUMBER(S34)),S34&gt;='参数'!$K$33,FALSE)),"")</f>
        <v/>
      </c>
      <c r="W34" s="40" t="str">
        <f>IF(AND(ISNUMBER(J34),ISNUMBER(K34)),IF(N(ISNUMBER('参数'!$E$34))+N(ISNUMBER('参数'!$G$34))+N(ISNUMBER('参数'!$I$34))+N(ISNUMBER('参数'!$K$34))=0,"",IF(ISNUMBER('参数'!$E$34),J34&gt;='参数'!$E$34,FALSE)+IF(AND(ISNUMBER('参数'!$G$34),ISNUMBER(N34)),N34&lt;='参数'!$G$34,FALSE)+IF(AND(ISNUMBER('参数'!$I$34),ISNUMBER(S34)),S34&gt;='参数'!$I$34,FALSE)+IF(AND(ISNUMBER('参数'!$K$34),ISNUMBER(R34)),R34&gt;='参数'!$K$34,FALSE)),"")</f>
        <v/>
      </c>
      <c r="X34" s="40" t="str">
        <f>IF(AND(ISNUMBER(J34),ISNUMBER(K34)),IF(N(ISNUMBER('参数'!$E$35))+N(ISNUMBER('参数'!$G$35))+N(ISNUMBER('参数'!$I$35))=0,"",IF(AND(ISNUMBER('参数'!$E$35),ISNUMBER(N34),ISNUMBER(N33)),ROUND(N34-N33,6)&gt;='参数'!$E$35,FALSE)+IF(AND(ISNUMBER('参数'!$G$35),ISNUMBER(Q34),ISNUMBER(Q33)),ROUND(Q33-Q34,6)&gt;='参数'!$G$35,FALSE)+IF(AND(ISNUMBER('参数'!$I$35),ISNUMBER(S34),ISNUMBER(S33)),ROUND(S33-S34,6)&gt;='参数'!$I$35,FALSE)+IF(ISNUMBER(J33),J34&lt;J33,FALSE)),"")</f>
        <v/>
      </c>
      <c r="Y34" s="40" t="str">
        <f>IF(AND(ISNUMBER(J34),ISNUMBER(K34)),IF(N(ISNUMBER('参数'!$E$36))+N(ISNUMBER('参数'!$G$36))+N(ISNUMBER('参数'!$I$36))=0,"",IF(AND(ISNUMBER('参数'!$E$36),ISNUMBER(J33)),AND(J34&lt;='参数'!$E$36,J34&lt;J33),FALSE)+IF(ISNUMBER('参数'!$G$36),K34&gt;='参数'!$G$36,FALSE)+IF(AND(ISNUMBER('参数'!$I$36),ISNUMBER(S34)),S34&lt;'参数'!$I$36,FALSE)+IF(AND(ISNUMBER(R34),ISNUMBER(R33)),R34&lt;R33,FALSE)),"")</f>
        <v/>
      </c>
      <c r="Z34" s="41" t="str">
        <f>IF(NOT(AND(ISNUMBER(J34),ISNUMBER(K34))),"",IF(COUNT(T34:Y34)=0,"先填阈值",IF(MAX(AD34:AI34)=0,"不写",INDEX($T$4:$Y$4,MATCH(MAX(AD34:AI34),AD34:AI34,0))&amp;"·"&amp;IF(MAX(AD34:AI34)&gt;=200,"高","中")&amp;IF(LARGE(AD34:AI34,2)&gt;0,"（也像"&amp;INDEX($T$4:$Y$4,MATCH(LARGE(AD34:AI34,2),AD34:AI34,0))&amp;"·"&amp;IF(LARGE(AD34:AI34,2)&gt;=200,"高","中")&amp;"）",""))))</f>
        <v/>
      </c>
      <c r="AA34" s="27" t="n"/>
      <c r="AB34" s="32" t="n"/>
      <c r="AC34" s="16" t="n"/>
      <c r="AD34" s="40">
        <f>IF(N(T34)&gt;=3,IF(T34=4,2,1)*100+T34*10+6,0)</f>
        <v>0</v>
      </c>
      <c r="AE34" s="40">
        <f>IF(N(U34)&gt;=3,1*100+U34*10+1,0)</f>
        <v>0</v>
      </c>
      <c r="AF34" s="40">
        <f>IF(N(V34)&gt;=3,IF(V34=4,2,1)*100+V34*10+2,0)</f>
        <v>0</v>
      </c>
      <c r="AG34" s="40">
        <f>IF(N(W34)&gt;=3,1*100+W34*10+3,0)</f>
        <v>0</v>
      </c>
      <c r="AH34" s="40">
        <f>IF(N(X34)&gt;=3,1*100+X34*10+4,0)</f>
        <v>0</v>
      </c>
      <c r="AI34" s="40">
        <f>IF(N(Y34)&gt;=3,IF(AND(N(T34)&gt;=3,OR(N(T34)=4,N(Y34)&lt;=N(T34))),0,IF(Y34=4,2,1)*100+Y34*10+5),0)</f>
        <v>0</v>
      </c>
    </row>
    <row r="35">
      <c r="A35" s="31" t="n"/>
      <c r="B35" s="36" t="str">
        <f>IF(ISNUMBER(A35),"周"&amp;CHOOSE(WEEKDAY(A35,2),"一","二","三","四","五","六","日"),"")</f>
        <v/>
      </c>
      <c r="C35" s="37" t="n"/>
      <c r="D35" s="37" t="n"/>
      <c r="E35" s="37" t="n"/>
      <c r="F35" s="17" t="n"/>
      <c r="G35" s="38" t="str">
        <f>IF(AND(ISNUMBER(F35),ISNUMBER(F34)),IF(F34=0,"",F35/F34-1),"")</f>
        <v/>
      </c>
      <c r="H35" s="17" t="n"/>
      <c r="I35" s="17" t="n"/>
      <c r="J35" s="17" t="n"/>
      <c r="K35" s="17" t="n"/>
      <c r="L35" s="17" t="n"/>
      <c r="M35" s="17" t="n"/>
      <c r="N35" s="39" t="str">
        <f>IF(AND(ISNUMBER(L35),ISNUMBER(M35),N(L35)&gt;0),M35/L35,"")</f>
        <v/>
      </c>
      <c r="O35" s="17" t="n"/>
      <c r="P35" s="17" t="n"/>
      <c r="Q35" s="39" t="str">
        <f>IF(AND(ISNUMBER(O35),ISNUMBER(P35),N(O35)&gt;0),P35/O35,"")</f>
        <v/>
      </c>
      <c r="R35" s="17" t="n"/>
      <c r="S35" s="37" t="n"/>
      <c r="T35" s="40" t="str">
        <f>IF(AND(ISNUMBER(J35),ISNUMBER(K35)),IF(N(ISNUMBER('参数'!$E$31))+N(ISNUMBER('参数'!$G$31))+N(ISNUMBER('参数'!$I$31))+N(ISNUMBER('参数'!$K$31))=0,"",IF(ISNUMBER('参数'!$E$31),J35&lt;='参数'!$E$31,FALSE)+IF(ISNUMBER('参数'!$G$31),K35&gt;='参数'!$G$31,FALSE)+IF(AND(ISNUMBER('参数'!$I$31),ISNUMBER(N35)),N35&gt;='参数'!$I$31,FALSE)+IF(AND(ISNUMBER('参数'!$K$31),ISNUMBER(Q35)),Q35&lt;='参数'!$K$31,FALSE)),"")</f>
        <v/>
      </c>
      <c r="U35" s="40" t="str">
        <f>IF(AND(ISNUMBER(J35),ISNUMBER(K35)),IF(N(ISNUMBER('参数'!$G$32))+N(ISNUMBER('参数'!$I$32))+N(ISNUMBER('参数'!$K$32))=0,"",IF(AND(ISNUMBER(J34),ISNUMBER(J33)),AND(J35&gt;J34,J34&gt;J33),FALSE)+IF(ISNUMBER('参数'!$G$32),J35&lt;'参数'!$G$32,FALSE)+IF(AND(ISNUMBER('参数'!$I$32),ISNUMBER(Q35)),Q35&gt;='参数'!$I$32,FALSE)+IF(AND(ISNUMBER('参数'!$K$32),ISNUMBER(S35)),S35&gt;='参数'!$K$32,FALSE)),"")</f>
        <v/>
      </c>
      <c r="V35" s="40" t="str">
        <f>IF(AND(ISNUMBER(J35),ISNUMBER(K35)),IF(N(ISNUMBER('参数'!$E$33))+N(ISNUMBER('参数'!$G$33))+N(ISNUMBER('参数'!$I$33))+N(ISNUMBER('参数'!$K$33))=0,"",IF(AND(ISNUMBER('参数'!$E$33),ISNUMBER(J34)),AND(J35&gt;='参数'!$E$33,J35&gt;J34),FALSE)+IF(AND(ISNUMBER('参数'!$G$33),ISNUMBER(N35)),N35&lt;='参数'!$G$33,FALSE)+IF(AND(ISNUMBER('参数'!$I$33),ISNUMBER(Q35)),Q35&gt;='参数'!$I$33,FALSE)+IF(AND(ISNUMBER('参数'!$K$33),ISNUMBER(S35)),S35&gt;='参数'!$K$33,FALSE)),"")</f>
        <v/>
      </c>
      <c r="W35" s="40" t="str">
        <f>IF(AND(ISNUMBER(J35),ISNUMBER(K35)),IF(N(ISNUMBER('参数'!$E$34))+N(ISNUMBER('参数'!$G$34))+N(ISNUMBER('参数'!$I$34))+N(ISNUMBER('参数'!$K$34))=0,"",IF(ISNUMBER('参数'!$E$34),J35&gt;='参数'!$E$34,FALSE)+IF(AND(ISNUMBER('参数'!$G$34),ISNUMBER(N35)),N35&lt;='参数'!$G$34,FALSE)+IF(AND(ISNUMBER('参数'!$I$34),ISNUMBER(S35)),S35&gt;='参数'!$I$34,FALSE)+IF(AND(ISNUMBER('参数'!$K$34),ISNUMBER(R35)),R35&gt;='参数'!$K$34,FALSE)),"")</f>
        <v/>
      </c>
      <c r="X35" s="40" t="str">
        <f>IF(AND(ISNUMBER(J35),ISNUMBER(K35)),IF(N(ISNUMBER('参数'!$E$35))+N(ISNUMBER('参数'!$G$35))+N(ISNUMBER('参数'!$I$35))=0,"",IF(AND(ISNUMBER('参数'!$E$35),ISNUMBER(N35),ISNUMBER(N34)),ROUND(N35-N34,6)&gt;='参数'!$E$35,FALSE)+IF(AND(ISNUMBER('参数'!$G$35),ISNUMBER(Q35),ISNUMBER(Q34)),ROUND(Q34-Q35,6)&gt;='参数'!$G$35,FALSE)+IF(AND(ISNUMBER('参数'!$I$35),ISNUMBER(S35),ISNUMBER(S34)),ROUND(S34-S35,6)&gt;='参数'!$I$35,FALSE)+IF(ISNUMBER(J34),J35&lt;J34,FALSE)),"")</f>
        <v/>
      </c>
      <c r="Y35" s="40" t="str">
        <f>IF(AND(ISNUMBER(J35),ISNUMBER(K35)),IF(N(ISNUMBER('参数'!$E$36))+N(ISNUMBER('参数'!$G$36))+N(ISNUMBER('参数'!$I$36))=0,"",IF(AND(ISNUMBER('参数'!$E$36),ISNUMBER(J34)),AND(J35&lt;='参数'!$E$36,J35&lt;J34),FALSE)+IF(ISNUMBER('参数'!$G$36),K35&gt;='参数'!$G$36,FALSE)+IF(AND(ISNUMBER('参数'!$I$36),ISNUMBER(S35)),S35&lt;'参数'!$I$36,FALSE)+IF(AND(ISNUMBER(R35),ISNUMBER(R34)),R35&lt;R34,FALSE)),"")</f>
        <v/>
      </c>
      <c r="Z35" s="41" t="str">
        <f>IF(NOT(AND(ISNUMBER(J35),ISNUMBER(K35))),"",IF(COUNT(T35:Y35)=0,"先填阈值",IF(MAX(AD35:AI35)=0,"不写",INDEX($T$4:$Y$4,MATCH(MAX(AD35:AI35),AD35:AI35,0))&amp;"·"&amp;IF(MAX(AD35:AI35)&gt;=200,"高","中")&amp;IF(LARGE(AD35:AI35,2)&gt;0,"（也像"&amp;INDEX($T$4:$Y$4,MATCH(LARGE(AD35:AI35,2),AD35:AI35,0))&amp;"·"&amp;IF(LARGE(AD35:AI35,2)&gt;=200,"高","中")&amp;"）",""))))</f>
        <v/>
      </c>
      <c r="AA35" s="27" t="n"/>
      <c r="AB35" s="32" t="n"/>
      <c r="AC35" s="16" t="n"/>
      <c r="AD35" s="40">
        <f>IF(N(T35)&gt;=3,IF(T35=4,2,1)*100+T35*10+6,0)</f>
        <v>0</v>
      </c>
      <c r="AE35" s="40">
        <f>IF(N(U35)&gt;=3,1*100+U35*10+1,0)</f>
        <v>0</v>
      </c>
      <c r="AF35" s="40">
        <f>IF(N(V35)&gt;=3,IF(V35=4,2,1)*100+V35*10+2,0)</f>
        <v>0</v>
      </c>
      <c r="AG35" s="40">
        <f>IF(N(W35)&gt;=3,1*100+W35*10+3,0)</f>
        <v>0</v>
      </c>
      <c r="AH35" s="40">
        <f>IF(N(X35)&gt;=3,1*100+X35*10+4,0)</f>
        <v>0</v>
      </c>
      <c r="AI35" s="40">
        <f>IF(N(Y35)&gt;=3,IF(AND(N(T35)&gt;=3,OR(N(T35)=4,N(Y35)&lt;=N(T35))),0,IF(Y35=4,2,1)*100+Y35*10+5),0)</f>
        <v>0</v>
      </c>
    </row>
    <row r="36">
      <c r="A36" s="31" t="n"/>
      <c r="B36" s="36" t="str">
        <f>IF(ISNUMBER(A36),"周"&amp;CHOOSE(WEEKDAY(A36,2),"一","二","三","四","五","六","日"),"")</f>
        <v/>
      </c>
      <c r="C36" s="37" t="n"/>
      <c r="D36" s="37" t="n"/>
      <c r="E36" s="37" t="n"/>
      <c r="F36" s="17" t="n"/>
      <c r="G36" s="38" t="str">
        <f>IF(AND(ISNUMBER(F36),ISNUMBER(F35)),IF(F35=0,"",F36/F35-1),"")</f>
        <v/>
      </c>
      <c r="H36" s="17" t="n"/>
      <c r="I36" s="17" t="n"/>
      <c r="J36" s="17" t="n"/>
      <c r="K36" s="17" t="n"/>
      <c r="L36" s="17" t="n"/>
      <c r="M36" s="17" t="n"/>
      <c r="N36" s="39" t="str">
        <f>IF(AND(ISNUMBER(L36),ISNUMBER(M36),N(L36)&gt;0),M36/L36,"")</f>
        <v/>
      </c>
      <c r="O36" s="17" t="n"/>
      <c r="P36" s="17" t="n"/>
      <c r="Q36" s="39" t="str">
        <f>IF(AND(ISNUMBER(O36),ISNUMBER(P36),N(O36)&gt;0),P36/O36,"")</f>
        <v/>
      </c>
      <c r="R36" s="17" t="n"/>
      <c r="S36" s="37" t="n"/>
      <c r="T36" s="40" t="str">
        <f>IF(AND(ISNUMBER(J36),ISNUMBER(K36)),IF(N(ISNUMBER('参数'!$E$31))+N(ISNUMBER('参数'!$G$31))+N(ISNUMBER('参数'!$I$31))+N(ISNUMBER('参数'!$K$31))=0,"",IF(ISNUMBER('参数'!$E$31),J36&lt;='参数'!$E$31,FALSE)+IF(ISNUMBER('参数'!$G$31),K36&gt;='参数'!$G$31,FALSE)+IF(AND(ISNUMBER('参数'!$I$31),ISNUMBER(N36)),N36&gt;='参数'!$I$31,FALSE)+IF(AND(ISNUMBER('参数'!$K$31),ISNUMBER(Q36)),Q36&lt;='参数'!$K$31,FALSE)),"")</f>
        <v/>
      </c>
      <c r="U36" s="40" t="str">
        <f>IF(AND(ISNUMBER(J36),ISNUMBER(K36)),IF(N(ISNUMBER('参数'!$G$32))+N(ISNUMBER('参数'!$I$32))+N(ISNUMBER('参数'!$K$32))=0,"",IF(AND(ISNUMBER(J35),ISNUMBER(J34)),AND(J36&gt;J35,J35&gt;J34),FALSE)+IF(ISNUMBER('参数'!$G$32),J36&lt;'参数'!$G$32,FALSE)+IF(AND(ISNUMBER('参数'!$I$32),ISNUMBER(Q36)),Q36&gt;='参数'!$I$32,FALSE)+IF(AND(ISNUMBER('参数'!$K$32),ISNUMBER(S36)),S36&gt;='参数'!$K$32,FALSE)),"")</f>
        <v/>
      </c>
      <c r="V36" s="40" t="str">
        <f>IF(AND(ISNUMBER(J36),ISNUMBER(K36)),IF(N(ISNUMBER('参数'!$E$33))+N(ISNUMBER('参数'!$G$33))+N(ISNUMBER('参数'!$I$33))+N(ISNUMBER('参数'!$K$33))=0,"",IF(AND(ISNUMBER('参数'!$E$33),ISNUMBER(J35)),AND(J36&gt;='参数'!$E$33,J36&gt;J35),FALSE)+IF(AND(ISNUMBER('参数'!$G$33),ISNUMBER(N36)),N36&lt;='参数'!$G$33,FALSE)+IF(AND(ISNUMBER('参数'!$I$33),ISNUMBER(Q36)),Q36&gt;='参数'!$I$33,FALSE)+IF(AND(ISNUMBER('参数'!$K$33),ISNUMBER(S36)),S36&gt;='参数'!$K$33,FALSE)),"")</f>
        <v/>
      </c>
      <c r="W36" s="40" t="str">
        <f>IF(AND(ISNUMBER(J36),ISNUMBER(K36)),IF(N(ISNUMBER('参数'!$E$34))+N(ISNUMBER('参数'!$G$34))+N(ISNUMBER('参数'!$I$34))+N(ISNUMBER('参数'!$K$34))=0,"",IF(ISNUMBER('参数'!$E$34),J36&gt;='参数'!$E$34,FALSE)+IF(AND(ISNUMBER('参数'!$G$34),ISNUMBER(N36)),N36&lt;='参数'!$G$34,FALSE)+IF(AND(ISNUMBER('参数'!$I$34),ISNUMBER(S36)),S36&gt;='参数'!$I$34,FALSE)+IF(AND(ISNUMBER('参数'!$K$34),ISNUMBER(R36)),R36&gt;='参数'!$K$34,FALSE)),"")</f>
        <v/>
      </c>
      <c r="X36" s="40" t="str">
        <f>IF(AND(ISNUMBER(J36),ISNUMBER(K36)),IF(N(ISNUMBER('参数'!$E$35))+N(ISNUMBER('参数'!$G$35))+N(ISNUMBER('参数'!$I$35))=0,"",IF(AND(ISNUMBER('参数'!$E$35),ISNUMBER(N36),ISNUMBER(N35)),ROUND(N36-N35,6)&gt;='参数'!$E$35,FALSE)+IF(AND(ISNUMBER('参数'!$G$35),ISNUMBER(Q36),ISNUMBER(Q35)),ROUND(Q35-Q36,6)&gt;='参数'!$G$35,FALSE)+IF(AND(ISNUMBER('参数'!$I$35),ISNUMBER(S36),ISNUMBER(S35)),ROUND(S35-S36,6)&gt;='参数'!$I$35,FALSE)+IF(ISNUMBER(J35),J36&lt;J35,FALSE)),"")</f>
        <v/>
      </c>
      <c r="Y36" s="40" t="str">
        <f>IF(AND(ISNUMBER(J36),ISNUMBER(K36)),IF(N(ISNUMBER('参数'!$E$36))+N(ISNUMBER('参数'!$G$36))+N(ISNUMBER('参数'!$I$36))=0,"",IF(AND(ISNUMBER('参数'!$E$36),ISNUMBER(J35)),AND(J36&lt;='参数'!$E$36,J36&lt;J35),FALSE)+IF(ISNUMBER('参数'!$G$36),K36&gt;='参数'!$G$36,FALSE)+IF(AND(ISNUMBER('参数'!$I$36),ISNUMBER(S36)),S36&lt;'参数'!$I$36,FALSE)+IF(AND(ISNUMBER(R36),ISNUMBER(R35)),R36&lt;R35,FALSE)),"")</f>
        <v/>
      </c>
      <c r="Z36" s="41" t="str">
        <f>IF(NOT(AND(ISNUMBER(J36),ISNUMBER(K36))),"",IF(COUNT(T36:Y36)=0,"先填阈值",IF(MAX(AD36:AI36)=0,"不写",INDEX($T$4:$Y$4,MATCH(MAX(AD36:AI36),AD36:AI36,0))&amp;"·"&amp;IF(MAX(AD36:AI36)&gt;=200,"高","中")&amp;IF(LARGE(AD36:AI36,2)&gt;0,"（也像"&amp;INDEX($T$4:$Y$4,MATCH(LARGE(AD36:AI36,2),AD36:AI36,0))&amp;"·"&amp;IF(LARGE(AD36:AI36,2)&gt;=200,"高","中")&amp;"）",""))))</f>
        <v/>
      </c>
      <c r="AA36" s="27" t="n"/>
      <c r="AB36" s="32" t="n"/>
      <c r="AC36" s="16" t="n"/>
      <c r="AD36" s="40">
        <f>IF(N(T36)&gt;=3,IF(T36=4,2,1)*100+T36*10+6,0)</f>
        <v>0</v>
      </c>
      <c r="AE36" s="40">
        <f>IF(N(U36)&gt;=3,1*100+U36*10+1,0)</f>
        <v>0</v>
      </c>
      <c r="AF36" s="40">
        <f>IF(N(V36)&gt;=3,IF(V36=4,2,1)*100+V36*10+2,0)</f>
        <v>0</v>
      </c>
      <c r="AG36" s="40">
        <f>IF(N(W36)&gt;=3,1*100+W36*10+3,0)</f>
        <v>0</v>
      </c>
      <c r="AH36" s="40">
        <f>IF(N(X36)&gt;=3,1*100+X36*10+4,0)</f>
        <v>0</v>
      </c>
      <c r="AI36" s="40">
        <f>IF(N(Y36)&gt;=3,IF(AND(N(T36)&gt;=3,OR(N(T36)=4,N(Y36)&lt;=N(T36))),0,IF(Y36=4,2,1)*100+Y36*10+5),0)</f>
        <v>0</v>
      </c>
    </row>
    <row r="37">
      <c r="A37" s="31" t="n"/>
      <c r="B37" s="36" t="str">
        <f>IF(ISNUMBER(A37),"周"&amp;CHOOSE(WEEKDAY(A37,2),"一","二","三","四","五","六","日"),"")</f>
        <v/>
      </c>
      <c r="C37" s="37" t="n"/>
      <c r="D37" s="37" t="n"/>
      <c r="E37" s="37" t="n"/>
      <c r="F37" s="17" t="n"/>
      <c r="G37" s="38" t="str">
        <f>IF(AND(ISNUMBER(F37),ISNUMBER(F36)),IF(F36=0,"",F37/F36-1),"")</f>
        <v/>
      </c>
      <c r="H37" s="17" t="n"/>
      <c r="I37" s="17" t="n"/>
      <c r="J37" s="17" t="n"/>
      <c r="K37" s="17" t="n"/>
      <c r="L37" s="17" t="n"/>
      <c r="M37" s="17" t="n"/>
      <c r="N37" s="39" t="str">
        <f>IF(AND(ISNUMBER(L37),ISNUMBER(M37),N(L37)&gt;0),M37/L37,"")</f>
        <v/>
      </c>
      <c r="O37" s="17" t="n"/>
      <c r="P37" s="17" t="n"/>
      <c r="Q37" s="39" t="str">
        <f>IF(AND(ISNUMBER(O37),ISNUMBER(P37),N(O37)&gt;0),P37/O37,"")</f>
        <v/>
      </c>
      <c r="R37" s="17" t="n"/>
      <c r="S37" s="37" t="n"/>
      <c r="T37" s="40" t="str">
        <f>IF(AND(ISNUMBER(J37),ISNUMBER(K37)),IF(N(ISNUMBER('参数'!$E$31))+N(ISNUMBER('参数'!$G$31))+N(ISNUMBER('参数'!$I$31))+N(ISNUMBER('参数'!$K$31))=0,"",IF(ISNUMBER('参数'!$E$31),J37&lt;='参数'!$E$31,FALSE)+IF(ISNUMBER('参数'!$G$31),K37&gt;='参数'!$G$31,FALSE)+IF(AND(ISNUMBER('参数'!$I$31),ISNUMBER(N37)),N37&gt;='参数'!$I$31,FALSE)+IF(AND(ISNUMBER('参数'!$K$31),ISNUMBER(Q37)),Q37&lt;='参数'!$K$31,FALSE)),"")</f>
        <v/>
      </c>
      <c r="U37" s="40" t="str">
        <f>IF(AND(ISNUMBER(J37),ISNUMBER(K37)),IF(N(ISNUMBER('参数'!$G$32))+N(ISNUMBER('参数'!$I$32))+N(ISNUMBER('参数'!$K$32))=0,"",IF(AND(ISNUMBER(J36),ISNUMBER(J35)),AND(J37&gt;J36,J36&gt;J35),FALSE)+IF(ISNUMBER('参数'!$G$32),J37&lt;'参数'!$G$32,FALSE)+IF(AND(ISNUMBER('参数'!$I$32),ISNUMBER(Q37)),Q37&gt;='参数'!$I$32,FALSE)+IF(AND(ISNUMBER('参数'!$K$32),ISNUMBER(S37)),S37&gt;='参数'!$K$32,FALSE)),"")</f>
        <v/>
      </c>
      <c r="V37" s="40" t="str">
        <f>IF(AND(ISNUMBER(J37),ISNUMBER(K37)),IF(N(ISNUMBER('参数'!$E$33))+N(ISNUMBER('参数'!$G$33))+N(ISNUMBER('参数'!$I$33))+N(ISNUMBER('参数'!$K$33))=0,"",IF(AND(ISNUMBER('参数'!$E$33),ISNUMBER(J36)),AND(J37&gt;='参数'!$E$33,J37&gt;J36),FALSE)+IF(AND(ISNUMBER('参数'!$G$33),ISNUMBER(N37)),N37&lt;='参数'!$G$33,FALSE)+IF(AND(ISNUMBER('参数'!$I$33),ISNUMBER(Q37)),Q37&gt;='参数'!$I$33,FALSE)+IF(AND(ISNUMBER('参数'!$K$33),ISNUMBER(S37)),S37&gt;='参数'!$K$33,FALSE)),"")</f>
        <v/>
      </c>
      <c r="W37" s="40" t="str">
        <f>IF(AND(ISNUMBER(J37),ISNUMBER(K37)),IF(N(ISNUMBER('参数'!$E$34))+N(ISNUMBER('参数'!$G$34))+N(ISNUMBER('参数'!$I$34))+N(ISNUMBER('参数'!$K$34))=0,"",IF(ISNUMBER('参数'!$E$34),J37&gt;='参数'!$E$34,FALSE)+IF(AND(ISNUMBER('参数'!$G$34),ISNUMBER(N37)),N37&lt;='参数'!$G$34,FALSE)+IF(AND(ISNUMBER('参数'!$I$34),ISNUMBER(S37)),S37&gt;='参数'!$I$34,FALSE)+IF(AND(ISNUMBER('参数'!$K$34),ISNUMBER(R37)),R37&gt;='参数'!$K$34,FALSE)),"")</f>
        <v/>
      </c>
      <c r="X37" s="40" t="str">
        <f>IF(AND(ISNUMBER(J37),ISNUMBER(K37)),IF(N(ISNUMBER('参数'!$E$35))+N(ISNUMBER('参数'!$G$35))+N(ISNUMBER('参数'!$I$35))=0,"",IF(AND(ISNUMBER('参数'!$E$35),ISNUMBER(N37),ISNUMBER(N36)),ROUND(N37-N36,6)&gt;='参数'!$E$35,FALSE)+IF(AND(ISNUMBER('参数'!$G$35),ISNUMBER(Q37),ISNUMBER(Q36)),ROUND(Q36-Q37,6)&gt;='参数'!$G$35,FALSE)+IF(AND(ISNUMBER('参数'!$I$35),ISNUMBER(S37),ISNUMBER(S36)),ROUND(S36-S37,6)&gt;='参数'!$I$35,FALSE)+IF(ISNUMBER(J36),J37&lt;J36,FALSE)),"")</f>
        <v/>
      </c>
      <c r="Y37" s="40" t="str">
        <f>IF(AND(ISNUMBER(J37),ISNUMBER(K37)),IF(N(ISNUMBER('参数'!$E$36))+N(ISNUMBER('参数'!$G$36))+N(ISNUMBER('参数'!$I$36))=0,"",IF(AND(ISNUMBER('参数'!$E$36),ISNUMBER(J36)),AND(J37&lt;='参数'!$E$36,J37&lt;J36),FALSE)+IF(ISNUMBER('参数'!$G$36),K37&gt;='参数'!$G$36,FALSE)+IF(AND(ISNUMBER('参数'!$I$36),ISNUMBER(S37)),S37&lt;'参数'!$I$36,FALSE)+IF(AND(ISNUMBER(R37),ISNUMBER(R36)),R37&lt;R36,FALSE)),"")</f>
        <v/>
      </c>
      <c r="Z37" s="41" t="str">
        <f>IF(NOT(AND(ISNUMBER(J37),ISNUMBER(K37))),"",IF(COUNT(T37:Y37)=0,"先填阈值",IF(MAX(AD37:AI37)=0,"不写",INDEX($T$4:$Y$4,MATCH(MAX(AD37:AI37),AD37:AI37,0))&amp;"·"&amp;IF(MAX(AD37:AI37)&gt;=200,"高","中")&amp;IF(LARGE(AD37:AI37,2)&gt;0,"（也像"&amp;INDEX($T$4:$Y$4,MATCH(LARGE(AD37:AI37,2),AD37:AI37,0))&amp;"·"&amp;IF(LARGE(AD37:AI37,2)&gt;=200,"高","中")&amp;"）",""))))</f>
        <v/>
      </c>
      <c r="AA37" s="27" t="n"/>
      <c r="AB37" s="32" t="n"/>
      <c r="AC37" s="16" t="n"/>
      <c r="AD37" s="40">
        <f>IF(N(T37)&gt;=3,IF(T37=4,2,1)*100+T37*10+6,0)</f>
        <v>0</v>
      </c>
      <c r="AE37" s="40">
        <f>IF(N(U37)&gt;=3,1*100+U37*10+1,0)</f>
        <v>0</v>
      </c>
      <c r="AF37" s="40">
        <f>IF(N(V37)&gt;=3,IF(V37=4,2,1)*100+V37*10+2,0)</f>
        <v>0</v>
      </c>
      <c r="AG37" s="40">
        <f>IF(N(W37)&gt;=3,1*100+W37*10+3,0)</f>
        <v>0</v>
      </c>
      <c r="AH37" s="40">
        <f>IF(N(X37)&gt;=3,1*100+X37*10+4,0)</f>
        <v>0</v>
      </c>
      <c r="AI37" s="40">
        <f>IF(N(Y37)&gt;=3,IF(AND(N(T37)&gt;=3,OR(N(T37)=4,N(Y37)&lt;=N(T37))),0,IF(Y37=4,2,1)*100+Y37*10+5),0)</f>
        <v>0</v>
      </c>
    </row>
    <row r="38">
      <c r="A38" s="31" t="n"/>
      <c r="B38" s="36" t="str">
        <f>IF(ISNUMBER(A38),"周"&amp;CHOOSE(WEEKDAY(A38,2),"一","二","三","四","五","六","日"),"")</f>
        <v/>
      </c>
      <c r="C38" s="37" t="n"/>
      <c r="D38" s="37" t="n"/>
      <c r="E38" s="37" t="n"/>
      <c r="F38" s="17" t="n"/>
      <c r="G38" s="38" t="str">
        <f>IF(AND(ISNUMBER(F38),ISNUMBER(F37)),IF(F37=0,"",F38/F37-1),"")</f>
        <v/>
      </c>
      <c r="H38" s="17" t="n"/>
      <c r="I38" s="17" t="n"/>
      <c r="J38" s="17" t="n"/>
      <c r="K38" s="17" t="n"/>
      <c r="L38" s="17" t="n"/>
      <c r="M38" s="17" t="n"/>
      <c r="N38" s="39" t="str">
        <f>IF(AND(ISNUMBER(L38),ISNUMBER(M38),N(L38)&gt;0),M38/L38,"")</f>
        <v/>
      </c>
      <c r="O38" s="17" t="n"/>
      <c r="P38" s="17" t="n"/>
      <c r="Q38" s="39" t="str">
        <f>IF(AND(ISNUMBER(O38),ISNUMBER(P38),N(O38)&gt;0),P38/O38,"")</f>
        <v/>
      </c>
      <c r="R38" s="17" t="n"/>
      <c r="S38" s="37" t="n"/>
      <c r="T38" s="40" t="str">
        <f>IF(AND(ISNUMBER(J38),ISNUMBER(K38)),IF(N(ISNUMBER('参数'!$E$31))+N(ISNUMBER('参数'!$G$31))+N(ISNUMBER('参数'!$I$31))+N(ISNUMBER('参数'!$K$31))=0,"",IF(ISNUMBER('参数'!$E$31),J38&lt;='参数'!$E$31,FALSE)+IF(ISNUMBER('参数'!$G$31),K38&gt;='参数'!$G$31,FALSE)+IF(AND(ISNUMBER('参数'!$I$31),ISNUMBER(N38)),N38&gt;='参数'!$I$31,FALSE)+IF(AND(ISNUMBER('参数'!$K$31),ISNUMBER(Q38)),Q38&lt;='参数'!$K$31,FALSE)),"")</f>
        <v/>
      </c>
      <c r="U38" s="40" t="str">
        <f>IF(AND(ISNUMBER(J38),ISNUMBER(K38)),IF(N(ISNUMBER('参数'!$G$32))+N(ISNUMBER('参数'!$I$32))+N(ISNUMBER('参数'!$K$32))=0,"",IF(AND(ISNUMBER(J37),ISNUMBER(J36)),AND(J38&gt;J37,J37&gt;J36),FALSE)+IF(ISNUMBER('参数'!$G$32),J38&lt;'参数'!$G$32,FALSE)+IF(AND(ISNUMBER('参数'!$I$32),ISNUMBER(Q38)),Q38&gt;='参数'!$I$32,FALSE)+IF(AND(ISNUMBER('参数'!$K$32),ISNUMBER(S38)),S38&gt;='参数'!$K$32,FALSE)),"")</f>
        <v/>
      </c>
      <c r="V38" s="40" t="str">
        <f>IF(AND(ISNUMBER(J38),ISNUMBER(K38)),IF(N(ISNUMBER('参数'!$E$33))+N(ISNUMBER('参数'!$G$33))+N(ISNUMBER('参数'!$I$33))+N(ISNUMBER('参数'!$K$33))=0,"",IF(AND(ISNUMBER('参数'!$E$33),ISNUMBER(J37)),AND(J38&gt;='参数'!$E$33,J38&gt;J37),FALSE)+IF(AND(ISNUMBER('参数'!$G$33),ISNUMBER(N38)),N38&lt;='参数'!$G$33,FALSE)+IF(AND(ISNUMBER('参数'!$I$33),ISNUMBER(Q38)),Q38&gt;='参数'!$I$33,FALSE)+IF(AND(ISNUMBER('参数'!$K$33),ISNUMBER(S38)),S38&gt;='参数'!$K$33,FALSE)),"")</f>
        <v/>
      </c>
      <c r="W38" s="40" t="str">
        <f>IF(AND(ISNUMBER(J38),ISNUMBER(K38)),IF(N(ISNUMBER('参数'!$E$34))+N(ISNUMBER('参数'!$G$34))+N(ISNUMBER('参数'!$I$34))+N(ISNUMBER('参数'!$K$34))=0,"",IF(ISNUMBER('参数'!$E$34),J38&gt;='参数'!$E$34,FALSE)+IF(AND(ISNUMBER('参数'!$G$34),ISNUMBER(N38)),N38&lt;='参数'!$G$34,FALSE)+IF(AND(ISNUMBER('参数'!$I$34),ISNUMBER(S38)),S38&gt;='参数'!$I$34,FALSE)+IF(AND(ISNUMBER('参数'!$K$34),ISNUMBER(R38)),R38&gt;='参数'!$K$34,FALSE)),"")</f>
        <v/>
      </c>
      <c r="X38" s="40" t="str">
        <f>IF(AND(ISNUMBER(J38),ISNUMBER(K38)),IF(N(ISNUMBER('参数'!$E$35))+N(ISNUMBER('参数'!$G$35))+N(ISNUMBER('参数'!$I$35))=0,"",IF(AND(ISNUMBER('参数'!$E$35),ISNUMBER(N38),ISNUMBER(N37)),ROUND(N38-N37,6)&gt;='参数'!$E$35,FALSE)+IF(AND(ISNUMBER('参数'!$G$35),ISNUMBER(Q38),ISNUMBER(Q37)),ROUND(Q37-Q38,6)&gt;='参数'!$G$35,FALSE)+IF(AND(ISNUMBER('参数'!$I$35),ISNUMBER(S38),ISNUMBER(S37)),ROUND(S37-S38,6)&gt;='参数'!$I$35,FALSE)+IF(ISNUMBER(J37),J38&lt;J37,FALSE)),"")</f>
        <v/>
      </c>
      <c r="Y38" s="40" t="str">
        <f>IF(AND(ISNUMBER(J38),ISNUMBER(K38)),IF(N(ISNUMBER('参数'!$E$36))+N(ISNUMBER('参数'!$G$36))+N(ISNUMBER('参数'!$I$36))=0,"",IF(AND(ISNUMBER('参数'!$E$36),ISNUMBER(J37)),AND(J38&lt;='参数'!$E$36,J38&lt;J37),FALSE)+IF(ISNUMBER('参数'!$G$36),K38&gt;='参数'!$G$36,FALSE)+IF(AND(ISNUMBER('参数'!$I$36),ISNUMBER(S38)),S38&lt;'参数'!$I$36,FALSE)+IF(AND(ISNUMBER(R38),ISNUMBER(R37)),R38&lt;R37,FALSE)),"")</f>
        <v/>
      </c>
      <c r="Z38" s="41" t="str">
        <f>IF(NOT(AND(ISNUMBER(J38),ISNUMBER(K38))),"",IF(COUNT(T38:Y38)=0,"先填阈值",IF(MAX(AD38:AI38)=0,"不写",INDEX($T$4:$Y$4,MATCH(MAX(AD38:AI38),AD38:AI38,0))&amp;"·"&amp;IF(MAX(AD38:AI38)&gt;=200,"高","中")&amp;IF(LARGE(AD38:AI38,2)&gt;0,"（也像"&amp;INDEX($T$4:$Y$4,MATCH(LARGE(AD38:AI38,2),AD38:AI38,0))&amp;"·"&amp;IF(LARGE(AD38:AI38,2)&gt;=200,"高","中")&amp;"）",""))))</f>
        <v/>
      </c>
      <c r="AA38" s="27" t="n"/>
      <c r="AB38" s="32" t="n"/>
      <c r="AC38" s="16" t="n"/>
      <c r="AD38" s="40">
        <f>IF(N(T38)&gt;=3,IF(T38=4,2,1)*100+T38*10+6,0)</f>
        <v>0</v>
      </c>
      <c r="AE38" s="40">
        <f>IF(N(U38)&gt;=3,1*100+U38*10+1,0)</f>
        <v>0</v>
      </c>
      <c r="AF38" s="40">
        <f>IF(N(V38)&gt;=3,IF(V38=4,2,1)*100+V38*10+2,0)</f>
        <v>0</v>
      </c>
      <c r="AG38" s="40">
        <f>IF(N(W38)&gt;=3,1*100+W38*10+3,0)</f>
        <v>0</v>
      </c>
      <c r="AH38" s="40">
        <f>IF(N(X38)&gt;=3,1*100+X38*10+4,0)</f>
        <v>0</v>
      </c>
      <c r="AI38" s="40">
        <f>IF(N(Y38)&gt;=3,IF(AND(N(T38)&gt;=3,OR(N(T38)=4,N(Y38)&lt;=N(T38))),0,IF(Y38=4,2,1)*100+Y38*10+5),0)</f>
        <v>0</v>
      </c>
    </row>
    <row r="39">
      <c r="A39" s="31" t="n"/>
      <c r="B39" s="36" t="str">
        <f>IF(ISNUMBER(A39),"周"&amp;CHOOSE(WEEKDAY(A39,2),"一","二","三","四","五","六","日"),"")</f>
        <v/>
      </c>
      <c r="C39" s="37" t="n"/>
      <c r="D39" s="37" t="n"/>
      <c r="E39" s="37" t="n"/>
      <c r="F39" s="17" t="n"/>
      <c r="G39" s="38" t="str">
        <f>IF(AND(ISNUMBER(F39),ISNUMBER(F38)),IF(F38=0,"",F39/F38-1),"")</f>
        <v/>
      </c>
      <c r="H39" s="17" t="n"/>
      <c r="I39" s="17" t="n"/>
      <c r="J39" s="17" t="n"/>
      <c r="K39" s="17" t="n"/>
      <c r="L39" s="17" t="n"/>
      <c r="M39" s="17" t="n"/>
      <c r="N39" s="39" t="str">
        <f>IF(AND(ISNUMBER(L39),ISNUMBER(M39),N(L39)&gt;0),M39/L39,"")</f>
        <v/>
      </c>
      <c r="O39" s="17" t="n"/>
      <c r="P39" s="17" t="n"/>
      <c r="Q39" s="39" t="str">
        <f>IF(AND(ISNUMBER(O39),ISNUMBER(P39),N(O39)&gt;0),P39/O39,"")</f>
        <v/>
      </c>
      <c r="R39" s="17" t="n"/>
      <c r="S39" s="37" t="n"/>
      <c r="T39" s="40" t="str">
        <f>IF(AND(ISNUMBER(J39),ISNUMBER(K39)),IF(N(ISNUMBER('参数'!$E$31))+N(ISNUMBER('参数'!$G$31))+N(ISNUMBER('参数'!$I$31))+N(ISNUMBER('参数'!$K$31))=0,"",IF(ISNUMBER('参数'!$E$31),J39&lt;='参数'!$E$31,FALSE)+IF(ISNUMBER('参数'!$G$31),K39&gt;='参数'!$G$31,FALSE)+IF(AND(ISNUMBER('参数'!$I$31),ISNUMBER(N39)),N39&gt;='参数'!$I$31,FALSE)+IF(AND(ISNUMBER('参数'!$K$31),ISNUMBER(Q39)),Q39&lt;='参数'!$K$31,FALSE)),"")</f>
        <v/>
      </c>
      <c r="U39" s="40" t="str">
        <f>IF(AND(ISNUMBER(J39),ISNUMBER(K39)),IF(N(ISNUMBER('参数'!$G$32))+N(ISNUMBER('参数'!$I$32))+N(ISNUMBER('参数'!$K$32))=0,"",IF(AND(ISNUMBER(J38),ISNUMBER(J37)),AND(J39&gt;J38,J38&gt;J37),FALSE)+IF(ISNUMBER('参数'!$G$32),J39&lt;'参数'!$G$32,FALSE)+IF(AND(ISNUMBER('参数'!$I$32),ISNUMBER(Q39)),Q39&gt;='参数'!$I$32,FALSE)+IF(AND(ISNUMBER('参数'!$K$32),ISNUMBER(S39)),S39&gt;='参数'!$K$32,FALSE)),"")</f>
        <v/>
      </c>
      <c r="V39" s="40" t="str">
        <f>IF(AND(ISNUMBER(J39),ISNUMBER(K39)),IF(N(ISNUMBER('参数'!$E$33))+N(ISNUMBER('参数'!$G$33))+N(ISNUMBER('参数'!$I$33))+N(ISNUMBER('参数'!$K$33))=0,"",IF(AND(ISNUMBER('参数'!$E$33),ISNUMBER(J38)),AND(J39&gt;='参数'!$E$33,J39&gt;J38),FALSE)+IF(AND(ISNUMBER('参数'!$G$33),ISNUMBER(N39)),N39&lt;='参数'!$G$33,FALSE)+IF(AND(ISNUMBER('参数'!$I$33),ISNUMBER(Q39)),Q39&gt;='参数'!$I$33,FALSE)+IF(AND(ISNUMBER('参数'!$K$33),ISNUMBER(S39)),S39&gt;='参数'!$K$33,FALSE)),"")</f>
        <v/>
      </c>
      <c r="W39" s="40" t="str">
        <f>IF(AND(ISNUMBER(J39),ISNUMBER(K39)),IF(N(ISNUMBER('参数'!$E$34))+N(ISNUMBER('参数'!$G$34))+N(ISNUMBER('参数'!$I$34))+N(ISNUMBER('参数'!$K$34))=0,"",IF(ISNUMBER('参数'!$E$34),J39&gt;='参数'!$E$34,FALSE)+IF(AND(ISNUMBER('参数'!$G$34),ISNUMBER(N39)),N39&lt;='参数'!$G$34,FALSE)+IF(AND(ISNUMBER('参数'!$I$34),ISNUMBER(S39)),S39&gt;='参数'!$I$34,FALSE)+IF(AND(ISNUMBER('参数'!$K$34),ISNUMBER(R39)),R39&gt;='参数'!$K$34,FALSE)),"")</f>
        <v/>
      </c>
      <c r="X39" s="40" t="str">
        <f>IF(AND(ISNUMBER(J39),ISNUMBER(K39)),IF(N(ISNUMBER('参数'!$E$35))+N(ISNUMBER('参数'!$G$35))+N(ISNUMBER('参数'!$I$35))=0,"",IF(AND(ISNUMBER('参数'!$E$35),ISNUMBER(N39),ISNUMBER(N38)),ROUND(N39-N38,6)&gt;='参数'!$E$35,FALSE)+IF(AND(ISNUMBER('参数'!$G$35),ISNUMBER(Q39),ISNUMBER(Q38)),ROUND(Q38-Q39,6)&gt;='参数'!$G$35,FALSE)+IF(AND(ISNUMBER('参数'!$I$35),ISNUMBER(S39),ISNUMBER(S38)),ROUND(S38-S39,6)&gt;='参数'!$I$35,FALSE)+IF(ISNUMBER(J38),J39&lt;J38,FALSE)),"")</f>
        <v/>
      </c>
      <c r="Y39" s="40" t="str">
        <f>IF(AND(ISNUMBER(J39),ISNUMBER(K39)),IF(N(ISNUMBER('参数'!$E$36))+N(ISNUMBER('参数'!$G$36))+N(ISNUMBER('参数'!$I$36))=0,"",IF(AND(ISNUMBER('参数'!$E$36),ISNUMBER(J38)),AND(J39&lt;='参数'!$E$36,J39&lt;J38),FALSE)+IF(ISNUMBER('参数'!$G$36),K39&gt;='参数'!$G$36,FALSE)+IF(AND(ISNUMBER('参数'!$I$36),ISNUMBER(S39)),S39&lt;'参数'!$I$36,FALSE)+IF(AND(ISNUMBER(R39),ISNUMBER(R38)),R39&lt;R38,FALSE)),"")</f>
        <v/>
      </c>
      <c r="Z39" s="41" t="str">
        <f>IF(NOT(AND(ISNUMBER(J39),ISNUMBER(K39))),"",IF(COUNT(T39:Y39)=0,"先填阈值",IF(MAX(AD39:AI39)=0,"不写",INDEX($T$4:$Y$4,MATCH(MAX(AD39:AI39),AD39:AI39,0))&amp;"·"&amp;IF(MAX(AD39:AI39)&gt;=200,"高","中")&amp;IF(LARGE(AD39:AI39,2)&gt;0,"（也像"&amp;INDEX($T$4:$Y$4,MATCH(LARGE(AD39:AI39,2),AD39:AI39,0))&amp;"·"&amp;IF(LARGE(AD39:AI39,2)&gt;=200,"高","中")&amp;"）",""))))</f>
        <v/>
      </c>
      <c r="AA39" s="27" t="n"/>
      <c r="AB39" s="32" t="n"/>
      <c r="AC39" s="16" t="n"/>
      <c r="AD39" s="40">
        <f>IF(N(T39)&gt;=3,IF(T39=4,2,1)*100+T39*10+6,0)</f>
        <v>0</v>
      </c>
      <c r="AE39" s="40">
        <f>IF(N(U39)&gt;=3,1*100+U39*10+1,0)</f>
        <v>0</v>
      </c>
      <c r="AF39" s="40">
        <f>IF(N(V39)&gt;=3,IF(V39=4,2,1)*100+V39*10+2,0)</f>
        <v>0</v>
      </c>
      <c r="AG39" s="40">
        <f>IF(N(W39)&gt;=3,1*100+W39*10+3,0)</f>
        <v>0</v>
      </c>
      <c r="AH39" s="40">
        <f>IF(N(X39)&gt;=3,1*100+X39*10+4,0)</f>
        <v>0</v>
      </c>
      <c r="AI39" s="40">
        <f>IF(N(Y39)&gt;=3,IF(AND(N(T39)&gt;=3,OR(N(T39)=4,N(Y39)&lt;=N(T39))),0,IF(Y39=4,2,1)*100+Y39*10+5),0)</f>
        <v>0</v>
      </c>
    </row>
    <row r="40">
      <c r="A40" s="31" t="n"/>
      <c r="B40" s="36" t="str">
        <f>IF(ISNUMBER(A40),"周"&amp;CHOOSE(WEEKDAY(A40,2),"一","二","三","四","五","六","日"),"")</f>
        <v/>
      </c>
      <c r="C40" s="37" t="n"/>
      <c r="D40" s="37" t="n"/>
      <c r="E40" s="37" t="n"/>
      <c r="F40" s="17" t="n"/>
      <c r="G40" s="38" t="str">
        <f>IF(AND(ISNUMBER(F40),ISNUMBER(F39)),IF(F39=0,"",F40/F39-1),"")</f>
        <v/>
      </c>
      <c r="H40" s="17" t="n"/>
      <c r="I40" s="17" t="n"/>
      <c r="J40" s="17" t="n"/>
      <c r="K40" s="17" t="n"/>
      <c r="L40" s="17" t="n"/>
      <c r="M40" s="17" t="n"/>
      <c r="N40" s="39" t="str">
        <f>IF(AND(ISNUMBER(L40),ISNUMBER(M40),N(L40)&gt;0),M40/L40,"")</f>
        <v/>
      </c>
      <c r="O40" s="17" t="n"/>
      <c r="P40" s="17" t="n"/>
      <c r="Q40" s="39" t="str">
        <f>IF(AND(ISNUMBER(O40),ISNUMBER(P40),N(O40)&gt;0),P40/O40,"")</f>
        <v/>
      </c>
      <c r="R40" s="17" t="n"/>
      <c r="S40" s="37" t="n"/>
      <c r="T40" s="40" t="str">
        <f>IF(AND(ISNUMBER(J40),ISNUMBER(K40)),IF(N(ISNUMBER('参数'!$E$31))+N(ISNUMBER('参数'!$G$31))+N(ISNUMBER('参数'!$I$31))+N(ISNUMBER('参数'!$K$31))=0,"",IF(ISNUMBER('参数'!$E$31),J40&lt;='参数'!$E$31,FALSE)+IF(ISNUMBER('参数'!$G$31),K40&gt;='参数'!$G$31,FALSE)+IF(AND(ISNUMBER('参数'!$I$31),ISNUMBER(N40)),N40&gt;='参数'!$I$31,FALSE)+IF(AND(ISNUMBER('参数'!$K$31),ISNUMBER(Q40)),Q40&lt;='参数'!$K$31,FALSE)),"")</f>
        <v/>
      </c>
      <c r="U40" s="40" t="str">
        <f>IF(AND(ISNUMBER(J40),ISNUMBER(K40)),IF(N(ISNUMBER('参数'!$G$32))+N(ISNUMBER('参数'!$I$32))+N(ISNUMBER('参数'!$K$32))=0,"",IF(AND(ISNUMBER(J39),ISNUMBER(J38)),AND(J40&gt;J39,J39&gt;J38),FALSE)+IF(ISNUMBER('参数'!$G$32),J40&lt;'参数'!$G$32,FALSE)+IF(AND(ISNUMBER('参数'!$I$32),ISNUMBER(Q40)),Q40&gt;='参数'!$I$32,FALSE)+IF(AND(ISNUMBER('参数'!$K$32),ISNUMBER(S40)),S40&gt;='参数'!$K$32,FALSE)),"")</f>
        <v/>
      </c>
      <c r="V40" s="40" t="str">
        <f>IF(AND(ISNUMBER(J40),ISNUMBER(K40)),IF(N(ISNUMBER('参数'!$E$33))+N(ISNUMBER('参数'!$G$33))+N(ISNUMBER('参数'!$I$33))+N(ISNUMBER('参数'!$K$33))=0,"",IF(AND(ISNUMBER('参数'!$E$33),ISNUMBER(J39)),AND(J40&gt;='参数'!$E$33,J40&gt;J39),FALSE)+IF(AND(ISNUMBER('参数'!$G$33),ISNUMBER(N40)),N40&lt;='参数'!$G$33,FALSE)+IF(AND(ISNUMBER('参数'!$I$33),ISNUMBER(Q40)),Q40&gt;='参数'!$I$33,FALSE)+IF(AND(ISNUMBER('参数'!$K$33),ISNUMBER(S40)),S40&gt;='参数'!$K$33,FALSE)),"")</f>
        <v/>
      </c>
      <c r="W40" s="40" t="str">
        <f>IF(AND(ISNUMBER(J40),ISNUMBER(K40)),IF(N(ISNUMBER('参数'!$E$34))+N(ISNUMBER('参数'!$G$34))+N(ISNUMBER('参数'!$I$34))+N(ISNUMBER('参数'!$K$34))=0,"",IF(ISNUMBER('参数'!$E$34),J40&gt;='参数'!$E$34,FALSE)+IF(AND(ISNUMBER('参数'!$G$34),ISNUMBER(N40)),N40&lt;='参数'!$G$34,FALSE)+IF(AND(ISNUMBER('参数'!$I$34),ISNUMBER(S40)),S40&gt;='参数'!$I$34,FALSE)+IF(AND(ISNUMBER('参数'!$K$34),ISNUMBER(R40)),R40&gt;='参数'!$K$34,FALSE)),"")</f>
        <v/>
      </c>
      <c r="X40" s="40" t="str">
        <f>IF(AND(ISNUMBER(J40),ISNUMBER(K40)),IF(N(ISNUMBER('参数'!$E$35))+N(ISNUMBER('参数'!$G$35))+N(ISNUMBER('参数'!$I$35))=0,"",IF(AND(ISNUMBER('参数'!$E$35),ISNUMBER(N40),ISNUMBER(N39)),ROUND(N40-N39,6)&gt;='参数'!$E$35,FALSE)+IF(AND(ISNUMBER('参数'!$G$35),ISNUMBER(Q40),ISNUMBER(Q39)),ROUND(Q39-Q40,6)&gt;='参数'!$G$35,FALSE)+IF(AND(ISNUMBER('参数'!$I$35),ISNUMBER(S40),ISNUMBER(S39)),ROUND(S39-S40,6)&gt;='参数'!$I$35,FALSE)+IF(ISNUMBER(J39),J40&lt;J39,FALSE)),"")</f>
        <v/>
      </c>
      <c r="Y40" s="40" t="str">
        <f>IF(AND(ISNUMBER(J40),ISNUMBER(K40)),IF(N(ISNUMBER('参数'!$E$36))+N(ISNUMBER('参数'!$G$36))+N(ISNUMBER('参数'!$I$36))=0,"",IF(AND(ISNUMBER('参数'!$E$36),ISNUMBER(J39)),AND(J40&lt;='参数'!$E$36,J40&lt;J39),FALSE)+IF(ISNUMBER('参数'!$G$36),K40&gt;='参数'!$G$36,FALSE)+IF(AND(ISNUMBER('参数'!$I$36),ISNUMBER(S40)),S40&lt;'参数'!$I$36,FALSE)+IF(AND(ISNUMBER(R40),ISNUMBER(R39)),R40&lt;R39,FALSE)),"")</f>
        <v/>
      </c>
      <c r="Z40" s="41" t="str">
        <f>IF(NOT(AND(ISNUMBER(J40),ISNUMBER(K40))),"",IF(COUNT(T40:Y40)=0,"先填阈值",IF(MAX(AD40:AI40)=0,"不写",INDEX($T$4:$Y$4,MATCH(MAX(AD40:AI40),AD40:AI40,0))&amp;"·"&amp;IF(MAX(AD40:AI40)&gt;=200,"高","中")&amp;IF(LARGE(AD40:AI40,2)&gt;0,"（也像"&amp;INDEX($T$4:$Y$4,MATCH(LARGE(AD40:AI40,2),AD40:AI40,0))&amp;"·"&amp;IF(LARGE(AD40:AI40,2)&gt;=200,"高","中")&amp;"）",""))))</f>
        <v/>
      </c>
      <c r="AA40" s="27" t="n"/>
      <c r="AB40" s="32" t="n"/>
      <c r="AC40" s="16" t="n"/>
      <c r="AD40" s="40">
        <f>IF(N(T40)&gt;=3,IF(T40=4,2,1)*100+T40*10+6,0)</f>
        <v>0</v>
      </c>
      <c r="AE40" s="40">
        <f>IF(N(U40)&gt;=3,1*100+U40*10+1,0)</f>
        <v>0</v>
      </c>
      <c r="AF40" s="40">
        <f>IF(N(V40)&gt;=3,IF(V40=4,2,1)*100+V40*10+2,0)</f>
        <v>0</v>
      </c>
      <c r="AG40" s="40">
        <f>IF(N(W40)&gt;=3,1*100+W40*10+3,0)</f>
        <v>0</v>
      </c>
      <c r="AH40" s="40">
        <f>IF(N(X40)&gt;=3,1*100+X40*10+4,0)</f>
        <v>0</v>
      </c>
      <c r="AI40" s="40">
        <f>IF(N(Y40)&gt;=3,IF(AND(N(T40)&gt;=3,OR(N(T40)=4,N(Y40)&lt;=N(T40))),0,IF(Y40=4,2,1)*100+Y40*10+5),0)</f>
        <v>0</v>
      </c>
    </row>
    <row r="41">
      <c r="A41" s="31" t="n"/>
      <c r="B41" s="36" t="str">
        <f>IF(ISNUMBER(A41),"周"&amp;CHOOSE(WEEKDAY(A41,2),"一","二","三","四","五","六","日"),"")</f>
        <v/>
      </c>
      <c r="C41" s="37" t="n"/>
      <c r="D41" s="37" t="n"/>
      <c r="E41" s="37" t="n"/>
      <c r="F41" s="17" t="n"/>
      <c r="G41" s="38" t="str">
        <f>IF(AND(ISNUMBER(F41),ISNUMBER(F40)),IF(F40=0,"",F41/F40-1),"")</f>
        <v/>
      </c>
      <c r="H41" s="17" t="n"/>
      <c r="I41" s="17" t="n"/>
      <c r="J41" s="17" t="n"/>
      <c r="K41" s="17" t="n"/>
      <c r="L41" s="17" t="n"/>
      <c r="M41" s="17" t="n"/>
      <c r="N41" s="39" t="str">
        <f>IF(AND(ISNUMBER(L41),ISNUMBER(M41),N(L41)&gt;0),M41/L41,"")</f>
        <v/>
      </c>
      <c r="O41" s="17" t="n"/>
      <c r="P41" s="17" t="n"/>
      <c r="Q41" s="39" t="str">
        <f>IF(AND(ISNUMBER(O41),ISNUMBER(P41),N(O41)&gt;0),P41/O41,"")</f>
        <v/>
      </c>
      <c r="R41" s="17" t="n"/>
      <c r="S41" s="37" t="n"/>
      <c r="T41" s="40" t="str">
        <f>IF(AND(ISNUMBER(J41),ISNUMBER(K41)),IF(N(ISNUMBER('参数'!$E$31))+N(ISNUMBER('参数'!$G$31))+N(ISNUMBER('参数'!$I$31))+N(ISNUMBER('参数'!$K$31))=0,"",IF(ISNUMBER('参数'!$E$31),J41&lt;='参数'!$E$31,FALSE)+IF(ISNUMBER('参数'!$G$31),K41&gt;='参数'!$G$31,FALSE)+IF(AND(ISNUMBER('参数'!$I$31),ISNUMBER(N41)),N41&gt;='参数'!$I$31,FALSE)+IF(AND(ISNUMBER('参数'!$K$31),ISNUMBER(Q41)),Q41&lt;='参数'!$K$31,FALSE)),"")</f>
        <v/>
      </c>
      <c r="U41" s="40" t="str">
        <f>IF(AND(ISNUMBER(J41),ISNUMBER(K41)),IF(N(ISNUMBER('参数'!$G$32))+N(ISNUMBER('参数'!$I$32))+N(ISNUMBER('参数'!$K$32))=0,"",IF(AND(ISNUMBER(J40),ISNUMBER(J39)),AND(J41&gt;J40,J40&gt;J39),FALSE)+IF(ISNUMBER('参数'!$G$32),J41&lt;'参数'!$G$32,FALSE)+IF(AND(ISNUMBER('参数'!$I$32),ISNUMBER(Q41)),Q41&gt;='参数'!$I$32,FALSE)+IF(AND(ISNUMBER('参数'!$K$32),ISNUMBER(S41)),S41&gt;='参数'!$K$32,FALSE)),"")</f>
        <v/>
      </c>
      <c r="V41" s="40" t="str">
        <f>IF(AND(ISNUMBER(J41),ISNUMBER(K41)),IF(N(ISNUMBER('参数'!$E$33))+N(ISNUMBER('参数'!$G$33))+N(ISNUMBER('参数'!$I$33))+N(ISNUMBER('参数'!$K$33))=0,"",IF(AND(ISNUMBER('参数'!$E$33),ISNUMBER(J40)),AND(J41&gt;='参数'!$E$33,J41&gt;J40),FALSE)+IF(AND(ISNUMBER('参数'!$G$33),ISNUMBER(N41)),N41&lt;='参数'!$G$33,FALSE)+IF(AND(ISNUMBER('参数'!$I$33),ISNUMBER(Q41)),Q41&gt;='参数'!$I$33,FALSE)+IF(AND(ISNUMBER('参数'!$K$33),ISNUMBER(S41)),S41&gt;='参数'!$K$33,FALSE)),"")</f>
        <v/>
      </c>
      <c r="W41" s="40" t="str">
        <f>IF(AND(ISNUMBER(J41),ISNUMBER(K41)),IF(N(ISNUMBER('参数'!$E$34))+N(ISNUMBER('参数'!$G$34))+N(ISNUMBER('参数'!$I$34))+N(ISNUMBER('参数'!$K$34))=0,"",IF(ISNUMBER('参数'!$E$34),J41&gt;='参数'!$E$34,FALSE)+IF(AND(ISNUMBER('参数'!$G$34),ISNUMBER(N41)),N41&lt;='参数'!$G$34,FALSE)+IF(AND(ISNUMBER('参数'!$I$34),ISNUMBER(S41)),S41&gt;='参数'!$I$34,FALSE)+IF(AND(ISNUMBER('参数'!$K$34),ISNUMBER(R41)),R41&gt;='参数'!$K$34,FALSE)),"")</f>
        <v/>
      </c>
      <c r="X41" s="40" t="str">
        <f>IF(AND(ISNUMBER(J41),ISNUMBER(K41)),IF(N(ISNUMBER('参数'!$E$35))+N(ISNUMBER('参数'!$G$35))+N(ISNUMBER('参数'!$I$35))=0,"",IF(AND(ISNUMBER('参数'!$E$35),ISNUMBER(N41),ISNUMBER(N40)),ROUND(N41-N40,6)&gt;='参数'!$E$35,FALSE)+IF(AND(ISNUMBER('参数'!$G$35),ISNUMBER(Q41),ISNUMBER(Q40)),ROUND(Q40-Q41,6)&gt;='参数'!$G$35,FALSE)+IF(AND(ISNUMBER('参数'!$I$35),ISNUMBER(S41),ISNUMBER(S40)),ROUND(S40-S41,6)&gt;='参数'!$I$35,FALSE)+IF(ISNUMBER(J40),J41&lt;J40,FALSE)),"")</f>
        <v/>
      </c>
      <c r="Y41" s="40" t="str">
        <f>IF(AND(ISNUMBER(J41),ISNUMBER(K41)),IF(N(ISNUMBER('参数'!$E$36))+N(ISNUMBER('参数'!$G$36))+N(ISNUMBER('参数'!$I$36))=0,"",IF(AND(ISNUMBER('参数'!$E$36),ISNUMBER(J40)),AND(J41&lt;='参数'!$E$36,J41&lt;J40),FALSE)+IF(ISNUMBER('参数'!$G$36),K41&gt;='参数'!$G$36,FALSE)+IF(AND(ISNUMBER('参数'!$I$36),ISNUMBER(S41)),S41&lt;'参数'!$I$36,FALSE)+IF(AND(ISNUMBER(R41),ISNUMBER(R40)),R41&lt;R40,FALSE)),"")</f>
        <v/>
      </c>
      <c r="Z41" s="41" t="str">
        <f>IF(NOT(AND(ISNUMBER(J41),ISNUMBER(K41))),"",IF(COUNT(T41:Y41)=0,"先填阈值",IF(MAX(AD41:AI41)=0,"不写",INDEX($T$4:$Y$4,MATCH(MAX(AD41:AI41),AD41:AI41,0))&amp;"·"&amp;IF(MAX(AD41:AI41)&gt;=200,"高","中")&amp;IF(LARGE(AD41:AI41,2)&gt;0,"（也像"&amp;INDEX($T$4:$Y$4,MATCH(LARGE(AD41:AI41,2),AD41:AI41,0))&amp;"·"&amp;IF(LARGE(AD41:AI41,2)&gt;=200,"高","中")&amp;"）",""))))</f>
        <v/>
      </c>
      <c r="AA41" s="27" t="n"/>
      <c r="AB41" s="32" t="n"/>
      <c r="AC41" s="16" t="n"/>
      <c r="AD41" s="40">
        <f>IF(N(T41)&gt;=3,IF(T41=4,2,1)*100+T41*10+6,0)</f>
        <v>0</v>
      </c>
      <c r="AE41" s="40">
        <f>IF(N(U41)&gt;=3,1*100+U41*10+1,0)</f>
        <v>0</v>
      </c>
      <c r="AF41" s="40">
        <f>IF(N(V41)&gt;=3,IF(V41=4,2,1)*100+V41*10+2,0)</f>
        <v>0</v>
      </c>
      <c r="AG41" s="40">
        <f>IF(N(W41)&gt;=3,1*100+W41*10+3,0)</f>
        <v>0</v>
      </c>
      <c r="AH41" s="40">
        <f>IF(N(X41)&gt;=3,1*100+X41*10+4,0)</f>
        <v>0</v>
      </c>
      <c r="AI41" s="40">
        <f>IF(N(Y41)&gt;=3,IF(AND(N(T41)&gt;=3,OR(N(T41)=4,N(Y41)&lt;=N(T41))),0,IF(Y41=4,2,1)*100+Y41*10+5),0)</f>
        <v>0</v>
      </c>
    </row>
    <row r="42">
      <c r="A42" s="31" t="n"/>
      <c r="B42" s="36" t="str">
        <f>IF(ISNUMBER(A42),"周"&amp;CHOOSE(WEEKDAY(A42,2),"一","二","三","四","五","六","日"),"")</f>
        <v/>
      </c>
      <c r="C42" s="37" t="n"/>
      <c r="D42" s="37" t="n"/>
      <c r="E42" s="37" t="n"/>
      <c r="F42" s="17" t="n"/>
      <c r="G42" s="38" t="str">
        <f>IF(AND(ISNUMBER(F42),ISNUMBER(F41)),IF(F41=0,"",F42/F41-1),"")</f>
        <v/>
      </c>
      <c r="H42" s="17" t="n"/>
      <c r="I42" s="17" t="n"/>
      <c r="J42" s="17" t="n"/>
      <c r="K42" s="17" t="n"/>
      <c r="L42" s="17" t="n"/>
      <c r="M42" s="17" t="n"/>
      <c r="N42" s="39" t="str">
        <f>IF(AND(ISNUMBER(L42),ISNUMBER(M42),N(L42)&gt;0),M42/L42,"")</f>
        <v/>
      </c>
      <c r="O42" s="17" t="n"/>
      <c r="P42" s="17" t="n"/>
      <c r="Q42" s="39" t="str">
        <f>IF(AND(ISNUMBER(O42),ISNUMBER(P42),N(O42)&gt;0),P42/O42,"")</f>
        <v/>
      </c>
      <c r="R42" s="17" t="n"/>
      <c r="S42" s="37" t="n"/>
      <c r="T42" s="40" t="str">
        <f>IF(AND(ISNUMBER(J42),ISNUMBER(K42)),IF(N(ISNUMBER('参数'!$E$31))+N(ISNUMBER('参数'!$G$31))+N(ISNUMBER('参数'!$I$31))+N(ISNUMBER('参数'!$K$31))=0,"",IF(ISNUMBER('参数'!$E$31),J42&lt;='参数'!$E$31,FALSE)+IF(ISNUMBER('参数'!$G$31),K42&gt;='参数'!$G$31,FALSE)+IF(AND(ISNUMBER('参数'!$I$31),ISNUMBER(N42)),N42&gt;='参数'!$I$31,FALSE)+IF(AND(ISNUMBER('参数'!$K$31),ISNUMBER(Q42)),Q42&lt;='参数'!$K$31,FALSE)),"")</f>
        <v/>
      </c>
      <c r="U42" s="40" t="str">
        <f>IF(AND(ISNUMBER(J42),ISNUMBER(K42)),IF(N(ISNUMBER('参数'!$G$32))+N(ISNUMBER('参数'!$I$32))+N(ISNUMBER('参数'!$K$32))=0,"",IF(AND(ISNUMBER(J41),ISNUMBER(J40)),AND(J42&gt;J41,J41&gt;J40),FALSE)+IF(ISNUMBER('参数'!$G$32),J42&lt;'参数'!$G$32,FALSE)+IF(AND(ISNUMBER('参数'!$I$32),ISNUMBER(Q42)),Q42&gt;='参数'!$I$32,FALSE)+IF(AND(ISNUMBER('参数'!$K$32),ISNUMBER(S42)),S42&gt;='参数'!$K$32,FALSE)),"")</f>
        <v/>
      </c>
      <c r="V42" s="40" t="str">
        <f>IF(AND(ISNUMBER(J42),ISNUMBER(K42)),IF(N(ISNUMBER('参数'!$E$33))+N(ISNUMBER('参数'!$G$33))+N(ISNUMBER('参数'!$I$33))+N(ISNUMBER('参数'!$K$33))=0,"",IF(AND(ISNUMBER('参数'!$E$33),ISNUMBER(J41)),AND(J42&gt;='参数'!$E$33,J42&gt;J41),FALSE)+IF(AND(ISNUMBER('参数'!$G$33),ISNUMBER(N42)),N42&lt;='参数'!$G$33,FALSE)+IF(AND(ISNUMBER('参数'!$I$33),ISNUMBER(Q42)),Q42&gt;='参数'!$I$33,FALSE)+IF(AND(ISNUMBER('参数'!$K$33),ISNUMBER(S42)),S42&gt;='参数'!$K$33,FALSE)),"")</f>
        <v/>
      </c>
      <c r="W42" s="40" t="str">
        <f>IF(AND(ISNUMBER(J42),ISNUMBER(K42)),IF(N(ISNUMBER('参数'!$E$34))+N(ISNUMBER('参数'!$G$34))+N(ISNUMBER('参数'!$I$34))+N(ISNUMBER('参数'!$K$34))=0,"",IF(ISNUMBER('参数'!$E$34),J42&gt;='参数'!$E$34,FALSE)+IF(AND(ISNUMBER('参数'!$G$34),ISNUMBER(N42)),N42&lt;='参数'!$G$34,FALSE)+IF(AND(ISNUMBER('参数'!$I$34),ISNUMBER(S42)),S42&gt;='参数'!$I$34,FALSE)+IF(AND(ISNUMBER('参数'!$K$34),ISNUMBER(R42)),R42&gt;='参数'!$K$34,FALSE)),"")</f>
        <v/>
      </c>
      <c r="X42" s="40" t="str">
        <f>IF(AND(ISNUMBER(J42),ISNUMBER(K42)),IF(N(ISNUMBER('参数'!$E$35))+N(ISNUMBER('参数'!$G$35))+N(ISNUMBER('参数'!$I$35))=0,"",IF(AND(ISNUMBER('参数'!$E$35),ISNUMBER(N42),ISNUMBER(N41)),ROUND(N42-N41,6)&gt;='参数'!$E$35,FALSE)+IF(AND(ISNUMBER('参数'!$G$35),ISNUMBER(Q42),ISNUMBER(Q41)),ROUND(Q41-Q42,6)&gt;='参数'!$G$35,FALSE)+IF(AND(ISNUMBER('参数'!$I$35),ISNUMBER(S42),ISNUMBER(S41)),ROUND(S41-S42,6)&gt;='参数'!$I$35,FALSE)+IF(ISNUMBER(J41),J42&lt;J41,FALSE)),"")</f>
        <v/>
      </c>
      <c r="Y42" s="40" t="str">
        <f>IF(AND(ISNUMBER(J42),ISNUMBER(K42)),IF(N(ISNUMBER('参数'!$E$36))+N(ISNUMBER('参数'!$G$36))+N(ISNUMBER('参数'!$I$36))=0,"",IF(AND(ISNUMBER('参数'!$E$36),ISNUMBER(J41)),AND(J42&lt;='参数'!$E$36,J42&lt;J41),FALSE)+IF(ISNUMBER('参数'!$G$36),K42&gt;='参数'!$G$36,FALSE)+IF(AND(ISNUMBER('参数'!$I$36),ISNUMBER(S42)),S42&lt;'参数'!$I$36,FALSE)+IF(AND(ISNUMBER(R42),ISNUMBER(R41)),R42&lt;R41,FALSE)),"")</f>
        <v/>
      </c>
      <c r="Z42" s="41" t="str">
        <f>IF(NOT(AND(ISNUMBER(J42),ISNUMBER(K42))),"",IF(COUNT(T42:Y42)=0,"先填阈值",IF(MAX(AD42:AI42)=0,"不写",INDEX($T$4:$Y$4,MATCH(MAX(AD42:AI42),AD42:AI42,0))&amp;"·"&amp;IF(MAX(AD42:AI42)&gt;=200,"高","中")&amp;IF(LARGE(AD42:AI42,2)&gt;0,"（也像"&amp;INDEX($T$4:$Y$4,MATCH(LARGE(AD42:AI42,2),AD42:AI42,0))&amp;"·"&amp;IF(LARGE(AD42:AI42,2)&gt;=200,"高","中")&amp;"）",""))))</f>
        <v/>
      </c>
      <c r="AA42" s="27" t="n"/>
      <c r="AB42" s="32" t="n"/>
      <c r="AC42" s="16" t="n"/>
      <c r="AD42" s="40">
        <f>IF(N(T42)&gt;=3,IF(T42=4,2,1)*100+T42*10+6,0)</f>
        <v>0</v>
      </c>
      <c r="AE42" s="40">
        <f>IF(N(U42)&gt;=3,1*100+U42*10+1,0)</f>
        <v>0</v>
      </c>
      <c r="AF42" s="40">
        <f>IF(N(V42)&gt;=3,IF(V42=4,2,1)*100+V42*10+2,0)</f>
        <v>0</v>
      </c>
      <c r="AG42" s="40">
        <f>IF(N(W42)&gt;=3,1*100+W42*10+3,0)</f>
        <v>0</v>
      </c>
      <c r="AH42" s="40">
        <f>IF(N(X42)&gt;=3,1*100+X42*10+4,0)</f>
        <v>0</v>
      </c>
      <c r="AI42" s="40">
        <f>IF(N(Y42)&gt;=3,IF(AND(N(T42)&gt;=3,OR(N(T42)=4,N(Y42)&lt;=N(T42))),0,IF(Y42=4,2,1)*100+Y42*10+5),0)</f>
        <v>0</v>
      </c>
    </row>
    <row r="43">
      <c r="A43" s="31" t="n"/>
      <c r="B43" s="36" t="str">
        <f>IF(ISNUMBER(A43),"周"&amp;CHOOSE(WEEKDAY(A43,2),"一","二","三","四","五","六","日"),"")</f>
        <v/>
      </c>
      <c r="C43" s="37" t="n"/>
      <c r="D43" s="37" t="n"/>
      <c r="E43" s="37" t="n"/>
      <c r="F43" s="17" t="n"/>
      <c r="G43" s="38" t="str">
        <f>IF(AND(ISNUMBER(F43),ISNUMBER(F42)),IF(F42=0,"",F43/F42-1),"")</f>
        <v/>
      </c>
      <c r="H43" s="17" t="n"/>
      <c r="I43" s="17" t="n"/>
      <c r="J43" s="17" t="n"/>
      <c r="K43" s="17" t="n"/>
      <c r="L43" s="17" t="n"/>
      <c r="M43" s="17" t="n"/>
      <c r="N43" s="39" t="str">
        <f>IF(AND(ISNUMBER(L43),ISNUMBER(M43),N(L43)&gt;0),M43/L43,"")</f>
        <v/>
      </c>
      <c r="O43" s="17" t="n"/>
      <c r="P43" s="17" t="n"/>
      <c r="Q43" s="39" t="str">
        <f>IF(AND(ISNUMBER(O43),ISNUMBER(P43),N(O43)&gt;0),P43/O43,"")</f>
        <v/>
      </c>
      <c r="R43" s="17" t="n"/>
      <c r="S43" s="37" t="n"/>
      <c r="T43" s="40" t="str">
        <f>IF(AND(ISNUMBER(J43),ISNUMBER(K43)),IF(N(ISNUMBER('参数'!$E$31))+N(ISNUMBER('参数'!$G$31))+N(ISNUMBER('参数'!$I$31))+N(ISNUMBER('参数'!$K$31))=0,"",IF(ISNUMBER('参数'!$E$31),J43&lt;='参数'!$E$31,FALSE)+IF(ISNUMBER('参数'!$G$31),K43&gt;='参数'!$G$31,FALSE)+IF(AND(ISNUMBER('参数'!$I$31),ISNUMBER(N43)),N43&gt;='参数'!$I$31,FALSE)+IF(AND(ISNUMBER('参数'!$K$31),ISNUMBER(Q43)),Q43&lt;='参数'!$K$31,FALSE)),"")</f>
        <v/>
      </c>
      <c r="U43" s="40" t="str">
        <f>IF(AND(ISNUMBER(J43),ISNUMBER(K43)),IF(N(ISNUMBER('参数'!$G$32))+N(ISNUMBER('参数'!$I$32))+N(ISNUMBER('参数'!$K$32))=0,"",IF(AND(ISNUMBER(J42),ISNUMBER(J41)),AND(J43&gt;J42,J42&gt;J41),FALSE)+IF(ISNUMBER('参数'!$G$32),J43&lt;'参数'!$G$32,FALSE)+IF(AND(ISNUMBER('参数'!$I$32),ISNUMBER(Q43)),Q43&gt;='参数'!$I$32,FALSE)+IF(AND(ISNUMBER('参数'!$K$32),ISNUMBER(S43)),S43&gt;='参数'!$K$32,FALSE)),"")</f>
        <v/>
      </c>
      <c r="V43" s="40" t="str">
        <f>IF(AND(ISNUMBER(J43),ISNUMBER(K43)),IF(N(ISNUMBER('参数'!$E$33))+N(ISNUMBER('参数'!$G$33))+N(ISNUMBER('参数'!$I$33))+N(ISNUMBER('参数'!$K$33))=0,"",IF(AND(ISNUMBER('参数'!$E$33),ISNUMBER(J42)),AND(J43&gt;='参数'!$E$33,J43&gt;J42),FALSE)+IF(AND(ISNUMBER('参数'!$G$33),ISNUMBER(N43)),N43&lt;='参数'!$G$33,FALSE)+IF(AND(ISNUMBER('参数'!$I$33),ISNUMBER(Q43)),Q43&gt;='参数'!$I$33,FALSE)+IF(AND(ISNUMBER('参数'!$K$33),ISNUMBER(S43)),S43&gt;='参数'!$K$33,FALSE)),"")</f>
        <v/>
      </c>
      <c r="W43" s="40" t="str">
        <f>IF(AND(ISNUMBER(J43),ISNUMBER(K43)),IF(N(ISNUMBER('参数'!$E$34))+N(ISNUMBER('参数'!$G$34))+N(ISNUMBER('参数'!$I$34))+N(ISNUMBER('参数'!$K$34))=0,"",IF(ISNUMBER('参数'!$E$34),J43&gt;='参数'!$E$34,FALSE)+IF(AND(ISNUMBER('参数'!$G$34),ISNUMBER(N43)),N43&lt;='参数'!$G$34,FALSE)+IF(AND(ISNUMBER('参数'!$I$34),ISNUMBER(S43)),S43&gt;='参数'!$I$34,FALSE)+IF(AND(ISNUMBER('参数'!$K$34),ISNUMBER(R43)),R43&gt;='参数'!$K$34,FALSE)),"")</f>
        <v/>
      </c>
      <c r="X43" s="40" t="str">
        <f>IF(AND(ISNUMBER(J43),ISNUMBER(K43)),IF(N(ISNUMBER('参数'!$E$35))+N(ISNUMBER('参数'!$G$35))+N(ISNUMBER('参数'!$I$35))=0,"",IF(AND(ISNUMBER('参数'!$E$35),ISNUMBER(N43),ISNUMBER(N42)),ROUND(N43-N42,6)&gt;='参数'!$E$35,FALSE)+IF(AND(ISNUMBER('参数'!$G$35),ISNUMBER(Q43),ISNUMBER(Q42)),ROUND(Q42-Q43,6)&gt;='参数'!$G$35,FALSE)+IF(AND(ISNUMBER('参数'!$I$35),ISNUMBER(S43),ISNUMBER(S42)),ROUND(S42-S43,6)&gt;='参数'!$I$35,FALSE)+IF(ISNUMBER(J42),J43&lt;J42,FALSE)),"")</f>
        <v/>
      </c>
      <c r="Y43" s="40" t="str">
        <f>IF(AND(ISNUMBER(J43),ISNUMBER(K43)),IF(N(ISNUMBER('参数'!$E$36))+N(ISNUMBER('参数'!$G$36))+N(ISNUMBER('参数'!$I$36))=0,"",IF(AND(ISNUMBER('参数'!$E$36),ISNUMBER(J42)),AND(J43&lt;='参数'!$E$36,J43&lt;J42),FALSE)+IF(ISNUMBER('参数'!$G$36),K43&gt;='参数'!$G$36,FALSE)+IF(AND(ISNUMBER('参数'!$I$36),ISNUMBER(S43)),S43&lt;'参数'!$I$36,FALSE)+IF(AND(ISNUMBER(R43),ISNUMBER(R42)),R43&lt;R42,FALSE)),"")</f>
        <v/>
      </c>
      <c r="Z43" s="41" t="str">
        <f>IF(NOT(AND(ISNUMBER(J43),ISNUMBER(K43))),"",IF(COUNT(T43:Y43)=0,"先填阈值",IF(MAX(AD43:AI43)=0,"不写",INDEX($T$4:$Y$4,MATCH(MAX(AD43:AI43),AD43:AI43,0))&amp;"·"&amp;IF(MAX(AD43:AI43)&gt;=200,"高","中")&amp;IF(LARGE(AD43:AI43,2)&gt;0,"（也像"&amp;INDEX($T$4:$Y$4,MATCH(LARGE(AD43:AI43,2),AD43:AI43,0))&amp;"·"&amp;IF(LARGE(AD43:AI43,2)&gt;=200,"高","中")&amp;"）",""))))</f>
        <v/>
      </c>
      <c r="AA43" s="27" t="n"/>
      <c r="AB43" s="32" t="n"/>
      <c r="AC43" s="16" t="n"/>
      <c r="AD43" s="40">
        <f>IF(N(T43)&gt;=3,IF(T43=4,2,1)*100+T43*10+6,0)</f>
        <v>0</v>
      </c>
      <c r="AE43" s="40">
        <f>IF(N(U43)&gt;=3,1*100+U43*10+1,0)</f>
        <v>0</v>
      </c>
      <c r="AF43" s="40">
        <f>IF(N(V43)&gt;=3,IF(V43=4,2,1)*100+V43*10+2,0)</f>
        <v>0</v>
      </c>
      <c r="AG43" s="40">
        <f>IF(N(W43)&gt;=3,1*100+W43*10+3,0)</f>
        <v>0</v>
      </c>
      <c r="AH43" s="40">
        <f>IF(N(X43)&gt;=3,1*100+X43*10+4,0)</f>
        <v>0</v>
      </c>
      <c r="AI43" s="40">
        <f>IF(N(Y43)&gt;=3,IF(AND(N(T43)&gt;=3,OR(N(T43)=4,N(Y43)&lt;=N(T43))),0,IF(Y43=4,2,1)*100+Y43*10+5),0)</f>
        <v>0</v>
      </c>
    </row>
    <row r="44">
      <c r="A44" s="31" t="n"/>
      <c r="B44" s="36" t="str">
        <f>IF(ISNUMBER(A44),"周"&amp;CHOOSE(WEEKDAY(A44,2),"一","二","三","四","五","六","日"),"")</f>
        <v/>
      </c>
      <c r="C44" s="37" t="n"/>
      <c r="D44" s="37" t="n"/>
      <c r="E44" s="37" t="n"/>
      <c r="F44" s="17" t="n"/>
      <c r="G44" s="38" t="str">
        <f>IF(AND(ISNUMBER(F44),ISNUMBER(F43)),IF(F43=0,"",F44/F43-1),"")</f>
        <v/>
      </c>
      <c r="H44" s="17" t="n"/>
      <c r="I44" s="17" t="n"/>
      <c r="J44" s="17" t="n"/>
      <c r="K44" s="17" t="n"/>
      <c r="L44" s="17" t="n"/>
      <c r="M44" s="17" t="n"/>
      <c r="N44" s="39" t="str">
        <f>IF(AND(ISNUMBER(L44),ISNUMBER(M44),N(L44)&gt;0),M44/L44,"")</f>
        <v/>
      </c>
      <c r="O44" s="17" t="n"/>
      <c r="P44" s="17" t="n"/>
      <c r="Q44" s="39" t="str">
        <f>IF(AND(ISNUMBER(O44),ISNUMBER(P44),N(O44)&gt;0),P44/O44,"")</f>
        <v/>
      </c>
      <c r="R44" s="17" t="n"/>
      <c r="S44" s="37" t="n"/>
      <c r="T44" s="40" t="str">
        <f>IF(AND(ISNUMBER(J44),ISNUMBER(K44)),IF(N(ISNUMBER('参数'!$E$31))+N(ISNUMBER('参数'!$G$31))+N(ISNUMBER('参数'!$I$31))+N(ISNUMBER('参数'!$K$31))=0,"",IF(ISNUMBER('参数'!$E$31),J44&lt;='参数'!$E$31,FALSE)+IF(ISNUMBER('参数'!$G$31),K44&gt;='参数'!$G$31,FALSE)+IF(AND(ISNUMBER('参数'!$I$31),ISNUMBER(N44)),N44&gt;='参数'!$I$31,FALSE)+IF(AND(ISNUMBER('参数'!$K$31),ISNUMBER(Q44)),Q44&lt;='参数'!$K$31,FALSE)),"")</f>
        <v/>
      </c>
      <c r="U44" s="40" t="str">
        <f>IF(AND(ISNUMBER(J44),ISNUMBER(K44)),IF(N(ISNUMBER('参数'!$G$32))+N(ISNUMBER('参数'!$I$32))+N(ISNUMBER('参数'!$K$32))=0,"",IF(AND(ISNUMBER(J43),ISNUMBER(J42)),AND(J44&gt;J43,J43&gt;J42),FALSE)+IF(ISNUMBER('参数'!$G$32),J44&lt;'参数'!$G$32,FALSE)+IF(AND(ISNUMBER('参数'!$I$32),ISNUMBER(Q44)),Q44&gt;='参数'!$I$32,FALSE)+IF(AND(ISNUMBER('参数'!$K$32),ISNUMBER(S44)),S44&gt;='参数'!$K$32,FALSE)),"")</f>
        <v/>
      </c>
      <c r="V44" s="40" t="str">
        <f>IF(AND(ISNUMBER(J44),ISNUMBER(K44)),IF(N(ISNUMBER('参数'!$E$33))+N(ISNUMBER('参数'!$G$33))+N(ISNUMBER('参数'!$I$33))+N(ISNUMBER('参数'!$K$33))=0,"",IF(AND(ISNUMBER('参数'!$E$33),ISNUMBER(J43)),AND(J44&gt;='参数'!$E$33,J44&gt;J43),FALSE)+IF(AND(ISNUMBER('参数'!$G$33),ISNUMBER(N44)),N44&lt;='参数'!$G$33,FALSE)+IF(AND(ISNUMBER('参数'!$I$33),ISNUMBER(Q44)),Q44&gt;='参数'!$I$33,FALSE)+IF(AND(ISNUMBER('参数'!$K$33),ISNUMBER(S44)),S44&gt;='参数'!$K$33,FALSE)),"")</f>
        <v/>
      </c>
      <c r="W44" s="40" t="str">
        <f>IF(AND(ISNUMBER(J44),ISNUMBER(K44)),IF(N(ISNUMBER('参数'!$E$34))+N(ISNUMBER('参数'!$G$34))+N(ISNUMBER('参数'!$I$34))+N(ISNUMBER('参数'!$K$34))=0,"",IF(ISNUMBER('参数'!$E$34),J44&gt;='参数'!$E$34,FALSE)+IF(AND(ISNUMBER('参数'!$G$34),ISNUMBER(N44)),N44&lt;='参数'!$G$34,FALSE)+IF(AND(ISNUMBER('参数'!$I$34),ISNUMBER(S44)),S44&gt;='参数'!$I$34,FALSE)+IF(AND(ISNUMBER('参数'!$K$34),ISNUMBER(R44)),R44&gt;='参数'!$K$34,FALSE)),"")</f>
        <v/>
      </c>
      <c r="X44" s="40" t="str">
        <f>IF(AND(ISNUMBER(J44),ISNUMBER(K44)),IF(N(ISNUMBER('参数'!$E$35))+N(ISNUMBER('参数'!$G$35))+N(ISNUMBER('参数'!$I$35))=0,"",IF(AND(ISNUMBER('参数'!$E$35),ISNUMBER(N44),ISNUMBER(N43)),ROUND(N44-N43,6)&gt;='参数'!$E$35,FALSE)+IF(AND(ISNUMBER('参数'!$G$35),ISNUMBER(Q44),ISNUMBER(Q43)),ROUND(Q43-Q44,6)&gt;='参数'!$G$35,FALSE)+IF(AND(ISNUMBER('参数'!$I$35),ISNUMBER(S44),ISNUMBER(S43)),ROUND(S43-S44,6)&gt;='参数'!$I$35,FALSE)+IF(ISNUMBER(J43),J44&lt;J43,FALSE)),"")</f>
        <v/>
      </c>
      <c r="Y44" s="40" t="str">
        <f>IF(AND(ISNUMBER(J44),ISNUMBER(K44)),IF(N(ISNUMBER('参数'!$E$36))+N(ISNUMBER('参数'!$G$36))+N(ISNUMBER('参数'!$I$36))=0,"",IF(AND(ISNUMBER('参数'!$E$36),ISNUMBER(J43)),AND(J44&lt;='参数'!$E$36,J44&lt;J43),FALSE)+IF(ISNUMBER('参数'!$G$36),K44&gt;='参数'!$G$36,FALSE)+IF(AND(ISNUMBER('参数'!$I$36),ISNUMBER(S44)),S44&lt;'参数'!$I$36,FALSE)+IF(AND(ISNUMBER(R44),ISNUMBER(R43)),R44&lt;R43,FALSE)),"")</f>
        <v/>
      </c>
      <c r="Z44" s="41" t="str">
        <f>IF(NOT(AND(ISNUMBER(J44),ISNUMBER(K44))),"",IF(COUNT(T44:Y44)=0,"先填阈值",IF(MAX(AD44:AI44)=0,"不写",INDEX($T$4:$Y$4,MATCH(MAX(AD44:AI44),AD44:AI44,0))&amp;"·"&amp;IF(MAX(AD44:AI44)&gt;=200,"高","中")&amp;IF(LARGE(AD44:AI44,2)&gt;0,"（也像"&amp;INDEX($T$4:$Y$4,MATCH(LARGE(AD44:AI44,2),AD44:AI44,0))&amp;"·"&amp;IF(LARGE(AD44:AI44,2)&gt;=200,"高","中")&amp;"）",""))))</f>
        <v/>
      </c>
      <c r="AA44" s="27" t="n"/>
      <c r="AB44" s="32" t="n"/>
      <c r="AC44" s="16" t="n"/>
      <c r="AD44" s="40">
        <f>IF(N(T44)&gt;=3,IF(T44=4,2,1)*100+T44*10+6,0)</f>
        <v>0</v>
      </c>
      <c r="AE44" s="40">
        <f>IF(N(U44)&gt;=3,1*100+U44*10+1,0)</f>
        <v>0</v>
      </c>
      <c r="AF44" s="40">
        <f>IF(N(V44)&gt;=3,IF(V44=4,2,1)*100+V44*10+2,0)</f>
        <v>0</v>
      </c>
      <c r="AG44" s="40">
        <f>IF(N(W44)&gt;=3,1*100+W44*10+3,0)</f>
        <v>0</v>
      </c>
      <c r="AH44" s="40">
        <f>IF(N(X44)&gt;=3,1*100+X44*10+4,0)</f>
        <v>0</v>
      </c>
      <c r="AI44" s="40">
        <f>IF(N(Y44)&gt;=3,IF(AND(N(T44)&gt;=3,OR(N(T44)=4,N(Y44)&lt;=N(T44))),0,IF(Y44=4,2,1)*100+Y44*10+5),0)</f>
        <v>0</v>
      </c>
    </row>
    <row r="45">
      <c r="A45" s="31" t="n"/>
      <c r="B45" s="36" t="str">
        <f>IF(ISNUMBER(A45),"周"&amp;CHOOSE(WEEKDAY(A45,2),"一","二","三","四","五","六","日"),"")</f>
        <v/>
      </c>
      <c r="C45" s="37" t="n"/>
      <c r="D45" s="37" t="n"/>
      <c r="E45" s="37" t="n"/>
      <c r="F45" s="17" t="n"/>
      <c r="G45" s="38" t="str">
        <f>IF(AND(ISNUMBER(F45),ISNUMBER(F44)),IF(F44=0,"",F45/F44-1),"")</f>
        <v/>
      </c>
      <c r="H45" s="17" t="n"/>
      <c r="I45" s="17" t="n"/>
      <c r="J45" s="17" t="n"/>
      <c r="K45" s="17" t="n"/>
      <c r="L45" s="17" t="n"/>
      <c r="M45" s="17" t="n"/>
      <c r="N45" s="39" t="str">
        <f>IF(AND(ISNUMBER(L45),ISNUMBER(M45),N(L45)&gt;0),M45/L45,"")</f>
        <v/>
      </c>
      <c r="O45" s="17" t="n"/>
      <c r="P45" s="17" t="n"/>
      <c r="Q45" s="39" t="str">
        <f>IF(AND(ISNUMBER(O45),ISNUMBER(P45),N(O45)&gt;0),P45/O45,"")</f>
        <v/>
      </c>
      <c r="R45" s="17" t="n"/>
      <c r="S45" s="37" t="n"/>
      <c r="T45" s="40" t="str">
        <f>IF(AND(ISNUMBER(J45),ISNUMBER(K45)),IF(N(ISNUMBER('参数'!$E$31))+N(ISNUMBER('参数'!$G$31))+N(ISNUMBER('参数'!$I$31))+N(ISNUMBER('参数'!$K$31))=0,"",IF(ISNUMBER('参数'!$E$31),J45&lt;='参数'!$E$31,FALSE)+IF(ISNUMBER('参数'!$G$31),K45&gt;='参数'!$G$31,FALSE)+IF(AND(ISNUMBER('参数'!$I$31),ISNUMBER(N45)),N45&gt;='参数'!$I$31,FALSE)+IF(AND(ISNUMBER('参数'!$K$31),ISNUMBER(Q45)),Q45&lt;='参数'!$K$31,FALSE)),"")</f>
        <v/>
      </c>
      <c r="U45" s="40" t="str">
        <f>IF(AND(ISNUMBER(J45),ISNUMBER(K45)),IF(N(ISNUMBER('参数'!$G$32))+N(ISNUMBER('参数'!$I$32))+N(ISNUMBER('参数'!$K$32))=0,"",IF(AND(ISNUMBER(J44),ISNUMBER(J43)),AND(J45&gt;J44,J44&gt;J43),FALSE)+IF(ISNUMBER('参数'!$G$32),J45&lt;'参数'!$G$32,FALSE)+IF(AND(ISNUMBER('参数'!$I$32),ISNUMBER(Q45)),Q45&gt;='参数'!$I$32,FALSE)+IF(AND(ISNUMBER('参数'!$K$32),ISNUMBER(S45)),S45&gt;='参数'!$K$32,FALSE)),"")</f>
        <v/>
      </c>
      <c r="V45" s="40" t="str">
        <f>IF(AND(ISNUMBER(J45),ISNUMBER(K45)),IF(N(ISNUMBER('参数'!$E$33))+N(ISNUMBER('参数'!$G$33))+N(ISNUMBER('参数'!$I$33))+N(ISNUMBER('参数'!$K$33))=0,"",IF(AND(ISNUMBER('参数'!$E$33),ISNUMBER(J44)),AND(J45&gt;='参数'!$E$33,J45&gt;J44),FALSE)+IF(AND(ISNUMBER('参数'!$G$33),ISNUMBER(N45)),N45&lt;='参数'!$G$33,FALSE)+IF(AND(ISNUMBER('参数'!$I$33),ISNUMBER(Q45)),Q45&gt;='参数'!$I$33,FALSE)+IF(AND(ISNUMBER('参数'!$K$33),ISNUMBER(S45)),S45&gt;='参数'!$K$33,FALSE)),"")</f>
        <v/>
      </c>
      <c r="W45" s="40" t="str">
        <f>IF(AND(ISNUMBER(J45),ISNUMBER(K45)),IF(N(ISNUMBER('参数'!$E$34))+N(ISNUMBER('参数'!$G$34))+N(ISNUMBER('参数'!$I$34))+N(ISNUMBER('参数'!$K$34))=0,"",IF(ISNUMBER('参数'!$E$34),J45&gt;='参数'!$E$34,FALSE)+IF(AND(ISNUMBER('参数'!$G$34),ISNUMBER(N45)),N45&lt;='参数'!$G$34,FALSE)+IF(AND(ISNUMBER('参数'!$I$34),ISNUMBER(S45)),S45&gt;='参数'!$I$34,FALSE)+IF(AND(ISNUMBER('参数'!$K$34),ISNUMBER(R45)),R45&gt;='参数'!$K$34,FALSE)),"")</f>
        <v/>
      </c>
      <c r="X45" s="40" t="str">
        <f>IF(AND(ISNUMBER(J45),ISNUMBER(K45)),IF(N(ISNUMBER('参数'!$E$35))+N(ISNUMBER('参数'!$G$35))+N(ISNUMBER('参数'!$I$35))=0,"",IF(AND(ISNUMBER('参数'!$E$35),ISNUMBER(N45),ISNUMBER(N44)),ROUND(N45-N44,6)&gt;='参数'!$E$35,FALSE)+IF(AND(ISNUMBER('参数'!$G$35),ISNUMBER(Q45),ISNUMBER(Q44)),ROUND(Q44-Q45,6)&gt;='参数'!$G$35,FALSE)+IF(AND(ISNUMBER('参数'!$I$35),ISNUMBER(S45),ISNUMBER(S44)),ROUND(S44-S45,6)&gt;='参数'!$I$35,FALSE)+IF(ISNUMBER(J44),J45&lt;J44,FALSE)),"")</f>
        <v/>
      </c>
      <c r="Y45" s="40" t="str">
        <f>IF(AND(ISNUMBER(J45),ISNUMBER(K45)),IF(N(ISNUMBER('参数'!$E$36))+N(ISNUMBER('参数'!$G$36))+N(ISNUMBER('参数'!$I$36))=0,"",IF(AND(ISNUMBER('参数'!$E$36),ISNUMBER(J44)),AND(J45&lt;='参数'!$E$36,J45&lt;J44),FALSE)+IF(ISNUMBER('参数'!$G$36),K45&gt;='参数'!$G$36,FALSE)+IF(AND(ISNUMBER('参数'!$I$36),ISNUMBER(S45)),S45&lt;'参数'!$I$36,FALSE)+IF(AND(ISNUMBER(R45),ISNUMBER(R44)),R45&lt;R44,FALSE)),"")</f>
        <v/>
      </c>
      <c r="Z45" s="41" t="str">
        <f>IF(NOT(AND(ISNUMBER(J45),ISNUMBER(K45))),"",IF(COUNT(T45:Y45)=0,"先填阈值",IF(MAX(AD45:AI45)=0,"不写",INDEX($T$4:$Y$4,MATCH(MAX(AD45:AI45),AD45:AI45,0))&amp;"·"&amp;IF(MAX(AD45:AI45)&gt;=200,"高","中")&amp;IF(LARGE(AD45:AI45,2)&gt;0,"（也像"&amp;INDEX($T$4:$Y$4,MATCH(LARGE(AD45:AI45,2),AD45:AI45,0))&amp;"·"&amp;IF(LARGE(AD45:AI45,2)&gt;=200,"高","中")&amp;"）",""))))</f>
        <v/>
      </c>
      <c r="AA45" s="27" t="n"/>
      <c r="AB45" s="32" t="n"/>
      <c r="AC45" s="16" t="n"/>
      <c r="AD45" s="40">
        <f>IF(N(T45)&gt;=3,IF(T45=4,2,1)*100+T45*10+6,0)</f>
        <v>0</v>
      </c>
      <c r="AE45" s="40">
        <f>IF(N(U45)&gt;=3,1*100+U45*10+1,0)</f>
        <v>0</v>
      </c>
      <c r="AF45" s="40">
        <f>IF(N(V45)&gt;=3,IF(V45=4,2,1)*100+V45*10+2,0)</f>
        <v>0</v>
      </c>
      <c r="AG45" s="40">
        <f>IF(N(W45)&gt;=3,1*100+W45*10+3,0)</f>
        <v>0</v>
      </c>
      <c r="AH45" s="40">
        <f>IF(N(X45)&gt;=3,1*100+X45*10+4,0)</f>
        <v>0</v>
      </c>
      <c r="AI45" s="40">
        <f>IF(N(Y45)&gt;=3,IF(AND(N(T45)&gt;=3,OR(N(T45)=4,N(Y45)&lt;=N(T45))),0,IF(Y45=4,2,1)*100+Y45*10+5),0)</f>
        <v>0</v>
      </c>
    </row>
    <row r="46">
      <c r="A46" s="31" t="n"/>
      <c r="B46" s="36" t="str">
        <f>IF(ISNUMBER(A46),"周"&amp;CHOOSE(WEEKDAY(A46,2),"一","二","三","四","五","六","日"),"")</f>
        <v/>
      </c>
      <c r="C46" s="37" t="n"/>
      <c r="D46" s="37" t="n"/>
      <c r="E46" s="37" t="n"/>
      <c r="F46" s="17" t="n"/>
      <c r="G46" s="38" t="str">
        <f>IF(AND(ISNUMBER(F46),ISNUMBER(F45)),IF(F45=0,"",F46/F45-1),"")</f>
        <v/>
      </c>
      <c r="H46" s="17" t="n"/>
      <c r="I46" s="17" t="n"/>
      <c r="J46" s="17" t="n"/>
      <c r="K46" s="17" t="n"/>
      <c r="L46" s="17" t="n"/>
      <c r="M46" s="17" t="n"/>
      <c r="N46" s="39" t="str">
        <f>IF(AND(ISNUMBER(L46),ISNUMBER(M46),N(L46)&gt;0),M46/L46,"")</f>
        <v/>
      </c>
      <c r="O46" s="17" t="n"/>
      <c r="P46" s="17" t="n"/>
      <c r="Q46" s="39" t="str">
        <f>IF(AND(ISNUMBER(O46),ISNUMBER(P46),N(O46)&gt;0),P46/O46,"")</f>
        <v/>
      </c>
      <c r="R46" s="17" t="n"/>
      <c r="S46" s="37" t="n"/>
      <c r="T46" s="40" t="str">
        <f>IF(AND(ISNUMBER(J46),ISNUMBER(K46)),IF(N(ISNUMBER('参数'!$E$31))+N(ISNUMBER('参数'!$G$31))+N(ISNUMBER('参数'!$I$31))+N(ISNUMBER('参数'!$K$31))=0,"",IF(ISNUMBER('参数'!$E$31),J46&lt;='参数'!$E$31,FALSE)+IF(ISNUMBER('参数'!$G$31),K46&gt;='参数'!$G$31,FALSE)+IF(AND(ISNUMBER('参数'!$I$31),ISNUMBER(N46)),N46&gt;='参数'!$I$31,FALSE)+IF(AND(ISNUMBER('参数'!$K$31),ISNUMBER(Q46)),Q46&lt;='参数'!$K$31,FALSE)),"")</f>
        <v/>
      </c>
      <c r="U46" s="40" t="str">
        <f>IF(AND(ISNUMBER(J46),ISNUMBER(K46)),IF(N(ISNUMBER('参数'!$G$32))+N(ISNUMBER('参数'!$I$32))+N(ISNUMBER('参数'!$K$32))=0,"",IF(AND(ISNUMBER(J45),ISNUMBER(J44)),AND(J46&gt;J45,J45&gt;J44),FALSE)+IF(ISNUMBER('参数'!$G$32),J46&lt;'参数'!$G$32,FALSE)+IF(AND(ISNUMBER('参数'!$I$32),ISNUMBER(Q46)),Q46&gt;='参数'!$I$32,FALSE)+IF(AND(ISNUMBER('参数'!$K$32),ISNUMBER(S46)),S46&gt;='参数'!$K$32,FALSE)),"")</f>
        <v/>
      </c>
      <c r="V46" s="40" t="str">
        <f>IF(AND(ISNUMBER(J46),ISNUMBER(K46)),IF(N(ISNUMBER('参数'!$E$33))+N(ISNUMBER('参数'!$G$33))+N(ISNUMBER('参数'!$I$33))+N(ISNUMBER('参数'!$K$33))=0,"",IF(AND(ISNUMBER('参数'!$E$33),ISNUMBER(J45)),AND(J46&gt;='参数'!$E$33,J46&gt;J45),FALSE)+IF(AND(ISNUMBER('参数'!$G$33),ISNUMBER(N46)),N46&lt;='参数'!$G$33,FALSE)+IF(AND(ISNUMBER('参数'!$I$33),ISNUMBER(Q46)),Q46&gt;='参数'!$I$33,FALSE)+IF(AND(ISNUMBER('参数'!$K$33),ISNUMBER(S46)),S46&gt;='参数'!$K$33,FALSE)),"")</f>
        <v/>
      </c>
      <c r="W46" s="40" t="str">
        <f>IF(AND(ISNUMBER(J46),ISNUMBER(K46)),IF(N(ISNUMBER('参数'!$E$34))+N(ISNUMBER('参数'!$G$34))+N(ISNUMBER('参数'!$I$34))+N(ISNUMBER('参数'!$K$34))=0,"",IF(ISNUMBER('参数'!$E$34),J46&gt;='参数'!$E$34,FALSE)+IF(AND(ISNUMBER('参数'!$G$34),ISNUMBER(N46)),N46&lt;='参数'!$G$34,FALSE)+IF(AND(ISNUMBER('参数'!$I$34),ISNUMBER(S46)),S46&gt;='参数'!$I$34,FALSE)+IF(AND(ISNUMBER('参数'!$K$34),ISNUMBER(R46)),R46&gt;='参数'!$K$34,FALSE)),"")</f>
        <v/>
      </c>
      <c r="X46" s="40" t="str">
        <f>IF(AND(ISNUMBER(J46),ISNUMBER(K46)),IF(N(ISNUMBER('参数'!$E$35))+N(ISNUMBER('参数'!$G$35))+N(ISNUMBER('参数'!$I$35))=0,"",IF(AND(ISNUMBER('参数'!$E$35),ISNUMBER(N46),ISNUMBER(N45)),ROUND(N46-N45,6)&gt;='参数'!$E$35,FALSE)+IF(AND(ISNUMBER('参数'!$G$35),ISNUMBER(Q46),ISNUMBER(Q45)),ROUND(Q45-Q46,6)&gt;='参数'!$G$35,FALSE)+IF(AND(ISNUMBER('参数'!$I$35),ISNUMBER(S46),ISNUMBER(S45)),ROUND(S45-S46,6)&gt;='参数'!$I$35,FALSE)+IF(ISNUMBER(J45),J46&lt;J45,FALSE)),"")</f>
        <v/>
      </c>
      <c r="Y46" s="40" t="str">
        <f>IF(AND(ISNUMBER(J46),ISNUMBER(K46)),IF(N(ISNUMBER('参数'!$E$36))+N(ISNUMBER('参数'!$G$36))+N(ISNUMBER('参数'!$I$36))=0,"",IF(AND(ISNUMBER('参数'!$E$36),ISNUMBER(J45)),AND(J46&lt;='参数'!$E$36,J46&lt;J45),FALSE)+IF(ISNUMBER('参数'!$G$36),K46&gt;='参数'!$G$36,FALSE)+IF(AND(ISNUMBER('参数'!$I$36),ISNUMBER(S46)),S46&lt;'参数'!$I$36,FALSE)+IF(AND(ISNUMBER(R46),ISNUMBER(R45)),R46&lt;R45,FALSE)),"")</f>
        <v/>
      </c>
      <c r="Z46" s="41" t="str">
        <f>IF(NOT(AND(ISNUMBER(J46),ISNUMBER(K46))),"",IF(COUNT(T46:Y46)=0,"先填阈值",IF(MAX(AD46:AI46)=0,"不写",INDEX($T$4:$Y$4,MATCH(MAX(AD46:AI46),AD46:AI46,0))&amp;"·"&amp;IF(MAX(AD46:AI46)&gt;=200,"高","中")&amp;IF(LARGE(AD46:AI46,2)&gt;0,"（也像"&amp;INDEX($T$4:$Y$4,MATCH(LARGE(AD46:AI46,2),AD46:AI46,0))&amp;"·"&amp;IF(LARGE(AD46:AI46,2)&gt;=200,"高","中")&amp;"）",""))))</f>
        <v/>
      </c>
      <c r="AA46" s="27" t="n"/>
      <c r="AB46" s="32" t="n"/>
      <c r="AC46" s="16" t="n"/>
      <c r="AD46" s="40">
        <f>IF(N(T46)&gt;=3,IF(T46=4,2,1)*100+T46*10+6,0)</f>
        <v>0</v>
      </c>
      <c r="AE46" s="40">
        <f>IF(N(U46)&gt;=3,1*100+U46*10+1,0)</f>
        <v>0</v>
      </c>
      <c r="AF46" s="40">
        <f>IF(N(V46)&gt;=3,IF(V46=4,2,1)*100+V46*10+2,0)</f>
        <v>0</v>
      </c>
      <c r="AG46" s="40">
        <f>IF(N(W46)&gt;=3,1*100+W46*10+3,0)</f>
        <v>0</v>
      </c>
      <c r="AH46" s="40">
        <f>IF(N(X46)&gt;=3,1*100+X46*10+4,0)</f>
        <v>0</v>
      </c>
      <c r="AI46" s="40">
        <f>IF(N(Y46)&gt;=3,IF(AND(N(T46)&gt;=3,OR(N(T46)=4,N(Y46)&lt;=N(T46))),0,IF(Y46=4,2,1)*100+Y46*10+5),0)</f>
        <v>0</v>
      </c>
    </row>
    <row r="47">
      <c r="A47" s="31" t="n"/>
      <c r="B47" s="36" t="str">
        <f>IF(ISNUMBER(A47),"周"&amp;CHOOSE(WEEKDAY(A47,2),"一","二","三","四","五","六","日"),"")</f>
        <v/>
      </c>
      <c r="C47" s="37" t="n"/>
      <c r="D47" s="37" t="n"/>
      <c r="E47" s="37" t="n"/>
      <c r="F47" s="17" t="n"/>
      <c r="G47" s="38" t="str">
        <f>IF(AND(ISNUMBER(F47),ISNUMBER(F46)),IF(F46=0,"",F47/F46-1),"")</f>
        <v/>
      </c>
      <c r="H47" s="17" t="n"/>
      <c r="I47" s="17" t="n"/>
      <c r="J47" s="17" t="n"/>
      <c r="K47" s="17" t="n"/>
      <c r="L47" s="17" t="n"/>
      <c r="M47" s="17" t="n"/>
      <c r="N47" s="39" t="str">
        <f>IF(AND(ISNUMBER(L47),ISNUMBER(M47),N(L47)&gt;0),M47/L47,"")</f>
        <v/>
      </c>
      <c r="O47" s="17" t="n"/>
      <c r="P47" s="17" t="n"/>
      <c r="Q47" s="39" t="str">
        <f>IF(AND(ISNUMBER(O47),ISNUMBER(P47),N(O47)&gt;0),P47/O47,"")</f>
        <v/>
      </c>
      <c r="R47" s="17" t="n"/>
      <c r="S47" s="37" t="n"/>
      <c r="T47" s="40" t="str">
        <f>IF(AND(ISNUMBER(J47),ISNUMBER(K47)),IF(N(ISNUMBER('参数'!$E$31))+N(ISNUMBER('参数'!$G$31))+N(ISNUMBER('参数'!$I$31))+N(ISNUMBER('参数'!$K$31))=0,"",IF(ISNUMBER('参数'!$E$31),J47&lt;='参数'!$E$31,FALSE)+IF(ISNUMBER('参数'!$G$31),K47&gt;='参数'!$G$31,FALSE)+IF(AND(ISNUMBER('参数'!$I$31),ISNUMBER(N47)),N47&gt;='参数'!$I$31,FALSE)+IF(AND(ISNUMBER('参数'!$K$31),ISNUMBER(Q47)),Q47&lt;='参数'!$K$31,FALSE)),"")</f>
        <v/>
      </c>
      <c r="U47" s="40" t="str">
        <f>IF(AND(ISNUMBER(J47),ISNUMBER(K47)),IF(N(ISNUMBER('参数'!$G$32))+N(ISNUMBER('参数'!$I$32))+N(ISNUMBER('参数'!$K$32))=0,"",IF(AND(ISNUMBER(J46),ISNUMBER(J45)),AND(J47&gt;J46,J46&gt;J45),FALSE)+IF(ISNUMBER('参数'!$G$32),J47&lt;'参数'!$G$32,FALSE)+IF(AND(ISNUMBER('参数'!$I$32),ISNUMBER(Q47)),Q47&gt;='参数'!$I$32,FALSE)+IF(AND(ISNUMBER('参数'!$K$32),ISNUMBER(S47)),S47&gt;='参数'!$K$32,FALSE)),"")</f>
        <v/>
      </c>
      <c r="V47" s="40" t="str">
        <f>IF(AND(ISNUMBER(J47),ISNUMBER(K47)),IF(N(ISNUMBER('参数'!$E$33))+N(ISNUMBER('参数'!$G$33))+N(ISNUMBER('参数'!$I$33))+N(ISNUMBER('参数'!$K$33))=0,"",IF(AND(ISNUMBER('参数'!$E$33),ISNUMBER(J46)),AND(J47&gt;='参数'!$E$33,J47&gt;J46),FALSE)+IF(AND(ISNUMBER('参数'!$G$33),ISNUMBER(N47)),N47&lt;='参数'!$G$33,FALSE)+IF(AND(ISNUMBER('参数'!$I$33),ISNUMBER(Q47)),Q47&gt;='参数'!$I$33,FALSE)+IF(AND(ISNUMBER('参数'!$K$33),ISNUMBER(S47)),S47&gt;='参数'!$K$33,FALSE)),"")</f>
        <v/>
      </c>
      <c r="W47" s="40" t="str">
        <f>IF(AND(ISNUMBER(J47),ISNUMBER(K47)),IF(N(ISNUMBER('参数'!$E$34))+N(ISNUMBER('参数'!$G$34))+N(ISNUMBER('参数'!$I$34))+N(ISNUMBER('参数'!$K$34))=0,"",IF(ISNUMBER('参数'!$E$34),J47&gt;='参数'!$E$34,FALSE)+IF(AND(ISNUMBER('参数'!$G$34),ISNUMBER(N47)),N47&lt;='参数'!$G$34,FALSE)+IF(AND(ISNUMBER('参数'!$I$34),ISNUMBER(S47)),S47&gt;='参数'!$I$34,FALSE)+IF(AND(ISNUMBER('参数'!$K$34),ISNUMBER(R47)),R47&gt;='参数'!$K$34,FALSE)),"")</f>
        <v/>
      </c>
      <c r="X47" s="40" t="str">
        <f>IF(AND(ISNUMBER(J47),ISNUMBER(K47)),IF(N(ISNUMBER('参数'!$E$35))+N(ISNUMBER('参数'!$G$35))+N(ISNUMBER('参数'!$I$35))=0,"",IF(AND(ISNUMBER('参数'!$E$35),ISNUMBER(N47),ISNUMBER(N46)),ROUND(N47-N46,6)&gt;='参数'!$E$35,FALSE)+IF(AND(ISNUMBER('参数'!$G$35),ISNUMBER(Q47),ISNUMBER(Q46)),ROUND(Q46-Q47,6)&gt;='参数'!$G$35,FALSE)+IF(AND(ISNUMBER('参数'!$I$35),ISNUMBER(S47),ISNUMBER(S46)),ROUND(S46-S47,6)&gt;='参数'!$I$35,FALSE)+IF(ISNUMBER(J46),J47&lt;J46,FALSE)),"")</f>
        <v/>
      </c>
      <c r="Y47" s="40" t="str">
        <f>IF(AND(ISNUMBER(J47),ISNUMBER(K47)),IF(N(ISNUMBER('参数'!$E$36))+N(ISNUMBER('参数'!$G$36))+N(ISNUMBER('参数'!$I$36))=0,"",IF(AND(ISNUMBER('参数'!$E$36),ISNUMBER(J46)),AND(J47&lt;='参数'!$E$36,J47&lt;J46),FALSE)+IF(ISNUMBER('参数'!$G$36),K47&gt;='参数'!$G$36,FALSE)+IF(AND(ISNUMBER('参数'!$I$36),ISNUMBER(S47)),S47&lt;'参数'!$I$36,FALSE)+IF(AND(ISNUMBER(R47),ISNUMBER(R46)),R47&lt;R46,FALSE)),"")</f>
        <v/>
      </c>
      <c r="Z47" s="41" t="str">
        <f>IF(NOT(AND(ISNUMBER(J47),ISNUMBER(K47))),"",IF(COUNT(T47:Y47)=0,"先填阈值",IF(MAX(AD47:AI47)=0,"不写",INDEX($T$4:$Y$4,MATCH(MAX(AD47:AI47),AD47:AI47,0))&amp;"·"&amp;IF(MAX(AD47:AI47)&gt;=200,"高","中")&amp;IF(LARGE(AD47:AI47,2)&gt;0,"（也像"&amp;INDEX($T$4:$Y$4,MATCH(LARGE(AD47:AI47,2),AD47:AI47,0))&amp;"·"&amp;IF(LARGE(AD47:AI47,2)&gt;=200,"高","中")&amp;"）",""))))</f>
        <v/>
      </c>
      <c r="AA47" s="27" t="n"/>
      <c r="AB47" s="32" t="n"/>
      <c r="AC47" s="16" t="n"/>
      <c r="AD47" s="40">
        <f>IF(N(T47)&gt;=3,IF(T47=4,2,1)*100+T47*10+6,0)</f>
        <v>0</v>
      </c>
      <c r="AE47" s="40">
        <f>IF(N(U47)&gt;=3,1*100+U47*10+1,0)</f>
        <v>0</v>
      </c>
      <c r="AF47" s="40">
        <f>IF(N(V47)&gt;=3,IF(V47=4,2,1)*100+V47*10+2,0)</f>
        <v>0</v>
      </c>
      <c r="AG47" s="40">
        <f>IF(N(W47)&gt;=3,1*100+W47*10+3,0)</f>
        <v>0</v>
      </c>
      <c r="AH47" s="40">
        <f>IF(N(X47)&gt;=3,1*100+X47*10+4,0)</f>
        <v>0</v>
      </c>
      <c r="AI47" s="40">
        <f>IF(N(Y47)&gt;=3,IF(AND(N(T47)&gt;=3,OR(N(T47)=4,N(Y47)&lt;=N(T47))),0,IF(Y47=4,2,1)*100+Y47*10+5),0)</f>
        <v>0</v>
      </c>
    </row>
    <row r="48">
      <c r="A48" s="31" t="n"/>
      <c r="B48" s="36" t="str">
        <f>IF(ISNUMBER(A48),"周"&amp;CHOOSE(WEEKDAY(A48,2),"一","二","三","四","五","六","日"),"")</f>
        <v/>
      </c>
      <c r="C48" s="37" t="n"/>
      <c r="D48" s="37" t="n"/>
      <c r="E48" s="37" t="n"/>
      <c r="F48" s="17" t="n"/>
      <c r="G48" s="38" t="str">
        <f>IF(AND(ISNUMBER(F48),ISNUMBER(F47)),IF(F47=0,"",F48/F47-1),"")</f>
        <v/>
      </c>
      <c r="H48" s="17" t="n"/>
      <c r="I48" s="17" t="n"/>
      <c r="J48" s="17" t="n"/>
      <c r="K48" s="17" t="n"/>
      <c r="L48" s="17" t="n"/>
      <c r="M48" s="17" t="n"/>
      <c r="N48" s="39" t="str">
        <f>IF(AND(ISNUMBER(L48),ISNUMBER(M48),N(L48)&gt;0),M48/L48,"")</f>
        <v/>
      </c>
      <c r="O48" s="17" t="n"/>
      <c r="P48" s="17" t="n"/>
      <c r="Q48" s="39" t="str">
        <f>IF(AND(ISNUMBER(O48),ISNUMBER(P48),N(O48)&gt;0),P48/O48,"")</f>
        <v/>
      </c>
      <c r="R48" s="17" t="n"/>
      <c r="S48" s="37" t="n"/>
      <c r="T48" s="40" t="str">
        <f>IF(AND(ISNUMBER(J48),ISNUMBER(K48)),IF(N(ISNUMBER('参数'!$E$31))+N(ISNUMBER('参数'!$G$31))+N(ISNUMBER('参数'!$I$31))+N(ISNUMBER('参数'!$K$31))=0,"",IF(ISNUMBER('参数'!$E$31),J48&lt;='参数'!$E$31,FALSE)+IF(ISNUMBER('参数'!$G$31),K48&gt;='参数'!$G$31,FALSE)+IF(AND(ISNUMBER('参数'!$I$31),ISNUMBER(N48)),N48&gt;='参数'!$I$31,FALSE)+IF(AND(ISNUMBER('参数'!$K$31),ISNUMBER(Q48)),Q48&lt;='参数'!$K$31,FALSE)),"")</f>
        <v/>
      </c>
      <c r="U48" s="40" t="str">
        <f>IF(AND(ISNUMBER(J48),ISNUMBER(K48)),IF(N(ISNUMBER('参数'!$G$32))+N(ISNUMBER('参数'!$I$32))+N(ISNUMBER('参数'!$K$32))=0,"",IF(AND(ISNUMBER(J47),ISNUMBER(J46)),AND(J48&gt;J47,J47&gt;J46),FALSE)+IF(ISNUMBER('参数'!$G$32),J48&lt;'参数'!$G$32,FALSE)+IF(AND(ISNUMBER('参数'!$I$32),ISNUMBER(Q48)),Q48&gt;='参数'!$I$32,FALSE)+IF(AND(ISNUMBER('参数'!$K$32),ISNUMBER(S48)),S48&gt;='参数'!$K$32,FALSE)),"")</f>
        <v/>
      </c>
      <c r="V48" s="40" t="str">
        <f>IF(AND(ISNUMBER(J48),ISNUMBER(K48)),IF(N(ISNUMBER('参数'!$E$33))+N(ISNUMBER('参数'!$G$33))+N(ISNUMBER('参数'!$I$33))+N(ISNUMBER('参数'!$K$33))=0,"",IF(AND(ISNUMBER('参数'!$E$33),ISNUMBER(J47)),AND(J48&gt;='参数'!$E$33,J48&gt;J47),FALSE)+IF(AND(ISNUMBER('参数'!$G$33),ISNUMBER(N48)),N48&lt;='参数'!$G$33,FALSE)+IF(AND(ISNUMBER('参数'!$I$33),ISNUMBER(Q48)),Q48&gt;='参数'!$I$33,FALSE)+IF(AND(ISNUMBER('参数'!$K$33),ISNUMBER(S48)),S48&gt;='参数'!$K$33,FALSE)),"")</f>
        <v/>
      </c>
      <c r="W48" s="40" t="str">
        <f>IF(AND(ISNUMBER(J48),ISNUMBER(K48)),IF(N(ISNUMBER('参数'!$E$34))+N(ISNUMBER('参数'!$G$34))+N(ISNUMBER('参数'!$I$34))+N(ISNUMBER('参数'!$K$34))=0,"",IF(ISNUMBER('参数'!$E$34),J48&gt;='参数'!$E$34,FALSE)+IF(AND(ISNUMBER('参数'!$G$34),ISNUMBER(N48)),N48&lt;='参数'!$G$34,FALSE)+IF(AND(ISNUMBER('参数'!$I$34),ISNUMBER(S48)),S48&gt;='参数'!$I$34,FALSE)+IF(AND(ISNUMBER('参数'!$K$34),ISNUMBER(R48)),R48&gt;='参数'!$K$34,FALSE)),"")</f>
        <v/>
      </c>
      <c r="X48" s="40" t="str">
        <f>IF(AND(ISNUMBER(J48),ISNUMBER(K48)),IF(N(ISNUMBER('参数'!$E$35))+N(ISNUMBER('参数'!$G$35))+N(ISNUMBER('参数'!$I$35))=0,"",IF(AND(ISNUMBER('参数'!$E$35),ISNUMBER(N48),ISNUMBER(N47)),ROUND(N48-N47,6)&gt;='参数'!$E$35,FALSE)+IF(AND(ISNUMBER('参数'!$G$35),ISNUMBER(Q48),ISNUMBER(Q47)),ROUND(Q47-Q48,6)&gt;='参数'!$G$35,FALSE)+IF(AND(ISNUMBER('参数'!$I$35),ISNUMBER(S48),ISNUMBER(S47)),ROUND(S47-S48,6)&gt;='参数'!$I$35,FALSE)+IF(ISNUMBER(J47),J48&lt;J47,FALSE)),"")</f>
        <v/>
      </c>
      <c r="Y48" s="40" t="str">
        <f>IF(AND(ISNUMBER(J48),ISNUMBER(K48)),IF(N(ISNUMBER('参数'!$E$36))+N(ISNUMBER('参数'!$G$36))+N(ISNUMBER('参数'!$I$36))=0,"",IF(AND(ISNUMBER('参数'!$E$36),ISNUMBER(J47)),AND(J48&lt;='参数'!$E$36,J48&lt;J47),FALSE)+IF(ISNUMBER('参数'!$G$36),K48&gt;='参数'!$G$36,FALSE)+IF(AND(ISNUMBER('参数'!$I$36),ISNUMBER(S48)),S48&lt;'参数'!$I$36,FALSE)+IF(AND(ISNUMBER(R48),ISNUMBER(R47)),R48&lt;R47,FALSE)),"")</f>
        <v/>
      </c>
      <c r="Z48" s="41" t="str">
        <f>IF(NOT(AND(ISNUMBER(J48),ISNUMBER(K48))),"",IF(COUNT(T48:Y48)=0,"先填阈值",IF(MAX(AD48:AI48)=0,"不写",INDEX($T$4:$Y$4,MATCH(MAX(AD48:AI48),AD48:AI48,0))&amp;"·"&amp;IF(MAX(AD48:AI48)&gt;=200,"高","中")&amp;IF(LARGE(AD48:AI48,2)&gt;0,"（也像"&amp;INDEX($T$4:$Y$4,MATCH(LARGE(AD48:AI48,2),AD48:AI48,0))&amp;"·"&amp;IF(LARGE(AD48:AI48,2)&gt;=200,"高","中")&amp;"）",""))))</f>
        <v/>
      </c>
      <c r="AA48" s="27" t="n"/>
      <c r="AB48" s="32" t="n"/>
      <c r="AC48" s="16" t="n"/>
      <c r="AD48" s="40">
        <f>IF(N(T48)&gt;=3,IF(T48=4,2,1)*100+T48*10+6,0)</f>
        <v>0</v>
      </c>
      <c r="AE48" s="40">
        <f>IF(N(U48)&gt;=3,1*100+U48*10+1,0)</f>
        <v>0</v>
      </c>
      <c r="AF48" s="40">
        <f>IF(N(V48)&gt;=3,IF(V48=4,2,1)*100+V48*10+2,0)</f>
        <v>0</v>
      </c>
      <c r="AG48" s="40">
        <f>IF(N(W48)&gt;=3,1*100+W48*10+3,0)</f>
        <v>0</v>
      </c>
      <c r="AH48" s="40">
        <f>IF(N(X48)&gt;=3,1*100+X48*10+4,0)</f>
        <v>0</v>
      </c>
      <c r="AI48" s="40">
        <f>IF(N(Y48)&gt;=3,IF(AND(N(T48)&gt;=3,OR(N(T48)=4,N(Y48)&lt;=N(T48))),0,IF(Y48=4,2,1)*100+Y48*10+5),0)</f>
        <v>0</v>
      </c>
    </row>
    <row r="49">
      <c r="A49" s="31" t="n"/>
      <c r="B49" s="36" t="str">
        <f>IF(ISNUMBER(A49),"周"&amp;CHOOSE(WEEKDAY(A49,2),"一","二","三","四","五","六","日"),"")</f>
        <v/>
      </c>
      <c r="C49" s="37" t="n"/>
      <c r="D49" s="37" t="n"/>
      <c r="E49" s="37" t="n"/>
      <c r="F49" s="17" t="n"/>
      <c r="G49" s="38" t="str">
        <f>IF(AND(ISNUMBER(F49),ISNUMBER(F48)),IF(F48=0,"",F49/F48-1),"")</f>
        <v/>
      </c>
      <c r="H49" s="17" t="n"/>
      <c r="I49" s="17" t="n"/>
      <c r="J49" s="17" t="n"/>
      <c r="K49" s="17" t="n"/>
      <c r="L49" s="17" t="n"/>
      <c r="M49" s="17" t="n"/>
      <c r="N49" s="39" t="str">
        <f>IF(AND(ISNUMBER(L49),ISNUMBER(M49),N(L49)&gt;0),M49/L49,"")</f>
        <v/>
      </c>
      <c r="O49" s="17" t="n"/>
      <c r="P49" s="17" t="n"/>
      <c r="Q49" s="39" t="str">
        <f>IF(AND(ISNUMBER(O49),ISNUMBER(P49),N(O49)&gt;0),P49/O49,"")</f>
        <v/>
      </c>
      <c r="R49" s="17" t="n"/>
      <c r="S49" s="37" t="n"/>
      <c r="T49" s="40" t="str">
        <f>IF(AND(ISNUMBER(J49),ISNUMBER(K49)),IF(N(ISNUMBER('参数'!$E$31))+N(ISNUMBER('参数'!$G$31))+N(ISNUMBER('参数'!$I$31))+N(ISNUMBER('参数'!$K$31))=0,"",IF(ISNUMBER('参数'!$E$31),J49&lt;='参数'!$E$31,FALSE)+IF(ISNUMBER('参数'!$G$31),K49&gt;='参数'!$G$31,FALSE)+IF(AND(ISNUMBER('参数'!$I$31),ISNUMBER(N49)),N49&gt;='参数'!$I$31,FALSE)+IF(AND(ISNUMBER('参数'!$K$31),ISNUMBER(Q49)),Q49&lt;='参数'!$K$31,FALSE)),"")</f>
        <v/>
      </c>
      <c r="U49" s="40" t="str">
        <f>IF(AND(ISNUMBER(J49),ISNUMBER(K49)),IF(N(ISNUMBER('参数'!$G$32))+N(ISNUMBER('参数'!$I$32))+N(ISNUMBER('参数'!$K$32))=0,"",IF(AND(ISNUMBER(J48),ISNUMBER(J47)),AND(J49&gt;J48,J48&gt;J47),FALSE)+IF(ISNUMBER('参数'!$G$32),J49&lt;'参数'!$G$32,FALSE)+IF(AND(ISNUMBER('参数'!$I$32),ISNUMBER(Q49)),Q49&gt;='参数'!$I$32,FALSE)+IF(AND(ISNUMBER('参数'!$K$32),ISNUMBER(S49)),S49&gt;='参数'!$K$32,FALSE)),"")</f>
        <v/>
      </c>
      <c r="V49" s="40" t="str">
        <f>IF(AND(ISNUMBER(J49),ISNUMBER(K49)),IF(N(ISNUMBER('参数'!$E$33))+N(ISNUMBER('参数'!$G$33))+N(ISNUMBER('参数'!$I$33))+N(ISNUMBER('参数'!$K$33))=0,"",IF(AND(ISNUMBER('参数'!$E$33),ISNUMBER(J48)),AND(J49&gt;='参数'!$E$33,J49&gt;J48),FALSE)+IF(AND(ISNUMBER('参数'!$G$33),ISNUMBER(N49)),N49&lt;='参数'!$G$33,FALSE)+IF(AND(ISNUMBER('参数'!$I$33),ISNUMBER(Q49)),Q49&gt;='参数'!$I$33,FALSE)+IF(AND(ISNUMBER('参数'!$K$33),ISNUMBER(S49)),S49&gt;='参数'!$K$33,FALSE)),"")</f>
        <v/>
      </c>
      <c r="W49" s="40" t="str">
        <f>IF(AND(ISNUMBER(J49),ISNUMBER(K49)),IF(N(ISNUMBER('参数'!$E$34))+N(ISNUMBER('参数'!$G$34))+N(ISNUMBER('参数'!$I$34))+N(ISNUMBER('参数'!$K$34))=0,"",IF(ISNUMBER('参数'!$E$34),J49&gt;='参数'!$E$34,FALSE)+IF(AND(ISNUMBER('参数'!$G$34),ISNUMBER(N49)),N49&lt;='参数'!$G$34,FALSE)+IF(AND(ISNUMBER('参数'!$I$34),ISNUMBER(S49)),S49&gt;='参数'!$I$34,FALSE)+IF(AND(ISNUMBER('参数'!$K$34),ISNUMBER(R49)),R49&gt;='参数'!$K$34,FALSE)),"")</f>
        <v/>
      </c>
      <c r="X49" s="40" t="str">
        <f>IF(AND(ISNUMBER(J49),ISNUMBER(K49)),IF(N(ISNUMBER('参数'!$E$35))+N(ISNUMBER('参数'!$G$35))+N(ISNUMBER('参数'!$I$35))=0,"",IF(AND(ISNUMBER('参数'!$E$35),ISNUMBER(N49),ISNUMBER(N48)),ROUND(N49-N48,6)&gt;='参数'!$E$35,FALSE)+IF(AND(ISNUMBER('参数'!$G$35),ISNUMBER(Q49),ISNUMBER(Q48)),ROUND(Q48-Q49,6)&gt;='参数'!$G$35,FALSE)+IF(AND(ISNUMBER('参数'!$I$35),ISNUMBER(S49),ISNUMBER(S48)),ROUND(S48-S49,6)&gt;='参数'!$I$35,FALSE)+IF(ISNUMBER(J48),J49&lt;J48,FALSE)),"")</f>
        <v/>
      </c>
      <c r="Y49" s="40" t="str">
        <f>IF(AND(ISNUMBER(J49),ISNUMBER(K49)),IF(N(ISNUMBER('参数'!$E$36))+N(ISNUMBER('参数'!$G$36))+N(ISNUMBER('参数'!$I$36))=0,"",IF(AND(ISNUMBER('参数'!$E$36),ISNUMBER(J48)),AND(J49&lt;='参数'!$E$36,J49&lt;J48),FALSE)+IF(ISNUMBER('参数'!$G$36),K49&gt;='参数'!$G$36,FALSE)+IF(AND(ISNUMBER('参数'!$I$36),ISNUMBER(S49)),S49&lt;'参数'!$I$36,FALSE)+IF(AND(ISNUMBER(R49),ISNUMBER(R48)),R49&lt;R48,FALSE)),"")</f>
        <v/>
      </c>
      <c r="Z49" s="41" t="str">
        <f>IF(NOT(AND(ISNUMBER(J49),ISNUMBER(K49))),"",IF(COUNT(T49:Y49)=0,"先填阈值",IF(MAX(AD49:AI49)=0,"不写",INDEX($T$4:$Y$4,MATCH(MAX(AD49:AI49),AD49:AI49,0))&amp;"·"&amp;IF(MAX(AD49:AI49)&gt;=200,"高","中")&amp;IF(LARGE(AD49:AI49,2)&gt;0,"（也像"&amp;INDEX($T$4:$Y$4,MATCH(LARGE(AD49:AI49,2),AD49:AI49,0))&amp;"·"&amp;IF(LARGE(AD49:AI49,2)&gt;=200,"高","中")&amp;"）",""))))</f>
        <v/>
      </c>
      <c r="AA49" s="27" t="n"/>
      <c r="AB49" s="32" t="n"/>
      <c r="AC49" s="16" t="n"/>
      <c r="AD49" s="40">
        <f>IF(N(T49)&gt;=3,IF(T49=4,2,1)*100+T49*10+6,0)</f>
        <v>0</v>
      </c>
      <c r="AE49" s="40">
        <f>IF(N(U49)&gt;=3,1*100+U49*10+1,0)</f>
        <v>0</v>
      </c>
      <c r="AF49" s="40">
        <f>IF(N(V49)&gt;=3,IF(V49=4,2,1)*100+V49*10+2,0)</f>
        <v>0</v>
      </c>
      <c r="AG49" s="40">
        <f>IF(N(W49)&gt;=3,1*100+W49*10+3,0)</f>
        <v>0</v>
      </c>
      <c r="AH49" s="40">
        <f>IF(N(X49)&gt;=3,1*100+X49*10+4,0)</f>
        <v>0</v>
      </c>
      <c r="AI49" s="40">
        <f>IF(N(Y49)&gt;=3,IF(AND(N(T49)&gt;=3,OR(N(T49)=4,N(Y49)&lt;=N(T49))),0,IF(Y49=4,2,1)*100+Y49*10+5),0)</f>
        <v>0</v>
      </c>
    </row>
    <row r="50">
      <c r="A50" s="31" t="n"/>
      <c r="B50" s="36" t="str">
        <f>IF(ISNUMBER(A50),"周"&amp;CHOOSE(WEEKDAY(A50,2),"一","二","三","四","五","六","日"),"")</f>
        <v/>
      </c>
      <c r="C50" s="37" t="n"/>
      <c r="D50" s="37" t="n"/>
      <c r="E50" s="37" t="n"/>
      <c r="F50" s="17" t="n"/>
      <c r="G50" s="38" t="str">
        <f>IF(AND(ISNUMBER(F50),ISNUMBER(F49)),IF(F49=0,"",F50/F49-1),"")</f>
        <v/>
      </c>
      <c r="H50" s="17" t="n"/>
      <c r="I50" s="17" t="n"/>
      <c r="J50" s="17" t="n"/>
      <c r="K50" s="17" t="n"/>
      <c r="L50" s="17" t="n"/>
      <c r="M50" s="17" t="n"/>
      <c r="N50" s="39" t="str">
        <f>IF(AND(ISNUMBER(L50),ISNUMBER(M50),N(L50)&gt;0),M50/L50,"")</f>
        <v/>
      </c>
      <c r="O50" s="17" t="n"/>
      <c r="P50" s="17" t="n"/>
      <c r="Q50" s="39" t="str">
        <f>IF(AND(ISNUMBER(O50),ISNUMBER(P50),N(O50)&gt;0),P50/O50,"")</f>
        <v/>
      </c>
      <c r="R50" s="17" t="n"/>
      <c r="S50" s="37" t="n"/>
      <c r="T50" s="40" t="str">
        <f>IF(AND(ISNUMBER(J50),ISNUMBER(K50)),IF(N(ISNUMBER('参数'!$E$31))+N(ISNUMBER('参数'!$G$31))+N(ISNUMBER('参数'!$I$31))+N(ISNUMBER('参数'!$K$31))=0,"",IF(ISNUMBER('参数'!$E$31),J50&lt;='参数'!$E$31,FALSE)+IF(ISNUMBER('参数'!$G$31),K50&gt;='参数'!$G$31,FALSE)+IF(AND(ISNUMBER('参数'!$I$31),ISNUMBER(N50)),N50&gt;='参数'!$I$31,FALSE)+IF(AND(ISNUMBER('参数'!$K$31),ISNUMBER(Q50)),Q50&lt;='参数'!$K$31,FALSE)),"")</f>
        <v/>
      </c>
      <c r="U50" s="40" t="str">
        <f>IF(AND(ISNUMBER(J50),ISNUMBER(K50)),IF(N(ISNUMBER('参数'!$G$32))+N(ISNUMBER('参数'!$I$32))+N(ISNUMBER('参数'!$K$32))=0,"",IF(AND(ISNUMBER(J49),ISNUMBER(J48)),AND(J50&gt;J49,J49&gt;J48),FALSE)+IF(ISNUMBER('参数'!$G$32),J50&lt;'参数'!$G$32,FALSE)+IF(AND(ISNUMBER('参数'!$I$32),ISNUMBER(Q50)),Q50&gt;='参数'!$I$32,FALSE)+IF(AND(ISNUMBER('参数'!$K$32),ISNUMBER(S50)),S50&gt;='参数'!$K$32,FALSE)),"")</f>
        <v/>
      </c>
      <c r="V50" s="40" t="str">
        <f>IF(AND(ISNUMBER(J50),ISNUMBER(K50)),IF(N(ISNUMBER('参数'!$E$33))+N(ISNUMBER('参数'!$G$33))+N(ISNUMBER('参数'!$I$33))+N(ISNUMBER('参数'!$K$33))=0,"",IF(AND(ISNUMBER('参数'!$E$33),ISNUMBER(J49)),AND(J50&gt;='参数'!$E$33,J50&gt;J49),FALSE)+IF(AND(ISNUMBER('参数'!$G$33),ISNUMBER(N50)),N50&lt;='参数'!$G$33,FALSE)+IF(AND(ISNUMBER('参数'!$I$33),ISNUMBER(Q50)),Q50&gt;='参数'!$I$33,FALSE)+IF(AND(ISNUMBER('参数'!$K$33),ISNUMBER(S50)),S50&gt;='参数'!$K$33,FALSE)),"")</f>
        <v/>
      </c>
      <c r="W50" s="40" t="str">
        <f>IF(AND(ISNUMBER(J50),ISNUMBER(K50)),IF(N(ISNUMBER('参数'!$E$34))+N(ISNUMBER('参数'!$G$34))+N(ISNUMBER('参数'!$I$34))+N(ISNUMBER('参数'!$K$34))=0,"",IF(ISNUMBER('参数'!$E$34),J50&gt;='参数'!$E$34,FALSE)+IF(AND(ISNUMBER('参数'!$G$34),ISNUMBER(N50)),N50&lt;='参数'!$G$34,FALSE)+IF(AND(ISNUMBER('参数'!$I$34),ISNUMBER(S50)),S50&gt;='参数'!$I$34,FALSE)+IF(AND(ISNUMBER('参数'!$K$34),ISNUMBER(R50)),R50&gt;='参数'!$K$34,FALSE)),"")</f>
        <v/>
      </c>
      <c r="X50" s="40" t="str">
        <f>IF(AND(ISNUMBER(J50),ISNUMBER(K50)),IF(N(ISNUMBER('参数'!$E$35))+N(ISNUMBER('参数'!$G$35))+N(ISNUMBER('参数'!$I$35))=0,"",IF(AND(ISNUMBER('参数'!$E$35),ISNUMBER(N50),ISNUMBER(N49)),ROUND(N50-N49,6)&gt;='参数'!$E$35,FALSE)+IF(AND(ISNUMBER('参数'!$G$35),ISNUMBER(Q50),ISNUMBER(Q49)),ROUND(Q49-Q50,6)&gt;='参数'!$G$35,FALSE)+IF(AND(ISNUMBER('参数'!$I$35),ISNUMBER(S50),ISNUMBER(S49)),ROUND(S49-S50,6)&gt;='参数'!$I$35,FALSE)+IF(ISNUMBER(J49),J50&lt;J49,FALSE)),"")</f>
        <v/>
      </c>
      <c r="Y50" s="40" t="str">
        <f>IF(AND(ISNUMBER(J50),ISNUMBER(K50)),IF(N(ISNUMBER('参数'!$E$36))+N(ISNUMBER('参数'!$G$36))+N(ISNUMBER('参数'!$I$36))=0,"",IF(AND(ISNUMBER('参数'!$E$36),ISNUMBER(J49)),AND(J50&lt;='参数'!$E$36,J50&lt;J49),FALSE)+IF(ISNUMBER('参数'!$G$36),K50&gt;='参数'!$G$36,FALSE)+IF(AND(ISNUMBER('参数'!$I$36),ISNUMBER(S50)),S50&lt;'参数'!$I$36,FALSE)+IF(AND(ISNUMBER(R50),ISNUMBER(R49)),R50&lt;R49,FALSE)),"")</f>
        <v/>
      </c>
      <c r="Z50" s="41" t="str">
        <f>IF(NOT(AND(ISNUMBER(J50),ISNUMBER(K50))),"",IF(COUNT(T50:Y50)=0,"先填阈值",IF(MAX(AD50:AI50)=0,"不写",INDEX($T$4:$Y$4,MATCH(MAX(AD50:AI50),AD50:AI50,0))&amp;"·"&amp;IF(MAX(AD50:AI50)&gt;=200,"高","中")&amp;IF(LARGE(AD50:AI50,2)&gt;0,"（也像"&amp;INDEX($T$4:$Y$4,MATCH(LARGE(AD50:AI50,2),AD50:AI50,0))&amp;"·"&amp;IF(LARGE(AD50:AI50,2)&gt;=200,"高","中")&amp;"）",""))))</f>
        <v/>
      </c>
      <c r="AA50" s="27" t="n"/>
      <c r="AB50" s="32" t="n"/>
      <c r="AC50" s="16" t="n"/>
      <c r="AD50" s="40">
        <f>IF(N(T50)&gt;=3,IF(T50=4,2,1)*100+T50*10+6,0)</f>
        <v>0</v>
      </c>
      <c r="AE50" s="40">
        <f>IF(N(U50)&gt;=3,1*100+U50*10+1,0)</f>
        <v>0</v>
      </c>
      <c r="AF50" s="40">
        <f>IF(N(V50)&gt;=3,IF(V50=4,2,1)*100+V50*10+2,0)</f>
        <v>0</v>
      </c>
      <c r="AG50" s="40">
        <f>IF(N(W50)&gt;=3,1*100+W50*10+3,0)</f>
        <v>0</v>
      </c>
      <c r="AH50" s="40">
        <f>IF(N(X50)&gt;=3,1*100+X50*10+4,0)</f>
        <v>0</v>
      </c>
      <c r="AI50" s="40">
        <f>IF(N(Y50)&gt;=3,IF(AND(N(T50)&gt;=3,OR(N(T50)=4,N(Y50)&lt;=N(T50))),0,IF(Y50=4,2,1)*100+Y50*10+5),0)</f>
        <v>0</v>
      </c>
    </row>
    <row r="51">
      <c r="A51" s="31" t="n"/>
      <c r="B51" s="36" t="str">
        <f>IF(ISNUMBER(A51),"周"&amp;CHOOSE(WEEKDAY(A51,2),"一","二","三","四","五","六","日"),"")</f>
        <v/>
      </c>
      <c r="C51" s="37" t="n"/>
      <c r="D51" s="37" t="n"/>
      <c r="E51" s="37" t="n"/>
      <c r="F51" s="17" t="n"/>
      <c r="G51" s="38" t="str">
        <f>IF(AND(ISNUMBER(F51),ISNUMBER(F50)),IF(F50=0,"",F51/F50-1),"")</f>
        <v/>
      </c>
      <c r="H51" s="17" t="n"/>
      <c r="I51" s="17" t="n"/>
      <c r="J51" s="17" t="n"/>
      <c r="K51" s="17" t="n"/>
      <c r="L51" s="17" t="n"/>
      <c r="M51" s="17" t="n"/>
      <c r="N51" s="39" t="str">
        <f>IF(AND(ISNUMBER(L51),ISNUMBER(M51),N(L51)&gt;0),M51/L51,"")</f>
        <v/>
      </c>
      <c r="O51" s="17" t="n"/>
      <c r="P51" s="17" t="n"/>
      <c r="Q51" s="39" t="str">
        <f>IF(AND(ISNUMBER(O51),ISNUMBER(P51),N(O51)&gt;0),P51/O51,"")</f>
        <v/>
      </c>
      <c r="R51" s="17" t="n"/>
      <c r="S51" s="37" t="n"/>
      <c r="T51" s="40" t="str">
        <f>IF(AND(ISNUMBER(J51),ISNUMBER(K51)),IF(N(ISNUMBER('参数'!$E$31))+N(ISNUMBER('参数'!$G$31))+N(ISNUMBER('参数'!$I$31))+N(ISNUMBER('参数'!$K$31))=0,"",IF(ISNUMBER('参数'!$E$31),J51&lt;='参数'!$E$31,FALSE)+IF(ISNUMBER('参数'!$G$31),K51&gt;='参数'!$G$31,FALSE)+IF(AND(ISNUMBER('参数'!$I$31),ISNUMBER(N51)),N51&gt;='参数'!$I$31,FALSE)+IF(AND(ISNUMBER('参数'!$K$31),ISNUMBER(Q51)),Q51&lt;='参数'!$K$31,FALSE)),"")</f>
        <v/>
      </c>
      <c r="U51" s="40" t="str">
        <f>IF(AND(ISNUMBER(J51),ISNUMBER(K51)),IF(N(ISNUMBER('参数'!$G$32))+N(ISNUMBER('参数'!$I$32))+N(ISNUMBER('参数'!$K$32))=0,"",IF(AND(ISNUMBER(J50),ISNUMBER(J49)),AND(J51&gt;J50,J50&gt;J49),FALSE)+IF(ISNUMBER('参数'!$G$32),J51&lt;'参数'!$G$32,FALSE)+IF(AND(ISNUMBER('参数'!$I$32),ISNUMBER(Q51)),Q51&gt;='参数'!$I$32,FALSE)+IF(AND(ISNUMBER('参数'!$K$32),ISNUMBER(S51)),S51&gt;='参数'!$K$32,FALSE)),"")</f>
        <v/>
      </c>
      <c r="V51" s="40" t="str">
        <f>IF(AND(ISNUMBER(J51),ISNUMBER(K51)),IF(N(ISNUMBER('参数'!$E$33))+N(ISNUMBER('参数'!$G$33))+N(ISNUMBER('参数'!$I$33))+N(ISNUMBER('参数'!$K$33))=0,"",IF(AND(ISNUMBER('参数'!$E$33),ISNUMBER(J50)),AND(J51&gt;='参数'!$E$33,J51&gt;J50),FALSE)+IF(AND(ISNUMBER('参数'!$G$33),ISNUMBER(N51)),N51&lt;='参数'!$G$33,FALSE)+IF(AND(ISNUMBER('参数'!$I$33),ISNUMBER(Q51)),Q51&gt;='参数'!$I$33,FALSE)+IF(AND(ISNUMBER('参数'!$K$33),ISNUMBER(S51)),S51&gt;='参数'!$K$33,FALSE)),"")</f>
        <v/>
      </c>
      <c r="W51" s="40" t="str">
        <f>IF(AND(ISNUMBER(J51),ISNUMBER(K51)),IF(N(ISNUMBER('参数'!$E$34))+N(ISNUMBER('参数'!$G$34))+N(ISNUMBER('参数'!$I$34))+N(ISNUMBER('参数'!$K$34))=0,"",IF(ISNUMBER('参数'!$E$34),J51&gt;='参数'!$E$34,FALSE)+IF(AND(ISNUMBER('参数'!$G$34),ISNUMBER(N51)),N51&lt;='参数'!$G$34,FALSE)+IF(AND(ISNUMBER('参数'!$I$34),ISNUMBER(S51)),S51&gt;='参数'!$I$34,FALSE)+IF(AND(ISNUMBER('参数'!$K$34),ISNUMBER(R51)),R51&gt;='参数'!$K$34,FALSE)),"")</f>
        <v/>
      </c>
      <c r="X51" s="40" t="str">
        <f>IF(AND(ISNUMBER(J51),ISNUMBER(K51)),IF(N(ISNUMBER('参数'!$E$35))+N(ISNUMBER('参数'!$G$35))+N(ISNUMBER('参数'!$I$35))=0,"",IF(AND(ISNUMBER('参数'!$E$35),ISNUMBER(N51),ISNUMBER(N50)),ROUND(N51-N50,6)&gt;='参数'!$E$35,FALSE)+IF(AND(ISNUMBER('参数'!$G$35),ISNUMBER(Q51),ISNUMBER(Q50)),ROUND(Q50-Q51,6)&gt;='参数'!$G$35,FALSE)+IF(AND(ISNUMBER('参数'!$I$35),ISNUMBER(S51),ISNUMBER(S50)),ROUND(S50-S51,6)&gt;='参数'!$I$35,FALSE)+IF(ISNUMBER(J50),J51&lt;J50,FALSE)),"")</f>
        <v/>
      </c>
      <c r="Y51" s="40" t="str">
        <f>IF(AND(ISNUMBER(J51),ISNUMBER(K51)),IF(N(ISNUMBER('参数'!$E$36))+N(ISNUMBER('参数'!$G$36))+N(ISNUMBER('参数'!$I$36))=0,"",IF(AND(ISNUMBER('参数'!$E$36),ISNUMBER(J50)),AND(J51&lt;='参数'!$E$36,J51&lt;J50),FALSE)+IF(ISNUMBER('参数'!$G$36),K51&gt;='参数'!$G$36,FALSE)+IF(AND(ISNUMBER('参数'!$I$36),ISNUMBER(S51)),S51&lt;'参数'!$I$36,FALSE)+IF(AND(ISNUMBER(R51),ISNUMBER(R50)),R51&lt;R50,FALSE)),"")</f>
        <v/>
      </c>
      <c r="Z51" s="41" t="str">
        <f>IF(NOT(AND(ISNUMBER(J51),ISNUMBER(K51))),"",IF(COUNT(T51:Y51)=0,"先填阈值",IF(MAX(AD51:AI51)=0,"不写",INDEX($T$4:$Y$4,MATCH(MAX(AD51:AI51),AD51:AI51,0))&amp;"·"&amp;IF(MAX(AD51:AI51)&gt;=200,"高","中")&amp;IF(LARGE(AD51:AI51,2)&gt;0,"（也像"&amp;INDEX($T$4:$Y$4,MATCH(LARGE(AD51:AI51,2),AD51:AI51,0))&amp;"·"&amp;IF(LARGE(AD51:AI51,2)&gt;=200,"高","中")&amp;"）",""))))</f>
        <v/>
      </c>
      <c r="AA51" s="27" t="n"/>
      <c r="AB51" s="32" t="n"/>
      <c r="AC51" s="16" t="n"/>
      <c r="AD51" s="40">
        <f>IF(N(T51)&gt;=3,IF(T51=4,2,1)*100+T51*10+6,0)</f>
        <v>0</v>
      </c>
      <c r="AE51" s="40">
        <f>IF(N(U51)&gt;=3,1*100+U51*10+1,0)</f>
        <v>0</v>
      </c>
      <c r="AF51" s="40">
        <f>IF(N(V51)&gt;=3,IF(V51=4,2,1)*100+V51*10+2,0)</f>
        <v>0</v>
      </c>
      <c r="AG51" s="40">
        <f>IF(N(W51)&gt;=3,1*100+W51*10+3,0)</f>
        <v>0</v>
      </c>
      <c r="AH51" s="40">
        <f>IF(N(X51)&gt;=3,1*100+X51*10+4,0)</f>
        <v>0</v>
      </c>
      <c r="AI51" s="40">
        <f>IF(N(Y51)&gt;=3,IF(AND(N(T51)&gt;=3,OR(N(T51)=4,N(Y51)&lt;=N(T51))),0,IF(Y51=4,2,1)*100+Y51*10+5),0)</f>
        <v>0</v>
      </c>
    </row>
    <row r="52">
      <c r="A52" s="31" t="n"/>
      <c r="B52" s="36" t="str">
        <f>IF(ISNUMBER(A52),"周"&amp;CHOOSE(WEEKDAY(A52,2),"一","二","三","四","五","六","日"),"")</f>
        <v/>
      </c>
      <c r="C52" s="37" t="n"/>
      <c r="D52" s="37" t="n"/>
      <c r="E52" s="37" t="n"/>
      <c r="F52" s="17" t="n"/>
      <c r="G52" s="38" t="str">
        <f>IF(AND(ISNUMBER(F52),ISNUMBER(F51)),IF(F51=0,"",F52/F51-1),"")</f>
        <v/>
      </c>
      <c r="H52" s="17" t="n"/>
      <c r="I52" s="17" t="n"/>
      <c r="J52" s="17" t="n"/>
      <c r="K52" s="17" t="n"/>
      <c r="L52" s="17" t="n"/>
      <c r="M52" s="17" t="n"/>
      <c r="N52" s="39" t="str">
        <f>IF(AND(ISNUMBER(L52),ISNUMBER(M52),N(L52)&gt;0),M52/L52,"")</f>
        <v/>
      </c>
      <c r="O52" s="17" t="n"/>
      <c r="P52" s="17" t="n"/>
      <c r="Q52" s="39" t="str">
        <f>IF(AND(ISNUMBER(O52),ISNUMBER(P52),N(O52)&gt;0),P52/O52,"")</f>
        <v/>
      </c>
      <c r="R52" s="17" t="n"/>
      <c r="S52" s="37" t="n"/>
      <c r="T52" s="40" t="str">
        <f>IF(AND(ISNUMBER(J52),ISNUMBER(K52)),IF(N(ISNUMBER('参数'!$E$31))+N(ISNUMBER('参数'!$G$31))+N(ISNUMBER('参数'!$I$31))+N(ISNUMBER('参数'!$K$31))=0,"",IF(ISNUMBER('参数'!$E$31),J52&lt;='参数'!$E$31,FALSE)+IF(ISNUMBER('参数'!$G$31),K52&gt;='参数'!$G$31,FALSE)+IF(AND(ISNUMBER('参数'!$I$31),ISNUMBER(N52)),N52&gt;='参数'!$I$31,FALSE)+IF(AND(ISNUMBER('参数'!$K$31),ISNUMBER(Q52)),Q52&lt;='参数'!$K$31,FALSE)),"")</f>
        <v/>
      </c>
      <c r="U52" s="40" t="str">
        <f>IF(AND(ISNUMBER(J52),ISNUMBER(K52)),IF(N(ISNUMBER('参数'!$G$32))+N(ISNUMBER('参数'!$I$32))+N(ISNUMBER('参数'!$K$32))=0,"",IF(AND(ISNUMBER(J51),ISNUMBER(J50)),AND(J52&gt;J51,J51&gt;J50),FALSE)+IF(ISNUMBER('参数'!$G$32),J52&lt;'参数'!$G$32,FALSE)+IF(AND(ISNUMBER('参数'!$I$32),ISNUMBER(Q52)),Q52&gt;='参数'!$I$32,FALSE)+IF(AND(ISNUMBER('参数'!$K$32),ISNUMBER(S52)),S52&gt;='参数'!$K$32,FALSE)),"")</f>
        <v/>
      </c>
      <c r="V52" s="40" t="str">
        <f>IF(AND(ISNUMBER(J52),ISNUMBER(K52)),IF(N(ISNUMBER('参数'!$E$33))+N(ISNUMBER('参数'!$G$33))+N(ISNUMBER('参数'!$I$33))+N(ISNUMBER('参数'!$K$33))=0,"",IF(AND(ISNUMBER('参数'!$E$33),ISNUMBER(J51)),AND(J52&gt;='参数'!$E$33,J52&gt;J51),FALSE)+IF(AND(ISNUMBER('参数'!$G$33),ISNUMBER(N52)),N52&lt;='参数'!$G$33,FALSE)+IF(AND(ISNUMBER('参数'!$I$33),ISNUMBER(Q52)),Q52&gt;='参数'!$I$33,FALSE)+IF(AND(ISNUMBER('参数'!$K$33),ISNUMBER(S52)),S52&gt;='参数'!$K$33,FALSE)),"")</f>
        <v/>
      </c>
      <c r="W52" s="40" t="str">
        <f>IF(AND(ISNUMBER(J52),ISNUMBER(K52)),IF(N(ISNUMBER('参数'!$E$34))+N(ISNUMBER('参数'!$G$34))+N(ISNUMBER('参数'!$I$34))+N(ISNUMBER('参数'!$K$34))=0,"",IF(ISNUMBER('参数'!$E$34),J52&gt;='参数'!$E$34,FALSE)+IF(AND(ISNUMBER('参数'!$G$34),ISNUMBER(N52)),N52&lt;='参数'!$G$34,FALSE)+IF(AND(ISNUMBER('参数'!$I$34),ISNUMBER(S52)),S52&gt;='参数'!$I$34,FALSE)+IF(AND(ISNUMBER('参数'!$K$34),ISNUMBER(R52)),R52&gt;='参数'!$K$34,FALSE)),"")</f>
        <v/>
      </c>
      <c r="X52" s="40" t="str">
        <f>IF(AND(ISNUMBER(J52),ISNUMBER(K52)),IF(N(ISNUMBER('参数'!$E$35))+N(ISNUMBER('参数'!$G$35))+N(ISNUMBER('参数'!$I$35))=0,"",IF(AND(ISNUMBER('参数'!$E$35),ISNUMBER(N52),ISNUMBER(N51)),ROUND(N52-N51,6)&gt;='参数'!$E$35,FALSE)+IF(AND(ISNUMBER('参数'!$G$35),ISNUMBER(Q52),ISNUMBER(Q51)),ROUND(Q51-Q52,6)&gt;='参数'!$G$35,FALSE)+IF(AND(ISNUMBER('参数'!$I$35),ISNUMBER(S52),ISNUMBER(S51)),ROUND(S51-S52,6)&gt;='参数'!$I$35,FALSE)+IF(ISNUMBER(J51),J52&lt;J51,FALSE)),"")</f>
        <v/>
      </c>
      <c r="Y52" s="40" t="str">
        <f>IF(AND(ISNUMBER(J52),ISNUMBER(K52)),IF(N(ISNUMBER('参数'!$E$36))+N(ISNUMBER('参数'!$G$36))+N(ISNUMBER('参数'!$I$36))=0,"",IF(AND(ISNUMBER('参数'!$E$36),ISNUMBER(J51)),AND(J52&lt;='参数'!$E$36,J52&lt;J51),FALSE)+IF(ISNUMBER('参数'!$G$36),K52&gt;='参数'!$G$36,FALSE)+IF(AND(ISNUMBER('参数'!$I$36),ISNUMBER(S52)),S52&lt;'参数'!$I$36,FALSE)+IF(AND(ISNUMBER(R52),ISNUMBER(R51)),R52&lt;R51,FALSE)),"")</f>
        <v/>
      </c>
      <c r="Z52" s="41" t="str">
        <f>IF(NOT(AND(ISNUMBER(J52),ISNUMBER(K52))),"",IF(COUNT(T52:Y52)=0,"先填阈值",IF(MAX(AD52:AI52)=0,"不写",INDEX($T$4:$Y$4,MATCH(MAX(AD52:AI52),AD52:AI52,0))&amp;"·"&amp;IF(MAX(AD52:AI52)&gt;=200,"高","中")&amp;IF(LARGE(AD52:AI52,2)&gt;0,"（也像"&amp;INDEX($T$4:$Y$4,MATCH(LARGE(AD52:AI52,2),AD52:AI52,0))&amp;"·"&amp;IF(LARGE(AD52:AI52,2)&gt;=200,"高","中")&amp;"）",""))))</f>
        <v/>
      </c>
      <c r="AA52" s="27" t="n"/>
      <c r="AB52" s="32" t="n"/>
      <c r="AC52" s="16" t="n"/>
      <c r="AD52" s="40">
        <f>IF(N(T52)&gt;=3,IF(T52=4,2,1)*100+T52*10+6,0)</f>
        <v>0</v>
      </c>
      <c r="AE52" s="40">
        <f>IF(N(U52)&gt;=3,1*100+U52*10+1,0)</f>
        <v>0</v>
      </c>
      <c r="AF52" s="40">
        <f>IF(N(V52)&gt;=3,IF(V52=4,2,1)*100+V52*10+2,0)</f>
        <v>0</v>
      </c>
      <c r="AG52" s="40">
        <f>IF(N(W52)&gt;=3,1*100+W52*10+3,0)</f>
        <v>0</v>
      </c>
      <c r="AH52" s="40">
        <f>IF(N(X52)&gt;=3,1*100+X52*10+4,0)</f>
        <v>0</v>
      </c>
      <c r="AI52" s="40">
        <f>IF(N(Y52)&gt;=3,IF(AND(N(T52)&gt;=3,OR(N(T52)=4,N(Y52)&lt;=N(T52))),0,IF(Y52=4,2,1)*100+Y52*10+5),0)</f>
        <v>0</v>
      </c>
    </row>
    <row r="53">
      <c r="A53" s="31" t="n"/>
      <c r="B53" s="36" t="str">
        <f>IF(ISNUMBER(A53),"周"&amp;CHOOSE(WEEKDAY(A53,2),"一","二","三","四","五","六","日"),"")</f>
        <v/>
      </c>
      <c r="C53" s="37" t="n"/>
      <c r="D53" s="37" t="n"/>
      <c r="E53" s="37" t="n"/>
      <c r="F53" s="17" t="n"/>
      <c r="G53" s="38" t="str">
        <f>IF(AND(ISNUMBER(F53),ISNUMBER(F52)),IF(F52=0,"",F53/F52-1),"")</f>
        <v/>
      </c>
      <c r="H53" s="17" t="n"/>
      <c r="I53" s="17" t="n"/>
      <c r="J53" s="17" t="n"/>
      <c r="K53" s="17" t="n"/>
      <c r="L53" s="17" t="n"/>
      <c r="M53" s="17" t="n"/>
      <c r="N53" s="39" t="str">
        <f>IF(AND(ISNUMBER(L53),ISNUMBER(M53),N(L53)&gt;0),M53/L53,"")</f>
        <v/>
      </c>
      <c r="O53" s="17" t="n"/>
      <c r="P53" s="17" t="n"/>
      <c r="Q53" s="39" t="str">
        <f>IF(AND(ISNUMBER(O53),ISNUMBER(P53),N(O53)&gt;0),P53/O53,"")</f>
        <v/>
      </c>
      <c r="R53" s="17" t="n"/>
      <c r="S53" s="37" t="n"/>
      <c r="T53" s="40" t="str">
        <f>IF(AND(ISNUMBER(J53),ISNUMBER(K53)),IF(N(ISNUMBER('参数'!$E$31))+N(ISNUMBER('参数'!$G$31))+N(ISNUMBER('参数'!$I$31))+N(ISNUMBER('参数'!$K$31))=0,"",IF(ISNUMBER('参数'!$E$31),J53&lt;='参数'!$E$31,FALSE)+IF(ISNUMBER('参数'!$G$31),K53&gt;='参数'!$G$31,FALSE)+IF(AND(ISNUMBER('参数'!$I$31),ISNUMBER(N53)),N53&gt;='参数'!$I$31,FALSE)+IF(AND(ISNUMBER('参数'!$K$31),ISNUMBER(Q53)),Q53&lt;='参数'!$K$31,FALSE)),"")</f>
        <v/>
      </c>
      <c r="U53" s="40" t="str">
        <f>IF(AND(ISNUMBER(J53),ISNUMBER(K53)),IF(N(ISNUMBER('参数'!$G$32))+N(ISNUMBER('参数'!$I$32))+N(ISNUMBER('参数'!$K$32))=0,"",IF(AND(ISNUMBER(J52),ISNUMBER(J51)),AND(J53&gt;J52,J52&gt;J51),FALSE)+IF(ISNUMBER('参数'!$G$32),J53&lt;'参数'!$G$32,FALSE)+IF(AND(ISNUMBER('参数'!$I$32),ISNUMBER(Q53)),Q53&gt;='参数'!$I$32,FALSE)+IF(AND(ISNUMBER('参数'!$K$32),ISNUMBER(S53)),S53&gt;='参数'!$K$32,FALSE)),"")</f>
        <v/>
      </c>
      <c r="V53" s="40" t="str">
        <f>IF(AND(ISNUMBER(J53),ISNUMBER(K53)),IF(N(ISNUMBER('参数'!$E$33))+N(ISNUMBER('参数'!$G$33))+N(ISNUMBER('参数'!$I$33))+N(ISNUMBER('参数'!$K$33))=0,"",IF(AND(ISNUMBER('参数'!$E$33),ISNUMBER(J52)),AND(J53&gt;='参数'!$E$33,J53&gt;J52),FALSE)+IF(AND(ISNUMBER('参数'!$G$33),ISNUMBER(N53)),N53&lt;='参数'!$G$33,FALSE)+IF(AND(ISNUMBER('参数'!$I$33),ISNUMBER(Q53)),Q53&gt;='参数'!$I$33,FALSE)+IF(AND(ISNUMBER('参数'!$K$33),ISNUMBER(S53)),S53&gt;='参数'!$K$33,FALSE)),"")</f>
        <v/>
      </c>
      <c r="W53" s="40" t="str">
        <f>IF(AND(ISNUMBER(J53),ISNUMBER(K53)),IF(N(ISNUMBER('参数'!$E$34))+N(ISNUMBER('参数'!$G$34))+N(ISNUMBER('参数'!$I$34))+N(ISNUMBER('参数'!$K$34))=0,"",IF(ISNUMBER('参数'!$E$34),J53&gt;='参数'!$E$34,FALSE)+IF(AND(ISNUMBER('参数'!$G$34),ISNUMBER(N53)),N53&lt;='参数'!$G$34,FALSE)+IF(AND(ISNUMBER('参数'!$I$34),ISNUMBER(S53)),S53&gt;='参数'!$I$34,FALSE)+IF(AND(ISNUMBER('参数'!$K$34),ISNUMBER(R53)),R53&gt;='参数'!$K$34,FALSE)),"")</f>
        <v/>
      </c>
      <c r="X53" s="40" t="str">
        <f>IF(AND(ISNUMBER(J53),ISNUMBER(K53)),IF(N(ISNUMBER('参数'!$E$35))+N(ISNUMBER('参数'!$G$35))+N(ISNUMBER('参数'!$I$35))=0,"",IF(AND(ISNUMBER('参数'!$E$35),ISNUMBER(N53),ISNUMBER(N52)),ROUND(N53-N52,6)&gt;='参数'!$E$35,FALSE)+IF(AND(ISNUMBER('参数'!$G$35),ISNUMBER(Q53),ISNUMBER(Q52)),ROUND(Q52-Q53,6)&gt;='参数'!$G$35,FALSE)+IF(AND(ISNUMBER('参数'!$I$35),ISNUMBER(S53),ISNUMBER(S52)),ROUND(S52-S53,6)&gt;='参数'!$I$35,FALSE)+IF(ISNUMBER(J52),J53&lt;J52,FALSE)),"")</f>
        <v/>
      </c>
      <c r="Y53" s="40" t="str">
        <f>IF(AND(ISNUMBER(J53),ISNUMBER(K53)),IF(N(ISNUMBER('参数'!$E$36))+N(ISNUMBER('参数'!$G$36))+N(ISNUMBER('参数'!$I$36))=0,"",IF(AND(ISNUMBER('参数'!$E$36),ISNUMBER(J52)),AND(J53&lt;='参数'!$E$36,J53&lt;J52),FALSE)+IF(ISNUMBER('参数'!$G$36),K53&gt;='参数'!$G$36,FALSE)+IF(AND(ISNUMBER('参数'!$I$36),ISNUMBER(S53)),S53&lt;'参数'!$I$36,FALSE)+IF(AND(ISNUMBER(R53),ISNUMBER(R52)),R53&lt;R52,FALSE)),"")</f>
        <v/>
      </c>
      <c r="Z53" s="41" t="str">
        <f>IF(NOT(AND(ISNUMBER(J53),ISNUMBER(K53))),"",IF(COUNT(T53:Y53)=0,"先填阈值",IF(MAX(AD53:AI53)=0,"不写",INDEX($T$4:$Y$4,MATCH(MAX(AD53:AI53),AD53:AI53,0))&amp;"·"&amp;IF(MAX(AD53:AI53)&gt;=200,"高","中")&amp;IF(LARGE(AD53:AI53,2)&gt;0,"（也像"&amp;INDEX($T$4:$Y$4,MATCH(LARGE(AD53:AI53,2),AD53:AI53,0))&amp;"·"&amp;IF(LARGE(AD53:AI53,2)&gt;=200,"高","中")&amp;"）",""))))</f>
        <v/>
      </c>
      <c r="AA53" s="27" t="n"/>
      <c r="AB53" s="32" t="n"/>
      <c r="AC53" s="16" t="n"/>
      <c r="AD53" s="40">
        <f>IF(N(T53)&gt;=3,IF(T53=4,2,1)*100+T53*10+6,0)</f>
        <v>0</v>
      </c>
      <c r="AE53" s="40">
        <f>IF(N(U53)&gt;=3,1*100+U53*10+1,0)</f>
        <v>0</v>
      </c>
      <c r="AF53" s="40">
        <f>IF(N(V53)&gt;=3,IF(V53=4,2,1)*100+V53*10+2,0)</f>
        <v>0</v>
      </c>
      <c r="AG53" s="40">
        <f>IF(N(W53)&gt;=3,1*100+W53*10+3,0)</f>
        <v>0</v>
      </c>
      <c r="AH53" s="40">
        <f>IF(N(X53)&gt;=3,1*100+X53*10+4,0)</f>
        <v>0</v>
      </c>
      <c r="AI53" s="40">
        <f>IF(N(Y53)&gt;=3,IF(AND(N(T53)&gt;=3,OR(N(T53)=4,N(Y53)&lt;=N(T53))),0,IF(Y53=4,2,1)*100+Y53*10+5),0)</f>
        <v>0</v>
      </c>
    </row>
    <row r="54">
      <c r="A54" s="31" t="n"/>
      <c r="B54" s="36" t="str">
        <f>IF(ISNUMBER(A54),"周"&amp;CHOOSE(WEEKDAY(A54,2),"一","二","三","四","五","六","日"),"")</f>
        <v/>
      </c>
      <c r="C54" s="37" t="n"/>
      <c r="D54" s="37" t="n"/>
      <c r="E54" s="37" t="n"/>
      <c r="F54" s="17" t="n"/>
      <c r="G54" s="38" t="str">
        <f>IF(AND(ISNUMBER(F54),ISNUMBER(F53)),IF(F53=0,"",F54/F53-1),"")</f>
        <v/>
      </c>
      <c r="H54" s="17" t="n"/>
      <c r="I54" s="17" t="n"/>
      <c r="J54" s="17" t="n"/>
      <c r="K54" s="17" t="n"/>
      <c r="L54" s="17" t="n"/>
      <c r="M54" s="17" t="n"/>
      <c r="N54" s="39" t="str">
        <f>IF(AND(ISNUMBER(L54),ISNUMBER(M54),N(L54)&gt;0),M54/L54,"")</f>
        <v/>
      </c>
      <c r="O54" s="17" t="n"/>
      <c r="P54" s="17" t="n"/>
      <c r="Q54" s="39" t="str">
        <f>IF(AND(ISNUMBER(O54),ISNUMBER(P54),N(O54)&gt;0),P54/O54,"")</f>
        <v/>
      </c>
      <c r="R54" s="17" t="n"/>
      <c r="S54" s="37" t="n"/>
      <c r="T54" s="40" t="str">
        <f>IF(AND(ISNUMBER(J54),ISNUMBER(K54)),IF(N(ISNUMBER('参数'!$E$31))+N(ISNUMBER('参数'!$G$31))+N(ISNUMBER('参数'!$I$31))+N(ISNUMBER('参数'!$K$31))=0,"",IF(ISNUMBER('参数'!$E$31),J54&lt;='参数'!$E$31,FALSE)+IF(ISNUMBER('参数'!$G$31),K54&gt;='参数'!$G$31,FALSE)+IF(AND(ISNUMBER('参数'!$I$31),ISNUMBER(N54)),N54&gt;='参数'!$I$31,FALSE)+IF(AND(ISNUMBER('参数'!$K$31),ISNUMBER(Q54)),Q54&lt;='参数'!$K$31,FALSE)),"")</f>
        <v/>
      </c>
      <c r="U54" s="40" t="str">
        <f>IF(AND(ISNUMBER(J54),ISNUMBER(K54)),IF(N(ISNUMBER('参数'!$G$32))+N(ISNUMBER('参数'!$I$32))+N(ISNUMBER('参数'!$K$32))=0,"",IF(AND(ISNUMBER(J53),ISNUMBER(J52)),AND(J54&gt;J53,J53&gt;J52),FALSE)+IF(ISNUMBER('参数'!$G$32),J54&lt;'参数'!$G$32,FALSE)+IF(AND(ISNUMBER('参数'!$I$32),ISNUMBER(Q54)),Q54&gt;='参数'!$I$32,FALSE)+IF(AND(ISNUMBER('参数'!$K$32),ISNUMBER(S54)),S54&gt;='参数'!$K$32,FALSE)),"")</f>
        <v/>
      </c>
      <c r="V54" s="40" t="str">
        <f>IF(AND(ISNUMBER(J54),ISNUMBER(K54)),IF(N(ISNUMBER('参数'!$E$33))+N(ISNUMBER('参数'!$G$33))+N(ISNUMBER('参数'!$I$33))+N(ISNUMBER('参数'!$K$33))=0,"",IF(AND(ISNUMBER('参数'!$E$33),ISNUMBER(J53)),AND(J54&gt;='参数'!$E$33,J54&gt;J53),FALSE)+IF(AND(ISNUMBER('参数'!$G$33),ISNUMBER(N54)),N54&lt;='参数'!$G$33,FALSE)+IF(AND(ISNUMBER('参数'!$I$33),ISNUMBER(Q54)),Q54&gt;='参数'!$I$33,FALSE)+IF(AND(ISNUMBER('参数'!$K$33),ISNUMBER(S54)),S54&gt;='参数'!$K$33,FALSE)),"")</f>
        <v/>
      </c>
      <c r="W54" s="40" t="str">
        <f>IF(AND(ISNUMBER(J54),ISNUMBER(K54)),IF(N(ISNUMBER('参数'!$E$34))+N(ISNUMBER('参数'!$G$34))+N(ISNUMBER('参数'!$I$34))+N(ISNUMBER('参数'!$K$34))=0,"",IF(ISNUMBER('参数'!$E$34),J54&gt;='参数'!$E$34,FALSE)+IF(AND(ISNUMBER('参数'!$G$34),ISNUMBER(N54)),N54&lt;='参数'!$G$34,FALSE)+IF(AND(ISNUMBER('参数'!$I$34),ISNUMBER(S54)),S54&gt;='参数'!$I$34,FALSE)+IF(AND(ISNUMBER('参数'!$K$34),ISNUMBER(R54)),R54&gt;='参数'!$K$34,FALSE)),"")</f>
        <v/>
      </c>
      <c r="X54" s="40" t="str">
        <f>IF(AND(ISNUMBER(J54),ISNUMBER(K54)),IF(N(ISNUMBER('参数'!$E$35))+N(ISNUMBER('参数'!$G$35))+N(ISNUMBER('参数'!$I$35))=0,"",IF(AND(ISNUMBER('参数'!$E$35),ISNUMBER(N54),ISNUMBER(N53)),ROUND(N54-N53,6)&gt;='参数'!$E$35,FALSE)+IF(AND(ISNUMBER('参数'!$G$35),ISNUMBER(Q54),ISNUMBER(Q53)),ROUND(Q53-Q54,6)&gt;='参数'!$G$35,FALSE)+IF(AND(ISNUMBER('参数'!$I$35),ISNUMBER(S54),ISNUMBER(S53)),ROUND(S53-S54,6)&gt;='参数'!$I$35,FALSE)+IF(ISNUMBER(J53),J54&lt;J53,FALSE)),"")</f>
        <v/>
      </c>
      <c r="Y54" s="40" t="str">
        <f>IF(AND(ISNUMBER(J54),ISNUMBER(K54)),IF(N(ISNUMBER('参数'!$E$36))+N(ISNUMBER('参数'!$G$36))+N(ISNUMBER('参数'!$I$36))=0,"",IF(AND(ISNUMBER('参数'!$E$36),ISNUMBER(J53)),AND(J54&lt;='参数'!$E$36,J54&lt;J53),FALSE)+IF(ISNUMBER('参数'!$G$36),K54&gt;='参数'!$G$36,FALSE)+IF(AND(ISNUMBER('参数'!$I$36),ISNUMBER(S54)),S54&lt;'参数'!$I$36,FALSE)+IF(AND(ISNUMBER(R54),ISNUMBER(R53)),R54&lt;R53,FALSE)),"")</f>
        <v/>
      </c>
      <c r="Z54" s="41" t="str">
        <f>IF(NOT(AND(ISNUMBER(J54),ISNUMBER(K54))),"",IF(COUNT(T54:Y54)=0,"先填阈值",IF(MAX(AD54:AI54)=0,"不写",INDEX($T$4:$Y$4,MATCH(MAX(AD54:AI54),AD54:AI54,0))&amp;"·"&amp;IF(MAX(AD54:AI54)&gt;=200,"高","中")&amp;IF(LARGE(AD54:AI54,2)&gt;0,"（也像"&amp;INDEX($T$4:$Y$4,MATCH(LARGE(AD54:AI54,2),AD54:AI54,0))&amp;"·"&amp;IF(LARGE(AD54:AI54,2)&gt;=200,"高","中")&amp;"）",""))))</f>
        <v/>
      </c>
      <c r="AA54" s="27" t="n"/>
      <c r="AB54" s="32" t="n"/>
      <c r="AC54" s="16" t="n"/>
      <c r="AD54" s="40">
        <f>IF(N(T54)&gt;=3,IF(T54=4,2,1)*100+T54*10+6,0)</f>
        <v>0</v>
      </c>
      <c r="AE54" s="40">
        <f>IF(N(U54)&gt;=3,1*100+U54*10+1,0)</f>
        <v>0</v>
      </c>
      <c r="AF54" s="40">
        <f>IF(N(V54)&gt;=3,IF(V54=4,2,1)*100+V54*10+2,0)</f>
        <v>0</v>
      </c>
      <c r="AG54" s="40">
        <f>IF(N(W54)&gt;=3,1*100+W54*10+3,0)</f>
        <v>0</v>
      </c>
      <c r="AH54" s="40">
        <f>IF(N(X54)&gt;=3,1*100+X54*10+4,0)</f>
        <v>0</v>
      </c>
      <c r="AI54" s="40">
        <f>IF(N(Y54)&gt;=3,IF(AND(N(T54)&gt;=3,OR(N(T54)=4,N(Y54)&lt;=N(T54))),0,IF(Y54=4,2,1)*100+Y54*10+5),0)</f>
        <v>0</v>
      </c>
    </row>
    <row r="55">
      <c r="A55" s="31" t="n"/>
      <c r="B55" s="36" t="str">
        <f>IF(ISNUMBER(A55),"周"&amp;CHOOSE(WEEKDAY(A55,2),"一","二","三","四","五","六","日"),"")</f>
        <v/>
      </c>
      <c r="C55" s="37" t="n"/>
      <c r="D55" s="37" t="n"/>
      <c r="E55" s="37" t="n"/>
      <c r="F55" s="17" t="n"/>
      <c r="G55" s="38" t="str">
        <f>IF(AND(ISNUMBER(F55),ISNUMBER(F54)),IF(F54=0,"",F55/F54-1),"")</f>
        <v/>
      </c>
      <c r="H55" s="17" t="n"/>
      <c r="I55" s="17" t="n"/>
      <c r="J55" s="17" t="n"/>
      <c r="K55" s="17" t="n"/>
      <c r="L55" s="17" t="n"/>
      <c r="M55" s="17" t="n"/>
      <c r="N55" s="39" t="str">
        <f>IF(AND(ISNUMBER(L55),ISNUMBER(M55),N(L55)&gt;0),M55/L55,"")</f>
        <v/>
      </c>
      <c r="O55" s="17" t="n"/>
      <c r="P55" s="17" t="n"/>
      <c r="Q55" s="39" t="str">
        <f>IF(AND(ISNUMBER(O55),ISNUMBER(P55),N(O55)&gt;0),P55/O55,"")</f>
        <v/>
      </c>
      <c r="R55" s="17" t="n"/>
      <c r="S55" s="37" t="n"/>
      <c r="T55" s="40" t="str">
        <f>IF(AND(ISNUMBER(J55),ISNUMBER(K55)),IF(N(ISNUMBER('参数'!$E$31))+N(ISNUMBER('参数'!$G$31))+N(ISNUMBER('参数'!$I$31))+N(ISNUMBER('参数'!$K$31))=0,"",IF(ISNUMBER('参数'!$E$31),J55&lt;='参数'!$E$31,FALSE)+IF(ISNUMBER('参数'!$G$31),K55&gt;='参数'!$G$31,FALSE)+IF(AND(ISNUMBER('参数'!$I$31),ISNUMBER(N55)),N55&gt;='参数'!$I$31,FALSE)+IF(AND(ISNUMBER('参数'!$K$31),ISNUMBER(Q55)),Q55&lt;='参数'!$K$31,FALSE)),"")</f>
        <v/>
      </c>
      <c r="U55" s="40" t="str">
        <f>IF(AND(ISNUMBER(J55),ISNUMBER(K55)),IF(N(ISNUMBER('参数'!$G$32))+N(ISNUMBER('参数'!$I$32))+N(ISNUMBER('参数'!$K$32))=0,"",IF(AND(ISNUMBER(J54),ISNUMBER(J53)),AND(J55&gt;J54,J54&gt;J53),FALSE)+IF(ISNUMBER('参数'!$G$32),J55&lt;'参数'!$G$32,FALSE)+IF(AND(ISNUMBER('参数'!$I$32),ISNUMBER(Q55)),Q55&gt;='参数'!$I$32,FALSE)+IF(AND(ISNUMBER('参数'!$K$32),ISNUMBER(S55)),S55&gt;='参数'!$K$32,FALSE)),"")</f>
        <v/>
      </c>
      <c r="V55" s="40" t="str">
        <f>IF(AND(ISNUMBER(J55),ISNUMBER(K55)),IF(N(ISNUMBER('参数'!$E$33))+N(ISNUMBER('参数'!$G$33))+N(ISNUMBER('参数'!$I$33))+N(ISNUMBER('参数'!$K$33))=0,"",IF(AND(ISNUMBER('参数'!$E$33),ISNUMBER(J54)),AND(J55&gt;='参数'!$E$33,J55&gt;J54),FALSE)+IF(AND(ISNUMBER('参数'!$G$33),ISNUMBER(N55)),N55&lt;='参数'!$G$33,FALSE)+IF(AND(ISNUMBER('参数'!$I$33),ISNUMBER(Q55)),Q55&gt;='参数'!$I$33,FALSE)+IF(AND(ISNUMBER('参数'!$K$33),ISNUMBER(S55)),S55&gt;='参数'!$K$33,FALSE)),"")</f>
        <v/>
      </c>
      <c r="W55" s="40" t="str">
        <f>IF(AND(ISNUMBER(J55),ISNUMBER(K55)),IF(N(ISNUMBER('参数'!$E$34))+N(ISNUMBER('参数'!$G$34))+N(ISNUMBER('参数'!$I$34))+N(ISNUMBER('参数'!$K$34))=0,"",IF(ISNUMBER('参数'!$E$34),J55&gt;='参数'!$E$34,FALSE)+IF(AND(ISNUMBER('参数'!$G$34),ISNUMBER(N55)),N55&lt;='参数'!$G$34,FALSE)+IF(AND(ISNUMBER('参数'!$I$34),ISNUMBER(S55)),S55&gt;='参数'!$I$34,FALSE)+IF(AND(ISNUMBER('参数'!$K$34),ISNUMBER(R55)),R55&gt;='参数'!$K$34,FALSE)),"")</f>
        <v/>
      </c>
      <c r="X55" s="40" t="str">
        <f>IF(AND(ISNUMBER(J55),ISNUMBER(K55)),IF(N(ISNUMBER('参数'!$E$35))+N(ISNUMBER('参数'!$G$35))+N(ISNUMBER('参数'!$I$35))=0,"",IF(AND(ISNUMBER('参数'!$E$35),ISNUMBER(N55),ISNUMBER(N54)),ROUND(N55-N54,6)&gt;='参数'!$E$35,FALSE)+IF(AND(ISNUMBER('参数'!$G$35),ISNUMBER(Q55),ISNUMBER(Q54)),ROUND(Q54-Q55,6)&gt;='参数'!$G$35,FALSE)+IF(AND(ISNUMBER('参数'!$I$35),ISNUMBER(S55),ISNUMBER(S54)),ROUND(S54-S55,6)&gt;='参数'!$I$35,FALSE)+IF(ISNUMBER(J54),J55&lt;J54,FALSE)),"")</f>
        <v/>
      </c>
      <c r="Y55" s="40" t="str">
        <f>IF(AND(ISNUMBER(J55),ISNUMBER(K55)),IF(N(ISNUMBER('参数'!$E$36))+N(ISNUMBER('参数'!$G$36))+N(ISNUMBER('参数'!$I$36))=0,"",IF(AND(ISNUMBER('参数'!$E$36),ISNUMBER(J54)),AND(J55&lt;='参数'!$E$36,J55&lt;J54),FALSE)+IF(ISNUMBER('参数'!$G$36),K55&gt;='参数'!$G$36,FALSE)+IF(AND(ISNUMBER('参数'!$I$36),ISNUMBER(S55)),S55&lt;'参数'!$I$36,FALSE)+IF(AND(ISNUMBER(R55),ISNUMBER(R54)),R55&lt;R54,FALSE)),"")</f>
        <v/>
      </c>
      <c r="Z55" s="41" t="str">
        <f>IF(NOT(AND(ISNUMBER(J55),ISNUMBER(K55))),"",IF(COUNT(T55:Y55)=0,"先填阈值",IF(MAX(AD55:AI55)=0,"不写",INDEX($T$4:$Y$4,MATCH(MAX(AD55:AI55),AD55:AI55,0))&amp;"·"&amp;IF(MAX(AD55:AI55)&gt;=200,"高","中")&amp;IF(LARGE(AD55:AI55,2)&gt;0,"（也像"&amp;INDEX($T$4:$Y$4,MATCH(LARGE(AD55:AI55,2),AD55:AI55,0))&amp;"·"&amp;IF(LARGE(AD55:AI55,2)&gt;=200,"高","中")&amp;"）",""))))</f>
        <v/>
      </c>
      <c r="AA55" s="27" t="n"/>
      <c r="AB55" s="32" t="n"/>
      <c r="AC55" s="16" t="n"/>
      <c r="AD55" s="40">
        <f>IF(N(T55)&gt;=3,IF(T55=4,2,1)*100+T55*10+6,0)</f>
        <v>0</v>
      </c>
      <c r="AE55" s="40">
        <f>IF(N(U55)&gt;=3,1*100+U55*10+1,0)</f>
        <v>0</v>
      </c>
      <c r="AF55" s="40">
        <f>IF(N(V55)&gt;=3,IF(V55=4,2,1)*100+V55*10+2,0)</f>
        <v>0</v>
      </c>
      <c r="AG55" s="40">
        <f>IF(N(W55)&gt;=3,1*100+W55*10+3,0)</f>
        <v>0</v>
      </c>
      <c r="AH55" s="40">
        <f>IF(N(X55)&gt;=3,1*100+X55*10+4,0)</f>
        <v>0</v>
      </c>
      <c r="AI55" s="40">
        <f>IF(N(Y55)&gt;=3,IF(AND(N(T55)&gt;=3,OR(N(T55)=4,N(Y55)&lt;=N(T55))),0,IF(Y55=4,2,1)*100+Y55*10+5),0)</f>
        <v>0</v>
      </c>
    </row>
    <row r="56">
      <c r="A56" s="31" t="n"/>
      <c r="B56" s="36" t="str">
        <f>IF(ISNUMBER(A56),"周"&amp;CHOOSE(WEEKDAY(A56,2),"一","二","三","四","五","六","日"),"")</f>
        <v/>
      </c>
      <c r="C56" s="37" t="n"/>
      <c r="D56" s="37" t="n"/>
      <c r="E56" s="37" t="n"/>
      <c r="F56" s="17" t="n"/>
      <c r="G56" s="38" t="str">
        <f>IF(AND(ISNUMBER(F56),ISNUMBER(F55)),IF(F55=0,"",F56/F55-1),"")</f>
        <v/>
      </c>
      <c r="H56" s="17" t="n"/>
      <c r="I56" s="17" t="n"/>
      <c r="J56" s="17" t="n"/>
      <c r="K56" s="17" t="n"/>
      <c r="L56" s="17" t="n"/>
      <c r="M56" s="17" t="n"/>
      <c r="N56" s="39" t="str">
        <f>IF(AND(ISNUMBER(L56),ISNUMBER(M56),N(L56)&gt;0),M56/L56,"")</f>
        <v/>
      </c>
      <c r="O56" s="17" t="n"/>
      <c r="P56" s="17" t="n"/>
      <c r="Q56" s="39" t="str">
        <f>IF(AND(ISNUMBER(O56),ISNUMBER(P56),N(O56)&gt;0),P56/O56,"")</f>
        <v/>
      </c>
      <c r="R56" s="17" t="n"/>
      <c r="S56" s="37" t="n"/>
      <c r="T56" s="40" t="str">
        <f>IF(AND(ISNUMBER(J56),ISNUMBER(K56)),IF(N(ISNUMBER('参数'!$E$31))+N(ISNUMBER('参数'!$G$31))+N(ISNUMBER('参数'!$I$31))+N(ISNUMBER('参数'!$K$31))=0,"",IF(ISNUMBER('参数'!$E$31),J56&lt;='参数'!$E$31,FALSE)+IF(ISNUMBER('参数'!$G$31),K56&gt;='参数'!$G$31,FALSE)+IF(AND(ISNUMBER('参数'!$I$31),ISNUMBER(N56)),N56&gt;='参数'!$I$31,FALSE)+IF(AND(ISNUMBER('参数'!$K$31),ISNUMBER(Q56)),Q56&lt;='参数'!$K$31,FALSE)),"")</f>
        <v/>
      </c>
      <c r="U56" s="40" t="str">
        <f>IF(AND(ISNUMBER(J56),ISNUMBER(K56)),IF(N(ISNUMBER('参数'!$G$32))+N(ISNUMBER('参数'!$I$32))+N(ISNUMBER('参数'!$K$32))=0,"",IF(AND(ISNUMBER(J55),ISNUMBER(J54)),AND(J56&gt;J55,J55&gt;J54),FALSE)+IF(ISNUMBER('参数'!$G$32),J56&lt;'参数'!$G$32,FALSE)+IF(AND(ISNUMBER('参数'!$I$32),ISNUMBER(Q56)),Q56&gt;='参数'!$I$32,FALSE)+IF(AND(ISNUMBER('参数'!$K$32),ISNUMBER(S56)),S56&gt;='参数'!$K$32,FALSE)),"")</f>
        <v/>
      </c>
      <c r="V56" s="40" t="str">
        <f>IF(AND(ISNUMBER(J56),ISNUMBER(K56)),IF(N(ISNUMBER('参数'!$E$33))+N(ISNUMBER('参数'!$G$33))+N(ISNUMBER('参数'!$I$33))+N(ISNUMBER('参数'!$K$33))=0,"",IF(AND(ISNUMBER('参数'!$E$33),ISNUMBER(J55)),AND(J56&gt;='参数'!$E$33,J56&gt;J55),FALSE)+IF(AND(ISNUMBER('参数'!$G$33),ISNUMBER(N56)),N56&lt;='参数'!$G$33,FALSE)+IF(AND(ISNUMBER('参数'!$I$33),ISNUMBER(Q56)),Q56&gt;='参数'!$I$33,FALSE)+IF(AND(ISNUMBER('参数'!$K$33),ISNUMBER(S56)),S56&gt;='参数'!$K$33,FALSE)),"")</f>
        <v/>
      </c>
      <c r="W56" s="40" t="str">
        <f>IF(AND(ISNUMBER(J56),ISNUMBER(K56)),IF(N(ISNUMBER('参数'!$E$34))+N(ISNUMBER('参数'!$G$34))+N(ISNUMBER('参数'!$I$34))+N(ISNUMBER('参数'!$K$34))=0,"",IF(ISNUMBER('参数'!$E$34),J56&gt;='参数'!$E$34,FALSE)+IF(AND(ISNUMBER('参数'!$G$34),ISNUMBER(N56)),N56&lt;='参数'!$G$34,FALSE)+IF(AND(ISNUMBER('参数'!$I$34),ISNUMBER(S56)),S56&gt;='参数'!$I$34,FALSE)+IF(AND(ISNUMBER('参数'!$K$34),ISNUMBER(R56)),R56&gt;='参数'!$K$34,FALSE)),"")</f>
        <v/>
      </c>
      <c r="X56" s="40" t="str">
        <f>IF(AND(ISNUMBER(J56),ISNUMBER(K56)),IF(N(ISNUMBER('参数'!$E$35))+N(ISNUMBER('参数'!$G$35))+N(ISNUMBER('参数'!$I$35))=0,"",IF(AND(ISNUMBER('参数'!$E$35),ISNUMBER(N56),ISNUMBER(N55)),ROUND(N56-N55,6)&gt;='参数'!$E$35,FALSE)+IF(AND(ISNUMBER('参数'!$G$35),ISNUMBER(Q56),ISNUMBER(Q55)),ROUND(Q55-Q56,6)&gt;='参数'!$G$35,FALSE)+IF(AND(ISNUMBER('参数'!$I$35),ISNUMBER(S56),ISNUMBER(S55)),ROUND(S55-S56,6)&gt;='参数'!$I$35,FALSE)+IF(ISNUMBER(J55),J56&lt;J55,FALSE)),"")</f>
        <v/>
      </c>
      <c r="Y56" s="40" t="str">
        <f>IF(AND(ISNUMBER(J56),ISNUMBER(K56)),IF(N(ISNUMBER('参数'!$E$36))+N(ISNUMBER('参数'!$G$36))+N(ISNUMBER('参数'!$I$36))=0,"",IF(AND(ISNUMBER('参数'!$E$36),ISNUMBER(J55)),AND(J56&lt;='参数'!$E$36,J56&lt;J55),FALSE)+IF(ISNUMBER('参数'!$G$36),K56&gt;='参数'!$G$36,FALSE)+IF(AND(ISNUMBER('参数'!$I$36),ISNUMBER(S56)),S56&lt;'参数'!$I$36,FALSE)+IF(AND(ISNUMBER(R56),ISNUMBER(R55)),R56&lt;R55,FALSE)),"")</f>
        <v/>
      </c>
      <c r="Z56" s="41" t="str">
        <f>IF(NOT(AND(ISNUMBER(J56),ISNUMBER(K56))),"",IF(COUNT(T56:Y56)=0,"先填阈值",IF(MAX(AD56:AI56)=0,"不写",INDEX($T$4:$Y$4,MATCH(MAX(AD56:AI56),AD56:AI56,0))&amp;"·"&amp;IF(MAX(AD56:AI56)&gt;=200,"高","中")&amp;IF(LARGE(AD56:AI56,2)&gt;0,"（也像"&amp;INDEX($T$4:$Y$4,MATCH(LARGE(AD56:AI56,2),AD56:AI56,0))&amp;"·"&amp;IF(LARGE(AD56:AI56,2)&gt;=200,"高","中")&amp;"）",""))))</f>
        <v/>
      </c>
      <c r="AA56" s="27" t="n"/>
      <c r="AB56" s="32" t="n"/>
      <c r="AC56" s="16" t="n"/>
      <c r="AD56" s="40">
        <f>IF(N(T56)&gt;=3,IF(T56=4,2,1)*100+T56*10+6,0)</f>
        <v>0</v>
      </c>
      <c r="AE56" s="40">
        <f>IF(N(U56)&gt;=3,1*100+U56*10+1,0)</f>
        <v>0</v>
      </c>
      <c r="AF56" s="40">
        <f>IF(N(V56)&gt;=3,IF(V56=4,2,1)*100+V56*10+2,0)</f>
        <v>0</v>
      </c>
      <c r="AG56" s="40">
        <f>IF(N(W56)&gt;=3,1*100+W56*10+3,0)</f>
        <v>0</v>
      </c>
      <c r="AH56" s="40">
        <f>IF(N(X56)&gt;=3,1*100+X56*10+4,0)</f>
        <v>0</v>
      </c>
      <c r="AI56" s="40">
        <f>IF(N(Y56)&gt;=3,IF(AND(N(T56)&gt;=3,OR(N(T56)=4,N(Y56)&lt;=N(T56))),0,IF(Y56=4,2,1)*100+Y56*10+5),0)</f>
        <v>0</v>
      </c>
    </row>
    <row r="57">
      <c r="A57" s="31" t="n"/>
      <c r="B57" s="36" t="str">
        <f>IF(ISNUMBER(A57),"周"&amp;CHOOSE(WEEKDAY(A57,2),"一","二","三","四","五","六","日"),"")</f>
        <v/>
      </c>
      <c r="C57" s="37" t="n"/>
      <c r="D57" s="37" t="n"/>
      <c r="E57" s="37" t="n"/>
      <c r="F57" s="17" t="n"/>
      <c r="G57" s="38" t="str">
        <f>IF(AND(ISNUMBER(F57),ISNUMBER(F56)),IF(F56=0,"",F57/F56-1),"")</f>
        <v/>
      </c>
      <c r="H57" s="17" t="n"/>
      <c r="I57" s="17" t="n"/>
      <c r="J57" s="17" t="n"/>
      <c r="K57" s="17" t="n"/>
      <c r="L57" s="17" t="n"/>
      <c r="M57" s="17" t="n"/>
      <c r="N57" s="39" t="str">
        <f>IF(AND(ISNUMBER(L57),ISNUMBER(M57),N(L57)&gt;0),M57/L57,"")</f>
        <v/>
      </c>
      <c r="O57" s="17" t="n"/>
      <c r="P57" s="17" t="n"/>
      <c r="Q57" s="39" t="str">
        <f>IF(AND(ISNUMBER(O57),ISNUMBER(P57),N(O57)&gt;0),P57/O57,"")</f>
        <v/>
      </c>
      <c r="R57" s="17" t="n"/>
      <c r="S57" s="37" t="n"/>
      <c r="T57" s="40" t="str">
        <f>IF(AND(ISNUMBER(J57),ISNUMBER(K57)),IF(N(ISNUMBER('参数'!$E$31))+N(ISNUMBER('参数'!$G$31))+N(ISNUMBER('参数'!$I$31))+N(ISNUMBER('参数'!$K$31))=0,"",IF(ISNUMBER('参数'!$E$31),J57&lt;='参数'!$E$31,FALSE)+IF(ISNUMBER('参数'!$G$31),K57&gt;='参数'!$G$31,FALSE)+IF(AND(ISNUMBER('参数'!$I$31),ISNUMBER(N57)),N57&gt;='参数'!$I$31,FALSE)+IF(AND(ISNUMBER('参数'!$K$31),ISNUMBER(Q57)),Q57&lt;='参数'!$K$31,FALSE)),"")</f>
        <v/>
      </c>
      <c r="U57" s="40" t="str">
        <f>IF(AND(ISNUMBER(J57),ISNUMBER(K57)),IF(N(ISNUMBER('参数'!$G$32))+N(ISNUMBER('参数'!$I$32))+N(ISNUMBER('参数'!$K$32))=0,"",IF(AND(ISNUMBER(J56),ISNUMBER(J55)),AND(J57&gt;J56,J56&gt;J55),FALSE)+IF(ISNUMBER('参数'!$G$32),J57&lt;'参数'!$G$32,FALSE)+IF(AND(ISNUMBER('参数'!$I$32),ISNUMBER(Q57)),Q57&gt;='参数'!$I$32,FALSE)+IF(AND(ISNUMBER('参数'!$K$32),ISNUMBER(S57)),S57&gt;='参数'!$K$32,FALSE)),"")</f>
        <v/>
      </c>
      <c r="V57" s="40" t="str">
        <f>IF(AND(ISNUMBER(J57),ISNUMBER(K57)),IF(N(ISNUMBER('参数'!$E$33))+N(ISNUMBER('参数'!$G$33))+N(ISNUMBER('参数'!$I$33))+N(ISNUMBER('参数'!$K$33))=0,"",IF(AND(ISNUMBER('参数'!$E$33),ISNUMBER(J56)),AND(J57&gt;='参数'!$E$33,J57&gt;J56),FALSE)+IF(AND(ISNUMBER('参数'!$G$33),ISNUMBER(N57)),N57&lt;='参数'!$G$33,FALSE)+IF(AND(ISNUMBER('参数'!$I$33),ISNUMBER(Q57)),Q57&gt;='参数'!$I$33,FALSE)+IF(AND(ISNUMBER('参数'!$K$33),ISNUMBER(S57)),S57&gt;='参数'!$K$33,FALSE)),"")</f>
        <v/>
      </c>
      <c r="W57" s="40" t="str">
        <f>IF(AND(ISNUMBER(J57),ISNUMBER(K57)),IF(N(ISNUMBER('参数'!$E$34))+N(ISNUMBER('参数'!$G$34))+N(ISNUMBER('参数'!$I$34))+N(ISNUMBER('参数'!$K$34))=0,"",IF(ISNUMBER('参数'!$E$34),J57&gt;='参数'!$E$34,FALSE)+IF(AND(ISNUMBER('参数'!$G$34),ISNUMBER(N57)),N57&lt;='参数'!$G$34,FALSE)+IF(AND(ISNUMBER('参数'!$I$34),ISNUMBER(S57)),S57&gt;='参数'!$I$34,FALSE)+IF(AND(ISNUMBER('参数'!$K$34),ISNUMBER(R57)),R57&gt;='参数'!$K$34,FALSE)),"")</f>
        <v/>
      </c>
      <c r="X57" s="40" t="str">
        <f>IF(AND(ISNUMBER(J57),ISNUMBER(K57)),IF(N(ISNUMBER('参数'!$E$35))+N(ISNUMBER('参数'!$G$35))+N(ISNUMBER('参数'!$I$35))=0,"",IF(AND(ISNUMBER('参数'!$E$35),ISNUMBER(N57),ISNUMBER(N56)),ROUND(N57-N56,6)&gt;='参数'!$E$35,FALSE)+IF(AND(ISNUMBER('参数'!$G$35),ISNUMBER(Q57),ISNUMBER(Q56)),ROUND(Q56-Q57,6)&gt;='参数'!$G$35,FALSE)+IF(AND(ISNUMBER('参数'!$I$35),ISNUMBER(S57),ISNUMBER(S56)),ROUND(S56-S57,6)&gt;='参数'!$I$35,FALSE)+IF(ISNUMBER(J56),J57&lt;J56,FALSE)),"")</f>
        <v/>
      </c>
      <c r="Y57" s="40" t="str">
        <f>IF(AND(ISNUMBER(J57),ISNUMBER(K57)),IF(N(ISNUMBER('参数'!$E$36))+N(ISNUMBER('参数'!$G$36))+N(ISNUMBER('参数'!$I$36))=0,"",IF(AND(ISNUMBER('参数'!$E$36),ISNUMBER(J56)),AND(J57&lt;='参数'!$E$36,J57&lt;J56),FALSE)+IF(ISNUMBER('参数'!$G$36),K57&gt;='参数'!$G$36,FALSE)+IF(AND(ISNUMBER('参数'!$I$36),ISNUMBER(S57)),S57&lt;'参数'!$I$36,FALSE)+IF(AND(ISNUMBER(R57),ISNUMBER(R56)),R57&lt;R56,FALSE)),"")</f>
        <v/>
      </c>
      <c r="Z57" s="41" t="str">
        <f>IF(NOT(AND(ISNUMBER(J57),ISNUMBER(K57))),"",IF(COUNT(T57:Y57)=0,"先填阈值",IF(MAX(AD57:AI57)=0,"不写",INDEX($T$4:$Y$4,MATCH(MAX(AD57:AI57),AD57:AI57,0))&amp;"·"&amp;IF(MAX(AD57:AI57)&gt;=200,"高","中")&amp;IF(LARGE(AD57:AI57,2)&gt;0,"（也像"&amp;INDEX($T$4:$Y$4,MATCH(LARGE(AD57:AI57,2),AD57:AI57,0))&amp;"·"&amp;IF(LARGE(AD57:AI57,2)&gt;=200,"高","中")&amp;"）",""))))</f>
        <v/>
      </c>
      <c r="AA57" s="27" t="n"/>
      <c r="AB57" s="32" t="n"/>
      <c r="AC57" s="16" t="n"/>
      <c r="AD57" s="40">
        <f>IF(N(T57)&gt;=3,IF(T57=4,2,1)*100+T57*10+6,0)</f>
        <v>0</v>
      </c>
      <c r="AE57" s="40">
        <f>IF(N(U57)&gt;=3,1*100+U57*10+1,0)</f>
        <v>0</v>
      </c>
      <c r="AF57" s="40">
        <f>IF(N(V57)&gt;=3,IF(V57=4,2,1)*100+V57*10+2,0)</f>
        <v>0</v>
      </c>
      <c r="AG57" s="40">
        <f>IF(N(W57)&gt;=3,1*100+W57*10+3,0)</f>
        <v>0</v>
      </c>
      <c r="AH57" s="40">
        <f>IF(N(X57)&gt;=3,1*100+X57*10+4,0)</f>
        <v>0</v>
      </c>
      <c r="AI57" s="40">
        <f>IF(N(Y57)&gt;=3,IF(AND(N(T57)&gt;=3,OR(N(T57)=4,N(Y57)&lt;=N(T57))),0,IF(Y57=4,2,1)*100+Y57*10+5),0)</f>
        <v>0</v>
      </c>
    </row>
    <row r="58">
      <c r="A58" s="31" t="n"/>
      <c r="B58" s="36" t="str">
        <f>IF(ISNUMBER(A58),"周"&amp;CHOOSE(WEEKDAY(A58,2),"一","二","三","四","五","六","日"),"")</f>
        <v/>
      </c>
      <c r="C58" s="37" t="n"/>
      <c r="D58" s="37" t="n"/>
      <c r="E58" s="37" t="n"/>
      <c r="F58" s="17" t="n"/>
      <c r="G58" s="38" t="str">
        <f>IF(AND(ISNUMBER(F58),ISNUMBER(F57)),IF(F57=0,"",F58/F57-1),"")</f>
        <v/>
      </c>
      <c r="H58" s="17" t="n"/>
      <c r="I58" s="17" t="n"/>
      <c r="J58" s="17" t="n"/>
      <c r="K58" s="17" t="n"/>
      <c r="L58" s="17" t="n"/>
      <c r="M58" s="17" t="n"/>
      <c r="N58" s="39" t="str">
        <f>IF(AND(ISNUMBER(L58),ISNUMBER(M58),N(L58)&gt;0),M58/L58,"")</f>
        <v/>
      </c>
      <c r="O58" s="17" t="n"/>
      <c r="P58" s="17" t="n"/>
      <c r="Q58" s="39" t="str">
        <f>IF(AND(ISNUMBER(O58),ISNUMBER(P58),N(O58)&gt;0),P58/O58,"")</f>
        <v/>
      </c>
      <c r="R58" s="17" t="n"/>
      <c r="S58" s="37" t="n"/>
      <c r="T58" s="40" t="str">
        <f>IF(AND(ISNUMBER(J58),ISNUMBER(K58)),IF(N(ISNUMBER('参数'!$E$31))+N(ISNUMBER('参数'!$G$31))+N(ISNUMBER('参数'!$I$31))+N(ISNUMBER('参数'!$K$31))=0,"",IF(ISNUMBER('参数'!$E$31),J58&lt;='参数'!$E$31,FALSE)+IF(ISNUMBER('参数'!$G$31),K58&gt;='参数'!$G$31,FALSE)+IF(AND(ISNUMBER('参数'!$I$31),ISNUMBER(N58)),N58&gt;='参数'!$I$31,FALSE)+IF(AND(ISNUMBER('参数'!$K$31),ISNUMBER(Q58)),Q58&lt;='参数'!$K$31,FALSE)),"")</f>
        <v/>
      </c>
      <c r="U58" s="40" t="str">
        <f>IF(AND(ISNUMBER(J58),ISNUMBER(K58)),IF(N(ISNUMBER('参数'!$G$32))+N(ISNUMBER('参数'!$I$32))+N(ISNUMBER('参数'!$K$32))=0,"",IF(AND(ISNUMBER(J57),ISNUMBER(J56)),AND(J58&gt;J57,J57&gt;J56),FALSE)+IF(ISNUMBER('参数'!$G$32),J58&lt;'参数'!$G$32,FALSE)+IF(AND(ISNUMBER('参数'!$I$32),ISNUMBER(Q58)),Q58&gt;='参数'!$I$32,FALSE)+IF(AND(ISNUMBER('参数'!$K$32),ISNUMBER(S58)),S58&gt;='参数'!$K$32,FALSE)),"")</f>
        <v/>
      </c>
      <c r="V58" s="40" t="str">
        <f>IF(AND(ISNUMBER(J58),ISNUMBER(K58)),IF(N(ISNUMBER('参数'!$E$33))+N(ISNUMBER('参数'!$G$33))+N(ISNUMBER('参数'!$I$33))+N(ISNUMBER('参数'!$K$33))=0,"",IF(AND(ISNUMBER('参数'!$E$33),ISNUMBER(J57)),AND(J58&gt;='参数'!$E$33,J58&gt;J57),FALSE)+IF(AND(ISNUMBER('参数'!$G$33),ISNUMBER(N58)),N58&lt;='参数'!$G$33,FALSE)+IF(AND(ISNUMBER('参数'!$I$33),ISNUMBER(Q58)),Q58&gt;='参数'!$I$33,FALSE)+IF(AND(ISNUMBER('参数'!$K$33),ISNUMBER(S58)),S58&gt;='参数'!$K$33,FALSE)),"")</f>
        <v/>
      </c>
      <c r="W58" s="40" t="str">
        <f>IF(AND(ISNUMBER(J58),ISNUMBER(K58)),IF(N(ISNUMBER('参数'!$E$34))+N(ISNUMBER('参数'!$G$34))+N(ISNUMBER('参数'!$I$34))+N(ISNUMBER('参数'!$K$34))=0,"",IF(ISNUMBER('参数'!$E$34),J58&gt;='参数'!$E$34,FALSE)+IF(AND(ISNUMBER('参数'!$G$34),ISNUMBER(N58)),N58&lt;='参数'!$G$34,FALSE)+IF(AND(ISNUMBER('参数'!$I$34),ISNUMBER(S58)),S58&gt;='参数'!$I$34,FALSE)+IF(AND(ISNUMBER('参数'!$K$34),ISNUMBER(R58)),R58&gt;='参数'!$K$34,FALSE)),"")</f>
        <v/>
      </c>
      <c r="X58" s="40" t="str">
        <f>IF(AND(ISNUMBER(J58),ISNUMBER(K58)),IF(N(ISNUMBER('参数'!$E$35))+N(ISNUMBER('参数'!$G$35))+N(ISNUMBER('参数'!$I$35))=0,"",IF(AND(ISNUMBER('参数'!$E$35),ISNUMBER(N58),ISNUMBER(N57)),ROUND(N58-N57,6)&gt;='参数'!$E$35,FALSE)+IF(AND(ISNUMBER('参数'!$G$35),ISNUMBER(Q58),ISNUMBER(Q57)),ROUND(Q57-Q58,6)&gt;='参数'!$G$35,FALSE)+IF(AND(ISNUMBER('参数'!$I$35),ISNUMBER(S58),ISNUMBER(S57)),ROUND(S57-S58,6)&gt;='参数'!$I$35,FALSE)+IF(ISNUMBER(J57),J58&lt;J57,FALSE)),"")</f>
        <v/>
      </c>
      <c r="Y58" s="40" t="str">
        <f>IF(AND(ISNUMBER(J58),ISNUMBER(K58)),IF(N(ISNUMBER('参数'!$E$36))+N(ISNUMBER('参数'!$G$36))+N(ISNUMBER('参数'!$I$36))=0,"",IF(AND(ISNUMBER('参数'!$E$36),ISNUMBER(J57)),AND(J58&lt;='参数'!$E$36,J58&lt;J57),FALSE)+IF(ISNUMBER('参数'!$G$36),K58&gt;='参数'!$G$36,FALSE)+IF(AND(ISNUMBER('参数'!$I$36),ISNUMBER(S58)),S58&lt;'参数'!$I$36,FALSE)+IF(AND(ISNUMBER(R58),ISNUMBER(R57)),R58&lt;R57,FALSE)),"")</f>
        <v/>
      </c>
      <c r="Z58" s="41" t="str">
        <f>IF(NOT(AND(ISNUMBER(J58),ISNUMBER(K58))),"",IF(COUNT(T58:Y58)=0,"先填阈值",IF(MAX(AD58:AI58)=0,"不写",INDEX($T$4:$Y$4,MATCH(MAX(AD58:AI58),AD58:AI58,0))&amp;"·"&amp;IF(MAX(AD58:AI58)&gt;=200,"高","中")&amp;IF(LARGE(AD58:AI58,2)&gt;0,"（也像"&amp;INDEX($T$4:$Y$4,MATCH(LARGE(AD58:AI58,2),AD58:AI58,0))&amp;"·"&amp;IF(LARGE(AD58:AI58,2)&gt;=200,"高","中")&amp;"）",""))))</f>
        <v/>
      </c>
      <c r="AA58" s="27" t="n"/>
      <c r="AB58" s="32" t="n"/>
      <c r="AC58" s="16" t="n"/>
      <c r="AD58" s="40">
        <f>IF(N(T58)&gt;=3,IF(T58=4,2,1)*100+T58*10+6,0)</f>
        <v>0</v>
      </c>
      <c r="AE58" s="40">
        <f>IF(N(U58)&gt;=3,1*100+U58*10+1,0)</f>
        <v>0</v>
      </c>
      <c r="AF58" s="40">
        <f>IF(N(V58)&gt;=3,IF(V58=4,2,1)*100+V58*10+2,0)</f>
        <v>0</v>
      </c>
      <c r="AG58" s="40">
        <f>IF(N(W58)&gt;=3,1*100+W58*10+3,0)</f>
        <v>0</v>
      </c>
      <c r="AH58" s="40">
        <f>IF(N(X58)&gt;=3,1*100+X58*10+4,0)</f>
        <v>0</v>
      </c>
      <c r="AI58" s="40">
        <f>IF(N(Y58)&gt;=3,IF(AND(N(T58)&gt;=3,OR(N(T58)=4,N(Y58)&lt;=N(T58))),0,IF(Y58=4,2,1)*100+Y58*10+5),0)</f>
        <v>0</v>
      </c>
    </row>
    <row r="59">
      <c r="A59" s="31" t="n"/>
      <c r="B59" s="36" t="str">
        <f>IF(ISNUMBER(A59),"周"&amp;CHOOSE(WEEKDAY(A59,2),"一","二","三","四","五","六","日"),"")</f>
        <v/>
      </c>
      <c r="C59" s="37" t="n"/>
      <c r="D59" s="37" t="n"/>
      <c r="E59" s="37" t="n"/>
      <c r="F59" s="17" t="n"/>
      <c r="G59" s="38" t="str">
        <f>IF(AND(ISNUMBER(F59),ISNUMBER(F58)),IF(F58=0,"",F59/F58-1),"")</f>
        <v/>
      </c>
      <c r="H59" s="17" t="n"/>
      <c r="I59" s="17" t="n"/>
      <c r="J59" s="17" t="n"/>
      <c r="K59" s="17" t="n"/>
      <c r="L59" s="17" t="n"/>
      <c r="M59" s="17" t="n"/>
      <c r="N59" s="39" t="str">
        <f>IF(AND(ISNUMBER(L59),ISNUMBER(M59),N(L59)&gt;0),M59/L59,"")</f>
        <v/>
      </c>
      <c r="O59" s="17" t="n"/>
      <c r="P59" s="17" t="n"/>
      <c r="Q59" s="39" t="str">
        <f>IF(AND(ISNUMBER(O59),ISNUMBER(P59),N(O59)&gt;0),P59/O59,"")</f>
        <v/>
      </c>
      <c r="R59" s="17" t="n"/>
      <c r="S59" s="37" t="n"/>
      <c r="T59" s="40" t="str">
        <f>IF(AND(ISNUMBER(J59),ISNUMBER(K59)),IF(N(ISNUMBER('参数'!$E$31))+N(ISNUMBER('参数'!$G$31))+N(ISNUMBER('参数'!$I$31))+N(ISNUMBER('参数'!$K$31))=0,"",IF(ISNUMBER('参数'!$E$31),J59&lt;='参数'!$E$31,FALSE)+IF(ISNUMBER('参数'!$G$31),K59&gt;='参数'!$G$31,FALSE)+IF(AND(ISNUMBER('参数'!$I$31),ISNUMBER(N59)),N59&gt;='参数'!$I$31,FALSE)+IF(AND(ISNUMBER('参数'!$K$31),ISNUMBER(Q59)),Q59&lt;='参数'!$K$31,FALSE)),"")</f>
        <v/>
      </c>
      <c r="U59" s="40" t="str">
        <f>IF(AND(ISNUMBER(J59),ISNUMBER(K59)),IF(N(ISNUMBER('参数'!$G$32))+N(ISNUMBER('参数'!$I$32))+N(ISNUMBER('参数'!$K$32))=0,"",IF(AND(ISNUMBER(J58),ISNUMBER(J57)),AND(J59&gt;J58,J58&gt;J57),FALSE)+IF(ISNUMBER('参数'!$G$32),J59&lt;'参数'!$G$32,FALSE)+IF(AND(ISNUMBER('参数'!$I$32),ISNUMBER(Q59)),Q59&gt;='参数'!$I$32,FALSE)+IF(AND(ISNUMBER('参数'!$K$32),ISNUMBER(S59)),S59&gt;='参数'!$K$32,FALSE)),"")</f>
        <v/>
      </c>
      <c r="V59" s="40" t="str">
        <f>IF(AND(ISNUMBER(J59),ISNUMBER(K59)),IF(N(ISNUMBER('参数'!$E$33))+N(ISNUMBER('参数'!$G$33))+N(ISNUMBER('参数'!$I$33))+N(ISNUMBER('参数'!$K$33))=0,"",IF(AND(ISNUMBER('参数'!$E$33),ISNUMBER(J58)),AND(J59&gt;='参数'!$E$33,J59&gt;J58),FALSE)+IF(AND(ISNUMBER('参数'!$G$33),ISNUMBER(N59)),N59&lt;='参数'!$G$33,FALSE)+IF(AND(ISNUMBER('参数'!$I$33),ISNUMBER(Q59)),Q59&gt;='参数'!$I$33,FALSE)+IF(AND(ISNUMBER('参数'!$K$33),ISNUMBER(S59)),S59&gt;='参数'!$K$33,FALSE)),"")</f>
        <v/>
      </c>
      <c r="W59" s="40" t="str">
        <f>IF(AND(ISNUMBER(J59),ISNUMBER(K59)),IF(N(ISNUMBER('参数'!$E$34))+N(ISNUMBER('参数'!$G$34))+N(ISNUMBER('参数'!$I$34))+N(ISNUMBER('参数'!$K$34))=0,"",IF(ISNUMBER('参数'!$E$34),J59&gt;='参数'!$E$34,FALSE)+IF(AND(ISNUMBER('参数'!$G$34),ISNUMBER(N59)),N59&lt;='参数'!$G$34,FALSE)+IF(AND(ISNUMBER('参数'!$I$34),ISNUMBER(S59)),S59&gt;='参数'!$I$34,FALSE)+IF(AND(ISNUMBER('参数'!$K$34),ISNUMBER(R59)),R59&gt;='参数'!$K$34,FALSE)),"")</f>
        <v/>
      </c>
      <c r="X59" s="40" t="str">
        <f>IF(AND(ISNUMBER(J59),ISNUMBER(K59)),IF(N(ISNUMBER('参数'!$E$35))+N(ISNUMBER('参数'!$G$35))+N(ISNUMBER('参数'!$I$35))=0,"",IF(AND(ISNUMBER('参数'!$E$35),ISNUMBER(N59),ISNUMBER(N58)),ROUND(N59-N58,6)&gt;='参数'!$E$35,FALSE)+IF(AND(ISNUMBER('参数'!$G$35),ISNUMBER(Q59),ISNUMBER(Q58)),ROUND(Q58-Q59,6)&gt;='参数'!$G$35,FALSE)+IF(AND(ISNUMBER('参数'!$I$35),ISNUMBER(S59),ISNUMBER(S58)),ROUND(S58-S59,6)&gt;='参数'!$I$35,FALSE)+IF(ISNUMBER(J58),J59&lt;J58,FALSE)),"")</f>
        <v/>
      </c>
      <c r="Y59" s="40" t="str">
        <f>IF(AND(ISNUMBER(J59),ISNUMBER(K59)),IF(N(ISNUMBER('参数'!$E$36))+N(ISNUMBER('参数'!$G$36))+N(ISNUMBER('参数'!$I$36))=0,"",IF(AND(ISNUMBER('参数'!$E$36),ISNUMBER(J58)),AND(J59&lt;='参数'!$E$36,J59&lt;J58),FALSE)+IF(ISNUMBER('参数'!$G$36),K59&gt;='参数'!$G$36,FALSE)+IF(AND(ISNUMBER('参数'!$I$36),ISNUMBER(S59)),S59&lt;'参数'!$I$36,FALSE)+IF(AND(ISNUMBER(R59),ISNUMBER(R58)),R59&lt;R58,FALSE)),"")</f>
        <v/>
      </c>
      <c r="Z59" s="41" t="str">
        <f>IF(NOT(AND(ISNUMBER(J59),ISNUMBER(K59))),"",IF(COUNT(T59:Y59)=0,"先填阈值",IF(MAX(AD59:AI59)=0,"不写",INDEX($T$4:$Y$4,MATCH(MAX(AD59:AI59),AD59:AI59,0))&amp;"·"&amp;IF(MAX(AD59:AI59)&gt;=200,"高","中")&amp;IF(LARGE(AD59:AI59,2)&gt;0,"（也像"&amp;INDEX($T$4:$Y$4,MATCH(LARGE(AD59:AI59,2),AD59:AI59,0))&amp;"·"&amp;IF(LARGE(AD59:AI59,2)&gt;=200,"高","中")&amp;"）",""))))</f>
        <v/>
      </c>
      <c r="AA59" s="27" t="n"/>
      <c r="AB59" s="32" t="n"/>
      <c r="AC59" s="16" t="n"/>
      <c r="AD59" s="40">
        <f>IF(N(T59)&gt;=3,IF(T59=4,2,1)*100+T59*10+6,0)</f>
        <v>0</v>
      </c>
      <c r="AE59" s="40">
        <f>IF(N(U59)&gt;=3,1*100+U59*10+1,0)</f>
        <v>0</v>
      </c>
      <c r="AF59" s="40">
        <f>IF(N(V59)&gt;=3,IF(V59=4,2,1)*100+V59*10+2,0)</f>
        <v>0</v>
      </c>
      <c r="AG59" s="40">
        <f>IF(N(W59)&gt;=3,1*100+W59*10+3,0)</f>
        <v>0</v>
      </c>
      <c r="AH59" s="40">
        <f>IF(N(X59)&gt;=3,1*100+X59*10+4,0)</f>
        <v>0</v>
      </c>
      <c r="AI59" s="40">
        <f>IF(N(Y59)&gt;=3,IF(AND(N(T59)&gt;=3,OR(N(T59)=4,N(Y59)&lt;=N(T59))),0,IF(Y59=4,2,1)*100+Y59*10+5),0)</f>
        <v>0</v>
      </c>
    </row>
    <row r="60">
      <c r="A60" s="31" t="n"/>
      <c r="B60" s="36" t="str">
        <f>IF(ISNUMBER(A60),"周"&amp;CHOOSE(WEEKDAY(A60,2),"一","二","三","四","五","六","日"),"")</f>
        <v/>
      </c>
      <c r="C60" s="37" t="n"/>
      <c r="D60" s="37" t="n"/>
      <c r="E60" s="37" t="n"/>
      <c r="F60" s="17" t="n"/>
      <c r="G60" s="38" t="str">
        <f>IF(AND(ISNUMBER(F60),ISNUMBER(F59)),IF(F59=0,"",F60/F59-1),"")</f>
        <v/>
      </c>
      <c r="H60" s="17" t="n"/>
      <c r="I60" s="17" t="n"/>
      <c r="J60" s="17" t="n"/>
      <c r="K60" s="17" t="n"/>
      <c r="L60" s="17" t="n"/>
      <c r="M60" s="17" t="n"/>
      <c r="N60" s="39" t="str">
        <f>IF(AND(ISNUMBER(L60),ISNUMBER(M60),N(L60)&gt;0),M60/L60,"")</f>
        <v/>
      </c>
      <c r="O60" s="17" t="n"/>
      <c r="P60" s="17" t="n"/>
      <c r="Q60" s="39" t="str">
        <f>IF(AND(ISNUMBER(O60),ISNUMBER(P60),N(O60)&gt;0),P60/O60,"")</f>
        <v/>
      </c>
      <c r="R60" s="17" t="n"/>
      <c r="S60" s="37" t="n"/>
      <c r="T60" s="40" t="str">
        <f>IF(AND(ISNUMBER(J60),ISNUMBER(K60)),IF(N(ISNUMBER('参数'!$E$31))+N(ISNUMBER('参数'!$G$31))+N(ISNUMBER('参数'!$I$31))+N(ISNUMBER('参数'!$K$31))=0,"",IF(ISNUMBER('参数'!$E$31),J60&lt;='参数'!$E$31,FALSE)+IF(ISNUMBER('参数'!$G$31),K60&gt;='参数'!$G$31,FALSE)+IF(AND(ISNUMBER('参数'!$I$31),ISNUMBER(N60)),N60&gt;='参数'!$I$31,FALSE)+IF(AND(ISNUMBER('参数'!$K$31),ISNUMBER(Q60)),Q60&lt;='参数'!$K$31,FALSE)),"")</f>
        <v/>
      </c>
      <c r="U60" s="40" t="str">
        <f>IF(AND(ISNUMBER(J60),ISNUMBER(K60)),IF(N(ISNUMBER('参数'!$G$32))+N(ISNUMBER('参数'!$I$32))+N(ISNUMBER('参数'!$K$32))=0,"",IF(AND(ISNUMBER(J59),ISNUMBER(J58)),AND(J60&gt;J59,J59&gt;J58),FALSE)+IF(ISNUMBER('参数'!$G$32),J60&lt;'参数'!$G$32,FALSE)+IF(AND(ISNUMBER('参数'!$I$32),ISNUMBER(Q60)),Q60&gt;='参数'!$I$32,FALSE)+IF(AND(ISNUMBER('参数'!$K$32),ISNUMBER(S60)),S60&gt;='参数'!$K$32,FALSE)),"")</f>
        <v/>
      </c>
      <c r="V60" s="40" t="str">
        <f>IF(AND(ISNUMBER(J60),ISNUMBER(K60)),IF(N(ISNUMBER('参数'!$E$33))+N(ISNUMBER('参数'!$G$33))+N(ISNUMBER('参数'!$I$33))+N(ISNUMBER('参数'!$K$33))=0,"",IF(AND(ISNUMBER('参数'!$E$33),ISNUMBER(J59)),AND(J60&gt;='参数'!$E$33,J60&gt;J59),FALSE)+IF(AND(ISNUMBER('参数'!$G$33),ISNUMBER(N60)),N60&lt;='参数'!$G$33,FALSE)+IF(AND(ISNUMBER('参数'!$I$33),ISNUMBER(Q60)),Q60&gt;='参数'!$I$33,FALSE)+IF(AND(ISNUMBER('参数'!$K$33),ISNUMBER(S60)),S60&gt;='参数'!$K$33,FALSE)),"")</f>
        <v/>
      </c>
      <c r="W60" s="40" t="str">
        <f>IF(AND(ISNUMBER(J60),ISNUMBER(K60)),IF(N(ISNUMBER('参数'!$E$34))+N(ISNUMBER('参数'!$G$34))+N(ISNUMBER('参数'!$I$34))+N(ISNUMBER('参数'!$K$34))=0,"",IF(ISNUMBER('参数'!$E$34),J60&gt;='参数'!$E$34,FALSE)+IF(AND(ISNUMBER('参数'!$G$34),ISNUMBER(N60)),N60&lt;='参数'!$G$34,FALSE)+IF(AND(ISNUMBER('参数'!$I$34),ISNUMBER(S60)),S60&gt;='参数'!$I$34,FALSE)+IF(AND(ISNUMBER('参数'!$K$34),ISNUMBER(R60)),R60&gt;='参数'!$K$34,FALSE)),"")</f>
        <v/>
      </c>
      <c r="X60" s="40" t="str">
        <f>IF(AND(ISNUMBER(J60),ISNUMBER(K60)),IF(N(ISNUMBER('参数'!$E$35))+N(ISNUMBER('参数'!$G$35))+N(ISNUMBER('参数'!$I$35))=0,"",IF(AND(ISNUMBER('参数'!$E$35),ISNUMBER(N60),ISNUMBER(N59)),ROUND(N60-N59,6)&gt;='参数'!$E$35,FALSE)+IF(AND(ISNUMBER('参数'!$G$35),ISNUMBER(Q60),ISNUMBER(Q59)),ROUND(Q59-Q60,6)&gt;='参数'!$G$35,FALSE)+IF(AND(ISNUMBER('参数'!$I$35),ISNUMBER(S60),ISNUMBER(S59)),ROUND(S59-S60,6)&gt;='参数'!$I$35,FALSE)+IF(ISNUMBER(J59),J60&lt;J59,FALSE)),"")</f>
        <v/>
      </c>
      <c r="Y60" s="40" t="str">
        <f>IF(AND(ISNUMBER(J60),ISNUMBER(K60)),IF(N(ISNUMBER('参数'!$E$36))+N(ISNUMBER('参数'!$G$36))+N(ISNUMBER('参数'!$I$36))=0,"",IF(AND(ISNUMBER('参数'!$E$36),ISNUMBER(J59)),AND(J60&lt;='参数'!$E$36,J60&lt;J59),FALSE)+IF(ISNUMBER('参数'!$G$36),K60&gt;='参数'!$G$36,FALSE)+IF(AND(ISNUMBER('参数'!$I$36),ISNUMBER(S60)),S60&lt;'参数'!$I$36,FALSE)+IF(AND(ISNUMBER(R60),ISNUMBER(R59)),R60&lt;R59,FALSE)),"")</f>
        <v/>
      </c>
      <c r="Z60" s="41" t="str">
        <f>IF(NOT(AND(ISNUMBER(J60),ISNUMBER(K60))),"",IF(COUNT(T60:Y60)=0,"先填阈值",IF(MAX(AD60:AI60)=0,"不写",INDEX($T$4:$Y$4,MATCH(MAX(AD60:AI60),AD60:AI60,0))&amp;"·"&amp;IF(MAX(AD60:AI60)&gt;=200,"高","中")&amp;IF(LARGE(AD60:AI60,2)&gt;0,"（也像"&amp;INDEX($T$4:$Y$4,MATCH(LARGE(AD60:AI60,2),AD60:AI60,0))&amp;"·"&amp;IF(LARGE(AD60:AI60,2)&gt;=200,"高","中")&amp;"）",""))))</f>
        <v/>
      </c>
      <c r="AA60" s="27" t="n"/>
      <c r="AB60" s="32" t="n"/>
      <c r="AC60" s="16" t="n"/>
      <c r="AD60" s="40">
        <f>IF(N(T60)&gt;=3,IF(T60=4,2,1)*100+T60*10+6,0)</f>
        <v>0</v>
      </c>
      <c r="AE60" s="40">
        <f>IF(N(U60)&gt;=3,1*100+U60*10+1,0)</f>
        <v>0</v>
      </c>
      <c r="AF60" s="40">
        <f>IF(N(V60)&gt;=3,IF(V60=4,2,1)*100+V60*10+2,0)</f>
        <v>0</v>
      </c>
      <c r="AG60" s="40">
        <f>IF(N(W60)&gt;=3,1*100+W60*10+3,0)</f>
        <v>0</v>
      </c>
      <c r="AH60" s="40">
        <f>IF(N(X60)&gt;=3,1*100+X60*10+4,0)</f>
        <v>0</v>
      </c>
      <c r="AI60" s="40">
        <f>IF(N(Y60)&gt;=3,IF(AND(N(T60)&gt;=3,OR(N(T60)=4,N(Y60)&lt;=N(T60))),0,IF(Y60=4,2,1)*100+Y60*10+5),0)</f>
        <v>0</v>
      </c>
    </row>
    <row r="61">
      <c r="A61" s="31" t="n"/>
      <c r="B61" s="36" t="str">
        <f>IF(ISNUMBER(A61),"周"&amp;CHOOSE(WEEKDAY(A61,2),"一","二","三","四","五","六","日"),"")</f>
        <v/>
      </c>
      <c r="C61" s="37" t="n"/>
      <c r="D61" s="37" t="n"/>
      <c r="E61" s="37" t="n"/>
      <c r="F61" s="17" t="n"/>
      <c r="G61" s="38" t="str">
        <f>IF(AND(ISNUMBER(F61),ISNUMBER(F60)),IF(F60=0,"",F61/F60-1),"")</f>
        <v/>
      </c>
      <c r="H61" s="17" t="n"/>
      <c r="I61" s="17" t="n"/>
      <c r="J61" s="17" t="n"/>
      <c r="K61" s="17" t="n"/>
      <c r="L61" s="17" t="n"/>
      <c r="M61" s="17" t="n"/>
      <c r="N61" s="39" t="str">
        <f>IF(AND(ISNUMBER(L61),ISNUMBER(M61),N(L61)&gt;0),M61/L61,"")</f>
        <v/>
      </c>
      <c r="O61" s="17" t="n"/>
      <c r="P61" s="17" t="n"/>
      <c r="Q61" s="39" t="str">
        <f>IF(AND(ISNUMBER(O61),ISNUMBER(P61),N(O61)&gt;0),P61/O61,"")</f>
        <v/>
      </c>
      <c r="R61" s="17" t="n"/>
      <c r="S61" s="37" t="n"/>
      <c r="T61" s="40" t="str">
        <f>IF(AND(ISNUMBER(J61),ISNUMBER(K61)),IF(N(ISNUMBER('参数'!$E$31))+N(ISNUMBER('参数'!$G$31))+N(ISNUMBER('参数'!$I$31))+N(ISNUMBER('参数'!$K$31))=0,"",IF(ISNUMBER('参数'!$E$31),J61&lt;='参数'!$E$31,FALSE)+IF(ISNUMBER('参数'!$G$31),K61&gt;='参数'!$G$31,FALSE)+IF(AND(ISNUMBER('参数'!$I$31),ISNUMBER(N61)),N61&gt;='参数'!$I$31,FALSE)+IF(AND(ISNUMBER('参数'!$K$31),ISNUMBER(Q61)),Q61&lt;='参数'!$K$31,FALSE)),"")</f>
        <v/>
      </c>
      <c r="U61" s="40" t="str">
        <f>IF(AND(ISNUMBER(J61),ISNUMBER(K61)),IF(N(ISNUMBER('参数'!$G$32))+N(ISNUMBER('参数'!$I$32))+N(ISNUMBER('参数'!$K$32))=0,"",IF(AND(ISNUMBER(J60),ISNUMBER(J59)),AND(J61&gt;J60,J60&gt;J59),FALSE)+IF(ISNUMBER('参数'!$G$32),J61&lt;'参数'!$G$32,FALSE)+IF(AND(ISNUMBER('参数'!$I$32),ISNUMBER(Q61)),Q61&gt;='参数'!$I$32,FALSE)+IF(AND(ISNUMBER('参数'!$K$32),ISNUMBER(S61)),S61&gt;='参数'!$K$32,FALSE)),"")</f>
        <v/>
      </c>
      <c r="V61" s="40" t="str">
        <f>IF(AND(ISNUMBER(J61),ISNUMBER(K61)),IF(N(ISNUMBER('参数'!$E$33))+N(ISNUMBER('参数'!$G$33))+N(ISNUMBER('参数'!$I$33))+N(ISNUMBER('参数'!$K$33))=0,"",IF(AND(ISNUMBER('参数'!$E$33),ISNUMBER(J60)),AND(J61&gt;='参数'!$E$33,J61&gt;J60),FALSE)+IF(AND(ISNUMBER('参数'!$G$33),ISNUMBER(N61)),N61&lt;='参数'!$G$33,FALSE)+IF(AND(ISNUMBER('参数'!$I$33),ISNUMBER(Q61)),Q61&gt;='参数'!$I$33,FALSE)+IF(AND(ISNUMBER('参数'!$K$33),ISNUMBER(S61)),S61&gt;='参数'!$K$33,FALSE)),"")</f>
        <v/>
      </c>
      <c r="W61" s="40" t="str">
        <f>IF(AND(ISNUMBER(J61),ISNUMBER(K61)),IF(N(ISNUMBER('参数'!$E$34))+N(ISNUMBER('参数'!$G$34))+N(ISNUMBER('参数'!$I$34))+N(ISNUMBER('参数'!$K$34))=0,"",IF(ISNUMBER('参数'!$E$34),J61&gt;='参数'!$E$34,FALSE)+IF(AND(ISNUMBER('参数'!$G$34),ISNUMBER(N61)),N61&lt;='参数'!$G$34,FALSE)+IF(AND(ISNUMBER('参数'!$I$34),ISNUMBER(S61)),S61&gt;='参数'!$I$34,FALSE)+IF(AND(ISNUMBER('参数'!$K$34),ISNUMBER(R61)),R61&gt;='参数'!$K$34,FALSE)),"")</f>
        <v/>
      </c>
      <c r="X61" s="40" t="str">
        <f>IF(AND(ISNUMBER(J61),ISNUMBER(K61)),IF(N(ISNUMBER('参数'!$E$35))+N(ISNUMBER('参数'!$G$35))+N(ISNUMBER('参数'!$I$35))=0,"",IF(AND(ISNUMBER('参数'!$E$35),ISNUMBER(N61),ISNUMBER(N60)),ROUND(N61-N60,6)&gt;='参数'!$E$35,FALSE)+IF(AND(ISNUMBER('参数'!$G$35),ISNUMBER(Q61),ISNUMBER(Q60)),ROUND(Q60-Q61,6)&gt;='参数'!$G$35,FALSE)+IF(AND(ISNUMBER('参数'!$I$35),ISNUMBER(S61),ISNUMBER(S60)),ROUND(S60-S61,6)&gt;='参数'!$I$35,FALSE)+IF(ISNUMBER(J60),J61&lt;J60,FALSE)),"")</f>
        <v/>
      </c>
      <c r="Y61" s="40" t="str">
        <f>IF(AND(ISNUMBER(J61),ISNUMBER(K61)),IF(N(ISNUMBER('参数'!$E$36))+N(ISNUMBER('参数'!$G$36))+N(ISNUMBER('参数'!$I$36))=0,"",IF(AND(ISNUMBER('参数'!$E$36),ISNUMBER(J60)),AND(J61&lt;='参数'!$E$36,J61&lt;J60),FALSE)+IF(ISNUMBER('参数'!$G$36),K61&gt;='参数'!$G$36,FALSE)+IF(AND(ISNUMBER('参数'!$I$36),ISNUMBER(S61)),S61&lt;'参数'!$I$36,FALSE)+IF(AND(ISNUMBER(R61),ISNUMBER(R60)),R61&lt;R60,FALSE)),"")</f>
        <v/>
      </c>
      <c r="Z61" s="41" t="str">
        <f>IF(NOT(AND(ISNUMBER(J61),ISNUMBER(K61))),"",IF(COUNT(T61:Y61)=0,"先填阈值",IF(MAX(AD61:AI61)=0,"不写",INDEX($T$4:$Y$4,MATCH(MAX(AD61:AI61),AD61:AI61,0))&amp;"·"&amp;IF(MAX(AD61:AI61)&gt;=200,"高","中")&amp;IF(LARGE(AD61:AI61,2)&gt;0,"（也像"&amp;INDEX($T$4:$Y$4,MATCH(LARGE(AD61:AI61,2),AD61:AI61,0))&amp;"·"&amp;IF(LARGE(AD61:AI61,2)&gt;=200,"高","中")&amp;"）",""))))</f>
        <v/>
      </c>
      <c r="AA61" s="27" t="n"/>
      <c r="AB61" s="32" t="n"/>
      <c r="AC61" s="16" t="n"/>
      <c r="AD61" s="40">
        <f>IF(N(T61)&gt;=3,IF(T61=4,2,1)*100+T61*10+6,0)</f>
        <v>0</v>
      </c>
      <c r="AE61" s="40">
        <f>IF(N(U61)&gt;=3,1*100+U61*10+1,0)</f>
        <v>0</v>
      </c>
      <c r="AF61" s="40">
        <f>IF(N(V61)&gt;=3,IF(V61=4,2,1)*100+V61*10+2,0)</f>
        <v>0</v>
      </c>
      <c r="AG61" s="40">
        <f>IF(N(W61)&gt;=3,1*100+W61*10+3,0)</f>
        <v>0</v>
      </c>
      <c r="AH61" s="40">
        <f>IF(N(X61)&gt;=3,1*100+X61*10+4,0)</f>
        <v>0</v>
      </c>
      <c r="AI61" s="40">
        <f>IF(N(Y61)&gt;=3,IF(AND(N(T61)&gt;=3,OR(N(T61)=4,N(Y61)&lt;=N(T61))),0,IF(Y61=4,2,1)*100+Y61*10+5),0)</f>
        <v>0</v>
      </c>
    </row>
    <row r="62">
      <c r="A62" s="31" t="n"/>
      <c r="B62" s="36" t="str">
        <f>IF(ISNUMBER(A62),"周"&amp;CHOOSE(WEEKDAY(A62,2),"一","二","三","四","五","六","日"),"")</f>
        <v/>
      </c>
      <c r="C62" s="37" t="n"/>
      <c r="D62" s="37" t="n"/>
      <c r="E62" s="37" t="n"/>
      <c r="F62" s="17" t="n"/>
      <c r="G62" s="38" t="str">
        <f>IF(AND(ISNUMBER(F62),ISNUMBER(F61)),IF(F61=0,"",F62/F61-1),"")</f>
        <v/>
      </c>
      <c r="H62" s="17" t="n"/>
      <c r="I62" s="17" t="n"/>
      <c r="J62" s="17" t="n"/>
      <c r="K62" s="17" t="n"/>
      <c r="L62" s="17" t="n"/>
      <c r="M62" s="17" t="n"/>
      <c r="N62" s="39" t="str">
        <f>IF(AND(ISNUMBER(L62),ISNUMBER(M62),N(L62)&gt;0),M62/L62,"")</f>
        <v/>
      </c>
      <c r="O62" s="17" t="n"/>
      <c r="P62" s="17" t="n"/>
      <c r="Q62" s="39" t="str">
        <f>IF(AND(ISNUMBER(O62),ISNUMBER(P62),N(O62)&gt;0),P62/O62,"")</f>
        <v/>
      </c>
      <c r="R62" s="17" t="n"/>
      <c r="S62" s="37" t="n"/>
      <c r="T62" s="40" t="str">
        <f>IF(AND(ISNUMBER(J62),ISNUMBER(K62)),IF(N(ISNUMBER('参数'!$E$31))+N(ISNUMBER('参数'!$G$31))+N(ISNUMBER('参数'!$I$31))+N(ISNUMBER('参数'!$K$31))=0,"",IF(ISNUMBER('参数'!$E$31),J62&lt;='参数'!$E$31,FALSE)+IF(ISNUMBER('参数'!$G$31),K62&gt;='参数'!$G$31,FALSE)+IF(AND(ISNUMBER('参数'!$I$31),ISNUMBER(N62)),N62&gt;='参数'!$I$31,FALSE)+IF(AND(ISNUMBER('参数'!$K$31),ISNUMBER(Q62)),Q62&lt;='参数'!$K$31,FALSE)),"")</f>
        <v/>
      </c>
      <c r="U62" s="40" t="str">
        <f>IF(AND(ISNUMBER(J62),ISNUMBER(K62)),IF(N(ISNUMBER('参数'!$G$32))+N(ISNUMBER('参数'!$I$32))+N(ISNUMBER('参数'!$K$32))=0,"",IF(AND(ISNUMBER(J61),ISNUMBER(J60)),AND(J62&gt;J61,J61&gt;J60),FALSE)+IF(ISNUMBER('参数'!$G$32),J62&lt;'参数'!$G$32,FALSE)+IF(AND(ISNUMBER('参数'!$I$32),ISNUMBER(Q62)),Q62&gt;='参数'!$I$32,FALSE)+IF(AND(ISNUMBER('参数'!$K$32),ISNUMBER(S62)),S62&gt;='参数'!$K$32,FALSE)),"")</f>
        <v/>
      </c>
      <c r="V62" s="40" t="str">
        <f>IF(AND(ISNUMBER(J62),ISNUMBER(K62)),IF(N(ISNUMBER('参数'!$E$33))+N(ISNUMBER('参数'!$G$33))+N(ISNUMBER('参数'!$I$33))+N(ISNUMBER('参数'!$K$33))=0,"",IF(AND(ISNUMBER('参数'!$E$33),ISNUMBER(J61)),AND(J62&gt;='参数'!$E$33,J62&gt;J61),FALSE)+IF(AND(ISNUMBER('参数'!$G$33),ISNUMBER(N62)),N62&lt;='参数'!$G$33,FALSE)+IF(AND(ISNUMBER('参数'!$I$33),ISNUMBER(Q62)),Q62&gt;='参数'!$I$33,FALSE)+IF(AND(ISNUMBER('参数'!$K$33),ISNUMBER(S62)),S62&gt;='参数'!$K$33,FALSE)),"")</f>
        <v/>
      </c>
      <c r="W62" s="40" t="str">
        <f>IF(AND(ISNUMBER(J62),ISNUMBER(K62)),IF(N(ISNUMBER('参数'!$E$34))+N(ISNUMBER('参数'!$G$34))+N(ISNUMBER('参数'!$I$34))+N(ISNUMBER('参数'!$K$34))=0,"",IF(ISNUMBER('参数'!$E$34),J62&gt;='参数'!$E$34,FALSE)+IF(AND(ISNUMBER('参数'!$G$34),ISNUMBER(N62)),N62&lt;='参数'!$G$34,FALSE)+IF(AND(ISNUMBER('参数'!$I$34),ISNUMBER(S62)),S62&gt;='参数'!$I$34,FALSE)+IF(AND(ISNUMBER('参数'!$K$34),ISNUMBER(R62)),R62&gt;='参数'!$K$34,FALSE)),"")</f>
        <v/>
      </c>
      <c r="X62" s="40" t="str">
        <f>IF(AND(ISNUMBER(J62),ISNUMBER(K62)),IF(N(ISNUMBER('参数'!$E$35))+N(ISNUMBER('参数'!$G$35))+N(ISNUMBER('参数'!$I$35))=0,"",IF(AND(ISNUMBER('参数'!$E$35),ISNUMBER(N62),ISNUMBER(N61)),ROUND(N62-N61,6)&gt;='参数'!$E$35,FALSE)+IF(AND(ISNUMBER('参数'!$G$35),ISNUMBER(Q62),ISNUMBER(Q61)),ROUND(Q61-Q62,6)&gt;='参数'!$G$35,FALSE)+IF(AND(ISNUMBER('参数'!$I$35),ISNUMBER(S62),ISNUMBER(S61)),ROUND(S61-S62,6)&gt;='参数'!$I$35,FALSE)+IF(ISNUMBER(J61),J62&lt;J61,FALSE)),"")</f>
        <v/>
      </c>
      <c r="Y62" s="40" t="str">
        <f>IF(AND(ISNUMBER(J62),ISNUMBER(K62)),IF(N(ISNUMBER('参数'!$E$36))+N(ISNUMBER('参数'!$G$36))+N(ISNUMBER('参数'!$I$36))=0,"",IF(AND(ISNUMBER('参数'!$E$36),ISNUMBER(J61)),AND(J62&lt;='参数'!$E$36,J62&lt;J61),FALSE)+IF(ISNUMBER('参数'!$G$36),K62&gt;='参数'!$G$36,FALSE)+IF(AND(ISNUMBER('参数'!$I$36),ISNUMBER(S62)),S62&lt;'参数'!$I$36,FALSE)+IF(AND(ISNUMBER(R62),ISNUMBER(R61)),R62&lt;R61,FALSE)),"")</f>
        <v/>
      </c>
      <c r="Z62" s="41" t="str">
        <f>IF(NOT(AND(ISNUMBER(J62),ISNUMBER(K62))),"",IF(COUNT(T62:Y62)=0,"先填阈值",IF(MAX(AD62:AI62)=0,"不写",INDEX($T$4:$Y$4,MATCH(MAX(AD62:AI62),AD62:AI62,0))&amp;"·"&amp;IF(MAX(AD62:AI62)&gt;=200,"高","中")&amp;IF(LARGE(AD62:AI62,2)&gt;0,"（也像"&amp;INDEX($T$4:$Y$4,MATCH(LARGE(AD62:AI62,2),AD62:AI62,0))&amp;"·"&amp;IF(LARGE(AD62:AI62,2)&gt;=200,"高","中")&amp;"）",""))))</f>
        <v/>
      </c>
      <c r="AA62" s="27" t="n"/>
      <c r="AB62" s="32" t="n"/>
      <c r="AC62" s="16" t="n"/>
      <c r="AD62" s="40">
        <f>IF(N(T62)&gt;=3,IF(T62=4,2,1)*100+T62*10+6,0)</f>
        <v>0</v>
      </c>
      <c r="AE62" s="40">
        <f>IF(N(U62)&gt;=3,1*100+U62*10+1,0)</f>
        <v>0</v>
      </c>
      <c r="AF62" s="40">
        <f>IF(N(V62)&gt;=3,IF(V62=4,2,1)*100+V62*10+2,0)</f>
        <v>0</v>
      </c>
      <c r="AG62" s="40">
        <f>IF(N(W62)&gt;=3,1*100+W62*10+3,0)</f>
        <v>0</v>
      </c>
      <c r="AH62" s="40">
        <f>IF(N(X62)&gt;=3,1*100+X62*10+4,0)</f>
        <v>0</v>
      </c>
      <c r="AI62" s="40">
        <f>IF(N(Y62)&gt;=3,IF(AND(N(T62)&gt;=3,OR(N(T62)=4,N(Y62)&lt;=N(T62))),0,IF(Y62=4,2,1)*100+Y62*10+5),0)</f>
        <v>0</v>
      </c>
    </row>
    <row r="63">
      <c r="A63" s="31" t="n"/>
      <c r="B63" s="36" t="str">
        <f>IF(ISNUMBER(A63),"周"&amp;CHOOSE(WEEKDAY(A63,2),"一","二","三","四","五","六","日"),"")</f>
        <v/>
      </c>
      <c r="C63" s="37" t="n"/>
      <c r="D63" s="37" t="n"/>
      <c r="E63" s="37" t="n"/>
      <c r="F63" s="17" t="n"/>
      <c r="G63" s="38" t="str">
        <f>IF(AND(ISNUMBER(F63),ISNUMBER(F62)),IF(F62=0,"",F63/F62-1),"")</f>
        <v/>
      </c>
      <c r="H63" s="17" t="n"/>
      <c r="I63" s="17" t="n"/>
      <c r="J63" s="17" t="n"/>
      <c r="K63" s="17" t="n"/>
      <c r="L63" s="17" t="n"/>
      <c r="M63" s="17" t="n"/>
      <c r="N63" s="39" t="str">
        <f>IF(AND(ISNUMBER(L63),ISNUMBER(M63),N(L63)&gt;0),M63/L63,"")</f>
        <v/>
      </c>
      <c r="O63" s="17" t="n"/>
      <c r="P63" s="17" t="n"/>
      <c r="Q63" s="39" t="str">
        <f>IF(AND(ISNUMBER(O63),ISNUMBER(P63),N(O63)&gt;0),P63/O63,"")</f>
        <v/>
      </c>
      <c r="R63" s="17" t="n"/>
      <c r="S63" s="37" t="n"/>
      <c r="T63" s="40" t="str">
        <f>IF(AND(ISNUMBER(J63),ISNUMBER(K63)),IF(N(ISNUMBER('参数'!$E$31))+N(ISNUMBER('参数'!$G$31))+N(ISNUMBER('参数'!$I$31))+N(ISNUMBER('参数'!$K$31))=0,"",IF(ISNUMBER('参数'!$E$31),J63&lt;='参数'!$E$31,FALSE)+IF(ISNUMBER('参数'!$G$31),K63&gt;='参数'!$G$31,FALSE)+IF(AND(ISNUMBER('参数'!$I$31),ISNUMBER(N63)),N63&gt;='参数'!$I$31,FALSE)+IF(AND(ISNUMBER('参数'!$K$31),ISNUMBER(Q63)),Q63&lt;='参数'!$K$31,FALSE)),"")</f>
        <v/>
      </c>
      <c r="U63" s="40" t="str">
        <f>IF(AND(ISNUMBER(J63),ISNUMBER(K63)),IF(N(ISNUMBER('参数'!$G$32))+N(ISNUMBER('参数'!$I$32))+N(ISNUMBER('参数'!$K$32))=0,"",IF(AND(ISNUMBER(J62),ISNUMBER(J61)),AND(J63&gt;J62,J62&gt;J61),FALSE)+IF(ISNUMBER('参数'!$G$32),J63&lt;'参数'!$G$32,FALSE)+IF(AND(ISNUMBER('参数'!$I$32),ISNUMBER(Q63)),Q63&gt;='参数'!$I$32,FALSE)+IF(AND(ISNUMBER('参数'!$K$32),ISNUMBER(S63)),S63&gt;='参数'!$K$32,FALSE)),"")</f>
        <v/>
      </c>
      <c r="V63" s="40" t="str">
        <f>IF(AND(ISNUMBER(J63),ISNUMBER(K63)),IF(N(ISNUMBER('参数'!$E$33))+N(ISNUMBER('参数'!$G$33))+N(ISNUMBER('参数'!$I$33))+N(ISNUMBER('参数'!$K$33))=0,"",IF(AND(ISNUMBER('参数'!$E$33),ISNUMBER(J62)),AND(J63&gt;='参数'!$E$33,J63&gt;J62),FALSE)+IF(AND(ISNUMBER('参数'!$G$33),ISNUMBER(N63)),N63&lt;='参数'!$G$33,FALSE)+IF(AND(ISNUMBER('参数'!$I$33),ISNUMBER(Q63)),Q63&gt;='参数'!$I$33,FALSE)+IF(AND(ISNUMBER('参数'!$K$33),ISNUMBER(S63)),S63&gt;='参数'!$K$33,FALSE)),"")</f>
        <v/>
      </c>
      <c r="W63" s="40" t="str">
        <f>IF(AND(ISNUMBER(J63),ISNUMBER(K63)),IF(N(ISNUMBER('参数'!$E$34))+N(ISNUMBER('参数'!$G$34))+N(ISNUMBER('参数'!$I$34))+N(ISNUMBER('参数'!$K$34))=0,"",IF(ISNUMBER('参数'!$E$34),J63&gt;='参数'!$E$34,FALSE)+IF(AND(ISNUMBER('参数'!$G$34),ISNUMBER(N63)),N63&lt;='参数'!$G$34,FALSE)+IF(AND(ISNUMBER('参数'!$I$34),ISNUMBER(S63)),S63&gt;='参数'!$I$34,FALSE)+IF(AND(ISNUMBER('参数'!$K$34),ISNUMBER(R63)),R63&gt;='参数'!$K$34,FALSE)),"")</f>
        <v/>
      </c>
      <c r="X63" s="40" t="str">
        <f>IF(AND(ISNUMBER(J63),ISNUMBER(K63)),IF(N(ISNUMBER('参数'!$E$35))+N(ISNUMBER('参数'!$G$35))+N(ISNUMBER('参数'!$I$35))=0,"",IF(AND(ISNUMBER('参数'!$E$35),ISNUMBER(N63),ISNUMBER(N62)),ROUND(N63-N62,6)&gt;='参数'!$E$35,FALSE)+IF(AND(ISNUMBER('参数'!$G$35),ISNUMBER(Q63),ISNUMBER(Q62)),ROUND(Q62-Q63,6)&gt;='参数'!$G$35,FALSE)+IF(AND(ISNUMBER('参数'!$I$35),ISNUMBER(S63),ISNUMBER(S62)),ROUND(S62-S63,6)&gt;='参数'!$I$35,FALSE)+IF(ISNUMBER(J62),J63&lt;J62,FALSE)),"")</f>
        <v/>
      </c>
      <c r="Y63" s="40" t="str">
        <f>IF(AND(ISNUMBER(J63),ISNUMBER(K63)),IF(N(ISNUMBER('参数'!$E$36))+N(ISNUMBER('参数'!$G$36))+N(ISNUMBER('参数'!$I$36))=0,"",IF(AND(ISNUMBER('参数'!$E$36),ISNUMBER(J62)),AND(J63&lt;='参数'!$E$36,J63&lt;J62),FALSE)+IF(ISNUMBER('参数'!$G$36),K63&gt;='参数'!$G$36,FALSE)+IF(AND(ISNUMBER('参数'!$I$36),ISNUMBER(S63)),S63&lt;'参数'!$I$36,FALSE)+IF(AND(ISNUMBER(R63),ISNUMBER(R62)),R63&lt;R62,FALSE)),"")</f>
        <v/>
      </c>
      <c r="Z63" s="41" t="str">
        <f>IF(NOT(AND(ISNUMBER(J63),ISNUMBER(K63))),"",IF(COUNT(T63:Y63)=0,"先填阈值",IF(MAX(AD63:AI63)=0,"不写",INDEX($T$4:$Y$4,MATCH(MAX(AD63:AI63),AD63:AI63,0))&amp;"·"&amp;IF(MAX(AD63:AI63)&gt;=200,"高","中")&amp;IF(LARGE(AD63:AI63,2)&gt;0,"（也像"&amp;INDEX($T$4:$Y$4,MATCH(LARGE(AD63:AI63,2),AD63:AI63,0))&amp;"·"&amp;IF(LARGE(AD63:AI63,2)&gt;=200,"高","中")&amp;"）",""))))</f>
        <v/>
      </c>
      <c r="AA63" s="27" t="n"/>
      <c r="AB63" s="32" t="n"/>
      <c r="AC63" s="16" t="n"/>
      <c r="AD63" s="40">
        <f>IF(N(T63)&gt;=3,IF(T63=4,2,1)*100+T63*10+6,0)</f>
        <v>0</v>
      </c>
      <c r="AE63" s="40">
        <f>IF(N(U63)&gt;=3,1*100+U63*10+1,0)</f>
        <v>0</v>
      </c>
      <c r="AF63" s="40">
        <f>IF(N(V63)&gt;=3,IF(V63=4,2,1)*100+V63*10+2,0)</f>
        <v>0</v>
      </c>
      <c r="AG63" s="40">
        <f>IF(N(W63)&gt;=3,1*100+W63*10+3,0)</f>
        <v>0</v>
      </c>
      <c r="AH63" s="40">
        <f>IF(N(X63)&gt;=3,1*100+X63*10+4,0)</f>
        <v>0</v>
      </c>
      <c r="AI63" s="40">
        <f>IF(N(Y63)&gt;=3,IF(AND(N(T63)&gt;=3,OR(N(T63)=4,N(Y63)&lt;=N(T63))),0,IF(Y63=4,2,1)*100+Y63*10+5),0)</f>
        <v>0</v>
      </c>
    </row>
    <row r="64">
      <c r="A64" s="31" t="n"/>
      <c r="B64" s="36" t="str">
        <f>IF(ISNUMBER(A64),"周"&amp;CHOOSE(WEEKDAY(A64,2),"一","二","三","四","五","六","日"),"")</f>
        <v/>
      </c>
      <c r="C64" s="37" t="n"/>
      <c r="D64" s="37" t="n"/>
      <c r="E64" s="37" t="n"/>
      <c r="F64" s="17" t="n"/>
      <c r="G64" s="38" t="str">
        <f>IF(AND(ISNUMBER(F64),ISNUMBER(F63)),IF(F63=0,"",F64/F63-1),"")</f>
        <v/>
      </c>
      <c r="H64" s="17" t="n"/>
      <c r="I64" s="17" t="n"/>
      <c r="J64" s="17" t="n"/>
      <c r="K64" s="17" t="n"/>
      <c r="L64" s="17" t="n"/>
      <c r="M64" s="17" t="n"/>
      <c r="N64" s="39" t="str">
        <f>IF(AND(ISNUMBER(L64),ISNUMBER(M64),N(L64)&gt;0),M64/L64,"")</f>
        <v/>
      </c>
      <c r="O64" s="17" t="n"/>
      <c r="P64" s="17" t="n"/>
      <c r="Q64" s="39" t="str">
        <f>IF(AND(ISNUMBER(O64),ISNUMBER(P64),N(O64)&gt;0),P64/O64,"")</f>
        <v/>
      </c>
      <c r="R64" s="17" t="n"/>
      <c r="S64" s="37" t="n"/>
      <c r="T64" s="40" t="str">
        <f>IF(AND(ISNUMBER(J64),ISNUMBER(K64)),IF(N(ISNUMBER('参数'!$E$31))+N(ISNUMBER('参数'!$G$31))+N(ISNUMBER('参数'!$I$31))+N(ISNUMBER('参数'!$K$31))=0,"",IF(ISNUMBER('参数'!$E$31),J64&lt;='参数'!$E$31,FALSE)+IF(ISNUMBER('参数'!$G$31),K64&gt;='参数'!$G$31,FALSE)+IF(AND(ISNUMBER('参数'!$I$31),ISNUMBER(N64)),N64&gt;='参数'!$I$31,FALSE)+IF(AND(ISNUMBER('参数'!$K$31),ISNUMBER(Q64)),Q64&lt;='参数'!$K$31,FALSE)),"")</f>
        <v/>
      </c>
      <c r="U64" s="40" t="str">
        <f>IF(AND(ISNUMBER(J64),ISNUMBER(K64)),IF(N(ISNUMBER('参数'!$G$32))+N(ISNUMBER('参数'!$I$32))+N(ISNUMBER('参数'!$K$32))=0,"",IF(AND(ISNUMBER(J63),ISNUMBER(J62)),AND(J64&gt;J63,J63&gt;J62),FALSE)+IF(ISNUMBER('参数'!$G$32),J64&lt;'参数'!$G$32,FALSE)+IF(AND(ISNUMBER('参数'!$I$32),ISNUMBER(Q64)),Q64&gt;='参数'!$I$32,FALSE)+IF(AND(ISNUMBER('参数'!$K$32),ISNUMBER(S64)),S64&gt;='参数'!$K$32,FALSE)),"")</f>
        <v/>
      </c>
      <c r="V64" s="40" t="str">
        <f>IF(AND(ISNUMBER(J64),ISNUMBER(K64)),IF(N(ISNUMBER('参数'!$E$33))+N(ISNUMBER('参数'!$G$33))+N(ISNUMBER('参数'!$I$33))+N(ISNUMBER('参数'!$K$33))=0,"",IF(AND(ISNUMBER('参数'!$E$33),ISNUMBER(J63)),AND(J64&gt;='参数'!$E$33,J64&gt;J63),FALSE)+IF(AND(ISNUMBER('参数'!$G$33),ISNUMBER(N64)),N64&lt;='参数'!$G$33,FALSE)+IF(AND(ISNUMBER('参数'!$I$33),ISNUMBER(Q64)),Q64&gt;='参数'!$I$33,FALSE)+IF(AND(ISNUMBER('参数'!$K$33),ISNUMBER(S64)),S64&gt;='参数'!$K$33,FALSE)),"")</f>
        <v/>
      </c>
      <c r="W64" s="40" t="str">
        <f>IF(AND(ISNUMBER(J64),ISNUMBER(K64)),IF(N(ISNUMBER('参数'!$E$34))+N(ISNUMBER('参数'!$G$34))+N(ISNUMBER('参数'!$I$34))+N(ISNUMBER('参数'!$K$34))=0,"",IF(ISNUMBER('参数'!$E$34),J64&gt;='参数'!$E$34,FALSE)+IF(AND(ISNUMBER('参数'!$G$34),ISNUMBER(N64)),N64&lt;='参数'!$G$34,FALSE)+IF(AND(ISNUMBER('参数'!$I$34),ISNUMBER(S64)),S64&gt;='参数'!$I$34,FALSE)+IF(AND(ISNUMBER('参数'!$K$34),ISNUMBER(R64)),R64&gt;='参数'!$K$34,FALSE)),"")</f>
        <v/>
      </c>
      <c r="X64" s="40" t="str">
        <f>IF(AND(ISNUMBER(J64),ISNUMBER(K64)),IF(N(ISNUMBER('参数'!$E$35))+N(ISNUMBER('参数'!$G$35))+N(ISNUMBER('参数'!$I$35))=0,"",IF(AND(ISNUMBER('参数'!$E$35),ISNUMBER(N64),ISNUMBER(N63)),ROUND(N64-N63,6)&gt;='参数'!$E$35,FALSE)+IF(AND(ISNUMBER('参数'!$G$35),ISNUMBER(Q64),ISNUMBER(Q63)),ROUND(Q63-Q64,6)&gt;='参数'!$G$35,FALSE)+IF(AND(ISNUMBER('参数'!$I$35),ISNUMBER(S64),ISNUMBER(S63)),ROUND(S63-S64,6)&gt;='参数'!$I$35,FALSE)+IF(ISNUMBER(J63),J64&lt;J63,FALSE)),"")</f>
        <v/>
      </c>
      <c r="Y64" s="40" t="str">
        <f>IF(AND(ISNUMBER(J64),ISNUMBER(K64)),IF(N(ISNUMBER('参数'!$E$36))+N(ISNUMBER('参数'!$G$36))+N(ISNUMBER('参数'!$I$36))=0,"",IF(AND(ISNUMBER('参数'!$E$36),ISNUMBER(J63)),AND(J64&lt;='参数'!$E$36,J64&lt;J63),FALSE)+IF(ISNUMBER('参数'!$G$36),K64&gt;='参数'!$G$36,FALSE)+IF(AND(ISNUMBER('参数'!$I$36),ISNUMBER(S64)),S64&lt;'参数'!$I$36,FALSE)+IF(AND(ISNUMBER(R64),ISNUMBER(R63)),R64&lt;R63,FALSE)),"")</f>
        <v/>
      </c>
      <c r="Z64" s="41" t="str">
        <f>IF(NOT(AND(ISNUMBER(J64),ISNUMBER(K64))),"",IF(COUNT(T64:Y64)=0,"先填阈值",IF(MAX(AD64:AI64)=0,"不写",INDEX($T$4:$Y$4,MATCH(MAX(AD64:AI64),AD64:AI64,0))&amp;"·"&amp;IF(MAX(AD64:AI64)&gt;=200,"高","中")&amp;IF(LARGE(AD64:AI64,2)&gt;0,"（也像"&amp;INDEX($T$4:$Y$4,MATCH(LARGE(AD64:AI64,2),AD64:AI64,0))&amp;"·"&amp;IF(LARGE(AD64:AI64,2)&gt;=200,"高","中")&amp;"）",""))))</f>
        <v/>
      </c>
      <c r="AA64" s="27" t="n"/>
      <c r="AB64" s="32" t="n"/>
      <c r="AC64" s="16" t="n"/>
      <c r="AD64" s="40">
        <f>IF(N(T64)&gt;=3,IF(T64=4,2,1)*100+T64*10+6,0)</f>
        <v>0</v>
      </c>
      <c r="AE64" s="40">
        <f>IF(N(U64)&gt;=3,1*100+U64*10+1,0)</f>
        <v>0</v>
      </c>
      <c r="AF64" s="40">
        <f>IF(N(V64)&gt;=3,IF(V64=4,2,1)*100+V64*10+2,0)</f>
        <v>0</v>
      </c>
      <c r="AG64" s="40">
        <f>IF(N(W64)&gt;=3,1*100+W64*10+3,0)</f>
        <v>0</v>
      </c>
      <c r="AH64" s="40">
        <f>IF(N(X64)&gt;=3,1*100+X64*10+4,0)</f>
        <v>0</v>
      </c>
      <c r="AI64" s="40">
        <f>IF(N(Y64)&gt;=3,IF(AND(N(T64)&gt;=3,OR(N(T64)=4,N(Y64)&lt;=N(T64))),0,IF(Y64=4,2,1)*100+Y64*10+5),0)</f>
        <v>0</v>
      </c>
    </row>
    <row r="65">
      <c r="A65" s="31" t="n"/>
      <c r="B65" s="36" t="str">
        <f>IF(ISNUMBER(A65),"周"&amp;CHOOSE(WEEKDAY(A65,2),"一","二","三","四","五","六","日"),"")</f>
        <v/>
      </c>
      <c r="C65" s="37" t="n"/>
      <c r="D65" s="37" t="n"/>
      <c r="E65" s="37" t="n"/>
      <c r="F65" s="17" t="n"/>
      <c r="G65" s="38" t="str">
        <f>IF(AND(ISNUMBER(F65),ISNUMBER(F64)),IF(F64=0,"",F65/F64-1),"")</f>
        <v/>
      </c>
      <c r="H65" s="17" t="n"/>
      <c r="I65" s="17" t="n"/>
      <c r="J65" s="17" t="n"/>
      <c r="K65" s="17" t="n"/>
      <c r="L65" s="17" t="n"/>
      <c r="M65" s="17" t="n"/>
      <c r="N65" s="39" t="str">
        <f>IF(AND(ISNUMBER(L65),ISNUMBER(M65),N(L65)&gt;0),M65/L65,"")</f>
        <v/>
      </c>
      <c r="O65" s="17" t="n"/>
      <c r="P65" s="17" t="n"/>
      <c r="Q65" s="39" t="str">
        <f>IF(AND(ISNUMBER(O65),ISNUMBER(P65),N(O65)&gt;0),P65/O65,"")</f>
        <v/>
      </c>
      <c r="R65" s="17" t="n"/>
      <c r="S65" s="37" t="n"/>
      <c r="T65" s="40" t="str">
        <f>IF(AND(ISNUMBER(J65),ISNUMBER(K65)),IF(N(ISNUMBER('参数'!$E$31))+N(ISNUMBER('参数'!$G$31))+N(ISNUMBER('参数'!$I$31))+N(ISNUMBER('参数'!$K$31))=0,"",IF(ISNUMBER('参数'!$E$31),J65&lt;='参数'!$E$31,FALSE)+IF(ISNUMBER('参数'!$G$31),K65&gt;='参数'!$G$31,FALSE)+IF(AND(ISNUMBER('参数'!$I$31),ISNUMBER(N65)),N65&gt;='参数'!$I$31,FALSE)+IF(AND(ISNUMBER('参数'!$K$31),ISNUMBER(Q65)),Q65&lt;='参数'!$K$31,FALSE)),"")</f>
        <v/>
      </c>
      <c r="U65" s="40" t="str">
        <f>IF(AND(ISNUMBER(J65),ISNUMBER(K65)),IF(N(ISNUMBER('参数'!$G$32))+N(ISNUMBER('参数'!$I$32))+N(ISNUMBER('参数'!$K$32))=0,"",IF(AND(ISNUMBER(J64),ISNUMBER(J63)),AND(J65&gt;J64,J64&gt;J63),FALSE)+IF(ISNUMBER('参数'!$G$32),J65&lt;'参数'!$G$32,FALSE)+IF(AND(ISNUMBER('参数'!$I$32),ISNUMBER(Q65)),Q65&gt;='参数'!$I$32,FALSE)+IF(AND(ISNUMBER('参数'!$K$32),ISNUMBER(S65)),S65&gt;='参数'!$K$32,FALSE)),"")</f>
        <v/>
      </c>
      <c r="V65" s="40" t="str">
        <f>IF(AND(ISNUMBER(J65),ISNUMBER(K65)),IF(N(ISNUMBER('参数'!$E$33))+N(ISNUMBER('参数'!$G$33))+N(ISNUMBER('参数'!$I$33))+N(ISNUMBER('参数'!$K$33))=0,"",IF(AND(ISNUMBER('参数'!$E$33),ISNUMBER(J64)),AND(J65&gt;='参数'!$E$33,J65&gt;J64),FALSE)+IF(AND(ISNUMBER('参数'!$G$33),ISNUMBER(N65)),N65&lt;='参数'!$G$33,FALSE)+IF(AND(ISNUMBER('参数'!$I$33),ISNUMBER(Q65)),Q65&gt;='参数'!$I$33,FALSE)+IF(AND(ISNUMBER('参数'!$K$33),ISNUMBER(S65)),S65&gt;='参数'!$K$33,FALSE)),"")</f>
        <v/>
      </c>
      <c r="W65" s="40" t="str">
        <f>IF(AND(ISNUMBER(J65),ISNUMBER(K65)),IF(N(ISNUMBER('参数'!$E$34))+N(ISNUMBER('参数'!$G$34))+N(ISNUMBER('参数'!$I$34))+N(ISNUMBER('参数'!$K$34))=0,"",IF(ISNUMBER('参数'!$E$34),J65&gt;='参数'!$E$34,FALSE)+IF(AND(ISNUMBER('参数'!$G$34),ISNUMBER(N65)),N65&lt;='参数'!$G$34,FALSE)+IF(AND(ISNUMBER('参数'!$I$34),ISNUMBER(S65)),S65&gt;='参数'!$I$34,FALSE)+IF(AND(ISNUMBER('参数'!$K$34),ISNUMBER(R65)),R65&gt;='参数'!$K$34,FALSE)),"")</f>
        <v/>
      </c>
      <c r="X65" s="40" t="str">
        <f>IF(AND(ISNUMBER(J65),ISNUMBER(K65)),IF(N(ISNUMBER('参数'!$E$35))+N(ISNUMBER('参数'!$G$35))+N(ISNUMBER('参数'!$I$35))=0,"",IF(AND(ISNUMBER('参数'!$E$35),ISNUMBER(N65),ISNUMBER(N64)),ROUND(N65-N64,6)&gt;='参数'!$E$35,FALSE)+IF(AND(ISNUMBER('参数'!$G$35),ISNUMBER(Q65),ISNUMBER(Q64)),ROUND(Q64-Q65,6)&gt;='参数'!$G$35,FALSE)+IF(AND(ISNUMBER('参数'!$I$35),ISNUMBER(S65),ISNUMBER(S64)),ROUND(S64-S65,6)&gt;='参数'!$I$35,FALSE)+IF(ISNUMBER(J64),J65&lt;J64,FALSE)),"")</f>
        <v/>
      </c>
      <c r="Y65" s="40" t="str">
        <f>IF(AND(ISNUMBER(J65),ISNUMBER(K65)),IF(N(ISNUMBER('参数'!$E$36))+N(ISNUMBER('参数'!$G$36))+N(ISNUMBER('参数'!$I$36))=0,"",IF(AND(ISNUMBER('参数'!$E$36),ISNUMBER(J64)),AND(J65&lt;='参数'!$E$36,J65&lt;J64),FALSE)+IF(ISNUMBER('参数'!$G$36),K65&gt;='参数'!$G$36,FALSE)+IF(AND(ISNUMBER('参数'!$I$36),ISNUMBER(S65)),S65&lt;'参数'!$I$36,FALSE)+IF(AND(ISNUMBER(R65),ISNUMBER(R64)),R65&lt;R64,FALSE)),"")</f>
        <v/>
      </c>
      <c r="Z65" s="41" t="str">
        <f>IF(NOT(AND(ISNUMBER(J65),ISNUMBER(K65))),"",IF(COUNT(T65:Y65)=0,"先填阈值",IF(MAX(AD65:AI65)=0,"不写",INDEX($T$4:$Y$4,MATCH(MAX(AD65:AI65),AD65:AI65,0))&amp;"·"&amp;IF(MAX(AD65:AI65)&gt;=200,"高","中")&amp;IF(LARGE(AD65:AI65,2)&gt;0,"（也像"&amp;INDEX($T$4:$Y$4,MATCH(LARGE(AD65:AI65,2),AD65:AI65,0))&amp;"·"&amp;IF(LARGE(AD65:AI65,2)&gt;=200,"高","中")&amp;"）",""))))</f>
        <v/>
      </c>
      <c r="AA65" s="27" t="n"/>
      <c r="AB65" s="32" t="n"/>
      <c r="AC65" s="16" t="n"/>
      <c r="AD65" s="40">
        <f>IF(N(T65)&gt;=3,IF(T65=4,2,1)*100+T65*10+6,0)</f>
        <v>0</v>
      </c>
      <c r="AE65" s="40">
        <f>IF(N(U65)&gt;=3,1*100+U65*10+1,0)</f>
        <v>0</v>
      </c>
      <c r="AF65" s="40">
        <f>IF(N(V65)&gt;=3,IF(V65=4,2,1)*100+V65*10+2,0)</f>
        <v>0</v>
      </c>
      <c r="AG65" s="40">
        <f>IF(N(W65)&gt;=3,1*100+W65*10+3,0)</f>
        <v>0</v>
      </c>
      <c r="AH65" s="40">
        <f>IF(N(X65)&gt;=3,1*100+X65*10+4,0)</f>
        <v>0</v>
      </c>
      <c r="AI65" s="40">
        <f>IF(N(Y65)&gt;=3,IF(AND(N(T65)&gt;=3,OR(N(T65)=4,N(Y65)&lt;=N(T65))),0,IF(Y65=4,2,1)*100+Y65*10+5),0)</f>
        <v>0</v>
      </c>
    </row>
    <row r="66">
      <c r="A66" s="31" t="n"/>
      <c r="B66" s="36" t="str">
        <f>IF(ISNUMBER(A66),"周"&amp;CHOOSE(WEEKDAY(A66,2),"一","二","三","四","五","六","日"),"")</f>
        <v/>
      </c>
      <c r="C66" s="37" t="n"/>
      <c r="D66" s="37" t="n"/>
      <c r="E66" s="37" t="n"/>
      <c r="F66" s="17" t="n"/>
      <c r="G66" s="38" t="str">
        <f>IF(AND(ISNUMBER(F66),ISNUMBER(F65)),IF(F65=0,"",F66/F65-1),"")</f>
        <v/>
      </c>
      <c r="H66" s="17" t="n"/>
      <c r="I66" s="17" t="n"/>
      <c r="J66" s="17" t="n"/>
      <c r="K66" s="17" t="n"/>
      <c r="L66" s="17" t="n"/>
      <c r="M66" s="17" t="n"/>
      <c r="N66" s="39" t="str">
        <f>IF(AND(ISNUMBER(L66),ISNUMBER(M66),N(L66)&gt;0),M66/L66,"")</f>
        <v/>
      </c>
      <c r="O66" s="17" t="n"/>
      <c r="P66" s="17" t="n"/>
      <c r="Q66" s="39" t="str">
        <f>IF(AND(ISNUMBER(O66),ISNUMBER(P66),N(O66)&gt;0),P66/O66,"")</f>
        <v/>
      </c>
      <c r="R66" s="17" t="n"/>
      <c r="S66" s="37" t="n"/>
      <c r="T66" s="40" t="str">
        <f>IF(AND(ISNUMBER(J66),ISNUMBER(K66)),IF(N(ISNUMBER('参数'!$E$31))+N(ISNUMBER('参数'!$G$31))+N(ISNUMBER('参数'!$I$31))+N(ISNUMBER('参数'!$K$31))=0,"",IF(ISNUMBER('参数'!$E$31),J66&lt;='参数'!$E$31,FALSE)+IF(ISNUMBER('参数'!$G$31),K66&gt;='参数'!$G$31,FALSE)+IF(AND(ISNUMBER('参数'!$I$31),ISNUMBER(N66)),N66&gt;='参数'!$I$31,FALSE)+IF(AND(ISNUMBER('参数'!$K$31),ISNUMBER(Q66)),Q66&lt;='参数'!$K$31,FALSE)),"")</f>
        <v/>
      </c>
      <c r="U66" s="40" t="str">
        <f>IF(AND(ISNUMBER(J66),ISNUMBER(K66)),IF(N(ISNUMBER('参数'!$G$32))+N(ISNUMBER('参数'!$I$32))+N(ISNUMBER('参数'!$K$32))=0,"",IF(AND(ISNUMBER(J65),ISNUMBER(J64)),AND(J66&gt;J65,J65&gt;J64),FALSE)+IF(ISNUMBER('参数'!$G$32),J66&lt;'参数'!$G$32,FALSE)+IF(AND(ISNUMBER('参数'!$I$32),ISNUMBER(Q66)),Q66&gt;='参数'!$I$32,FALSE)+IF(AND(ISNUMBER('参数'!$K$32),ISNUMBER(S66)),S66&gt;='参数'!$K$32,FALSE)),"")</f>
        <v/>
      </c>
      <c r="V66" s="40" t="str">
        <f>IF(AND(ISNUMBER(J66),ISNUMBER(K66)),IF(N(ISNUMBER('参数'!$E$33))+N(ISNUMBER('参数'!$G$33))+N(ISNUMBER('参数'!$I$33))+N(ISNUMBER('参数'!$K$33))=0,"",IF(AND(ISNUMBER('参数'!$E$33),ISNUMBER(J65)),AND(J66&gt;='参数'!$E$33,J66&gt;J65),FALSE)+IF(AND(ISNUMBER('参数'!$G$33),ISNUMBER(N66)),N66&lt;='参数'!$G$33,FALSE)+IF(AND(ISNUMBER('参数'!$I$33),ISNUMBER(Q66)),Q66&gt;='参数'!$I$33,FALSE)+IF(AND(ISNUMBER('参数'!$K$33),ISNUMBER(S66)),S66&gt;='参数'!$K$33,FALSE)),"")</f>
        <v/>
      </c>
      <c r="W66" s="40" t="str">
        <f>IF(AND(ISNUMBER(J66),ISNUMBER(K66)),IF(N(ISNUMBER('参数'!$E$34))+N(ISNUMBER('参数'!$G$34))+N(ISNUMBER('参数'!$I$34))+N(ISNUMBER('参数'!$K$34))=0,"",IF(ISNUMBER('参数'!$E$34),J66&gt;='参数'!$E$34,FALSE)+IF(AND(ISNUMBER('参数'!$G$34),ISNUMBER(N66)),N66&lt;='参数'!$G$34,FALSE)+IF(AND(ISNUMBER('参数'!$I$34),ISNUMBER(S66)),S66&gt;='参数'!$I$34,FALSE)+IF(AND(ISNUMBER('参数'!$K$34),ISNUMBER(R66)),R66&gt;='参数'!$K$34,FALSE)),"")</f>
        <v/>
      </c>
      <c r="X66" s="40" t="str">
        <f>IF(AND(ISNUMBER(J66),ISNUMBER(K66)),IF(N(ISNUMBER('参数'!$E$35))+N(ISNUMBER('参数'!$G$35))+N(ISNUMBER('参数'!$I$35))=0,"",IF(AND(ISNUMBER('参数'!$E$35),ISNUMBER(N66),ISNUMBER(N65)),ROUND(N66-N65,6)&gt;='参数'!$E$35,FALSE)+IF(AND(ISNUMBER('参数'!$G$35),ISNUMBER(Q66),ISNUMBER(Q65)),ROUND(Q65-Q66,6)&gt;='参数'!$G$35,FALSE)+IF(AND(ISNUMBER('参数'!$I$35),ISNUMBER(S66),ISNUMBER(S65)),ROUND(S65-S66,6)&gt;='参数'!$I$35,FALSE)+IF(ISNUMBER(J65),J66&lt;J65,FALSE)),"")</f>
        <v/>
      </c>
      <c r="Y66" s="40" t="str">
        <f>IF(AND(ISNUMBER(J66),ISNUMBER(K66)),IF(N(ISNUMBER('参数'!$E$36))+N(ISNUMBER('参数'!$G$36))+N(ISNUMBER('参数'!$I$36))=0,"",IF(AND(ISNUMBER('参数'!$E$36),ISNUMBER(J65)),AND(J66&lt;='参数'!$E$36,J66&lt;J65),FALSE)+IF(ISNUMBER('参数'!$G$36),K66&gt;='参数'!$G$36,FALSE)+IF(AND(ISNUMBER('参数'!$I$36),ISNUMBER(S66)),S66&lt;'参数'!$I$36,FALSE)+IF(AND(ISNUMBER(R66),ISNUMBER(R65)),R66&lt;R65,FALSE)),"")</f>
        <v/>
      </c>
      <c r="Z66" s="41" t="str">
        <f>IF(NOT(AND(ISNUMBER(J66),ISNUMBER(K66))),"",IF(COUNT(T66:Y66)=0,"先填阈值",IF(MAX(AD66:AI66)=0,"不写",INDEX($T$4:$Y$4,MATCH(MAX(AD66:AI66),AD66:AI66,0))&amp;"·"&amp;IF(MAX(AD66:AI66)&gt;=200,"高","中")&amp;IF(LARGE(AD66:AI66,2)&gt;0,"（也像"&amp;INDEX($T$4:$Y$4,MATCH(LARGE(AD66:AI66,2),AD66:AI66,0))&amp;"·"&amp;IF(LARGE(AD66:AI66,2)&gt;=200,"高","中")&amp;"）",""))))</f>
        <v/>
      </c>
      <c r="AA66" s="27" t="n"/>
      <c r="AB66" s="32" t="n"/>
      <c r="AC66" s="16" t="n"/>
      <c r="AD66" s="40">
        <f>IF(N(T66)&gt;=3,IF(T66=4,2,1)*100+T66*10+6,0)</f>
        <v>0</v>
      </c>
      <c r="AE66" s="40">
        <f>IF(N(U66)&gt;=3,1*100+U66*10+1,0)</f>
        <v>0</v>
      </c>
      <c r="AF66" s="40">
        <f>IF(N(V66)&gt;=3,IF(V66=4,2,1)*100+V66*10+2,0)</f>
        <v>0</v>
      </c>
      <c r="AG66" s="40">
        <f>IF(N(W66)&gt;=3,1*100+W66*10+3,0)</f>
        <v>0</v>
      </c>
      <c r="AH66" s="40">
        <f>IF(N(X66)&gt;=3,1*100+X66*10+4,0)</f>
        <v>0</v>
      </c>
      <c r="AI66" s="40">
        <f>IF(N(Y66)&gt;=3,IF(AND(N(T66)&gt;=3,OR(N(T66)=4,N(Y66)&lt;=N(T66))),0,IF(Y66=4,2,1)*100+Y66*10+5),0)</f>
        <v>0</v>
      </c>
    </row>
    <row r="67">
      <c r="A67" s="31" t="n"/>
      <c r="B67" s="36" t="str">
        <f>IF(ISNUMBER(A67),"周"&amp;CHOOSE(WEEKDAY(A67,2),"一","二","三","四","五","六","日"),"")</f>
        <v/>
      </c>
      <c r="C67" s="37" t="n"/>
      <c r="D67" s="37" t="n"/>
      <c r="E67" s="37" t="n"/>
      <c r="F67" s="17" t="n"/>
      <c r="G67" s="38" t="str">
        <f>IF(AND(ISNUMBER(F67),ISNUMBER(F66)),IF(F66=0,"",F67/F66-1),"")</f>
        <v/>
      </c>
      <c r="H67" s="17" t="n"/>
      <c r="I67" s="17" t="n"/>
      <c r="J67" s="17" t="n"/>
      <c r="K67" s="17" t="n"/>
      <c r="L67" s="17" t="n"/>
      <c r="M67" s="17" t="n"/>
      <c r="N67" s="39" t="str">
        <f>IF(AND(ISNUMBER(L67),ISNUMBER(M67),N(L67)&gt;0),M67/L67,"")</f>
        <v/>
      </c>
      <c r="O67" s="17" t="n"/>
      <c r="P67" s="17" t="n"/>
      <c r="Q67" s="39" t="str">
        <f>IF(AND(ISNUMBER(O67),ISNUMBER(P67),N(O67)&gt;0),P67/O67,"")</f>
        <v/>
      </c>
      <c r="R67" s="17" t="n"/>
      <c r="S67" s="37" t="n"/>
      <c r="T67" s="40" t="str">
        <f>IF(AND(ISNUMBER(J67),ISNUMBER(K67)),IF(N(ISNUMBER('参数'!$E$31))+N(ISNUMBER('参数'!$G$31))+N(ISNUMBER('参数'!$I$31))+N(ISNUMBER('参数'!$K$31))=0,"",IF(ISNUMBER('参数'!$E$31),J67&lt;='参数'!$E$31,FALSE)+IF(ISNUMBER('参数'!$G$31),K67&gt;='参数'!$G$31,FALSE)+IF(AND(ISNUMBER('参数'!$I$31),ISNUMBER(N67)),N67&gt;='参数'!$I$31,FALSE)+IF(AND(ISNUMBER('参数'!$K$31),ISNUMBER(Q67)),Q67&lt;='参数'!$K$31,FALSE)),"")</f>
        <v/>
      </c>
      <c r="U67" s="40" t="str">
        <f>IF(AND(ISNUMBER(J67),ISNUMBER(K67)),IF(N(ISNUMBER('参数'!$G$32))+N(ISNUMBER('参数'!$I$32))+N(ISNUMBER('参数'!$K$32))=0,"",IF(AND(ISNUMBER(J66),ISNUMBER(J65)),AND(J67&gt;J66,J66&gt;J65),FALSE)+IF(ISNUMBER('参数'!$G$32),J67&lt;'参数'!$G$32,FALSE)+IF(AND(ISNUMBER('参数'!$I$32),ISNUMBER(Q67)),Q67&gt;='参数'!$I$32,FALSE)+IF(AND(ISNUMBER('参数'!$K$32),ISNUMBER(S67)),S67&gt;='参数'!$K$32,FALSE)),"")</f>
        <v/>
      </c>
      <c r="V67" s="40" t="str">
        <f>IF(AND(ISNUMBER(J67),ISNUMBER(K67)),IF(N(ISNUMBER('参数'!$E$33))+N(ISNUMBER('参数'!$G$33))+N(ISNUMBER('参数'!$I$33))+N(ISNUMBER('参数'!$K$33))=0,"",IF(AND(ISNUMBER('参数'!$E$33),ISNUMBER(J66)),AND(J67&gt;='参数'!$E$33,J67&gt;J66),FALSE)+IF(AND(ISNUMBER('参数'!$G$33),ISNUMBER(N67)),N67&lt;='参数'!$G$33,FALSE)+IF(AND(ISNUMBER('参数'!$I$33),ISNUMBER(Q67)),Q67&gt;='参数'!$I$33,FALSE)+IF(AND(ISNUMBER('参数'!$K$33),ISNUMBER(S67)),S67&gt;='参数'!$K$33,FALSE)),"")</f>
        <v/>
      </c>
      <c r="W67" s="40" t="str">
        <f>IF(AND(ISNUMBER(J67),ISNUMBER(K67)),IF(N(ISNUMBER('参数'!$E$34))+N(ISNUMBER('参数'!$G$34))+N(ISNUMBER('参数'!$I$34))+N(ISNUMBER('参数'!$K$34))=0,"",IF(ISNUMBER('参数'!$E$34),J67&gt;='参数'!$E$34,FALSE)+IF(AND(ISNUMBER('参数'!$G$34),ISNUMBER(N67)),N67&lt;='参数'!$G$34,FALSE)+IF(AND(ISNUMBER('参数'!$I$34),ISNUMBER(S67)),S67&gt;='参数'!$I$34,FALSE)+IF(AND(ISNUMBER('参数'!$K$34),ISNUMBER(R67)),R67&gt;='参数'!$K$34,FALSE)),"")</f>
        <v/>
      </c>
      <c r="X67" s="40" t="str">
        <f>IF(AND(ISNUMBER(J67),ISNUMBER(K67)),IF(N(ISNUMBER('参数'!$E$35))+N(ISNUMBER('参数'!$G$35))+N(ISNUMBER('参数'!$I$35))=0,"",IF(AND(ISNUMBER('参数'!$E$35),ISNUMBER(N67),ISNUMBER(N66)),ROUND(N67-N66,6)&gt;='参数'!$E$35,FALSE)+IF(AND(ISNUMBER('参数'!$G$35),ISNUMBER(Q67),ISNUMBER(Q66)),ROUND(Q66-Q67,6)&gt;='参数'!$G$35,FALSE)+IF(AND(ISNUMBER('参数'!$I$35),ISNUMBER(S67),ISNUMBER(S66)),ROUND(S66-S67,6)&gt;='参数'!$I$35,FALSE)+IF(ISNUMBER(J66),J67&lt;J66,FALSE)),"")</f>
        <v/>
      </c>
      <c r="Y67" s="40" t="str">
        <f>IF(AND(ISNUMBER(J67),ISNUMBER(K67)),IF(N(ISNUMBER('参数'!$E$36))+N(ISNUMBER('参数'!$G$36))+N(ISNUMBER('参数'!$I$36))=0,"",IF(AND(ISNUMBER('参数'!$E$36),ISNUMBER(J66)),AND(J67&lt;='参数'!$E$36,J67&lt;J66),FALSE)+IF(ISNUMBER('参数'!$G$36),K67&gt;='参数'!$G$36,FALSE)+IF(AND(ISNUMBER('参数'!$I$36),ISNUMBER(S67)),S67&lt;'参数'!$I$36,FALSE)+IF(AND(ISNUMBER(R67),ISNUMBER(R66)),R67&lt;R66,FALSE)),"")</f>
        <v/>
      </c>
      <c r="Z67" s="41" t="str">
        <f>IF(NOT(AND(ISNUMBER(J67),ISNUMBER(K67))),"",IF(COUNT(T67:Y67)=0,"先填阈值",IF(MAX(AD67:AI67)=0,"不写",INDEX($T$4:$Y$4,MATCH(MAX(AD67:AI67),AD67:AI67,0))&amp;"·"&amp;IF(MAX(AD67:AI67)&gt;=200,"高","中")&amp;IF(LARGE(AD67:AI67,2)&gt;0,"（也像"&amp;INDEX($T$4:$Y$4,MATCH(LARGE(AD67:AI67,2),AD67:AI67,0))&amp;"·"&amp;IF(LARGE(AD67:AI67,2)&gt;=200,"高","中")&amp;"）",""))))</f>
        <v/>
      </c>
      <c r="AA67" s="27" t="n"/>
      <c r="AB67" s="32" t="n"/>
      <c r="AC67" s="16" t="n"/>
      <c r="AD67" s="40">
        <f>IF(N(T67)&gt;=3,IF(T67=4,2,1)*100+T67*10+6,0)</f>
        <v>0</v>
      </c>
      <c r="AE67" s="40">
        <f>IF(N(U67)&gt;=3,1*100+U67*10+1,0)</f>
        <v>0</v>
      </c>
      <c r="AF67" s="40">
        <f>IF(N(V67)&gt;=3,IF(V67=4,2,1)*100+V67*10+2,0)</f>
        <v>0</v>
      </c>
      <c r="AG67" s="40">
        <f>IF(N(W67)&gt;=3,1*100+W67*10+3,0)</f>
        <v>0</v>
      </c>
      <c r="AH67" s="40">
        <f>IF(N(X67)&gt;=3,1*100+X67*10+4,0)</f>
        <v>0</v>
      </c>
      <c r="AI67" s="40">
        <f>IF(N(Y67)&gt;=3,IF(AND(N(T67)&gt;=3,OR(N(T67)=4,N(Y67)&lt;=N(T67))),0,IF(Y67=4,2,1)*100+Y67*10+5),0)</f>
        <v>0</v>
      </c>
    </row>
    <row r="68">
      <c r="A68" s="31" t="n"/>
      <c r="B68" s="36" t="str">
        <f>IF(ISNUMBER(A68),"周"&amp;CHOOSE(WEEKDAY(A68,2),"一","二","三","四","五","六","日"),"")</f>
        <v/>
      </c>
      <c r="C68" s="37" t="n"/>
      <c r="D68" s="37" t="n"/>
      <c r="E68" s="37" t="n"/>
      <c r="F68" s="17" t="n"/>
      <c r="G68" s="38" t="str">
        <f>IF(AND(ISNUMBER(F68),ISNUMBER(F67)),IF(F67=0,"",F68/F67-1),"")</f>
        <v/>
      </c>
      <c r="H68" s="17" t="n"/>
      <c r="I68" s="17" t="n"/>
      <c r="J68" s="17" t="n"/>
      <c r="K68" s="17" t="n"/>
      <c r="L68" s="17" t="n"/>
      <c r="M68" s="17" t="n"/>
      <c r="N68" s="39" t="str">
        <f>IF(AND(ISNUMBER(L68),ISNUMBER(M68),N(L68)&gt;0),M68/L68,"")</f>
        <v/>
      </c>
      <c r="O68" s="17" t="n"/>
      <c r="P68" s="17" t="n"/>
      <c r="Q68" s="39" t="str">
        <f>IF(AND(ISNUMBER(O68),ISNUMBER(P68),N(O68)&gt;0),P68/O68,"")</f>
        <v/>
      </c>
      <c r="R68" s="17" t="n"/>
      <c r="S68" s="37" t="n"/>
      <c r="T68" s="40" t="str">
        <f>IF(AND(ISNUMBER(J68),ISNUMBER(K68)),IF(N(ISNUMBER('参数'!$E$31))+N(ISNUMBER('参数'!$G$31))+N(ISNUMBER('参数'!$I$31))+N(ISNUMBER('参数'!$K$31))=0,"",IF(ISNUMBER('参数'!$E$31),J68&lt;='参数'!$E$31,FALSE)+IF(ISNUMBER('参数'!$G$31),K68&gt;='参数'!$G$31,FALSE)+IF(AND(ISNUMBER('参数'!$I$31),ISNUMBER(N68)),N68&gt;='参数'!$I$31,FALSE)+IF(AND(ISNUMBER('参数'!$K$31),ISNUMBER(Q68)),Q68&lt;='参数'!$K$31,FALSE)),"")</f>
        <v/>
      </c>
      <c r="U68" s="40" t="str">
        <f>IF(AND(ISNUMBER(J68),ISNUMBER(K68)),IF(N(ISNUMBER('参数'!$G$32))+N(ISNUMBER('参数'!$I$32))+N(ISNUMBER('参数'!$K$32))=0,"",IF(AND(ISNUMBER(J67),ISNUMBER(J66)),AND(J68&gt;J67,J67&gt;J66),FALSE)+IF(ISNUMBER('参数'!$G$32),J68&lt;'参数'!$G$32,FALSE)+IF(AND(ISNUMBER('参数'!$I$32),ISNUMBER(Q68)),Q68&gt;='参数'!$I$32,FALSE)+IF(AND(ISNUMBER('参数'!$K$32),ISNUMBER(S68)),S68&gt;='参数'!$K$32,FALSE)),"")</f>
        <v/>
      </c>
      <c r="V68" s="40" t="str">
        <f>IF(AND(ISNUMBER(J68),ISNUMBER(K68)),IF(N(ISNUMBER('参数'!$E$33))+N(ISNUMBER('参数'!$G$33))+N(ISNUMBER('参数'!$I$33))+N(ISNUMBER('参数'!$K$33))=0,"",IF(AND(ISNUMBER('参数'!$E$33),ISNUMBER(J67)),AND(J68&gt;='参数'!$E$33,J68&gt;J67),FALSE)+IF(AND(ISNUMBER('参数'!$G$33),ISNUMBER(N68)),N68&lt;='参数'!$G$33,FALSE)+IF(AND(ISNUMBER('参数'!$I$33),ISNUMBER(Q68)),Q68&gt;='参数'!$I$33,FALSE)+IF(AND(ISNUMBER('参数'!$K$33),ISNUMBER(S68)),S68&gt;='参数'!$K$33,FALSE)),"")</f>
        <v/>
      </c>
      <c r="W68" s="40" t="str">
        <f>IF(AND(ISNUMBER(J68),ISNUMBER(K68)),IF(N(ISNUMBER('参数'!$E$34))+N(ISNUMBER('参数'!$G$34))+N(ISNUMBER('参数'!$I$34))+N(ISNUMBER('参数'!$K$34))=0,"",IF(ISNUMBER('参数'!$E$34),J68&gt;='参数'!$E$34,FALSE)+IF(AND(ISNUMBER('参数'!$G$34),ISNUMBER(N68)),N68&lt;='参数'!$G$34,FALSE)+IF(AND(ISNUMBER('参数'!$I$34),ISNUMBER(S68)),S68&gt;='参数'!$I$34,FALSE)+IF(AND(ISNUMBER('参数'!$K$34),ISNUMBER(R68)),R68&gt;='参数'!$K$34,FALSE)),"")</f>
        <v/>
      </c>
      <c r="X68" s="40" t="str">
        <f>IF(AND(ISNUMBER(J68),ISNUMBER(K68)),IF(N(ISNUMBER('参数'!$E$35))+N(ISNUMBER('参数'!$G$35))+N(ISNUMBER('参数'!$I$35))=0,"",IF(AND(ISNUMBER('参数'!$E$35),ISNUMBER(N68),ISNUMBER(N67)),ROUND(N68-N67,6)&gt;='参数'!$E$35,FALSE)+IF(AND(ISNUMBER('参数'!$G$35),ISNUMBER(Q68),ISNUMBER(Q67)),ROUND(Q67-Q68,6)&gt;='参数'!$G$35,FALSE)+IF(AND(ISNUMBER('参数'!$I$35),ISNUMBER(S68),ISNUMBER(S67)),ROUND(S67-S68,6)&gt;='参数'!$I$35,FALSE)+IF(ISNUMBER(J67),J68&lt;J67,FALSE)),"")</f>
        <v/>
      </c>
      <c r="Y68" s="40" t="str">
        <f>IF(AND(ISNUMBER(J68),ISNUMBER(K68)),IF(N(ISNUMBER('参数'!$E$36))+N(ISNUMBER('参数'!$G$36))+N(ISNUMBER('参数'!$I$36))=0,"",IF(AND(ISNUMBER('参数'!$E$36),ISNUMBER(J67)),AND(J68&lt;='参数'!$E$36,J68&lt;J67),FALSE)+IF(ISNUMBER('参数'!$G$36),K68&gt;='参数'!$G$36,FALSE)+IF(AND(ISNUMBER('参数'!$I$36),ISNUMBER(S68)),S68&lt;'参数'!$I$36,FALSE)+IF(AND(ISNUMBER(R68),ISNUMBER(R67)),R68&lt;R67,FALSE)),"")</f>
        <v/>
      </c>
      <c r="Z68" s="41" t="str">
        <f>IF(NOT(AND(ISNUMBER(J68),ISNUMBER(K68))),"",IF(COUNT(T68:Y68)=0,"先填阈值",IF(MAX(AD68:AI68)=0,"不写",INDEX($T$4:$Y$4,MATCH(MAX(AD68:AI68),AD68:AI68,0))&amp;"·"&amp;IF(MAX(AD68:AI68)&gt;=200,"高","中")&amp;IF(LARGE(AD68:AI68,2)&gt;0,"（也像"&amp;INDEX($T$4:$Y$4,MATCH(LARGE(AD68:AI68,2),AD68:AI68,0))&amp;"·"&amp;IF(LARGE(AD68:AI68,2)&gt;=200,"高","中")&amp;"）",""))))</f>
        <v/>
      </c>
      <c r="AA68" s="27" t="n"/>
      <c r="AB68" s="32" t="n"/>
      <c r="AC68" s="16" t="n"/>
      <c r="AD68" s="40">
        <f>IF(N(T68)&gt;=3,IF(T68=4,2,1)*100+T68*10+6,0)</f>
        <v>0</v>
      </c>
      <c r="AE68" s="40">
        <f>IF(N(U68)&gt;=3,1*100+U68*10+1,0)</f>
        <v>0</v>
      </c>
      <c r="AF68" s="40">
        <f>IF(N(V68)&gt;=3,IF(V68=4,2,1)*100+V68*10+2,0)</f>
        <v>0</v>
      </c>
      <c r="AG68" s="40">
        <f>IF(N(W68)&gt;=3,1*100+W68*10+3,0)</f>
        <v>0</v>
      </c>
      <c r="AH68" s="40">
        <f>IF(N(X68)&gt;=3,1*100+X68*10+4,0)</f>
        <v>0</v>
      </c>
      <c r="AI68" s="40">
        <f>IF(N(Y68)&gt;=3,IF(AND(N(T68)&gt;=3,OR(N(T68)=4,N(Y68)&lt;=N(T68))),0,IF(Y68=4,2,1)*100+Y68*10+5),0)</f>
        <v>0</v>
      </c>
    </row>
    <row r="69">
      <c r="A69" s="31" t="n"/>
      <c r="B69" s="36" t="str">
        <f>IF(ISNUMBER(A69),"周"&amp;CHOOSE(WEEKDAY(A69,2),"一","二","三","四","五","六","日"),"")</f>
        <v/>
      </c>
      <c r="C69" s="37" t="n"/>
      <c r="D69" s="37" t="n"/>
      <c r="E69" s="37" t="n"/>
      <c r="F69" s="17" t="n"/>
      <c r="G69" s="38" t="str">
        <f>IF(AND(ISNUMBER(F69),ISNUMBER(F68)),IF(F68=0,"",F69/F68-1),"")</f>
        <v/>
      </c>
      <c r="H69" s="17" t="n"/>
      <c r="I69" s="17" t="n"/>
      <c r="J69" s="17" t="n"/>
      <c r="K69" s="17" t="n"/>
      <c r="L69" s="17" t="n"/>
      <c r="M69" s="17" t="n"/>
      <c r="N69" s="39" t="str">
        <f>IF(AND(ISNUMBER(L69),ISNUMBER(M69),N(L69)&gt;0),M69/L69,"")</f>
        <v/>
      </c>
      <c r="O69" s="17" t="n"/>
      <c r="P69" s="17" t="n"/>
      <c r="Q69" s="39" t="str">
        <f>IF(AND(ISNUMBER(O69),ISNUMBER(P69),N(O69)&gt;0),P69/O69,"")</f>
        <v/>
      </c>
      <c r="R69" s="17" t="n"/>
      <c r="S69" s="37" t="n"/>
      <c r="T69" s="40" t="str">
        <f>IF(AND(ISNUMBER(J69),ISNUMBER(K69)),IF(N(ISNUMBER('参数'!$E$31))+N(ISNUMBER('参数'!$G$31))+N(ISNUMBER('参数'!$I$31))+N(ISNUMBER('参数'!$K$31))=0,"",IF(ISNUMBER('参数'!$E$31),J69&lt;='参数'!$E$31,FALSE)+IF(ISNUMBER('参数'!$G$31),K69&gt;='参数'!$G$31,FALSE)+IF(AND(ISNUMBER('参数'!$I$31),ISNUMBER(N69)),N69&gt;='参数'!$I$31,FALSE)+IF(AND(ISNUMBER('参数'!$K$31),ISNUMBER(Q69)),Q69&lt;='参数'!$K$31,FALSE)),"")</f>
        <v/>
      </c>
      <c r="U69" s="40" t="str">
        <f>IF(AND(ISNUMBER(J69),ISNUMBER(K69)),IF(N(ISNUMBER('参数'!$G$32))+N(ISNUMBER('参数'!$I$32))+N(ISNUMBER('参数'!$K$32))=0,"",IF(AND(ISNUMBER(J68),ISNUMBER(J67)),AND(J69&gt;J68,J68&gt;J67),FALSE)+IF(ISNUMBER('参数'!$G$32),J69&lt;'参数'!$G$32,FALSE)+IF(AND(ISNUMBER('参数'!$I$32),ISNUMBER(Q69)),Q69&gt;='参数'!$I$32,FALSE)+IF(AND(ISNUMBER('参数'!$K$32),ISNUMBER(S69)),S69&gt;='参数'!$K$32,FALSE)),"")</f>
        <v/>
      </c>
      <c r="V69" s="40" t="str">
        <f>IF(AND(ISNUMBER(J69),ISNUMBER(K69)),IF(N(ISNUMBER('参数'!$E$33))+N(ISNUMBER('参数'!$G$33))+N(ISNUMBER('参数'!$I$33))+N(ISNUMBER('参数'!$K$33))=0,"",IF(AND(ISNUMBER('参数'!$E$33),ISNUMBER(J68)),AND(J69&gt;='参数'!$E$33,J69&gt;J68),FALSE)+IF(AND(ISNUMBER('参数'!$G$33),ISNUMBER(N69)),N69&lt;='参数'!$G$33,FALSE)+IF(AND(ISNUMBER('参数'!$I$33),ISNUMBER(Q69)),Q69&gt;='参数'!$I$33,FALSE)+IF(AND(ISNUMBER('参数'!$K$33),ISNUMBER(S69)),S69&gt;='参数'!$K$33,FALSE)),"")</f>
        <v/>
      </c>
      <c r="W69" s="40" t="str">
        <f>IF(AND(ISNUMBER(J69),ISNUMBER(K69)),IF(N(ISNUMBER('参数'!$E$34))+N(ISNUMBER('参数'!$G$34))+N(ISNUMBER('参数'!$I$34))+N(ISNUMBER('参数'!$K$34))=0,"",IF(ISNUMBER('参数'!$E$34),J69&gt;='参数'!$E$34,FALSE)+IF(AND(ISNUMBER('参数'!$G$34),ISNUMBER(N69)),N69&lt;='参数'!$G$34,FALSE)+IF(AND(ISNUMBER('参数'!$I$34),ISNUMBER(S69)),S69&gt;='参数'!$I$34,FALSE)+IF(AND(ISNUMBER('参数'!$K$34),ISNUMBER(R69)),R69&gt;='参数'!$K$34,FALSE)),"")</f>
        <v/>
      </c>
      <c r="X69" s="40" t="str">
        <f>IF(AND(ISNUMBER(J69),ISNUMBER(K69)),IF(N(ISNUMBER('参数'!$E$35))+N(ISNUMBER('参数'!$G$35))+N(ISNUMBER('参数'!$I$35))=0,"",IF(AND(ISNUMBER('参数'!$E$35),ISNUMBER(N69),ISNUMBER(N68)),ROUND(N69-N68,6)&gt;='参数'!$E$35,FALSE)+IF(AND(ISNUMBER('参数'!$G$35),ISNUMBER(Q69),ISNUMBER(Q68)),ROUND(Q68-Q69,6)&gt;='参数'!$G$35,FALSE)+IF(AND(ISNUMBER('参数'!$I$35),ISNUMBER(S69),ISNUMBER(S68)),ROUND(S68-S69,6)&gt;='参数'!$I$35,FALSE)+IF(ISNUMBER(J68),J69&lt;J68,FALSE)),"")</f>
        <v/>
      </c>
      <c r="Y69" s="40" t="str">
        <f>IF(AND(ISNUMBER(J69),ISNUMBER(K69)),IF(N(ISNUMBER('参数'!$E$36))+N(ISNUMBER('参数'!$G$36))+N(ISNUMBER('参数'!$I$36))=0,"",IF(AND(ISNUMBER('参数'!$E$36),ISNUMBER(J68)),AND(J69&lt;='参数'!$E$36,J69&lt;J68),FALSE)+IF(ISNUMBER('参数'!$G$36),K69&gt;='参数'!$G$36,FALSE)+IF(AND(ISNUMBER('参数'!$I$36),ISNUMBER(S69)),S69&lt;'参数'!$I$36,FALSE)+IF(AND(ISNUMBER(R69),ISNUMBER(R68)),R69&lt;R68,FALSE)),"")</f>
        <v/>
      </c>
      <c r="Z69" s="41" t="str">
        <f>IF(NOT(AND(ISNUMBER(J69),ISNUMBER(K69))),"",IF(COUNT(T69:Y69)=0,"先填阈值",IF(MAX(AD69:AI69)=0,"不写",INDEX($T$4:$Y$4,MATCH(MAX(AD69:AI69),AD69:AI69,0))&amp;"·"&amp;IF(MAX(AD69:AI69)&gt;=200,"高","中")&amp;IF(LARGE(AD69:AI69,2)&gt;0,"（也像"&amp;INDEX($T$4:$Y$4,MATCH(LARGE(AD69:AI69,2),AD69:AI69,0))&amp;"·"&amp;IF(LARGE(AD69:AI69,2)&gt;=200,"高","中")&amp;"）",""))))</f>
        <v/>
      </c>
      <c r="AA69" s="27" t="n"/>
      <c r="AB69" s="32" t="n"/>
      <c r="AC69" s="16" t="n"/>
      <c r="AD69" s="40">
        <f>IF(N(T69)&gt;=3,IF(T69=4,2,1)*100+T69*10+6,0)</f>
        <v>0</v>
      </c>
      <c r="AE69" s="40">
        <f>IF(N(U69)&gt;=3,1*100+U69*10+1,0)</f>
        <v>0</v>
      </c>
      <c r="AF69" s="40">
        <f>IF(N(V69)&gt;=3,IF(V69=4,2,1)*100+V69*10+2,0)</f>
        <v>0</v>
      </c>
      <c r="AG69" s="40">
        <f>IF(N(W69)&gt;=3,1*100+W69*10+3,0)</f>
        <v>0</v>
      </c>
      <c r="AH69" s="40">
        <f>IF(N(X69)&gt;=3,1*100+X69*10+4,0)</f>
        <v>0</v>
      </c>
      <c r="AI69" s="40">
        <f>IF(N(Y69)&gt;=3,IF(AND(N(T69)&gt;=3,OR(N(T69)=4,N(Y69)&lt;=N(T69))),0,IF(Y69=4,2,1)*100+Y69*10+5),0)</f>
        <v>0</v>
      </c>
    </row>
    <row r="70">
      <c r="A70" s="31" t="n"/>
      <c r="B70" s="36" t="str">
        <f>IF(ISNUMBER(A70),"周"&amp;CHOOSE(WEEKDAY(A70,2),"一","二","三","四","五","六","日"),"")</f>
        <v/>
      </c>
      <c r="C70" s="37" t="n"/>
      <c r="D70" s="37" t="n"/>
      <c r="E70" s="37" t="n"/>
      <c r="F70" s="17" t="n"/>
      <c r="G70" s="38" t="str">
        <f>IF(AND(ISNUMBER(F70),ISNUMBER(F69)),IF(F69=0,"",F70/F69-1),"")</f>
        <v/>
      </c>
      <c r="H70" s="17" t="n"/>
      <c r="I70" s="17" t="n"/>
      <c r="J70" s="17" t="n"/>
      <c r="K70" s="17" t="n"/>
      <c r="L70" s="17" t="n"/>
      <c r="M70" s="17" t="n"/>
      <c r="N70" s="39" t="str">
        <f>IF(AND(ISNUMBER(L70),ISNUMBER(M70),N(L70)&gt;0),M70/L70,"")</f>
        <v/>
      </c>
      <c r="O70" s="17" t="n"/>
      <c r="P70" s="17" t="n"/>
      <c r="Q70" s="39" t="str">
        <f>IF(AND(ISNUMBER(O70),ISNUMBER(P70),N(O70)&gt;0),P70/O70,"")</f>
        <v/>
      </c>
      <c r="R70" s="17" t="n"/>
      <c r="S70" s="37" t="n"/>
      <c r="T70" s="40" t="str">
        <f>IF(AND(ISNUMBER(J70),ISNUMBER(K70)),IF(N(ISNUMBER('参数'!$E$31))+N(ISNUMBER('参数'!$G$31))+N(ISNUMBER('参数'!$I$31))+N(ISNUMBER('参数'!$K$31))=0,"",IF(ISNUMBER('参数'!$E$31),J70&lt;='参数'!$E$31,FALSE)+IF(ISNUMBER('参数'!$G$31),K70&gt;='参数'!$G$31,FALSE)+IF(AND(ISNUMBER('参数'!$I$31),ISNUMBER(N70)),N70&gt;='参数'!$I$31,FALSE)+IF(AND(ISNUMBER('参数'!$K$31),ISNUMBER(Q70)),Q70&lt;='参数'!$K$31,FALSE)),"")</f>
        <v/>
      </c>
      <c r="U70" s="40" t="str">
        <f>IF(AND(ISNUMBER(J70),ISNUMBER(K70)),IF(N(ISNUMBER('参数'!$G$32))+N(ISNUMBER('参数'!$I$32))+N(ISNUMBER('参数'!$K$32))=0,"",IF(AND(ISNUMBER(J69),ISNUMBER(J68)),AND(J70&gt;J69,J69&gt;J68),FALSE)+IF(ISNUMBER('参数'!$G$32),J70&lt;'参数'!$G$32,FALSE)+IF(AND(ISNUMBER('参数'!$I$32),ISNUMBER(Q70)),Q70&gt;='参数'!$I$32,FALSE)+IF(AND(ISNUMBER('参数'!$K$32),ISNUMBER(S70)),S70&gt;='参数'!$K$32,FALSE)),"")</f>
        <v/>
      </c>
      <c r="V70" s="40" t="str">
        <f>IF(AND(ISNUMBER(J70),ISNUMBER(K70)),IF(N(ISNUMBER('参数'!$E$33))+N(ISNUMBER('参数'!$G$33))+N(ISNUMBER('参数'!$I$33))+N(ISNUMBER('参数'!$K$33))=0,"",IF(AND(ISNUMBER('参数'!$E$33),ISNUMBER(J69)),AND(J70&gt;='参数'!$E$33,J70&gt;J69),FALSE)+IF(AND(ISNUMBER('参数'!$G$33),ISNUMBER(N70)),N70&lt;='参数'!$G$33,FALSE)+IF(AND(ISNUMBER('参数'!$I$33),ISNUMBER(Q70)),Q70&gt;='参数'!$I$33,FALSE)+IF(AND(ISNUMBER('参数'!$K$33),ISNUMBER(S70)),S70&gt;='参数'!$K$33,FALSE)),"")</f>
        <v/>
      </c>
      <c r="W70" s="40" t="str">
        <f>IF(AND(ISNUMBER(J70),ISNUMBER(K70)),IF(N(ISNUMBER('参数'!$E$34))+N(ISNUMBER('参数'!$G$34))+N(ISNUMBER('参数'!$I$34))+N(ISNUMBER('参数'!$K$34))=0,"",IF(ISNUMBER('参数'!$E$34),J70&gt;='参数'!$E$34,FALSE)+IF(AND(ISNUMBER('参数'!$G$34),ISNUMBER(N70)),N70&lt;='参数'!$G$34,FALSE)+IF(AND(ISNUMBER('参数'!$I$34),ISNUMBER(S70)),S70&gt;='参数'!$I$34,FALSE)+IF(AND(ISNUMBER('参数'!$K$34),ISNUMBER(R70)),R70&gt;='参数'!$K$34,FALSE)),"")</f>
        <v/>
      </c>
      <c r="X70" s="40" t="str">
        <f>IF(AND(ISNUMBER(J70),ISNUMBER(K70)),IF(N(ISNUMBER('参数'!$E$35))+N(ISNUMBER('参数'!$G$35))+N(ISNUMBER('参数'!$I$35))=0,"",IF(AND(ISNUMBER('参数'!$E$35),ISNUMBER(N70),ISNUMBER(N69)),ROUND(N70-N69,6)&gt;='参数'!$E$35,FALSE)+IF(AND(ISNUMBER('参数'!$G$35),ISNUMBER(Q70),ISNUMBER(Q69)),ROUND(Q69-Q70,6)&gt;='参数'!$G$35,FALSE)+IF(AND(ISNUMBER('参数'!$I$35),ISNUMBER(S70),ISNUMBER(S69)),ROUND(S69-S70,6)&gt;='参数'!$I$35,FALSE)+IF(ISNUMBER(J69),J70&lt;J69,FALSE)),"")</f>
        <v/>
      </c>
      <c r="Y70" s="40" t="str">
        <f>IF(AND(ISNUMBER(J70),ISNUMBER(K70)),IF(N(ISNUMBER('参数'!$E$36))+N(ISNUMBER('参数'!$G$36))+N(ISNUMBER('参数'!$I$36))=0,"",IF(AND(ISNUMBER('参数'!$E$36),ISNUMBER(J69)),AND(J70&lt;='参数'!$E$36,J70&lt;J69),FALSE)+IF(ISNUMBER('参数'!$G$36),K70&gt;='参数'!$G$36,FALSE)+IF(AND(ISNUMBER('参数'!$I$36),ISNUMBER(S70)),S70&lt;'参数'!$I$36,FALSE)+IF(AND(ISNUMBER(R70),ISNUMBER(R69)),R70&lt;R69,FALSE)),"")</f>
        <v/>
      </c>
      <c r="Z70" s="41" t="str">
        <f>IF(NOT(AND(ISNUMBER(J70),ISNUMBER(K70))),"",IF(COUNT(T70:Y70)=0,"先填阈值",IF(MAX(AD70:AI70)=0,"不写",INDEX($T$4:$Y$4,MATCH(MAX(AD70:AI70),AD70:AI70,0))&amp;"·"&amp;IF(MAX(AD70:AI70)&gt;=200,"高","中")&amp;IF(LARGE(AD70:AI70,2)&gt;0,"（也像"&amp;INDEX($T$4:$Y$4,MATCH(LARGE(AD70:AI70,2),AD70:AI70,0))&amp;"·"&amp;IF(LARGE(AD70:AI70,2)&gt;=200,"高","中")&amp;"）",""))))</f>
        <v/>
      </c>
      <c r="AA70" s="27" t="n"/>
      <c r="AB70" s="32" t="n"/>
      <c r="AC70" s="16" t="n"/>
      <c r="AD70" s="40">
        <f>IF(N(T70)&gt;=3,IF(T70=4,2,1)*100+T70*10+6,0)</f>
        <v>0</v>
      </c>
      <c r="AE70" s="40">
        <f>IF(N(U70)&gt;=3,1*100+U70*10+1,0)</f>
        <v>0</v>
      </c>
      <c r="AF70" s="40">
        <f>IF(N(V70)&gt;=3,IF(V70=4,2,1)*100+V70*10+2,0)</f>
        <v>0</v>
      </c>
      <c r="AG70" s="40">
        <f>IF(N(W70)&gt;=3,1*100+W70*10+3,0)</f>
        <v>0</v>
      </c>
      <c r="AH70" s="40">
        <f>IF(N(X70)&gt;=3,1*100+X70*10+4,0)</f>
        <v>0</v>
      </c>
      <c r="AI70" s="40">
        <f>IF(N(Y70)&gt;=3,IF(AND(N(T70)&gt;=3,OR(N(T70)=4,N(Y70)&lt;=N(T70))),0,IF(Y70=4,2,1)*100+Y70*10+5),0)</f>
        <v>0</v>
      </c>
    </row>
    <row r="71">
      <c r="A71" s="31" t="n"/>
      <c r="B71" s="36" t="str">
        <f>IF(ISNUMBER(A71),"周"&amp;CHOOSE(WEEKDAY(A71,2),"一","二","三","四","五","六","日"),"")</f>
        <v/>
      </c>
      <c r="C71" s="37" t="n"/>
      <c r="D71" s="37" t="n"/>
      <c r="E71" s="37" t="n"/>
      <c r="F71" s="17" t="n"/>
      <c r="G71" s="38" t="str">
        <f>IF(AND(ISNUMBER(F71),ISNUMBER(F70)),IF(F70=0,"",F71/F70-1),"")</f>
        <v/>
      </c>
      <c r="H71" s="17" t="n"/>
      <c r="I71" s="17" t="n"/>
      <c r="J71" s="17" t="n"/>
      <c r="K71" s="17" t="n"/>
      <c r="L71" s="17" t="n"/>
      <c r="M71" s="17" t="n"/>
      <c r="N71" s="39" t="str">
        <f>IF(AND(ISNUMBER(L71),ISNUMBER(M71),N(L71)&gt;0),M71/L71,"")</f>
        <v/>
      </c>
      <c r="O71" s="17" t="n"/>
      <c r="P71" s="17" t="n"/>
      <c r="Q71" s="39" t="str">
        <f>IF(AND(ISNUMBER(O71),ISNUMBER(P71),N(O71)&gt;0),P71/O71,"")</f>
        <v/>
      </c>
      <c r="R71" s="17" t="n"/>
      <c r="S71" s="37" t="n"/>
      <c r="T71" s="40" t="str">
        <f>IF(AND(ISNUMBER(J71),ISNUMBER(K71)),IF(N(ISNUMBER('参数'!$E$31))+N(ISNUMBER('参数'!$G$31))+N(ISNUMBER('参数'!$I$31))+N(ISNUMBER('参数'!$K$31))=0,"",IF(ISNUMBER('参数'!$E$31),J71&lt;='参数'!$E$31,FALSE)+IF(ISNUMBER('参数'!$G$31),K71&gt;='参数'!$G$31,FALSE)+IF(AND(ISNUMBER('参数'!$I$31),ISNUMBER(N71)),N71&gt;='参数'!$I$31,FALSE)+IF(AND(ISNUMBER('参数'!$K$31),ISNUMBER(Q71)),Q71&lt;='参数'!$K$31,FALSE)),"")</f>
        <v/>
      </c>
      <c r="U71" s="40" t="str">
        <f>IF(AND(ISNUMBER(J71),ISNUMBER(K71)),IF(N(ISNUMBER('参数'!$G$32))+N(ISNUMBER('参数'!$I$32))+N(ISNUMBER('参数'!$K$32))=0,"",IF(AND(ISNUMBER(J70),ISNUMBER(J69)),AND(J71&gt;J70,J70&gt;J69),FALSE)+IF(ISNUMBER('参数'!$G$32),J71&lt;'参数'!$G$32,FALSE)+IF(AND(ISNUMBER('参数'!$I$32),ISNUMBER(Q71)),Q71&gt;='参数'!$I$32,FALSE)+IF(AND(ISNUMBER('参数'!$K$32),ISNUMBER(S71)),S71&gt;='参数'!$K$32,FALSE)),"")</f>
        <v/>
      </c>
      <c r="V71" s="40" t="str">
        <f>IF(AND(ISNUMBER(J71),ISNUMBER(K71)),IF(N(ISNUMBER('参数'!$E$33))+N(ISNUMBER('参数'!$G$33))+N(ISNUMBER('参数'!$I$33))+N(ISNUMBER('参数'!$K$33))=0,"",IF(AND(ISNUMBER('参数'!$E$33),ISNUMBER(J70)),AND(J71&gt;='参数'!$E$33,J71&gt;J70),FALSE)+IF(AND(ISNUMBER('参数'!$G$33),ISNUMBER(N71)),N71&lt;='参数'!$G$33,FALSE)+IF(AND(ISNUMBER('参数'!$I$33),ISNUMBER(Q71)),Q71&gt;='参数'!$I$33,FALSE)+IF(AND(ISNUMBER('参数'!$K$33),ISNUMBER(S71)),S71&gt;='参数'!$K$33,FALSE)),"")</f>
        <v/>
      </c>
      <c r="W71" s="40" t="str">
        <f>IF(AND(ISNUMBER(J71),ISNUMBER(K71)),IF(N(ISNUMBER('参数'!$E$34))+N(ISNUMBER('参数'!$G$34))+N(ISNUMBER('参数'!$I$34))+N(ISNUMBER('参数'!$K$34))=0,"",IF(ISNUMBER('参数'!$E$34),J71&gt;='参数'!$E$34,FALSE)+IF(AND(ISNUMBER('参数'!$G$34),ISNUMBER(N71)),N71&lt;='参数'!$G$34,FALSE)+IF(AND(ISNUMBER('参数'!$I$34),ISNUMBER(S71)),S71&gt;='参数'!$I$34,FALSE)+IF(AND(ISNUMBER('参数'!$K$34),ISNUMBER(R71)),R71&gt;='参数'!$K$34,FALSE)),"")</f>
        <v/>
      </c>
      <c r="X71" s="40" t="str">
        <f>IF(AND(ISNUMBER(J71),ISNUMBER(K71)),IF(N(ISNUMBER('参数'!$E$35))+N(ISNUMBER('参数'!$G$35))+N(ISNUMBER('参数'!$I$35))=0,"",IF(AND(ISNUMBER('参数'!$E$35),ISNUMBER(N71),ISNUMBER(N70)),ROUND(N71-N70,6)&gt;='参数'!$E$35,FALSE)+IF(AND(ISNUMBER('参数'!$G$35),ISNUMBER(Q71),ISNUMBER(Q70)),ROUND(Q70-Q71,6)&gt;='参数'!$G$35,FALSE)+IF(AND(ISNUMBER('参数'!$I$35),ISNUMBER(S71),ISNUMBER(S70)),ROUND(S70-S71,6)&gt;='参数'!$I$35,FALSE)+IF(ISNUMBER(J70),J71&lt;J70,FALSE)),"")</f>
        <v/>
      </c>
      <c r="Y71" s="40" t="str">
        <f>IF(AND(ISNUMBER(J71),ISNUMBER(K71)),IF(N(ISNUMBER('参数'!$E$36))+N(ISNUMBER('参数'!$G$36))+N(ISNUMBER('参数'!$I$36))=0,"",IF(AND(ISNUMBER('参数'!$E$36),ISNUMBER(J70)),AND(J71&lt;='参数'!$E$36,J71&lt;J70),FALSE)+IF(ISNUMBER('参数'!$G$36),K71&gt;='参数'!$G$36,FALSE)+IF(AND(ISNUMBER('参数'!$I$36),ISNUMBER(S71)),S71&lt;'参数'!$I$36,FALSE)+IF(AND(ISNUMBER(R71),ISNUMBER(R70)),R71&lt;R70,FALSE)),"")</f>
        <v/>
      </c>
      <c r="Z71" s="41" t="str">
        <f>IF(NOT(AND(ISNUMBER(J71),ISNUMBER(K71))),"",IF(COUNT(T71:Y71)=0,"先填阈值",IF(MAX(AD71:AI71)=0,"不写",INDEX($T$4:$Y$4,MATCH(MAX(AD71:AI71),AD71:AI71,0))&amp;"·"&amp;IF(MAX(AD71:AI71)&gt;=200,"高","中")&amp;IF(LARGE(AD71:AI71,2)&gt;0,"（也像"&amp;INDEX($T$4:$Y$4,MATCH(LARGE(AD71:AI71,2),AD71:AI71,0))&amp;"·"&amp;IF(LARGE(AD71:AI71,2)&gt;=200,"高","中")&amp;"）",""))))</f>
        <v/>
      </c>
      <c r="AA71" s="27" t="n"/>
      <c r="AB71" s="32" t="n"/>
      <c r="AC71" s="16" t="n"/>
      <c r="AD71" s="40">
        <f>IF(N(T71)&gt;=3,IF(T71=4,2,1)*100+T71*10+6,0)</f>
        <v>0</v>
      </c>
      <c r="AE71" s="40">
        <f>IF(N(U71)&gt;=3,1*100+U71*10+1,0)</f>
        <v>0</v>
      </c>
      <c r="AF71" s="40">
        <f>IF(N(V71)&gt;=3,IF(V71=4,2,1)*100+V71*10+2,0)</f>
        <v>0</v>
      </c>
      <c r="AG71" s="40">
        <f>IF(N(W71)&gt;=3,1*100+W71*10+3,0)</f>
        <v>0</v>
      </c>
      <c r="AH71" s="40">
        <f>IF(N(X71)&gt;=3,1*100+X71*10+4,0)</f>
        <v>0</v>
      </c>
      <c r="AI71" s="40">
        <f>IF(N(Y71)&gt;=3,IF(AND(N(T71)&gt;=3,OR(N(T71)=4,N(Y71)&lt;=N(T71))),0,IF(Y71=4,2,1)*100+Y71*10+5),0)</f>
        <v>0</v>
      </c>
    </row>
    <row r="72">
      <c r="A72" s="31" t="n"/>
      <c r="B72" s="36" t="str">
        <f>IF(ISNUMBER(A72),"周"&amp;CHOOSE(WEEKDAY(A72,2),"一","二","三","四","五","六","日"),"")</f>
        <v/>
      </c>
      <c r="C72" s="37" t="n"/>
      <c r="D72" s="37" t="n"/>
      <c r="E72" s="37" t="n"/>
      <c r="F72" s="17" t="n"/>
      <c r="G72" s="38" t="str">
        <f>IF(AND(ISNUMBER(F72),ISNUMBER(F71)),IF(F71=0,"",F72/F71-1),"")</f>
        <v/>
      </c>
      <c r="H72" s="17" t="n"/>
      <c r="I72" s="17" t="n"/>
      <c r="J72" s="17" t="n"/>
      <c r="K72" s="17" t="n"/>
      <c r="L72" s="17" t="n"/>
      <c r="M72" s="17" t="n"/>
      <c r="N72" s="39" t="str">
        <f>IF(AND(ISNUMBER(L72),ISNUMBER(M72),N(L72)&gt;0),M72/L72,"")</f>
        <v/>
      </c>
      <c r="O72" s="17" t="n"/>
      <c r="P72" s="17" t="n"/>
      <c r="Q72" s="39" t="str">
        <f>IF(AND(ISNUMBER(O72),ISNUMBER(P72),N(O72)&gt;0),P72/O72,"")</f>
        <v/>
      </c>
      <c r="R72" s="17" t="n"/>
      <c r="S72" s="37" t="n"/>
      <c r="T72" s="40" t="str">
        <f>IF(AND(ISNUMBER(J72),ISNUMBER(K72)),IF(N(ISNUMBER('参数'!$E$31))+N(ISNUMBER('参数'!$G$31))+N(ISNUMBER('参数'!$I$31))+N(ISNUMBER('参数'!$K$31))=0,"",IF(ISNUMBER('参数'!$E$31),J72&lt;='参数'!$E$31,FALSE)+IF(ISNUMBER('参数'!$G$31),K72&gt;='参数'!$G$31,FALSE)+IF(AND(ISNUMBER('参数'!$I$31),ISNUMBER(N72)),N72&gt;='参数'!$I$31,FALSE)+IF(AND(ISNUMBER('参数'!$K$31),ISNUMBER(Q72)),Q72&lt;='参数'!$K$31,FALSE)),"")</f>
        <v/>
      </c>
      <c r="U72" s="40" t="str">
        <f>IF(AND(ISNUMBER(J72),ISNUMBER(K72)),IF(N(ISNUMBER('参数'!$G$32))+N(ISNUMBER('参数'!$I$32))+N(ISNUMBER('参数'!$K$32))=0,"",IF(AND(ISNUMBER(J71),ISNUMBER(J70)),AND(J72&gt;J71,J71&gt;J70),FALSE)+IF(ISNUMBER('参数'!$G$32),J72&lt;'参数'!$G$32,FALSE)+IF(AND(ISNUMBER('参数'!$I$32),ISNUMBER(Q72)),Q72&gt;='参数'!$I$32,FALSE)+IF(AND(ISNUMBER('参数'!$K$32),ISNUMBER(S72)),S72&gt;='参数'!$K$32,FALSE)),"")</f>
        <v/>
      </c>
      <c r="V72" s="40" t="str">
        <f>IF(AND(ISNUMBER(J72),ISNUMBER(K72)),IF(N(ISNUMBER('参数'!$E$33))+N(ISNUMBER('参数'!$G$33))+N(ISNUMBER('参数'!$I$33))+N(ISNUMBER('参数'!$K$33))=0,"",IF(AND(ISNUMBER('参数'!$E$33),ISNUMBER(J71)),AND(J72&gt;='参数'!$E$33,J72&gt;J71),FALSE)+IF(AND(ISNUMBER('参数'!$G$33),ISNUMBER(N72)),N72&lt;='参数'!$G$33,FALSE)+IF(AND(ISNUMBER('参数'!$I$33),ISNUMBER(Q72)),Q72&gt;='参数'!$I$33,FALSE)+IF(AND(ISNUMBER('参数'!$K$33),ISNUMBER(S72)),S72&gt;='参数'!$K$33,FALSE)),"")</f>
        <v/>
      </c>
      <c r="W72" s="40" t="str">
        <f>IF(AND(ISNUMBER(J72),ISNUMBER(K72)),IF(N(ISNUMBER('参数'!$E$34))+N(ISNUMBER('参数'!$G$34))+N(ISNUMBER('参数'!$I$34))+N(ISNUMBER('参数'!$K$34))=0,"",IF(ISNUMBER('参数'!$E$34),J72&gt;='参数'!$E$34,FALSE)+IF(AND(ISNUMBER('参数'!$G$34),ISNUMBER(N72)),N72&lt;='参数'!$G$34,FALSE)+IF(AND(ISNUMBER('参数'!$I$34),ISNUMBER(S72)),S72&gt;='参数'!$I$34,FALSE)+IF(AND(ISNUMBER('参数'!$K$34),ISNUMBER(R72)),R72&gt;='参数'!$K$34,FALSE)),"")</f>
        <v/>
      </c>
      <c r="X72" s="40" t="str">
        <f>IF(AND(ISNUMBER(J72),ISNUMBER(K72)),IF(N(ISNUMBER('参数'!$E$35))+N(ISNUMBER('参数'!$G$35))+N(ISNUMBER('参数'!$I$35))=0,"",IF(AND(ISNUMBER('参数'!$E$35),ISNUMBER(N72),ISNUMBER(N71)),ROUND(N72-N71,6)&gt;='参数'!$E$35,FALSE)+IF(AND(ISNUMBER('参数'!$G$35),ISNUMBER(Q72),ISNUMBER(Q71)),ROUND(Q71-Q72,6)&gt;='参数'!$G$35,FALSE)+IF(AND(ISNUMBER('参数'!$I$35),ISNUMBER(S72),ISNUMBER(S71)),ROUND(S71-S72,6)&gt;='参数'!$I$35,FALSE)+IF(ISNUMBER(J71),J72&lt;J71,FALSE)),"")</f>
        <v/>
      </c>
      <c r="Y72" s="40" t="str">
        <f>IF(AND(ISNUMBER(J72),ISNUMBER(K72)),IF(N(ISNUMBER('参数'!$E$36))+N(ISNUMBER('参数'!$G$36))+N(ISNUMBER('参数'!$I$36))=0,"",IF(AND(ISNUMBER('参数'!$E$36),ISNUMBER(J71)),AND(J72&lt;='参数'!$E$36,J72&lt;J71),FALSE)+IF(ISNUMBER('参数'!$G$36),K72&gt;='参数'!$G$36,FALSE)+IF(AND(ISNUMBER('参数'!$I$36),ISNUMBER(S72)),S72&lt;'参数'!$I$36,FALSE)+IF(AND(ISNUMBER(R72),ISNUMBER(R71)),R72&lt;R71,FALSE)),"")</f>
        <v/>
      </c>
      <c r="Z72" s="41" t="str">
        <f>IF(NOT(AND(ISNUMBER(J72),ISNUMBER(K72))),"",IF(COUNT(T72:Y72)=0,"先填阈值",IF(MAX(AD72:AI72)=0,"不写",INDEX($T$4:$Y$4,MATCH(MAX(AD72:AI72),AD72:AI72,0))&amp;"·"&amp;IF(MAX(AD72:AI72)&gt;=200,"高","中")&amp;IF(LARGE(AD72:AI72,2)&gt;0,"（也像"&amp;INDEX($T$4:$Y$4,MATCH(LARGE(AD72:AI72,2),AD72:AI72,0))&amp;"·"&amp;IF(LARGE(AD72:AI72,2)&gt;=200,"高","中")&amp;"）",""))))</f>
        <v/>
      </c>
      <c r="AA72" s="27" t="n"/>
      <c r="AB72" s="32" t="n"/>
      <c r="AC72" s="16" t="n"/>
      <c r="AD72" s="40">
        <f>IF(N(T72)&gt;=3,IF(T72=4,2,1)*100+T72*10+6,0)</f>
        <v>0</v>
      </c>
      <c r="AE72" s="40">
        <f>IF(N(U72)&gt;=3,1*100+U72*10+1,0)</f>
        <v>0</v>
      </c>
      <c r="AF72" s="40">
        <f>IF(N(V72)&gt;=3,IF(V72=4,2,1)*100+V72*10+2,0)</f>
        <v>0</v>
      </c>
      <c r="AG72" s="40">
        <f>IF(N(W72)&gt;=3,1*100+W72*10+3,0)</f>
        <v>0</v>
      </c>
      <c r="AH72" s="40">
        <f>IF(N(X72)&gt;=3,1*100+X72*10+4,0)</f>
        <v>0</v>
      </c>
      <c r="AI72" s="40">
        <f>IF(N(Y72)&gt;=3,IF(AND(N(T72)&gt;=3,OR(N(T72)=4,N(Y72)&lt;=N(T72))),0,IF(Y72=4,2,1)*100+Y72*10+5),0)</f>
        <v>0</v>
      </c>
    </row>
    <row r="73">
      <c r="A73" s="31" t="n"/>
      <c r="B73" s="36" t="str">
        <f>IF(ISNUMBER(A73),"周"&amp;CHOOSE(WEEKDAY(A73,2),"一","二","三","四","五","六","日"),"")</f>
        <v/>
      </c>
      <c r="C73" s="37" t="n"/>
      <c r="D73" s="37" t="n"/>
      <c r="E73" s="37" t="n"/>
      <c r="F73" s="17" t="n"/>
      <c r="G73" s="38" t="str">
        <f>IF(AND(ISNUMBER(F73),ISNUMBER(F72)),IF(F72=0,"",F73/F72-1),"")</f>
        <v/>
      </c>
      <c r="H73" s="17" t="n"/>
      <c r="I73" s="17" t="n"/>
      <c r="J73" s="17" t="n"/>
      <c r="K73" s="17" t="n"/>
      <c r="L73" s="17" t="n"/>
      <c r="M73" s="17" t="n"/>
      <c r="N73" s="39" t="str">
        <f>IF(AND(ISNUMBER(L73),ISNUMBER(M73),N(L73)&gt;0),M73/L73,"")</f>
        <v/>
      </c>
      <c r="O73" s="17" t="n"/>
      <c r="P73" s="17" t="n"/>
      <c r="Q73" s="39" t="str">
        <f>IF(AND(ISNUMBER(O73),ISNUMBER(P73),N(O73)&gt;0),P73/O73,"")</f>
        <v/>
      </c>
      <c r="R73" s="17" t="n"/>
      <c r="S73" s="37" t="n"/>
      <c r="T73" s="40" t="str">
        <f>IF(AND(ISNUMBER(J73),ISNUMBER(K73)),IF(N(ISNUMBER('参数'!$E$31))+N(ISNUMBER('参数'!$G$31))+N(ISNUMBER('参数'!$I$31))+N(ISNUMBER('参数'!$K$31))=0,"",IF(ISNUMBER('参数'!$E$31),J73&lt;='参数'!$E$31,FALSE)+IF(ISNUMBER('参数'!$G$31),K73&gt;='参数'!$G$31,FALSE)+IF(AND(ISNUMBER('参数'!$I$31),ISNUMBER(N73)),N73&gt;='参数'!$I$31,FALSE)+IF(AND(ISNUMBER('参数'!$K$31),ISNUMBER(Q73)),Q73&lt;='参数'!$K$31,FALSE)),"")</f>
        <v/>
      </c>
      <c r="U73" s="40" t="str">
        <f>IF(AND(ISNUMBER(J73),ISNUMBER(K73)),IF(N(ISNUMBER('参数'!$G$32))+N(ISNUMBER('参数'!$I$32))+N(ISNUMBER('参数'!$K$32))=0,"",IF(AND(ISNUMBER(J72),ISNUMBER(J71)),AND(J73&gt;J72,J72&gt;J71),FALSE)+IF(ISNUMBER('参数'!$G$32),J73&lt;'参数'!$G$32,FALSE)+IF(AND(ISNUMBER('参数'!$I$32),ISNUMBER(Q73)),Q73&gt;='参数'!$I$32,FALSE)+IF(AND(ISNUMBER('参数'!$K$32),ISNUMBER(S73)),S73&gt;='参数'!$K$32,FALSE)),"")</f>
        <v/>
      </c>
      <c r="V73" s="40" t="str">
        <f>IF(AND(ISNUMBER(J73),ISNUMBER(K73)),IF(N(ISNUMBER('参数'!$E$33))+N(ISNUMBER('参数'!$G$33))+N(ISNUMBER('参数'!$I$33))+N(ISNUMBER('参数'!$K$33))=0,"",IF(AND(ISNUMBER('参数'!$E$33),ISNUMBER(J72)),AND(J73&gt;='参数'!$E$33,J73&gt;J72),FALSE)+IF(AND(ISNUMBER('参数'!$G$33),ISNUMBER(N73)),N73&lt;='参数'!$G$33,FALSE)+IF(AND(ISNUMBER('参数'!$I$33),ISNUMBER(Q73)),Q73&gt;='参数'!$I$33,FALSE)+IF(AND(ISNUMBER('参数'!$K$33),ISNUMBER(S73)),S73&gt;='参数'!$K$33,FALSE)),"")</f>
        <v/>
      </c>
      <c r="W73" s="40" t="str">
        <f>IF(AND(ISNUMBER(J73),ISNUMBER(K73)),IF(N(ISNUMBER('参数'!$E$34))+N(ISNUMBER('参数'!$G$34))+N(ISNUMBER('参数'!$I$34))+N(ISNUMBER('参数'!$K$34))=0,"",IF(ISNUMBER('参数'!$E$34),J73&gt;='参数'!$E$34,FALSE)+IF(AND(ISNUMBER('参数'!$G$34),ISNUMBER(N73)),N73&lt;='参数'!$G$34,FALSE)+IF(AND(ISNUMBER('参数'!$I$34),ISNUMBER(S73)),S73&gt;='参数'!$I$34,FALSE)+IF(AND(ISNUMBER('参数'!$K$34),ISNUMBER(R73)),R73&gt;='参数'!$K$34,FALSE)),"")</f>
        <v/>
      </c>
      <c r="X73" s="40" t="str">
        <f>IF(AND(ISNUMBER(J73),ISNUMBER(K73)),IF(N(ISNUMBER('参数'!$E$35))+N(ISNUMBER('参数'!$G$35))+N(ISNUMBER('参数'!$I$35))=0,"",IF(AND(ISNUMBER('参数'!$E$35),ISNUMBER(N73),ISNUMBER(N72)),ROUND(N73-N72,6)&gt;='参数'!$E$35,FALSE)+IF(AND(ISNUMBER('参数'!$G$35),ISNUMBER(Q73),ISNUMBER(Q72)),ROUND(Q72-Q73,6)&gt;='参数'!$G$35,FALSE)+IF(AND(ISNUMBER('参数'!$I$35),ISNUMBER(S73),ISNUMBER(S72)),ROUND(S72-S73,6)&gt;='参数'!$I$35,FALSE)+IF(ISNUMBER(J72),J73&lt;J72,FALSE)),"")</f>
        <v/>
      </c>
      <c r="Y73" s="40" t="str">
        <f>IF(AND(ISNUMBER(J73),ISNUMBER(K73)),IF(N(ISNUMBER('参数'!$E$36))+N(ISNUMBER('参数'!$G$36))+N(ISNUMBER('参数'!$I$36))=0,"",IF(AND(ISNUMBER('参数'!$E$36),ISNUMBER(J72)),AND(J73&lt;='参数'!$E$36,J73&lt;J72),FALSE)+IF(ISNUMBER('参数'!$G$36),K73&gt;='参数'!$G$36,FALSE)+IF(AND(ISNUMBER('参数'!$I$36),ISNUMBER(S73)),S73&lt;'参数'!$I$36,FALSE)+IF(AND(ISNUMBER(R73),ISNUMBER(R72)),R73&lt;R72,FALSE)),"")</f>
        <v/>
      </c>
      <c r="Z73" s="41" t="str">
        <f>IF(NOT(AND(ISNUMBER(J73),ISNUMBER(K73))),"",IF(COUNT(T73:Y73)=0,"先填阈值",IF(MAX(AD73:AI73)=0,"不写",INDEX($T$4:$Y$4,MATCH(MAX(AD73:AI73),AD73:AI73,0))&amp;"·"&amp;IF(MAX(AD73:AI73)&gt;=200,"高","中")&amp;IF(LARGE(AD73:AI73,2)&gt;0,"（也像"&amp;INDEX($T$4:$Y$4,MATCH(LARGE(AD73:AI73,2),AD73:AI73,0))&amp;"·"&amp;IF(LARGE(AD73:AI73,2)&gt;=200,"高","中")&amp;"）",""))))</f>
        <v/>
      </c>
      <c r="AA73" s="27" t="n"/>
      <c r="AB73" s="32" t="n"/>
      <c r="AC73" s="16" t="n"/>
      <c r="AD73" s="40">
        <f>IF(N(T73)&gt;=3,IF(T73=4,2,1)*100+T73*10+6,0)</f>
        <v>0</v>
      </c>
      <c r="AE73" s="40">
        <f>IF(N(U73)&gt;=3,1*100+U73*10+1,0)</f>
        <v>0</v>
      </c>
      <c r="AF73" s="40">
        <f>IF(N(V73)&gt;=3,IF(V73=4,2,1)*100+V73*10+2,0)</f>
        <v>0</v>
      </c>
      <c r="AG73" s="40">
        <f>IF(N(W73)&gt;=3,1*100+W73*10+3,0)</f>
        <v>0</v>
      </c>
      <c r="AH73" s="40">
        <f>IF(N(X73)&gt;=3,1*100+X73*10+4,0)</f>
        <v>0</v>
      </c>
      <c r="AI73" s="40">
        <f>IF(N(Y73)&gt;=3,IF(AND(N(T73)&gt;=3,OR(N(T73)=4,N(Y73)&lt;=N(T73))),0,IF(Y73=4,2,1)*100+Y73*10+5),0)</f>
        <v>0</v>
      </c>
    </row>
    <row r="74">
      <c r="A74" s="31" t="n"/>
      <c r="B74" s="36" t="str">
        <f>IF(ISNUMBER(A74),"周"&amp;CHOOSE(WEEKDAY(A74,2),"一","二","三","四","五","六","日"),"")</f>
        <v/>
      </c>
      <c r="C74" s="37" t="n"/>
      <c r="D74" s="37" t="n"/>
      <c r="E74" s="37" t="n"/>
      <c r="F74" s="17" t="n"/>
      <c r="G74" s="38" t="str">
        <f>IF(AND(ISNUMBER(F74),ISNUMBER(F73)),IF(F73=0,"",F74/F73-1),"")</f>
        <v/>
      </c>
      <c r="H74" s="17" t="n"/>
      <c r="I74" s="17" t="n"/>
      <c r="J74" s="17" t="n"/>
      <c r="K74" s="17" t="n"/>
      <c r="L74" s="17" t="n"/>
      <c r="M74" s="17" t="n"/>
      <c r="N74" s="39" t="str">
        <f>IF(AND(ISNUMBER(L74),ISNUMBER(M74),N(L74)&gt;0),M74/L74,"")</f>
        <v/>
      </c>
      <c r="O74" s="17" t="n"/>
      <c r="P74" s="17" t="n"/>
      <c r="Q74" s="39" t="str">
        <f>IF(AND(ISNUMBER(O74),ISNUMBER(P74),N(O74)&gt;0),P74/O74,"")</f>
        <v/>
      </c>
      <c r="R74" s="17" t="n"/>
      <c r="S74" s="37" t="n"/>
      <c r="T74" s="40" t="str">
        <f>IF(AND(ISNUMBER(J74),ISNUMBER(K74)),IF(N(ISNUMBER('参数'!$E$31))+N(ISNUMBER('参数'!$G$31))+N(ISNUMBER('参数'!$I$31))+N(ISNUMBER('参数'!$K$31))=0,"",IF(ISNUMBER('参数'!$E$31),J74&lt;='参数'!$E$31,FALSE)+IF(ISNUMBER('参数'!$G$31),K74&gt;='参数'!$G$31,FALSE)+IF(AND(ISNUMBER('参数'!$I$31),ISNUMBER(N74)),N74&gt;='参数'!$I$31,FALSE)+IF(AND(ISNUMBER('参数'!$K$31),ISNUMBER(Q74)),Q74&lt;='参数'!$K$31,FALSE)),"")</f>
        <v/>
      </c>
      <c r="U74" s="40" t="str">
        <f>IF(AND(ISNUMBER(J74),ISNUMBER(K74)),IF(N(ISNUMBER('参数'!$G$32))+N(ISNUMBER('参数'!$I$32))+N(ISNUMBER('参数'!$K$32))=0,"",IF(AND(ISNUMBER(J73),ISNUMBER(J72)),AND(J74&gt;J73,J73&gt;J72),FALSE)+IF(ISNUMBER('参数'!$G$32),J74&lt;'参数'!$G$32,FALSE)+IF(AND(ISNUMBER('参数'!$I$32),ISNUMBER(Q74)),Q74&gt;='参数'!$I$32,FALSE)+IF(AND(ISNUMBER('参数'!$K$32),ISNUMBER(S74)),S74&gt;='参数'!$K$32,FALSE)),"")</f>
        <v/>
      </c>
      <c r="V74" s="40" t="str">
        <f>IF(AND(ISNUMBER(J74),ISNUMBER(K74)),IF(N(ISNUMBER('参数'!$E$33))+N(ISNUMBER('参数'!$G$33))+N(ISNUMBER('参数'!$I$33))+N(ISNUMBER('参数'!$K$33))=0,"",IF(AND(ISNUMBER('参数'!$E$33),ISNUMBER(J73)),AND(J74&gt;='参数'!$E$33,J74&gt;J73),FALSE)+IF(AND(ISNUMBER('参数'!$G$33),ISNUMBER(N74)),N74&lt;='参数'!$G$33,FALSE)+IF(AND(ISNUMBER('参数'!$I$33),ISNUMBER(Q74)),Q74&gt;='参数'!$I$33,FALSE)+IF(AND(ISNUMBER('参数'!$K$33),ISNUMBER(S74)),S74&gt;='参数'!$K$33,FALSE)),"")</f>
        <v/>
      </c>
      <c r="W74" s="40" t="str">
        <f>IF(AND(ISNUMBER(J74),ISNUMBER(K74)),IF(N(ISNUMBER('参数'!$E$34))+N(ISNUMBER('参数'!$G$34))+N(ISNUMBER('参数'!$I$34))+N(ISNUMBER('参数'!$K$34))=0,"",IF(ISNUMBER('参数'!$E$34),J74&gt;='参数'!$E$34,FALSE)+IF(AND(ISNUMBER('参数'!$G$34),ISNUMBER(N74)),N74&lt;='参数'!$G$34,FALSE)+IF(AND(ISNUMBER('参数'!$I$34),ISNUMBER(S74)),S74&gt;='参数'!$I$34,FALSE)+IF(AND(ISNUMBER('参数'!$K$34),ISNUMBER(R74)),R74&gt;='参数'!$K$34,FALSE)),"")</f>
        <v/>
      </c>
      <c r="X74" s="40" t="str">
        <f>IF(AND(ISNUMBER(J74),ISNUMBER(K74)),IF(N(ISNUMBER('参数'!$E$35))+N(ISNUMBER('参数'!$G$35))+N(ISNUMBER('参数'!$I$35))=0,"",IF(AND(ISNUMBER('参数'!$E$35),ISNUMBER(N74),ISNUMBER(N73)),ROUND(N74-N73,6)&gt;='参数'!$E$35,FALSE)+IF(AND(ISNUMBER('参数'!$G$35),ISNUMBER(Q74),ISNUMBER(Q73)),ROUND(Q73-Q74,6)&gt;='参数'!$G$35,FALSE)+IF(AND(ISNUMBER('参数'!$I$35),ISNUMBER(S74),ISNUMBER(S73)),ROUND(S73-S74,6)&gt;='参数'!$I$35,FALSE)+IF(ISNUMBER(J73),J74&lt;J73,FALSE)),"")</f>
        <v/>
      </c>
      <c r="Y74" s="40" t="str">
        <f>IF(AND(ISNUMBER(J74),ISNUMBER(K74)),IF(N(ISNUMBER('参数'!$E$36))+N(ISNUMBER('参数'!$G$36))+N(ISNUMBER('参数'!$I$36))=0,"",IF(AND(ISNUMBER('参数'!$E$36),ISNUMBER(J73)),AND(J74&lt;='参数'!$E$36,J74&lt;J73),FALSE)+IF(ISNUMBER('参数'!$G$36),K74&gt;='参数'!$G$36,FALSE)+IF(AND(ISNUMBER('参数'!$I$36),ISNUMBER(S74)),S74&lt;'参数'!$I$36,FALSE)+IF(AND(ISNUMBER(R74),ISNUMBER(R73)),R74&lt;R73,FALSE)),"")</f>
        <v/>
      </c>
      <c r="Z74" s="41" t="str">
        <f>IF(NOT(AND(ISNUMBER(J74),ISNUMBER(K74))),"",IF(COUNT(T74:Y74)=0,"先填阈值",IF(MAX(AD74:AI74)=0,"不写",INDEX($T$4:$Y$4,MATCH(MAX(AD74:AI74),AD74:AI74,0))&amp;"·"&amp;IF(MAX(AD74:AI74)&gt;=200,"高","中")&amp;IF(LARGE(AD74:AI74,2)&gt;0,"（也像"&amp;INDEX($T$4:$Y$4,MATCH(LARGE(AD74:AI74,2),AD74:AI74,0))&amp;"·"&amp;IF(LARGE(AD74:AI74,2)&gt;=200,"高","中")&amp;"）",""))))</f>
        <v/>
      </c>
      <c r="AA74" s="27" t="n"/>
      <c r="AB74" s="32" t="n"/>
      <c r="AC74" s="16" t="n"/>
      <c r="AD74" s="40">
        <f>IF(N(T74)&gt;=3,IF(T74=4,2,1)*100+T74*10+6,0)</f>
        <v>0</v>
      </c>
      <c r="AE74" s="40">
        <f>IF(N(U74)&gt;=3,1*100+U74*10+1,0)</f>
        <v>0</v>
      </c>
      <c r="AF74" s="40">
        <f>IF(N(V74)&gt;=3,IF(V74=4,2,1)*100+V74*10+2,0)</f>
        <v>0</v>
      </c>
      <c r="AG74" s="40">
        <f>IF(N(W74)&gt;=3,1*100+W74*10+3,0)</f>
        <v>0</v>
      </c>
      <c r="AH74" s="40">
        <f>IF(N(X74)&gt;=3,1*100+X74*10+4,0)</f>
        <v>0</v>
      </c>
      <c r="AI74" s="40">
        <f>IF(N(Y74)&gt;=3,IF(AND(N(T74)&gt;=3,OR(N(T74)=4,N(Y74)&lt;=N(T74))),0,IF(Y74=4,2,1)*100+Y74*10+5),0)</f>
        <v>0</v>
      </c>
    </row>
    <row r="75">
      <c r="A75" s="31" t="n"/>
      <c r="B75" s="36" t="str">
        <f>IF(ISNUMBER(A75),"周"&amp;CHOOSE(WEEKDAY(A75,2),"一","二","三","四","五","六","日"),"")</f>
        <v/>
      </c>
      <c r="C75" s="37" t="n"/>
      <c r="D75" s="37" t="n"/>
      <c r="E75" s="37" t="n"/>
      <c r="F75" s="17" t="n"/>
      <c r="G75" s="38" t="str">
        <f>IF(AND(ISNUMBER(F75),ISNUMBER(F74)),IF(F74=0,"",F75/F74-1),"")</f>
        <v/>
      </c>
      <c r="H75" s="17" t="n"/>
      <c r="I75" s="17" t="n"/>
      <c r="J75" s="17" t="n"/>
      <c r="K75" s="17" t="n"/>
      <c r="L75" s="17" t="n"/>
      <c r="M75" s="17" t="n"/>
      <c r="N75" s="39" t="str">
        <f>IF(AND(ISNUMBER(L75),ISNUMBER(M75),N(L75)&gt;0),M75/L75,"")</f>
        <v/>
      </c>
      <c r="O75" s="17" t="n"/>
      <c r="P75" s="17" t="n"/>
      <c r="Q75" s="39" t="str">
        <f>IF(AND(ISNUMBER(O75),ISNUMBER(P75),N(O75)&gt;0),P75/O75,"")</f>
        <v/>
      </c>
      <c r="R75" s="17" t="n"/>
      <c r="S75" s="37" t="n"/>
      <c r="T75" s="40" t="str">
        <f>IF(AND(ISNUMBER(J75),ISNUMBER(K75)),IF(N(ISNUMBER('参数'!$E$31))+N(ISNUMBER('参数'!$G$31))+N(ISNUMBER('参数'!$I$31))+N(ISNUMBER('参数'!$K$31))=0,"",IF(ISNUMBER('参数'!$E$31),J75&lt;='参数'!$E$31,FALSE)+IF(ISNUMBER('参数'!$G$31),K75&gt;='参数'!$G$31,FALSE)+IF(AND(ISNUMBER('参数'!$I$31),ISNUMBER(N75)),N75&gt;='参数'!$I$31,FALSE)+IF(AND(ISNUMBER('参数'!$K$31),ISNUMBER(Q75)),Q75&lt;='参数'!$K$31,FALSE)),"")</f>
        <v/>
      </c>
      <c r="U75" s="40" t="str">
        <f>IF(AND(ISNUMBER(J75),ISNUMBER(K75)),IF(N(ISNUMBER('参数'!$G$32))+N(ISNUMBER('参数'!$I$32))+N(ISNUMBER('参数'!$K$32))=0,"",IF(AND(ISNUMBER(J74),ISNUMBER(J73)),AND(J75&gt;J74,J74&gt;J73),FALSE)+IF(ISNUMBER('参数'!$G$32),J75&lt;'参数'!$G$32,FALSE)+IF(AND(ISNUMBER('参数'!$I$32),ISNUMBER(Q75)),Q75&gt;='参数'!$I$32,FALSE)+IF(AND(ISNUMBER('参数'!$K$32),ISNUMBER(S75)),S75&gt;='参数'!$K$32,FALSE)),"")</f>
        <v/>
      </c>
      <c r="V75" s="40" t="str">
        <f>IF(AND(ISNUMBER(J75),ISNUMBER(K75)),IF(N(ISNUMBER('参数'!$E$33))+N(ISNUMBER('参数'!$G$33))+N(ISNUMBER('参数'!$I$33))+N(ISNUMBER('参数'!$K$33))=0,"",IF(AND(ISNUMBER('参数'!$E$33),ISNUMBER(J74)),AND(J75&gt;='参数'!$E$33,J75&gt;J74),FALSE)+IF(AND(ISNUMBER('参数'!$G$33),ISNUMBER(N75)),N75&lt;='参数'!$G$33,FALSE)+IF(AND(ISNUMBER('参数'!$I$33),ISNUMBER(Q75)),Q75&gt;='参数'!$I$33,FALSE)+IF(AND(ISNUMBER('参数'!$K$33),ISNUMBER(S75)),S75&gt;='参数'!$K$33,FALSE)),"")</f>
        <v/>
      </c>
      <c r="W75" s="40" t="str">
        <f>IF(AND(ISNUMBER(J75),ISNUMBER(K75)),IF(N(ISNUMBER('参数'!$E$34))+N(ISNUMBER('参数'!$G$34))+N(ISNUMBER('参数'!$I$34))+N(ISNUMBER('参数'!$K$34))=0,"",IF(ISNUMBER('参数'!$E$34),J75&gt;='参数'!$E$34,FALSE)+IF(AND(ISNUMBER('参数'!$G$34),ISNUMBER(N75)),N75&lt;='参数'!$G$34,FALSE)+IF(AND(ISNUMBER('参数'!$I$34),ISNUMBER(S75)),S75&gt;='参数'!$I$34,FALSE)+IF(AND(ISNUMBER('参数'!$K$34),ISNUMBER(R75)),R75&gt;='参数'!$K$34,FALSE)),"")</f>
        <v/>
      </c>
      <c r="X75" s="40" t="str">
        <f>IF(AND(ISNUMBER(J75),ISNUMBER(K75)),IF(N(ISNUMBER('参数'!$E$35))+N(ISNUMBER('参数'!$G$35))+N(ISNUMBER('参数'!$I$35))=0,"",IF(AND(ISNUMBER('参数'!$E$35),ISNUMBER(N75),ISNUMBER(N74)),ROUND(N75-N74,6)&gt;='参数'!$E$35,FALSE)+IF(AND(ISNUMBER('参数'!$G$35),ISNUMBER(Q75),ISNUMBER(Q74)),ROUND(Q74-Q75,6)&gt;='参数'!$G$35,FALSE)+IF(AND(ISNUMBER('参数'!$I$35),ISNUMBER(S75),ISNUMBER(S74)),ROUND(S74-S75,6)&gt;='参数'!$I$35,FALSE)+IF(ISNUMBER(J74),J75&lt;J74,FALSE)),"")</f>
        <v/>
      </c>
      <c r="Y75" s="40" t="str">
        <f>IF(AND(ISNUMBER(J75),ISNUMBER(K75)),IF(N(ISNUMBER('参数'!$E$36))+N(ISNUMBER('参数'!$G$36))+N(ISNUMBER('参数'!$I$36))=0,"",IF(AND(ISNUMBER('参数'!$E$36),ISNUMBER(J74)),AND(J75&lt;='参数'!$E$36,J75&lt;J74),FALSE)+IF(ISNUMBER('参数'!$G$36),K75&gt;='参数'!$G$36,FALSE)+IF(AND(ISNUMBER('参数'!$I$36),ISNUMBER(S75)),S75&lt;'参数'!$I$36,FALSE)+IF(AND(ISNUMBER(R75),ISNUMBER(R74)),R75&lt;R74,FALSE)),"")</f>
        <v/>
      </c>
      <c r="Z75" s="41" t="str">
        <f>IF(NOT(AND(ISNUMBER(J75),ISNUMBER(K75))),"",IF(COUNT(T75:Y75)=0,"先填阈值",IF(MAX(AD75:AI75)=0,"不写",INDEX($T$4:$Y$4,MATCH(MAX(AD75:AI75),AD75:AI75,0))&amp;"·"&amp;IF(MAX(AD75:AI75)&gt;=200,"高","中")&amp;IF(LARGE(AD75:AI75,2)&gt;0,"（也像"&amp;INDEX($T$4:$Y$4,MATCH(LARGE(AD75:AI75,2),AD75:AI75,0))&amp;"·"&amp;IF(LARGE(AD75:AI75,2)&gt;=200,"高","中")&amp;"）",""))))</f>
        <v/>
      </c>
      <c r="AA75" s="27" t="n"/>
      <c r="AB75" s="32" t="n"/>
      <c r="AC75" s="16" t="n"/>
      <c r="AD75" s="40">
        <f>IF(N(T75)&gt;=3,IF(T75=4,2,1)*100+T75*10+6,0)</f>
        <v>0</v>
      </c>
      <c r="AE75" s="40">
        <f>IF(N(U75)&gt;=3,1*100+U75*10+1,0)</f>
        <v>0</v>
      </c>
      <c r="AF75" s="40">
        <f>IF(N(V75)&gt;=3,IF(V75=4,2,1)*100+V75*10+2,0)</f>
        <v>0</v>
      </c>
      <c r="AG75" s="40">
        <f>IF(N(W75)&gt;=3,1*100+W75*10+3,0)</f>
        <v>0</v>
      </c>
      <c r="AH75" s="40">
        <f>IF(N(X75)&gt;=3,1*100+X75*10+4,0)</f>
        <v>0</v>
      </c>
      <c r="AI75" s="40">
        <f>IF(N(Y75)&gt;=3,IF(AND(N(T75)&gt;=3,OR(N(T75)=4,N(Y75)&lt;=N(T75))),0,IF(Y75=4,2,1)*100+Y75*10+5),0)</f>
        <v>0</v>
      </c>
    </row>
    <row r="76">
      <c r="A76" s="31" t="n"/>
      <c r="B76" s="36" t="str">
        <f>IF(ISNUMBER(A76),"周"&amp;CHOOSE(WEEKDAY(A76,2),"一","二","三","四","五","六","日"),"")</f>
        <v/>
      </c>
      <c r="C76" s="37" t="n"/>
      <c r="D76" s="37" t="n"/>
      <c r="E76" s="37" t="n"/>
      <c r="F76" s="17" t="n"/>
      <c r="G76" s="38" t="str">
        <f>IF(AND(ISNUMBER(F76),ISNUMBER(F75)),IF(F75=0,"",F76/F75-1),"")</f>
        <v/>
      </c>
      <c r="H76" s="17" t="n"/>
      <c r="I76" s="17" t="n"/>
      <c r="J76" s="17" t="n"/>
      <c r="K76" s="17" t="n"/>
      <c r="L76" s="17" t="n"/>
      <c r="M76" s="17" t="n"/>
      <c r="N76" s="39" t="str">
        <f>IF(AND(ISNUMBER(L76),ISNUMBER(M76),N(L76)&gt;0),M76/L76,"")</f>
        <v/>
      </c>
      <c r="O76" s="17" t="n"/>
      <c r="P76" s="17" t="n"/>
      <c r="Q76" s="39" t="str">
        <f>IF(AND(ISNUMBER(O76),ISNUMBER(P76),N(O76)&gt;0),P76/O76,"")</f>
        <v/>
      </c>
      <c r="R76" s="17" t="n"/>
      <c r="S76" s="37" t="n"/>
      <c r="T76" s="40" t="str">
        <f>IF(AND(ISNUMBER(J76),ISNUMBER(K76)),IF(N(ISNUMBER('参数'!$E$31))+N(ISNUMBER('参数'!$G$31))+N(ISNUMBER('参数'!$I$31))+N(ISNUMBER('参数'!$K$31))=0,"",IF(ISNUMBER('参数'!$E$31),J76&lt;='参数'!$E$31,FALSE)+IF(ISNUMBER('参数'!$G$31),K76&gt;='参数'!$G$31,FALSE)+IF(AND(ISNUMBER('参数'!$I$31),ISNUMBER(N76)),N76&gt;='参数'!$I$31,FALSE)+IF(AND(ISNUMBER('参数'!$K$31),ISNUMBER(Q76)),Q76&lt;='参数'!$K$31,FALSE)),"")</f>
        <v/>
      </c>
      <c r="U76" s="40" t="str">
        <f>IF(AND(ISNUMBER(J76),ISNUMBER(K76)),IF(N(ISNUMBER('参数'!$G$32))+N(ISNUMBER('参数'!$I$32))+N(ISNUMBER('参数'!$K$32))=0,"",IF(AND(ISNUMBER(J75),ISNUMBER(J74)),AND(J76&gt;J75,J75&gt;J74),FALSE)+IF(ISNUMBER('参数'!$G$32),J76&lt;'参数'!$G$32,FALSE)+IF(AND(ISNUMBER('参数'!$I$32),ISNUMBER(Q76)),Q76&gt;='参数'!$I$32,FALSE)+IF(AND(ISNUMBER('参数'!$K$32),ISNUMBER(S76)),S76&gt;='参数'!$K$32,FALSE)),"")</f>
        <v/>
      </c>
      <c r="V76" s="40" t="str">
        <f>IF(AND(ISNUMBER(J76),ISNUMBER(K76)),IF(N(ISNUMBER('参数'!$E$33))+N(ISNUMBER('参数'!$G$33))+N(ISNUMBER('参数'!$I$33))+N(ISNUMBER('参数'!$K$33))=0,"",IF(AND(ISNUMBER('参数'!$E$33),ISNUMBER(J75)),AND(J76&gt;='参数'!$E$33,J76&gt;J75),FALSE)+IF(AND(ISNUMBER('参数'!$G$33),ISNUMBER(N76)),N76&lt;='参数'!$G$33,FALSE)+IF(AND(ISNUMBER('参数'!$I$33),ISNUMBER(Q76)),Q76&gt;='参数'!$I$33,FALSE)+IF(AND(ISNUMBER('参数'!$K$33),ISNUMBER(S76)),S76&gt;='参数'!$K$33,FALSE)),"")</f>
        <v/>
      </c>
      <c r="W76" s="40" t="str">
        <f>IF(AND(ISNUMBER(J76),ISNUMBER(K76)),IF(N(ISNUMBER('参数'!$E$34))+N(ISNUMBER('参数'!$G$34))+N(ISNUMBER('参数'!$I$34))+N(ISNUMBER('参数'!$K$34))=0,"",IF(ISNUMBER('参数'!$E$34),J76&gt;='参数'!$E$34,FALSE)+IF(AND(ISNUMBER('参数'!$G$34),ISNUMBER(N76)),N76&lt;='参数'!$G$34,FALSE)+IF(AND(ISNUMBER('参数'!$I$34),ISNUMBER(S76)),S76&gt;='参数'!$I$34,FALSE)+IF(AND(ISNUMBER('参数'!$K$34),ISNUMBER(R76)),R76&gt;='参数'!$K$34,FALSE)),"")</f>
        <v/>
      </c>
      <c r="X76" s="40" t="str">
        <f>IF(AND(ISNUMBER(J76),ISNUMBER(K76)),IF(N(ISNUMBER('参数'!$E$35))+N(ISNUMBER('参数'!$G$35))+N(ISNUMBER('参数'!$I$35))=0,"",IF(AND(ISNUMBER('参数'!$E$35),ISNUMBER(N76),ISNUMBER(N75)),ROUND(N76-N75,6)&gt;='参数'!$E$35,FALSE)+IF(AND(ISNUMBER('参数'!$G$35),ISNUMBER(Q76),ISNUMBER(Q75)),ROUND(Q75-Q76,6)&gt;='参数'!$G$35,FALSE)+IF(AND(ISNUMBER('参数'!$I$35),ISNUMBER(S76),ISNUMBER(S75)),ROUND(S75-S76,6)&gt;='参数'!$I$35,FALSE)+IF(ISNUMBER(J75),J76&lt;J75,FALSE)),"")</f>
        <v/>
      </c>
      <c r="Y76" s="40" t="str">
        <f>IF(AND(ISNUMBER(J76),ISNUMBER(K76)),IF(N(ISNUMBER('参数'!$E$36))+N(ISNUMBER('参数'!$G$36))+N(ISNUMBER('参数'!$I$36))=0,"",IF(AND(ISNUMBER('参数'!$E$36),ISNUMBER(J75)),AND(J76&lt;='参数'!$E$36,J76&lt;J75),FALSE)+IF(ISNUMBER('参数'!$G$36),K76&gt;='参数'!$G$36,FALSE)+IF(AND(ISNUMBER('参数'!$I$36),ISNUMBER(S76)),S76&lt;'参数'!$I$36,FALSE)+IF(AND(ISNUMBER(R76),ISNUMBER(R75)),R76&lt;R75,FALSE)),"")</f>
        <v/>
      </c>
      <c r="Z76" s="41" t="str">
        <f>IF(NOT(AND(ISNUMBER(J76),ISNUMBER(K76))),"",IF(COUNT(T76:Y76)=0,"先填阈值",IF(MAX(AD76:AI76)=0,"不写",INDEX($T$4:$Y$4,MATCH(MAX(AD76:AI76),AD76:AI76,0))&amp;"·"&amp;IF(MAX(AD76:AI76)&gt;=200,"高","中")&amp;IF(LARGE(AD76:AI76,2)&gt;0,"（也像"&amp;INDEX($T$4:$Y$4,MATCH(LARGE(AD76:AI76,2),AD76:AI76,0))&amp;"·"&amp;IF(LARGE(AD76:AI76,2)&gt;=200,"高","中")&amp;"）",""))))</f>
        <v/>
      </c>
      <c r="AA76" s="27" t="n"/>
      <c r="AB76" s="32" t="n"/>
      <c r="AC76" s="16" t="n"/>
      <c r="AD76" s="40">
        <f>IF(N(T76)&gt;=3,IF(T76=4,2,1)*100+T76*10+6,0)</f>
        <v>0</v>
      </c>
      <c r="AE76" s="40">
        <f>IF(N(U76)&gt;=3,1*100+U76*10+1,0)</f>
        <v>0</v>
      </c>
      <c r="AF76" s="40">
        <f>IF(N(V76)&gt;=3,IF(V76=4,2,1)*100+V76*10+2,0)</f>
        <v>0</v>
      </c>
      <c r="AG76" s="40">
        <f>IF(N(W76)&gt;=3,1*100+W76*10+3,0)</f>
        <v>0</v>
      </c>
      <c r="AH76" s="40">
        <f>IF(N(X76)&gt;=3,1*100+X76*10+4,0)</f>
        <v>0</v>
      </c>
      <c r="AI76" s="40">
        <f>IF(N(Y76)&gt;=3,IF(AND(N(T76)&gt;=3,OR(N(T76)=4,N(Y76)&lt;=N(T76))),0,IF(Y76=4,2,1)*100+Y76*10+5),0)</f>
        <v>0</v>
      </c>
    </row>
    <row r="77">
      <c r="A77" s="31" t="n"/>
      <c r="B77" s="36" t="str">
        <f>IF(ISNUMBER(A77),"周"&amp;CHOOSE(WEEKDAY(A77,2),"一","二","三","四","五","六","日"),"")</f>
        <v/>
      </c>
      <c r="C77" s="37" t="n"/>
      <c r="D77" s="37" t="n"/>
      <c r="E77" s="37" t="n"/>
      <c r="F77" s="17" t="n"/>
      <c r="G77" s="38" t="str">
        <f>IF(AND(ISNUMBER(F77),ISNUMBER(F76)),IF(F76=0,"",F77/F76-1),"")</f>
        <v/>
      </c>
      <c r="H77" s="17" t="n"/>
      <c r="I77" s="17" t="n"/>
      <c r="J77" s="17" t="n"/>
      <c r="K77" s="17" t="n"/>
      <c r="L77" s="17" t="n"/>
      <c r="M77" s="17" t="n"/>
      <c r="N77" s="39" t="str">
        <f>IF(AND(ISNUMBER(L77),ISNUMBER(M77),N(L77)&gt;0),M77/L77,"")</f>
        <v/>
      </c>
      <c r="O77" s="17" t="n"/>
      <c r="P77" s="17" t="n"/>
      <c r="Q77" s="39" t="str">
        <f>IF(AND(ISNUMBER(O77),ISNUMBER(P77),N(O77)&gt;0),P77/O77,"")</f>
        <v/>
      </c>
      <c r="R77" s="17" t="n"/>
      <c r="S77" s="37" t="n"/>
      <c r="T77" s="40" t="str">
        <f>IF(AND(ISNUMBER(J77),ISNUMBER(K77)),IF(N(ISNUMBER('参数'!$E$31))+N(ISNUMBER('参数'!$G$31))+N(ISNUMBER('参数'!$I$31))+N(ISNUMBER('参数'!$K$31))=0,"",IF(ISNUMBER('参数'!$E$31),J77&lt;='参数'!$E$31,FALSE)+IF(ISNUMBER('参数'!$G$31),K77&gt;='参数'!$G$31,FALSE)+IF(AND(ISNUMBER('参数'!$I$31),ISNUMBER(N77)),N77&gt;='参数'!$I$31,FALSE)+IF(AND(ISNUMBER('参数'!$K$31),ISNUMBER(Q77)),Q77&lt;='参数'!$K$31,FALSE)),"")</f>
        <v/>
      </c>
      <c r="U77" s="40" t="str">
        <f>IF(AND(ISNUMBER(J77),ISNUMBER(K77)),IF(N(ISNUMBER('参数'!$G$32))+N(ISNUMBER('参数'!$I$32))+N(ISNUMBER('参数'!$K$32))=0,"",IF(AND(ISNUMBER(J76),ISNUMBER(J75)),AND(J77&gt;J76,J76&gt;J75),FALSE)+IF(ISNUMBER('参数'!$G$32),J77&lt;'参数'!$G$32,FALSE)+IF(AND(ISNUMBER('参数'!$I$32),ISNUMBER(Q77)),Q77&gt;='参数'!$I$32,FALSE)+IF(AND(ISNUMBER('参数'!$K$32),ISNUMBER(S77)),S77&gt;='参数'!$K$32,FALSE)),"")</f>
        <v/>
      </c>
      <c r="V77" s="40" t="str">
        <f>IF(AND(ISNUMBER(J77),ISNUMBER(K77)),IF(N(ISNUMBER('参数'!$E$33))+N(ISNUMBER('参数'!$G$33))+N(ISNUMBER('参数'!$I$33))+N(ISNUMBER('参数'!$K$33))=0,"",IF(AND(ISNUMBER('参数'!$E$33),ISNUMBER(J76)),AND(J77&gt;='参数'!$E$33,J77&gt;J76),FALSE)+IF(AND(ISNUMBER('参数'!$G$33),ISNUMBER(N77)),N77&lt;='参数'!$G$33,FALSE)+IF(AND(ISNUMBER('参数'!$I$33),ISNUMBER(Q77)),Q77&gt;='参数'!$I$33,FALSE)+IF(AND(ISNUMBER('参数'!$K$33),ISNUMBER(S77)),S77&gt;='参数'!$K$33,FALSE)),"")</f>
        <v/>
      </c>
      <c r="W77" s="40" t="str">
        <f>IF(AND(ISNUMBER(J77),ISNUMBER(K77)),IF(N(ISNUMBER('参数'!$E$34))+N(ISNUMBER('参数'!$G$34))+N(ISNUMBER('参数'!$I$34))+N(ISNUMBER('参数'!$K$34))=0,"",IF(ISNUMBER('参数'!$E$34),J77&gt;='参数'!$E$34,FALSE)+IF(AND(ISNUMBER('参数'!$G$34),ISNUMBER(N77)),N77&lt;='参数'!$G$34,FALSE)+IF(AND(ISNUMBER('参数'!$I$34),ISNUMBER(S77)),S77&gt;='参数'!$I$34,FALSE)+IF(AND(ISNUMBER('参数'!$K$34),ISNUMBER(R77)),R77&gt;='参数'!$K$34,FALSE)),"")</f>
        <v/>
      </c>
      <c r="X77" s="40" t="str">
        <f>IF(AND(ISNUMBER(J77),ISNUMBER(K77)),IF(N(ISNUMBER('参数'!$E$35))+N(ISNUMBER('参数'!$G$35))+N(ISNUMBER('参数'!$I$35))=0,"",IF(AND(ISNUMBER('参数'!$E$35),ISNUMBER(N77),ISNUMBER(N76)),ROUND(N77-N76,6)&gt;='参数'!$E$35,FALSE)+IF(AND(ISNUMBER('参数'!$G$35),ISNUMBER(Q77),ISNUMBER(Q76)),ROUND(Q76-Q77,6)&gt;='参数'!$G$35,FALSE)+IF(AND(ISNUMBER('参数'!$I$35),ISNUMBER(S77),ISNUMBER(S76)),ROUND(S76-S77,6)&gt;='参数'!$I$35,FALSE)+IF(ISNUMBER(J76),J77&lt;J76,FALSE)),"")</f>
        <v/>
      </c>
      <c r="Y77" s="40" t="str">
        <f>IF(AND(ISNUMBER(J77),ISNUMBER(K77)),IF(N(ISNUMBER('参数'!$E$36))+N(ISNUMBER('参数'!$G$36))+N(ISNUMBER('参数'!$I$36))=0,"",IF(AND(ISNUMBER('参数'!$E$36),ISNUMBER(J76)),AND(J77&lt;='参数'!$E$36,J77&lt;J76),FALSE)+IF(ISNUMBER('参数'!$G$36),K77&gt;='参数'!$G$36,FALSE)+IF(AND(ISNUMBER('参数'!$I$36),ISNUMBER(S77)),S77&lt;'参数'!$I$36,FALSE)+IF(AND(ISNUMBER(R77),ISNUMBER(R76)),R77&lt;R76,FALSE)),"")</f>
        <v/>
      </c>
      <c r="Z77" s="41" t="str">
        <f>IF(NOT(AND(ISNUMBER(J77),ISNUMBER(K77))),"",IF(COUNT(T77:Y77)=0,"先填阈值",IF(MAX(AD77:AI77)=0,"不写",INDEX($T$4:$Y$4,MATCH(MAX(AD77:AI77),AD77:AI77,0))&amp;"·"&amp;IF(MAX(AD77:AI77)&gt;=200,"高","中")&amp;IF(LARGE(AD77:AI77,2)&gt;0,"（也像"&amp;INDEX($T$4:$Y$4,MATCH(LARGE(AD77:AI77,2),AD77:AI77,0))&amp;"·"&amp;IF(LARGE(AD77:AI77,2)&gt;=200,"高","中")&amp;"）",""))))</f>
        <v/>
      </c>
      <c r="AA77" s="27" t="n"/>
      <c r="AB77" s="32" t="n"/>
      <c r="AC77" s="16" t="n"/>
      <c r="AD77" s="40">
        <f>IF(N(T77)&gt;=3,IF(T77=4,2,1)*100+T77*10+6,0)</f>
        <v>0</v>
      </c>
      <c r="AE77" s="40">
        <f>IF(N(U77)&gt;=3,1*100+U77*10+1,0)</f>
        <v>0</v>
      </c>
      <c r="AF77" s="40">
        <f>IF(N(V77)&gt;=3,IF(V77=4,2,1)*100+V77*10+2,0)</f>
        <v>0</v>
      </c>
      <c r="AG77" s="40">
        <f>IF(N(W77)&gt;=3,1*100+W77*10+3,0)</f>
        <v>0</v>
      </c>
      <c r="AH77" s="40">
        <f>IF(N(X77)&gt;=3,1*100+X77*10+4,0)</f>
        <v>0</v>
      </c>
      <c r="AI77" s="40">
        <f>IF(N(Y77)&gt;=3,IF(AND(N(T77)&gt;=3,OR(N(T77)=4,N(Y77)&lt;=N(T77))),0,IF(Y77=4,2,1)*100+Y77*10+5),0)</f>
        <v>0</v>
      </c>
    </row>
    <row r="78">
      <c r="A78" s="31" t="n"/>
      <c r="B78" s="36" t="str">
        <f>IF(ISNUMBER(A78),"周"&amp;CHOOSE(WEEKDAY(A78,2),"一","二","三","四","五","六","日"),"")</f>
        <v/>
      </c>
      <c r="C78" s="37" t="n"/>
      <c r="D78" s="37" t="n"/>
      <c r="E78" s="37" t="n"/>
      <c r="F78" s="17" t="n"/>
      <c r="G78" s="38" t="str">
        <f>IF(AND(ISNUMBER(F78),ISNUMBER(F77)),IF(F77=0,"",F78/F77-1),"")</f>
        <v/>
      </c>
      <c r="H78" s="17" t="n"/>
      <c r="I78" s="17" t="n"/>
      <c r="J78" s="17" t="n"/>
      <c r="K78" s="17" t="n"/>
      <c r="L78" s="17" t="n"/>
      <c r="M78" s="17" t="n"/>
      <c r="N78" s="39" t="str">
        <f>IF(AND(ISNUMBER(L78),ISNUMBER(M78),N(L78)&gt;0),M78/L78,"")</f>
        <v/>
      </c>
      <c r="O78" s="17" t="n"/>
      <c r="P78" s="17" t="n"/>
      <c r="Q78" s="39" t="str">
        <f>IF(AND(ISNUMBER(O78),ISNUMBER(P78),N(O78)&gt;0),P78/O78,"")</f>
        <v/>
      </c>
      <c r="R78" s="17" t="n"/>
      <c r="S78" s="37" t="n"/>
      <c r="T78" s="40" t="str">
        <f>IF(AND(ISNUMBER(J78),ISNUMBER(K78)),IF(N(ISNUMBER('参数'!$E$31))+N(ISNUMBER('参数'!$G$31))+N(ISNUMBER('参数'!$I$31))+N(ISNUMBER('参数'!$K$31))=0,"",IF(ISNUMBER('参数'!$E$31),J78&lt;='参数'!$E$31,FALSE)+IF(ISNUMBER('参数'!$G$31),K78&gt;='参数'!$G$31,FALSE)+IF(AND(ISNUMBER('参数'!$I$31),ISNUMBER(N78)),N78&gt;='参数'!$I$31,FALSE)+IF(AND(ISNUMBER('参数'!$K$31),ISNUMBER(Q78)),Q78&lt;='参数'!$K$31,FALSE)),"")</f>
        <v/>
      </c>
      <c r="U78" s="40" t="str">
        <f>IF(AND(ISNUMBER(J78),ISNUMBER(K78)),IF(N(ISNUMBER('参数'!$G$32))+N(ISNUMBER('参数'!$I$32))+N(ISNUMBER('参数'!$K$32))=0,"",IF(AND(ISNUMBER(J77),ISNUMBER(J76)),AND(J78&gt;J77,J77&gt;J76),FALSE)+IF(ISNUMBER('参数'!$G$32),J78&lt;'参数'!$G$32,FALSE)+IF(AND(ISNUMBER('参数'!$I$32),ISNUMBER(Q78)),Q78&gt;='参数'!$I$32,FALSE)+IF(AND(ISNUMBER('参数'!$K$32),ISNUMBER(S78)),S78&gt;='参数'!$K$32,FALSE)),"")</f>
        <v/>
      </c>
      <c r="V78" s="40" t="str">
        <f>IF(AND(ISNUMBER(J78),ISNUMBER(K78)),IF(N(ISNUMBER('参数'!$E$33))+N(ISNUMBER('参数'!$G$33))+N(ISNUMBER('参数'!$I$33))+N(ISNUMBER('参数'!$K$33))=0,"",IF(AND(ISNUMBER('参数'!$E$33),ISNUMBER(J77)),AND(J78&gt;='参数'!$E$33,J78&gt;J77),FALSE)+IF(AND(ISNUMBER('参数'!$G$33),ISNUMBER(N78)),N78&lt;='参数'!$G$33,FALSE)+IF(AND(ISNUMBER('参数'!$I$33),ISNUMBER(Q78)),Q78&gt;='参数'!$I$33,FALSE)+IF(AND(ISNUMBER('参数'!$K$33),ISNUMBER(S78)),S78&gt;='参数'!$K$33,FALSE)),"")</f>
        <v/>
      </c>
      <c r="W78" s="40" t="str">
        <f>IF(AND(ISNUMBER(J78),ISNUMBER(K78)),IF(N(ISNUMBER('参数'!$E$34))+N(ISNUMBER('参数'!$G$34))+N(ISNUMBER('参数'!$I$34))+N(ISNUMBER('参数'!$K$34))=0,"",IF(ISNUMBER('参数'!$E$34),J78&gt;='参数'!$E$34,FALSE)+IF(AND(ISNUMBER('参数'!$G$34),ISNUMBER(N78)),N78&lt;='参数'!$G$34,FALSE)+IF(AND(ISNUMBER('参数'!$I$34),ISNUMBER(S78)),S78&gt;='参数'!$I$34,FALSE)+IF(AND(ISNUMBER('参数'!$K$34),ISNUMBER(R78)),R78&gt;='参数'!$K$34,FALSE)),"")</f>
        <v/>
      </c>
      <c r="X78" s="40" t="str">
        <f>IF(AND(ISNUMBER(J78),ISNUMBER(K78)),IF(N(ISNUMBER('参数'!$E$35))+N(ISNUMBER('参数'!$G$35))+N(ISNUMBER('参数'!$I$35))=0,"",IF(AND(ISNUMBER('参数'!$E$35),ISNUMBER(N78),ISNUMBER(N77)),ROUND(N78-N77,6)&gt;='参数'!$E$35,FALSE)+IF(AND(ISNUMBER('参数'!$G$35),ISNUMBER(Q78),ISNUMBER(Q77)),ROUND(Q77-Q78,6)&gt;='参数'!$G$35,FALSE)+IF(AND(ISNUMBER('参数'!$I$35),ISNUMBER(S78),ISNUMBER(S77)),ROUND(S77-S78,6)&gt;='参数'!$I$35,FALSE)+IF(ISNUMBER(J77),J78&lt;J77,FALSE)),"")</f>
        <v/>
      </c>
      <c r="Y78" s="40" t="str">
        <f>IF(AND(ISNUMBER(J78),ISNUMBER(K78)),IF(N(ISNUMBER('参数'!$E$36))+N(ISNUMBER('参数'!$G$36))+N(ISNUMBER('参数'!$I$36))=0,"",IF(AND(ISNUMBER('参数'!$E$36),ISNUMBER(J77)),AND(J78&lt;='参数'!$E$36,J78&lt;J77),FALSE)+IF(ISNUMBER('参数'!$G$36),K78&gt;='参数'!$G$36,FALSE)+IF(AND(ISNUMBER('参数'!$I$36),ISNUMBER(S78)),S78&lt;'参数'!$I$36,FALSE)+IF(AND(ISNUMBER(R78),ISNUMBER(R77)),R78&lt;R77,FALSE)),"")</f>
        <v/>
      </c>
      <c r="Z78" s="41" t="str">
        <f>IF(NOT(AND(ISNUMBER(J78),ISNUMBER(K78))),"",IF(COUNT(T78:Y78)=0,"先填阈值",IF(MAX(AD78:AI78)=0,"不写",INDEX($T$4:$Y$4,MATCH(MAX(AD78:AI78),AD78:AI78,0))&amp;"·"&amp;IF(MAX(AD78:AI78)&gt;=200,"高","中")&amp;IF(LARGE(AD78:AI78,2)&gt;0,"（也像"&amp;INDEX($T$4:$Y$4,MATCH(LARGE(AD78:AI78,2),AD78:AI78,0))&amp;"·"&amp;IF(LARGE(AD78:AI78,2)&gt;=200,"高","中")&amp;"）",""))))</f>
        <v/>
      </c>
      <c r="AA78" s="27" t="n"/>
      <c r="AB78" s="32" t="n"/>
      <c r="AC78" s="16" t="n"/>
      <c r="AD78" s="40">
        <f>IF(N(T78)&gt;=3,IF(T78=4,2,1)*100+T78*10+6,0)</f>
        <v>0</v>
      </c>
      <c r="AE78" s="40">
        <f>IF(N(U78)&gt;=3,1*100+U78*10+1,0)</f>
        <v>0</v>
      </c>
      <c r="AF78" s="40">
        <f>IF(N(V78)&gt;=3,IF(V78=4,2,1)*100+V78*10+2,0)</f>
        <v>0</v>
      </c>
      <c r="AG78" s="40">
        <f>IF(N(W78)&gt;=3,1*100+W78*10+3,0)</f>
        <v>0</v>
      </c>
      <c r="AH78" s="40">
        <f>IF(N(X78)&gt;=3,1*100+X78*10+4,0)</f>
        <v>0</v>
      </c>
      <c r="AI78" s="40">
        <f>IF(N(Y78)&gt;=3,IF(AND(N(T78)&gt;=3,OR(N(T78)=4,N(Y78)&lt;=N(T78))),0,IF(Y78=4,2,1)*100+Y78*10+5),0)</f>
        <v>0</v>
      </c>
    </row>
    <row r="79">
      <c r="A79" s="31" t="n"/>
      <c r="B79" s="36" t="str">
        <f>IF(ISNUMBER(A79),"周"&amp;CHOOSE(WEEKDAY(A79,2),"一","二","三","四","五","六","日"),"")</f>
        <v/>
      </c>
      <c r="C79" s="37" t="n"/>
      <c r="D79" s="37" t="n"/>
      <c r="E79" s="37" t="n"/>
      <c r="F79" s="17" t="n"/>
      <c r="G79" s="38" t="str">
        <f>IF(AND(ISNUMBER(F79),ISNUMBER(F78)),IF(F78=0,"",F79/F78-1),"")</f>
        <v/>
      </c>
      <c r="H79" s="17" t="n"/>
      <c r="I79" s="17" t="n"/>
      <c r="J79" s="17" t="n"/>
      <c r="K79" s="17" t="n"/>
      <c r="L79" s="17" t="n"/>
      <c r="M79" s="17" t="n"/>
      <c r="N79" s="39" t="str">
        <f>IF(AND(ISNUMBER(L79),ISNUMBER(M79),N(L79)&gt;0),M79/L79,"")</f>
        <v/>
      </c>
      <c r="O79" s="17" t="n"/>
      <c r="P79" s="17" t="n"/>
      <c r="Q79" s="39" t="str">
        <f>IF(AND(ISNUMBER(O79),ISNUMBER(P79),N(O79)&gt;0),P79/O79,"")</f>
        <v/>
      </c>
      <c r="R79" s="17" t="n"/>
      <c r="S79" s="37" t="n"/>
      <c r="T79" s="40" t="str">
        <f>IF(AND(ISNUMBER(J79),ISNUMBER(K79)),IF(N(ISNUMBER('参数'!$E$31))+N(ISNUMBER('参数'!$G$31))+N(ISNUMBER('参数'!$I$31))+N(ISNUMBER('参数'!$K$31))=0,"",IF(ISNUMBER('参数'!$E$31),J79&lt;='参数'!$E$31,FALSE)+IF(ISNUMBER('参数'!$G$31),K79&gt;='参数'!$G$31,FALSE)+IF(AND(ISNUMBER('参数'!$I$31),ISNUMBER(N79)),N79&gt;='参数'!$I$31,FALSE)+IF(AND(ISNUMBER('参数'!$K$31),ISNUMBER(Q79)),Q79&lt;='参数'!$K$31,FALSE)),"")</f>
        <v/>
      </c>
      <c r="U79" s="40" t="str">
        <f>IF(AND(ISNUMBER(J79),ISNUMBER(K79)),IF(N(ISNUMBER('参数'!$G$32))+N(ISNUMBER('参数'!$I$32))+N(ISNUMBER('参数'!$K$32))=0,"",IF(AND(ISNUMBER(J78),ISNUMBER(J77)),AND(J79&gt;J78,J78&gt;J77),FALSE)+IF(ISNUMBER('参数'!$G$32),J79&lt;'参数'!$G$32,FALSE)+IF(AND(ISNUMBER('参数'!$I$32),ISNUMBER(Q79)),Q79&gt;='参数'!$I$32,FALSE)+IF(AND(ISNUMBER('参数'!$K$32),ISNUMBER(S79)),S79&gt;='参数'!$K$32,FALSE)),"")</f>
        <v/>
      </c>
      <c r="V79" s="40" t="str">
        <f>IF(AND(ISNUMBER(J79),ISNUMBER(K79)),IF(N(ISNUMBER('参数'!$E$33))+N(ISNUMBER('参数'!$G$33))+N(ISNUMBER('参数'!$I$33))+N(ISNUMBER('参数'!$K$33))=0,"",IF(AND(ISNUMBER('参数'!$E$33),ISNUMBER(J78)),AND(J79&gt;='参数'!$E$33,J79&gt;J78),FALSE)+IF(AND(ISNUMBER('参数'!$G$33),ISNUMBER(N79)),N79&lt;='参数'!$G$33,FALSE)+IF(AND(ISNUMBER('参数'!$I$33),ISNUMBER(Q79)),Q79&gt;='参数'!$I$33,FALSE)+IF(AND(ISNUMBER('参数'!$K$33),ISNUMBER(S79)),S79&gt;='参数'!$K$33,FALSE)),"")</f>
        <v/>
      </c>
      <c r="W79" s="40" t="str">
        <f>IF(AND(ISNUMBER(J79),ISNUMBER(K79)),IF(N(ISNUMBER('参数'!$E$34))+N(ISNUMBER('参数'!$G$34))+N(ISNUMBER('参数'!$I$34))+N(ISNUMBER('参数'!$K$34))=0,"",IF(ISNUMBER('参数'!$E$34),J79&gt;='参数'!$E$34,FALSE)+IF(AND(ISNUMBER('参数'!$G$34),ISNUMBER(N79)),N79&lt;='参数'!$G$34,FALSE)+IF(AND(ISNUMBER('参数'!$I$34),ISNUMBER(S79)),S79&gt;='参数'!$I$34,FALSE)+IF(AND(ISNUMBER('参数'!$K$34),ISNUMBER(R79)),R79&gt;='参数'!$K$34,FALSE)),"")</f>
        <v/>
      </c>
      <c r="X79" s="40" t="str">
        <f>IF(AND(ISNUMBER(J79),ISNUMBER(K79)),IF(N(ISNUMBER('参数'!$E$35))+N(ISNUMBER('参数'!$G$35))+N(ISNUMBER('参数'!$I$35))=0,"",IF(AND(ISNUMBER('参数'!$E$35),ISNUMBER(N79),ISNUMBER(N78)),ROUND(N79-N78,6)&gt;='参数'!$E$35,FALSE)+IF(AND(ISNUMBER('参数'!$G$35),ISNUMBER(Q79),ISNUMBER(Q78)),ROUND(Q78-Q79,6)&gt;='参数'!$G$35,FALSE)+IF(AND(ISNUMBER('参数'!$I$35),ISNUMBER(S79),ISNUMBER(S78)),ROUND(S78-S79,6)&gt;='参数'!$I$35,FALSE)+IF(ISNUMBER(J78),J79&lt;J78,FALSE)),"")</f>
        <v/>
      </c>
      <c r="Y79" s="40" t="str">
        <f>IF(AND(ISNUMBER(J79),ISNUMBER(K79)),IF(N(ISNUMBER('参数'!$E$36))+N(ISNUMBER('参数'!$G$36))+N(ISNUMBER('参数'!$I$36))=0,"",IF(AND(ISNUMBER('参数'!$E$36),ISNUMBER(J78)),AND(J79&lt;='参数'!$E$36,J79&lt;J78),FALSE)+IF(ISNUMBER('参数'!$G$36),K79&gt;='参数'!$G$36,FALSE)+IF(AND(ISNUMBER('参数'!$I$36),ISNUMBER(S79)),S79&lt;'参数'!$I$36,FALSE)+IF(AND(ISNUMBER(R79),ISNUMBER(R78)),R79&lt;R78,FALSE)),"")</f>
        <v/>
      </c>
      <c r="Z79" s="41" t="str">
        <f>IF(NOT(AND(ISNUMBER(J79),ISNUMBER(K79))),"",IF(COUNT(T79:Y79)=0,"先填阈值",IF(MAX(AD79:AI79)=0,"不写",INDEX($T$4:$Y$4,MATCH(MAX(AD79:AI79),AD79:AI79,0))&amp;"·"&amp;IF(MAX(AD79:AI79)&gt;=200,"高","中")&amp;IF(LARGE(AD79:AI79,2)&gt;0,"（也像"&amp;INDEX($T$4:$Y$4,MATCH(LARGE(AD79:AI79,2),AD79:AI79,0))&amp;"·"&amp;IF(LARGE(AD79:AI79,2)&gt;=200,"高","中")&amp;"）",""))))</f>
        <v/>
      </c>
      <c r="AA79" s="27" t="n"/>
      <c r="AB79" s="32" t="n"/>
      <c r="AC79" s="16" t="n"/>
      <c r="AD79" s="40">
        <f>IF(N(T79)&gt;=3,IF(T79=4,2,1)*100+T79*10+6,0)</f>
        <v>0</v>
      </c>
      <c r="AE79" s="40">
        <f>IF(N(U79)&gt;=3,1*100+U79*10+1,0)</f>
        <v>0</v>
      </c>
      <c r="AF79" s="40">
        <f>IF(N(V79)&gt;=3,IF(V79=4,2,1)*100+V79*10+2,0)</f>
        <v>0</v>
      </c>
      <c r="AG79" s="40">
        <f>IF(N(W79)&gt;=3,1*100+W79*10+3,0)</f>
        <v>0</v>
      </c>
      <c r="AH79" s="40">
        <f>IF(N(X79)&gt;=3,1*100+X79*10+4,0)</f>
        <v>0</v>
      </c>
      <c r="AI79" s="40">
        <f>IF(N(Y79)&gt;=3,IF(AND(N(T79)&gt;=3,OR(N(T79)=4,N(Y79)&lt;=N(T79))),0,IF(Y79=4,2,1)*100+Y79*10+5),0)</f>
        <v>0</v>
      </c>
    </row>
    <row r="80">
      <c r="A80" s="31" t="n"/>
      <c r="B80" s="36" t="str">
        <f>IF(ISNUMBER(A80),"周"&amp;CHOOSE(WEEKDAY(A80,2),"一","二","三","四","五","六","日"),"")</f>
        <v/>
      </c>
      <c r="C80" s="37" t="n"/>
      <c r="D80" s="37" t="n"/>
      <c r="E80" s="37" t="n"/>
      <c r="F80" s="17" t="n"/>
      <c r="G80" s="38" t="str">
        <f>IF(AND(ISNUMBER(F80),ISNUMBER(F79)),IF(F79=0,"",F80/F79-1),"")</f>
        <v/>
      </c>
      <c r="H80" s="17" t="n"/>
      <c r="I80" s="17" t="n"/>
      <c r="J80" s="17" t="n"/>
      <c r="K80" s="17" t="n"/>
      <c r="L80" s="17" t="n"/>
      <c r="M80" s="17" t="n"/>
      <c r="N80" s="39" t="str">
        <f>IF(AND(ISNUMBER(L80),ISNUMBER(M80),N(L80)&gt;0),M80/L80,"")</f>
        <v/>
      </c>
      <c r="O80" s="17" t="n"/>
      <c r="P80" s="17" t="n"/>
      <c r="Q80" s="39" t="str">
        <f>IF(AND(ISNUMBER(O80),ISNUMBER(P80),N(O80)&gt;0),P80/O80,"")</f>
        <v/>
      </c>
      <c r="R80" s="17" t="n"/>
      <c r="S80" s="37" t="n"/>
      <c r="T80" s="40" t="str">
        <f>IF(AND(ISNUMBER(J80),ISNUMBER(K80)),IF(N(ISNUMBER('参数'!$E$31))+N(ISNUMBER('参数'!$G$31))+N(ISNUMBER('参数'!$I$31))+N(ISNUMBER('参数'!$K$31))=0,"",IF(ISNUMBER('参数'!$E$31),J80&lt;='参数'!$E$31,FALSE)+IF(ISNUMBER('参数'!$G$31),K80&gt;='参数'!$G$31,FALSE)+IF(AND(ISNUMBER('参数'!$I$31),ISNUMBER(N80)),N80&gt;='参数'!$I$31,FALSE)+IF(AND(ISNUMBER('参数'!$K$31),ISNUMBER(Q80)),Q80&lt;='参数'!$K$31,FALSE)),"")</f>
        <v/>
      </c>
      <c r="U80" s="40" t="str">
        <f>IF(AND(ISNUMBER(J80),ISNUMBER(K80)),IF(N(ISNUMBER('参数'!$G$32))+N(ISNUMBER('参数'!$I$32))+N(ISNUMBER('参数'!$K$32))=0,"",IF(AND(ISNUMBER(J79),ISNUMBER(J78)),AND(J80&gt;J79,J79&gt;J78),FALSE)+IF(ISNUMBER('参数'!$G$32),J80&lt;'参数'!$G$32,FALSE)+IF(AND(ISNUMBER('参数'!$I$32),ISNUMBER(Q80)),Q80&gt;='参数'!$I$32,FALSE)+IF(AND(ISNUMBER('参数'!$K$32),ISNUMBER(S80)),S80&gt;='参数'!$K$32,FALSE)),"")</f>
        <v/>
      </c>
      <c r="V80" s="40" t="str">
        <f>IF(AND(ISNUMBER(J80),ISNUMBER(K80)),IF(N(ISNUMBER('参数'!$E$33))+N(ISNUMBER('参数'!$G$33))+N(ISNUMBER('参数'!$I$33))+N(ISNUMBER('参数'!$K$33))=0,"",IF(AND(ISNUMBER('参数'!$E$33),ISNUMBER(J79)),AND(J80&gt;='参数'!$E$33,J80&gt;J79),FALSE)+IF(AND(ISNUMBER('参数'!$G$33),ISNUMBER(N80)),N80&lt;='参数'!$G$33,FALSE)+IF(AND(ISNUMBER('参数'!$I$33),ISNUMBER(Q80)),Q80&gt;='参数'!$I$33,FALSE)+IF(AND(ISNUMBER('参数'!$K$33),ISNUMBER(S80)),S80&gt;='参数'!$K$33,FALSE)),"")</f>
        <v/>
      </c>
      <c r="W80" s="40" t="str">
        <f>IF(AND(ISNUMBER(J80),ISNUMBER(K80)),IF(N(ISNUMBER('参数'!$E$34))+N(ISNUMBER('参数'!$G$34))+N(ISNUMBER('参数'!$I$34))+N(ISNUMBER('参数'!$K$34))=0,"",IF(ISNUMBER('参数'!$E$34),J80&gt;='参数'!$E$34,FALSE)+IF(AND(ISNUMBER('参数'!$G$34),ISNUMBER(N80)),N80&lt;='参数'!$G$34,FALSE)+IF(AND(ISNUMBER('参数'!$I$34),ISNUMBER(S80)),S80&gt;='参数'!$I$34,FALSE)+IF(AND(ISNUMBER('参数'!$K$34),ISNUMBER(R80)),R80&gt;='参数'!$K$34,FALSE)),"")</f>
        <v/>
      </c>
      <c r="X80" s="40" t="str">
        <f>IF(AND(ISNUMBER(J80),ISNUMBER(K80)),IF(N(ISNUMBER('参数'!$E$35))+N(ISNUMBER('参数'!$G$35))+N(ISNUMBER('参数'!$I$35))=0,"",IF(AND(ISNUMBER('参数'!$E$35),ISNUMBER(N80),ISNUMBER(N79)),ROUND(N80-N79,6)&gt;='参数'!$E$35,FALSE)+IF(AND(ISNUMBER('参数'!$G$35),ISNUMBER(Q80),ISNUMBER(Q79)),ROUND(Q79-Q80,6)&gt;='参数'!$G$35,FALSE)+IF(AND(ISNUMBER('参数'!$I$35),ISNUMBER(S80),ISNUMBER(S79)),ROUND(S79-S80,6)&gt;='参数'!$I$35,FALSE)+IF(ISNUMBER(J79),J80&lt;J79,FALSE)),"")</f>
        <v/>
      </c>
      <c r="Y80" s="40" t="str">
        <f>IF(AND(ISNUMBER(J80),ISNUMBER(K80)),IF(N(ISNUMBER('参数'!$E$36))+N(ISNUMBER('参数'!$G$36))+N(ISNUMBER('参数'!$I$36))=0,"",IF(AND(ISNUMBER('参数'!$E$36),ISNUMBER(J79)),AND(J80&lt;='参数'!$E$36,J80&lt;J79),FALSE)+IF(ISNUMBER('参数'!$G$36),K80&gt;='参数'!$G$36,FALSE)+IF(AND(ISNUMBER('参数'!$I$36),ISNUMBER(S80)),S80&lt;'参数'!$I$36,FALSE)+IF(AND(ISNUMBER(R80),ISNUMBER(R79)),R80&lt;R79,FALSE)),"")</f>
        <v/>
      </c>
      <c r="Z80" s="41" t="str">
        <f>IF(NOT(AND(ISNUMBER(J80),ISNUMBER(K80))),"",IF(COUNT(T80:Y80)=0,"先填阈值",IF(MAX(AD80:AI80)=0,"不写",INDEX($T$4:$Y$4,MATCH(MAX(AD80:AI80),AD80:AI80,0))&amp;"·"&amp;IF(MAX(AD80:AI80)&gt;=200,"高","中")&amp;IF(LARGE(AD80:AI80,2)&gt;0,"（也像"&amp;INDEX($T$4:$Y$4,MATCH(LARGE(AD80:AI80,2),AD80:AI80,0))&amp;"·"&amp;IF(LARGE(AD80:AI80,2)&gt;=200,"高","中")&amp;"）",""))))</f>
        <v/>
      </c>
      <c r="AA80" s="27" t="n"/>
      <c r="AB80" s="32" t="n"/>
      <c r="AC80" s="16" t="n"/>
      <c r="AD80" s="40">
        <f>IF(N(T80)&gt;=3,IF(T80=4,2,1)*100+T80*10+6,0)</f>
        <v>0</v>
      </c>
      <c r="AE80" s="40">
        <f>IF(N(U80)&gt;=3,1*100+U80*10+1,0)</f>
        <v>0</v>
      </c>
      <c r="AF80" s="40">
        <f>IF(N(V80)&gt;=3,IF(V80=4,2,1)*100+V80*10+2,0)</f>
        <v>0</v>
      </c>
      <c r="AG80" s="40">
        <f>IF(N(W80)&gt;=3,1*100+W80*10+3,0)</f>
        <v>0</v>
      </c>
      <c r="AH80" s="40">
        <f>IF(N(X80)&gt;=3,1*100+X80*10+4,0)</f>
        <v>0</v>
      </c>
      <c r="AI80" s="40">
        <f>IF(N(Y80)&gt;=3,IF(AND(N(T80)&gt;=3,OR(N(T80)=4,N(Y80)&lt;=N(T80))),0,IF(Y80=4,2,1)*100+Y80*10+5),0)</f>
        <v>0</v>
      </c>
    </row>
    <row r="81">
      <c r="A81" s="31" t="n"/>
      <c r="B81" s="36" t="str">
        <f>IF(ISNUMBER(A81),"周"&amp;CHOOSE(WEEKDAY(A81,2),"一","二","三","四","五","六","日"),"")</f>
        <v/>
      </c>
      <c r="C81" s="37" t="n"/>
      <c r="D81" s="37" t="n"/>
      <c r="E81" s="37" t="n"/>
      <c r="F81" s="17" t="n"/>
      <c r="G81" s="38" t="str">
        <f>IF(AND(ISNUMBER(F81),ISNUMBER(F80)),IF(F80=0,"",F81/F80-1),"")</f>
        <v/>
      </c>
      <c r="H81" s="17" t="n"/>
      <c r="I81" s="17" t="n"/>
      <c r="J81" s="17" t="n"/>
      <c r="K81" s="17" t="n"/>
      <c r="L81" s="17" t="n"/>
      <c r="M81" s="17" t="n"/>
      <c r="N81" s="39" t="str">
        <f>IF(AND(ISNUMBER(L81),ISNUMBER(M81),N(L81)&gt;0),M81/L81,"")</f>
        <v/>
      </c>
      <c r="O81" s="17" t="n"/>
      <c r="P81" s="17" t="n"/>
      <c r="Q81" s="39" t="str">
        <f>IF(AND(ISNUMBER(O81),ISNUMBER(P81),N(O81)&gt;0),P81/O81,"")</f>
        <v/>
      </c>
      <c r="R81" s="17" t="n"/>
      <c r="S81" s="37" t="n"/>
      <c r="T81" s="40" t="str">
        <f>IF(AND(ISNUMBER(J81),ISNUMBER(K81)),IF(N(ISNUMBER('参数'!$E$31))+N(ISNUMBER('参数'!$G$31))+N(ISNUMBER('参数'!$I$31))+N(ISNUMBER('参数'!$K$31))=0,"",IF(ISNUMBER('参数'!$E$31),J81&lt;='参数'!$E$31,FALSE)+IF(ISNUMBER('参数'!$G$31),K81&gt;='参数'!$G$31,FALSE)+IF(AND(ISNUMBER('参数'!$I$31),ISNUMBER(N81)),N81&gt;='参数'!$I$31,FALSE)+IF(AND(ISNUMBER('参数'!$K$31),ISNUMBER(Q81)),Q81&lt;='参数'!$K$31,FALSE)),"")</f>
        <v/>
      </c>
      <c r="U81" s="40" t="str">
        <f>IF(AND(ISNUMBER(J81),ISNUMBER(K81)),IF(N(ISNUMBER('参数'!$G$32))+N(ISNUMBER('参数'!$I$32))+N(ISNUMBER('参数'!$K$32))=0,"",IF(AND(ISNUMBER(J80),ISNUMBER(J79)),AND(J81&gt;J80,J80&gt;J79),FALSE)+IF(ISNUMBER('参数'!$G$32),J81&lt;'参数'!$G$32,FALSE)+IF(AND(ISNUMBER('参数'!$I$32),ISNUMBER(Q81)),Q81&gt;='参数'!$I$32,FALSE)+IF(AND(ISNUMBER('参数'!$K$32),ISNUMBER(S81)),S81&gt;='参数'!$K$32,FALSE)),"")</f>
        <v/>
      </c>
      <c r="V81" s="40" t="str">
        <f>IF(AND(ISNUMBER(J81),ISNUMBER(K81)),IF(N(ISNUMBER('参数'!$E$33))+N(ISNUMBER('参数'!$G$33))+N(ISNUMBER('参数'!$I$33))+N(ISNUMBER('参数'!$K$33))=0,"",IF(AND(ISNUMBER('参数'!$E$33),ISNUMBER(J80)),AND(J81&gt;='参数'!$E$33,J81&gt;J80),FALSE)+IF(AND(ISNUMBER('参数'!$G$33),ISNUMBER(N81)),N81&lt;='参数'!$G$33,FALSE)+IF(AND(ISNUMBER('参数'!$I$33),ISNUMBER(Q81)),Q81&gt;='参数'!$I$33,FALSE)+IF(AND(ISNUMBER('参数'!$K$33),ISNUMBER(S81)),S81&gt;='参数'!$K$33,FALSE)),"")</f>
        <v/>
      </c>
      <c r="W81" s="40" t="str">
        <f>IF(AND(ISNUMBER(J81),ISNUMBER(K81)),IF(N(ISNUMBER('参数'!$E$34))+N(ISNUMBER('参数'!$G$34))+N(ISNUMBER('参数'!$I$34))+N(ISNUMBER('参数'!$K$34))=0,"",IF(ISNUMBER('参数'!$E$34),J81&gt;='参数'!$E$34,FALSE)+IF(AND(ISNUMBER('参数'!$G$34),ISNUMBER(N81)),N81&lt;='参数'!$G$34,FALSE)+IF(AND(ISNUMBER('参数'!$I$34),ISNUMBER(S81)),S81&gt;='参数'!$I$34,FALSE)+IF(AND(ISNUMBER('参数'!$K$34),ISNUMBER(R81)),R81&gt;='参数'!$K$34,FALSE)),"")</f>
        <v/>
      </c>
      <c r="X81" s="40" t="str">
        <f>IF(AND(ISNUMBER(J81),ISNUMBER(K81)),IF(N(ISNUMBER('参数'!$E$35))+N(ISNUMBER('参数'!$G$35))+N(ISNUMBER('参数'!$I$35))=0,"",IF(AND(ISNUMBER('参数'!$E$35),ISNUMBER(N81),ISNUMBER(N80)),ROUND(N81-N80,6)&gt;='参数'!$E$35,FALSE)+IF(AND(ISNUMBER('参数'!$G$35),ISNUMBER(Q81),ISNUMBER(Q80)),ROUND(Q80-Q81,6)&gt;='参数'!$G$35,FALSE)+IF(AND(ISNUMBER('参数'!$I$35),ISNUMBER(S81),ISNUMBER(S80)),ROUND(S80-S81,6)&gt;='参数'!$I$35,FALSE)+IF(ISNUMBER(J80),J81&lt;J80,FALSE)),"")</f>
        <v/>
      </c>
      <c r="Y81" s="40" t="str">
        <f>IF(AND(ISNUMBER(J81),ISNUMBER(K81)),IF(N(ISNUMBER('参数'!$E$36))+N(ISNUMBER('参数'!$G$36))+N(ISNUMBER('参数'!$I$36))=0,"",IF(AND(ISNUMBER('参数'!$E$36),ISNUMBER(J80)),AND(J81&lt;='参数'!$E$36,J81&lt;J80),FALSE)+IF(ISNUMBER('参数'!$G$36),K81&gt;='参数'!$G$36,FALSE)+IF(AND(ISNUMBER('参数'!$I$36),ISNUMBER(S81)),S81&lt;'参数'!$I$36,FALSE)+IF(AND(ISNUMBER(R81),ISNUMBER(R80)),R81&lt;R80,FALSE)),"")</f>
        <v/>
      </c>
      <c r="Z81" s="41" t="str">
        <f>IF(NOT(AND(ISNUMBER(J81),ISNUMBER(K81))),"",IF(COUNT(T81:Y81)=0,"先填阈值",IF(MAX(AD81:AI81)=0,"不写",INDEX($T$4:$Y$4,MATCH(MAX(AD81:AI81),AD81:AI81,0))&amp;"·"&amp;IF(MAX(AD81:AI81)&gt;=200,"高","中")&amp;IF(LARGE(AD81:AI81,2)&gt;0,"（也像"&amp;INDEX($T$4:$Y$4,MATCH(LARGE(AD81:AI81,2),AD81:AI81,0))&amp;"·"&amp;IF(LARGE(AD81:AI81,2)&gt;=200,"高","中")&amp;"）",""))))</f>
        <v/>
      </c>
      <c r="AA81" s="27" t="n"/>
      <c r="AB81" s="32" t="n"/>
      <c r="AC81" s="16" t="n"/>
      <c r="AD81" s="40">
        <f>IF(N(T81)&gt;=3,IF(T81=4,2,1)*100+T81*10+6,0)</f>
        <v>0</v>
      </c>
      <c r="AE81" s="40">
        <f>IF(N(U81)&gt;=3,1*100+U81*10+1,0)</f>
        <v>0</v>
      </c>
      <c r="AF81" s="40">
        <f>IF(N(V81)&gt;=3,IF(V81=4,2,1)*100+V81*10+2,0)</f>
        <v>0</v>
      </c>
      <c r="AG81" s="40">
        <f>IF(N(W81)&gt;=3,1*100+W81*10+3,0)</f>
        <v>0</v>
      </c>
      <c r="AH81" s="40">
        <f>IF(N(X81)&gt;=3,1*100+X81*10+4,0)</f>
        <v>0</v>
      </c>
      <c r="AI81" s="40">
        <f>IF(N(Y81)&gt;=3,IF(AND(N(T81)&gt;=3,OR(N(T81)=4,N(Y81)&lt;=N(T81))),0,IF(Y81=4,2,1)*100+Y81*10+5),0)</f>
        <v>0</v>
      </c>
    </row>
    <row r="82">
      <c r="A82" s="31" t="n"/>
      <c r="B82" s="36" t="str">
        <f>IF(ISNUMBER(A82),"周"&amp;CHOOSE(WEEKDAY(A82,2),"一","二","三","四","五","六","日"),"")</f>
        <v/>
      </c>
      <c r="C82" s="37" t="n"/>
      <c r="D82" s="37" t="n"/>
      <c r="E82" s="37" t="n"/>
      <c r="F82" s="17" t="n"/>
      <c r="G82" s="38" t="str">
        <f>IF(AND(ISNUMBER(F82),ISNUMBER(F81)),IF(F81=0,"",F82/F81-1),"")</f>
        <v/>
      </c>
      <c r="H82" s="17" t="n"/>
      <c r="I82" s="17" t="n"/>
      <c r="J82" s="17" t="n"/>
      <c r="K82" s="17" t="n"/>
      <c r="L82" s="17" t="n"/>
      <c r="M82" s="17" t="n"/>
      <c r="N82" s="39" t="str">
        <f>IF(AND(ISNUMBER(L82),ISNUMBER(M82),N(L82)&gt;0),M82/L82,"")</f>
        <v/>
      </c>
      <c r="O82" s="17" t="n"/>
      <c r="P82" s="17" t="n"/>
      <c r="Q82" s="39" t="str">
        <f>IF(AND(ISNUMBER(O82),ISNUMBER(P82),N(O82)&gt;0),P82/O82,"")</f>
        <v/>
      </c>
      <c r="R82" s="17" t="n"/>
      <c r="S82" s="37" t="n"/>
      <c r="T82" s="40" t="str">
        <f>IF(AND(ISNUMBER(J82),ISNUMBER(K82)),IF(N(ISNUMBER('参数'!$E$31))+N(ISNUMBER('参数'!$G$31))+N(ISNUMBER('参数'!$I$31))+N(ISNUMBER('参数'!$K$31))=0,"",IF(ISNUMBER('参数'!$E$31),J82&lt;='参数'!$E$31,FALSE)+IF(ISNUMBER('参数'!$G$31),K82&gt;='参数'!$G$31,FALSE)+IF(AND(ISNUMBER('参数'!$I$31),ISNUMBER(N82)),N82&gt;='参数'!$I$31,FALSE)+IF(AND(ISNUMBER('参数'!$K$31),ISNUMBER(Q82)),Q82&lt;='参数'!$K$31,FALSE)),"")</f>
        <v/>
      </c>
      <c r="U82" s="40" t="str">
        <f>IF(AND(ISNUMBER(J82),ISNUMBER(K82)),IF(N(ISNUMBER('参数'!$G$32))+N(ISNUMBER('参数'!$I$32))+N(ISNUMBER('参数'!$K$32))=0,"",IF(AND(ISNUMBER(J81),ISNUMBER(J80)),AND(J82&gt;J81,J81&gt;J80),FALSE)+IF(ISNUMBER('参数'!$G$32),J82&lt;'参数'!$G$32,FALSE)+IF(AND(ISNUMBER('参数'!$I$32),ISNUMBER(Q82)),Q82&gt;='参数'!$I$32,FALSE)+IF(AND(ISNUMBER('参数'!$K$32),ISNUMBER(S82)),S82&gt;='参数'!$K$32,FALSE)),"")</f>
        <v/>
      </c>
      <c r="V82" s="40" t="str">
        <f>IF(AND(ISNUMBER(J82),ISNUMBER(K82)),IF(N(ISNUMBER('参数'!$E$33))+N(ISNUMBER('参数'!$G$33))+N(ISNUMBER('参数'!$I$33))+N(ISNUMBER('参数'!$K$33))=0,"",IF(AND(ISNUMBER('参数'!$E$33),ISNUMBER(J81)),AND(J82&gt;='参数'!$E$33,J82&gt;J81),FALSE)+IF(AND(ISNUMBER('参数'!$G$33),ISNUMBER(N82)),N82&lt;='参数'!$G$33,FALSE)+IF(AND(ISNUMBER('参数'!$I$33),ISNUMBER(Q82)),Q82&gt;='参数'!$I$33,FALSE)+IF(AND(ISNUMBER('参数'!$K$33),ISNUMBER(S82)),S82&gt;='参数'!$K$33,FALSE)),"")</f>
        <v/>
      </c>
      <c r="W82" s="40" t="str">
        <f>IF(AND(ISNUMBER(J82),ISNUMBER(K82)),IF(N(ISNUMBER('参数'!$E$34))+N(ISNUMBER('参数'!$G$34))+N(ISNUMBER('参数'!$I$34))+N(ISNUMBER('参数'!$K$34))=0,"",IF(ISNUMBER('参数'!$E$34),J82&gt;='参数'!$E$34,FALSE)+IF(AND(ISNUMBER('参数'!$G$34),ISNUMBER(N82)),N82&lt;='参数'!$G$34,FALSE)+IF(AND(ISNUMBER('参数'!$I$34),ISNUMBER(S82)),S82&gt;='参数'!$I$34,FALSE)+IF(AND(ISNUMBER('参数'!$K$34),ISNUMBER(R82)),R82&gt;='参数'!$K$34,FALSE)),"")</f>
        <v/>
      </c>
      <c r="X82" s="40" t="str">
        <f>IF(AND(ISNUMBER(J82),ISNUMBER(K82)),IF(N(ISNUMBER('参数'!$E$35))+N(ISNUMBER('参数'!$G$35))+N(ISNUMBER('参数'!$I$35))=0,"",IF(AND(ISNUMBER('参数'!$E$35),ISNUMBER(N82),ISNUMBER(N81)),ROUND(N82-N81,6)&gt;='参数'!$E$35,FALSE)+IF(AND(ISNUMBER('参数'!$G$35),ISNUMBER(Q82),ISNUMBER(Q81)),ROUND(Q81-Q82,6)&gt;='参数'!$G$35,FALSE)+IF(AND(ISNUMBER('参数'!$I$35),ISNUMBER(S82),ISNUMBER(S81)),ROUND(S81-S82,6)&gt;='参数'!$I$35,FALSE)+IF(ISNUMBER(J81),J82&lt;J81,FALSE)),"")</f>
        <v/>
      </c>
      <c r="Y82" s="40" t="str">
        <f>IF(AND(ISNUMBER(J82),ISNUMBER(K82)),IF(N(ISNUMBER('参数'!$E$36))+N(ISNUMBER('参数'!$G$36))+N(ISNUMBER('参数'!$I$36))=0,"",IF(AND(ISNUMBER('参数'!$E$36),ISNUMBER(J81)),AND(J82&lt;='参数'!$E$36,J82&lt;J81),FALSE)+IF(ISNUMBER('参数'!$G$36),K82&gt;='参数'!$G$36,FALSE)+IF(AND(ISNUMBER('参数'!$I$36),ISNUMBER(S82)),S82&lt;'参数'!$I$36,FALSE)+IF(AND(ISNUMBER(R82),ISNUMBER(R81)),R82&lt;R81,FALSE)),"")</f>
        <v/>
      </c>
      <c r="Z82" s="41" t="str">
        <f>IF(NOT(AND(ISNUMBER(J82),ISNUMBER(K82))),"",IF(COUNT(T82:Y82)=0,"先填阈值",IF(MAX(AD82:AI82)=0,"不写",INDEX($T$4:$Y$4,MATCH(MAX(AD82:AI82),AD82:AI82,0))&amp;"·"&amp;IF(MAX(AD82:AI82)&gt;=200,"高","中")&amp;IF(LARGE(AD82:AI82,2)&gt;0,"（也像"&amp;INDEX($T$4:$Y$4,MATCH(LARGE(AD82:AI82,2),AD82:AI82,0))&amp;"·"&amp;IF(LARGE(AD82:AI82,2)&gt;=200,"高","中")&amp;"）",""))))</f>
        <v/>
      </c>
      <c r="AA82" s="27" t="n"/>
      <c r="AB82" s="32" t="n"/>
      <c r="AC82" s="16" t="n"/>
      <c r="AD82" s="40">
        <f>IF(N(T82)&gt;=3,IF(T82=4,2,1)*100+T82*10+6,0)</f>
        <v>0</v>
      </c>
      <c r="AE82" s="40">
        <f>IF(N(U82)&gt;=3,1*100+U82*10+1,0)</f>
        <v>0</v>
      </c>
      <c r="AF82" s="40">
        <f>IF(N(V82)&gt;=3,IF(V82=4,2,1)*100+V82*10+2,0)</f>
        <v>0</v>
      </c>
      <c r="AG82" s="40">
        <f>IF(N(W82)&gt;=3,1*100+W82*10+3,0)</f>
        <v>0</v>
      </c>
      <c r="AH82" s="40">
        <f>IF(N(X82)&gt;=3,1*100+X82*10+4,0)</f>
        <v>0</v>
      </c>
      <c r="AI82" s="40">
        <f>IF(N(Y82)&gt;=3,IF(AND(N(T82)&gt;=3,OR(N(T82)=4,N(Y82)&lt;=N(T82))),0,IF(Y82=4,2,1)*100+Y82*10+5),0)</f>
        <v>0</v>
      </c>
    </row>
    <row r="83">
      <c r="A83" s="31" t="n"/>
      <c r="B83" s="36" t="str">
        <f>IF(ISNUMBER(A83),"周"&amp;CHOOSE(WEEKDAY(A83,2),"一","二","三","四","五","六","日"),"")</f>
        <v/>
      </c>
      <c r="C83" s="37" t="n"/>
      <c r="D83" s="37" t="n"/>
      <c r="E83" s="37" t="n"/>
      <c r="F83" s="17" t="n"/>
      <c r="G83" s="38" t="str">
        <f>IF(AND(ISNUMBER(F83),ISNUMBER(F82)),IF(F82=0,"",F83/F82-1),"")</f>
        <v/>
      </c>
      <c r="H83" s="17" t="n"/>
      <c r="I83" s="17" t="n"/>
      <c r="J83" s="17" t="n"/>
      <c r="K83" s="17" t="n"/>
      <c r="L83" s="17" t="n"/>
      <c r="M83" s="17" t="n"/>
      <c r="N83" s="39" t="str">
        <f>IF(AND(ISNUMBER(L83),ISNUMBER(M83),N(L83)&gt;0),M83/L83,"")</f>
        <v/>
      </c>
      <c r="O83" s="17" t="n"/>
      <c r="P83" s="17" t="n"/>
      <c r="Q83" s="39" t="str">
        <f>IF(AND(ISNUMBER(O83),ISNUMBER(P83),N(O83)&gt;0),P83/O83,"")</f>
        <v/>
      </c>
      <c r="R83" s="17" t="n"/>
      <c r="S83" s="37" t="n"/>
      <c r="T83" s="40" t="str">
        <f>IF(AND(ISNUMBER(J83),ISNUMBER(K83)),IF(N(ISNUMBER('参数'!$E$31))+N(ISNUMBER('参数'!$G$31))+N(ISNUMBER('参数'!$I$31))+N(ISNUMBER('参数'!$K$31))=0,"",IF(ISNUMBER('参数'!$E$31),J83&lt;='参数'!$E$31,FALSE)+IF(ISNUMBER('参数'!$G$31),K83&gt;='参数'!$G$31,FALSE)+IF(AND(ISNUMBER('参数'!$I$31),ISNUMBER(N83)),N83&gt;='参数'!$I$31,FALSE)+IF(AND(ISNUMBER('参数'!$K$31),ISNUMBER(Q83)),Q83&lt;='参数'!$K$31,FALSE)),"")</f>
        <v/>
      </c>
      <c r="U83" s="40" t="str">
        <f>IF(AND(ISNUMBER(J83),ISNUMBER(K83)),IF(N(ISNUMBER('参数'!$G$32))+N(ISNUMBER('参数'!$I$32))+N(ISNUMBER('参数'!$K$32))=0,"",IF(AND(ISNUMBER(J82),ISNUMBER(J81)),AND(J83&gt;J82,J82&gt;J81),FALSE)+IF(ISNUMBER('参数'!$G$32),J83&lt;'参数'!$G$32,FALSE)+IF(AND(ISNUMBER('参数'!$I$32),ISNUMBER(Q83)),Q83&gt;='参数'!$I$32,FALSE)+IF(AND(ISNUMBER('参数'!$K$32),ISNUMBER(S83)),S83&gt;='参数'!$K$32,FALSE)),"")</f>
        <v/>
      </c>
      <c r="V83" s="40" t="str">
        <f>IF(AND(ISNUMBER(J83),ISNUMBER(K83)),IF(N(ISNUMBER('参数'!$E$33))+N(ISNUMBER('参数'!$G$33))+N(ISNUMBER('参数'!$I$33))+N(ISNUMBER('参数'!$K$33))=0,"",IF(AND(ISNUMBER('参数'!$E$33),ISNUMBER(J82)),AND(J83&gt;='参数'!$E$33,J83&gt;J82),FALSE)+IF(AND(ISNUMBER('参数'!$G$33),ISNUMBER(N83)),N83&lt;='参数'!$G$33,FALSE)+IF(AND(ISNUMBER('参数'!$I$33),ISNUMBER(Q83)),Q83&gt;='参数'!$I$33,FALSE)+IF(AND(ISNUMBER('参数'!$K$33),ISNUMBER(S83)),S83&gt;='参数'!$K$33,FALSE)),"")</f>
        <v/>
      </c>
      <c r="W83" s="40" t="str">
        <f>IF(AND(ISNUMBER(J83),ISNUMBER(K83)),IF(N(ISNUMBER('参数'!$E$34))+N(ISNUMBER('参数'!$G$34))+N(ISNUMBER('参数'!$I$34))+N(ISNUMBER('参数'!$K$34))=0,"",IF(ISNUMBER('参数'!$E$34),J83&gt;='参数'!$E$34,FALSE)+IF(AND(ISNUMBER('参数'!$G$34),ISNUMBER(N83)),N83&lt;='参数'!$G$34,FALSE)+IF(AND(ISNUMBER('参数'!$I$34),ISNUMBER(S83)),S83&gt;='参数'!$I$34,FALSE)+IF(AND(ISNUMBER('参数'!$K$34),ISNUMBER(R83)),R83&gt;='参数'!$K$34,FALSE)),"")</f>
        <v/>
      </c>
      <c r="X83" s="40" t="str">
        <f>IF(AND(ISNUMBER(J83),ISNUMBER(K83)),IF(N(ISNUMBER('参数'!$E$35))+N(ISNUMBER('参数'!$G$35))+N(ISNUMBER('参数'!$I$35))=0,"",IF(AND(ISNUMBER('参数'!$E$35),ISNUMBER(N83),ISNUMBER(N82)),ROUND(N83-N82,6)&gt;='参数'!$E$35,FALSE)+IF(AND(ISNUMBER('参数'!$G$35),ISNUMBER(Q83),ISNUMBER(Q82)),ROUND(Q82-Q83,6)&gt;='参数'!$G$35,FALSE)+IF(AND(ISNUMBER('参数'!$I$35),ISNUMBER(S83),ISNUMBER(S82)),ROUND(S82-S83,6)&gt;='参数'!$I$35,FALSE)+IF(ISNUMBER(J82),J83&lt;J82,FALSE)),"")</f>
        <v/>
      </c>
      <c r="Y83" s="40" t="str">
        <f>IF(AND(ISNUMBER(J83),ISNUMBER(K83)),IF(N(ISNUMBER('参数'!$E$36))+N(ISNUMBER('参数'!$G$36))+N(ISNUMBER('参数'!$I$36))=0,"",IF(AND(ISNUMBER('参数'!$E$36),ISNUMBER(J82)),AND(J83&lt;='参数'!$E$36,J83&lt;J82),FALSE)+IF(ISNUMBER('参数'!$G$36),K83&gt;='参数'!$G$36,FALSE)+IF(AND(ISNUMBER('参数'!$I$36),ISNUMBER(S83)),S83&lt;'参数'!$I$36,FALSE)+IF(AND(ISNUMBER(R83),ISNUMBER(R82)),R83&lt;R82,FALSE)),"")</f>
        <v/>
      </c>
      <c r="Z83" s="41" t="str">
        <f>IF(NOT(AND(ISNUMBER(J83),ISNUMBER(K83))),"",IF(COUNT(T83:Y83)=0,"先填阈值",IF(MAX(AD83:AI83)=0,"不写",INDEX($T$4:$Y$4,MATCH(MAX(AD83:AI83),AD83:AI83,0))&amp;"·"&amp;IF(MAX(AD83:AI83)&gt;=200,"高","中")&amp;IF(LARGE(AD83:AI83,2)&gt;0,"（也像"&amp;INDEX($T$4:$Y$4,MATCH(LARGE(AD83:AI83,2),AD83:AI83,0))&amp;"·"&amp;IF(LARGE(AD83:AI83,2)&gt;=200,"高","中")&amp;"）",""))))</f>
        <v/>
      </c>
      <c r="AA83" s="27" t="n"/>
      <c r="AB83" s="32" t="n"/>
      <c r="AC83" s="16" t="n"/>
      <c r="AD83" s="40">
        <f>IF(N(T83)&gt;=3,IF(T83=4,2,1)*100+T83*10+6,0)</f>
        <v>0</v>
      </c>
      <c r="AE83" s="40">
        <f>IF(N(U83)&gt;=3,1*100+U83*10+1,0)</f>
        <v>0</v>
      </c>
      <c r="AF83" s="40">
        <f>IF(N(V83)&gt;=3,IF(V83=4,2,1)*100+V83*10+2,0)</f>
        <v>0</v>
      </c>
      <c r="AG83" s="40">
        <f>IF(N(W83)&gt;=3,1*100+W83*10+3,0)</f>
        <v>0</v>
      </c>
      <c r="AH83" s="40">
        <f>IF(N(X83)&gt;=3,1*100+X83*10+4,0)</f>
        <v>0</v>
      </c>
      <c r="AI83" s="40">
        <f>IF(N(Y83)&gt;=3,IF(AND(N(T83)&gt;=3,OR(N(T83)=4,N(Y83)&lt;=N(T83))),0,IF(Y83=4,2,1)*100+Y83*10+5),0)</f>
        <v>0</v>
      </c>
    </row>
    <row r="84">
      <c r="A84" s="31" t="n"/>
      <c r="B84" s="36" t="str">
        <f>IF(ISNUMBER(A84),"周"&amp;CHOOSE(WEEKDAY(A84,2),"一","二","三","四","五","六","日"),"")</f>
        <v/>
      </c>
      <c r="C84" s="37" t="n"/>
      <c r="D84" s="37" t="n"/>
      <c r="E84" s="37" t="n"/>
      <c r="F84" s="17" t="n"/>
      <c r="G84" s="38" t="str">
        <f>IF(AND(ISNUMBER(F84),ISNUMBER(F83)),IF(F83=0,"",F84/F83-1),"")</f>
        <v/>
      </c>
      <c r="H84" s="17" t="n"/>
      <c r="I84" s="17" t="n"/>
      <c r="J84" s="17" t="n"/>
      <c r="K84" s="17" t="n"/>
      <c r="L84" s="17" t="n"/>
      <c r="M84" s="17" t="n"/>
      <c r="N84" s="39" t="str">
        <f>IF(AND(ISNUMBER(L84),ISNUMBER(M84),N(L84)&gt;0),M84/L84,"")</f>
        <v/>
      </c>
      <c r="O84" s="17" t="n"/>
      <c r="P84" s="17" t="n"/>
      <c r="Q84" s="39" t="str">
        <f>IF(AND(ISNUMBER(O84),ISNUMBER(P84),N(O84)&gt;0),P84/O84,"")</f>
        <v/>
      </c>
      <c r="R84" s="17" t="n"/>
      <c r="S84" s="37" t="n"/>
      <c r="T84" s="40" t="str">
        <f>IF(AND(ISNUMBER(J84),ISNUMBER(K84)),IF(N(ISNUMBER('参数'!$E$31))+N(ISNUMBER('参数'!$G$31))+N(ISNUMBER('参数'!$I$31))+N(ISNUMBER('参数'!$K$31))=0,"",IF(ISNUMBER('参数'!$E$31),J84&lt;='参数'!$E$31,FALSE)+IF(ISNUMBER('参数'!$G$31),K84&gt;='参数'!$G$31,FALSE)+IF(AND(ISNUMBER('参数'!$I$31),ISNUMBER(N84)),N84&gt;='参数'!$I$31,FALSE)+IF(AND(ISNUMBER('参数'!$K$31),ISNUMBER(Q84)),Q84&lt;='参数'!$K$31,FALSE)),"")</f>
        <v/>
      </c>
      <c r="U84" s="40" t="str">
        <f>IF(AND(ISNUMBER(J84),ISNUMBER(K84)),IF(N(ISNUMBER('参数'!$G$32))+N(ISNUMBER('参数'!$I$32))+N(ISNUMBER('参数'!$K$32))=0,"",IF(AND(ISNUMBER(J83),ISNUMBER(J82)),AND(J84&gt;J83,J83&gt;J82),FALSE)+IF(ISNUMBER('参数'!$G$32),J84&lt;'参数'!$G$32,FALSE)+IF(AND(ISNUMBER('参数'!$I$32),ISNUMBER(Q84)),Q84&gt;='参数'!$I$32,FALSE)+IF(AND(ISNUMBER('参数'!$K$32),ISNUMBER(S84)),S84&gt;='参数'!$K$32,FALSE)),"")</f>
        <v/>
      </c>
      <c r="V84" s="40" t="str">
        <f>IF(AND(ISNUMBER(J84),ISNUMBER(K84)),IF(N(ISNUMBER('参数'!$E$33))+N(ISNUMBER('参数'!$G$33))+N(ISNUMBER('参数'!$I$33))+N(ISNUMBER('参数'!$K$33))=0,"",IF(AND(ISNUMBER('参数'!$E$33),ISNUMBER(J83)),AND(J84&gt;='参数'!$E$33,J84&gt;J83),FALSE)+IF(AND(ISNUMBER('参数'!$G$33),ISNUMBER(N84)),N84&lt;='参数'!$G$33,FALSE)+IF(AND(ISNUMBER('参数'!$I$33),ISNUMBER(Q84)),Q84&gt;='参数'!$I$33,FALSE)+IF(AND(ISNUMBER('参数'!$K$33),ISNUMBER(S84)),S84&gt;='参数'!$K$33,FALSE)),"")</f>
        <v/>
      </c>
      <c r="W84" s="40" t="str">
        <f>IF(AND(ISNUMBER(J84),ISNUMBER(K84)),IF(N(ISNUMBER('参数'!$E$34))+N(ISNUMBER('参数'!$G$34))+N(ISNUMBER('参数'!$I$34))+N(ISNUMBER('参数'!$K$34))=0,"",IF(ISNUMBER('参数'!$E$34),J84&gt;='参数'!$E$34,FALSE)+IF(AND(ISNUMBER('参数'!$G$34),ISNUMBER(N84)),N84&lt;='参数'!$G$34,FALSE)+IF(AND(ISNUMBER('参数'!$I$34),ISNUMBER(S84)),S84&gt;='参数'!$I$34,FALSE)+IF(AND(ISNUMBER('参数'!$K$34),ISNUMBER(R84)),R84&gt;='参数'!$K$34,FALSE)),"")</f>
        <v/>
      </c>
      <c r="X84" s="40" t="str">
        <f>IF(AND(ISNUMBER(J84),ISNUMBER(K84)),IF(N(ISNUMBER('参数'!$E$35))+N(ISNUMBER('参数'!$G$35))+N(ISNUMBER('参数'!$I$35))=0,"",IF(AND(ISNUMBER('参数'!$E$35),ISNUMBER(N84),ISNUMBER(N83)),ROUND(N84-N83,6)&gt;='参数'!$E$35,FALSE)+IF(AND(ISNUMBER('参数'!$G$35),ISNUMBER(Q84),ISNUMBER(Q83)),ROUND(Q83-Q84,6)&gt;='参数'!$G$35,FALSE)+IF(AND(ISNUMBER('参数'!$I$35),ISNUMBER(S84),ISNUMBER(S83)),ROUND(S83-S84,6)&gt;='参数'!$I$35,FALSE)+IF(ISNUMBER(J83),J84&lt;J83,FALSE)),"")</f>
        <v/>
      </c>
      <c r="Y84" s="40" t="str">
        <f>IF(AND(ISNUMBER(J84),ISNUMBER(K84)),IF(N(ISNUMBER('参数'!$E$36))+N(ISNUMBER('参数'!$G$36))+N(ISNUMBER('参数'!$I$36))=0,"",IF(AND(ISNUMBER('参数'!$E$36),ISNUMBER(J83)),AND(J84&lt;='参数'!$E$36,J84&lt;J83),FALSE)+IF(ISNUMBER('参数'!$G$36),K84&gt;='参数'!$G$36,FALSE)+IF(AND(ISNUMBER('参数'!$I$36),ISNUMBER(S84)),S84&lt;'参数'!$I$36,FALSE)+IF(AND(ISNUMBER(R84),ISNUMBER(R83)),R84&lt;R83,FALSE)),"")</f>
        <v/>
      </c>
      <c r="Z84" s="41" t="str">
        <f>IF(NOT(AND(ISNUMBER(J84),ISNUMBER(K84))),"",IF(COUNT(T84:Y84)=0,"先填阈值",IF(MAX(AD84:AI84)=0,"不写",INDEX($T$4:$Y$4,MATCH(MAX(AD84:AI84),AD84:AI84,0))&amp;"·"&amp;IF(MAX(AD84:AI84)&gt;=200,"高","中")&amp;IF(LARGE(AD84:AI84,2)&gt;0,"（也像"&amp;INDEX($T$4:$Y$4,MATCH(LARGE(AD84:AI84,2),AD84:AI84,0))&amp;"·"&amp;IF(LARGE(AD84:AI84,2)&gt;=200,"高","中")&amp;"）",""))))</f>
        <v/>
      </c>
      <c r="AA84" s="27" t="n"/>
      <c r="AB84" s="32" t="n"/>
      <c r="AC84" s="16" t="n"/>
      <c r="AD84" s="40">
        <f>IF(N(T84)&gt;=3,IF(T84=4,2,1)*100+T84*10+6,0)</f>
        <v>0</v>
      </c>
      <c r="AE84" s="40">
        <f>IF(N(U84)&gt;=3,1*100+U84*10+1,0)</f>
        <v>0</v>
      </c>
      <c r="AF84" s="40">
        <f>IF(N(V84)&gt;=3,IF(V84=4,2,1)*100+V84*10+2,0)</f>
        <v>0</v>
      </c>
      <c r="AG84" s="40">
        <f>IF(N(W84)&gt;=3,1*100+W84*10+3,0)</f>
        <v>0</v>
      </c>
      <c r="AH84" s="40">
        <f>IF(N(X84)&gt;=3,1*100+X84*10+4,0)</f>
        <v>0</v>
      </c>
      <c r="AI84" s="40">
        <f>IF(N(Y84)&gt;=3,IF(AND(N(T84)&gt;=3,OR(N(T84)=4,N(Y84)&lt;=N(T84))),0,IF(Y84=4,2,1)*100+Y84*10+5),0)</f>
        <v>0</v>
      </c>
    </row>
    <row r="85">
      <c r="A85" s="31" t="n"/>
      <c r="B85" s="36" t="str">
        <f>IF(ISNUMBER(A85),"周"&amp;CHOOSE(WEEKDAY(A85,2),"一","二","三","四","五","六","日"),"")</f>
        <v/>
      </c>
      <c r="C85" s="37" t="n"/>
      <c r="D85" s="37" t="n"/>
      <c r="E85" s="37" t="n"/>
      <c r="F85" s="17" t="n"/>
      <c r="G85" s="38" t="str">
        <f>IF(AND(ISNUMBER(F85),ISNUMBER(F84)),IF(F84=0,"",F85/F84-1),"")</f>
        <v/>
      </c>
      <c r="H85" s="17" t="n"/>
      <c r="I85" s="17" t="n"/>
      <c r="J85" s="17" t="n"/>
      <c r="K85" s="17" t="n"/>
      <c r="L85" s="17" t="n"/>
      <c r="M85" s="17" t="n"/>
      <c r="N85" s="39" t="str">
        <f>IF(AND(ISNUMBER(L85),ISNUMBER(M85),N(L85)&gt;0),M85/L85,"")</f>
        <v/>
      </c>
      <c r="O85" s="17" t="n"/>
      <c r="P85" s="17" t="n"/>
      <c r="Q85" s="39" t="str">
        <f>IF(AND(ISNUMBER(O85),ISNUMBER(P85),N(O85)&gt;0),P85/O85,"")</f>
        <v/>
      </c>
      <c r="R85" s="17" t="n"/>
      <c r="S85" s="37" t="n"/>
      <c r="T85" s="40" t="str">
        <f>IF(AND(ISNUMBER(J85),ISNUMBER(K85)),IF(N(ISNUMBER('参数'!$E$31))+N(ISNUMBER('参数'!$G$31))+N(ISNUMBER('参数'!$I$31))+N(ISNUMBER('参数'!$K$31))=0,"",IF(ISNUMBER('参数'!$E$31),J85&lt;='参数'!$E$31,FALSE)+IF(ISNUMBER('参数'!$G$31),K85&gt;='参数'!$G$31,FALSE)+IF(AND(ISNUMBER('参数'!$I$31),ISNUMBER(N85)),N85&gt;='参数'!$I$31,FALSE)+IF(AND(ISNUMBER('参数'!$K$31),ISNUMBER(Q85)),Q85&lt;='参数'!$K$31,FALSE)),"")</f>
        <v/>
      </c>
      <c r="U85" s="40" t="str">
        <f>IF(AND(ISNUMBER(J85),ISNUMBER(K85)),IF(N(ISNUMBER('参数'!$G$32))+N(ISNUMBER('参数'!$I$32))+N(ISNUMBER('参数'!$K$32))=0,"",IF(AND(ISNUMBER(J84),ISNUMBER(J83)),AND(J85&gt;J84,J84&gt;J83),FALSE)+IF(ISNUMBER('参数'!$G$32),J85&lt;'参数'!$G$32,FALSE)+IF(AND(ISNUMBER('参数'!$I$32),ISNUMBER(Q85)),Q85&gt;='参数'!$I$32,FALSE)+IF(AND(ISNUMBER('参数'!$K$32),ISNUMBER(S85)),S85&gt;='参数'!$K$32,FALSE)),"")</f>
        <v/>
      </c>
      <c r="V85" s="40" t="str">
        <f>IF(AND(ISNUMBER(J85),ISNUMBER(K85)),IF(N(ISNUMBER('参数'!$E$33))+N(ISNUMBER('参数'!$G$33))+N(ISNUMBER('参数'!$I$33))+N(ISNUMBER('参数'!$K$33))=0,"",IF(AND(ISNUMBER('参数'!$E$33),ISNUMBER(J84)),AND(J85&gt;='参数'!$E$33,J85&gt;J84),FALSE)+IF(AND(ISNUMBER('参数'!$G$33),ISNUMBER(N85)),N85&lt;='参数'!$G$33,FALSE)+IF(AND(ISNUMBER('参数'!$I$33),ISNUMBER(Q85)),Q85&gt;='参数'!$I$33,FALSE)+IF(AND(ISNUMBER('参数'!$K$33),ISNUMBER(S85)),S85&gt;='参数'!$K$33,FALSE)),"")</f>
        <v/>
      </c>
      <c r="W85" s="40" t="str">
        <f>IF(AND(ISNUMBER(J85),ISNUMBER(K85)),IF(N(ISNUMBER('参数'!$E$34))+N(ISNUMBER('参数'!$G$34))+N(ISNUMBER('参数'!$I$34))+N(ISNUMBER('参数'!$K$34))=0,"",IF(ISNUMBER('参数'!$E$34),J85&gt;='参数'!$E$34,FALSE)+IF(AND(ISNUMBER('参数'!$G$34),ISNUMBER(N85)),N85&lt;='参数'!$G$34,FALSE)+IF(AND(ISNUMBER('参数'!$I$34),ISNUMBER(S85)),S85&gt;='参数'!$I$34,FALSE)+IF(AND(ISNUMBER('参数'!$K$34),ISNUMBER(R85)),R85&gt;='参数'!$K$34,FALSE)),"")</f>
        <v/>
      </c>
      <c r="X85" s="40" t="str">
        <f>IF(AND(ISNUMBER(J85),ISNUMBER(K85)),IF(N(ISNUMBER('参数'!$E$35))+N(ISNUMBER('参数'!$G$35))+N(ISNUMBER('参数'!$I$35))=0,"",IF(AND(ISNUMBER('参数'!$E$35),ISNUMBER(N85),ISNUMBER(N84)),ROUND(N85-N84,6)&gt;='参数'!$E$35,FALSE)+IF(AND(ISNUMBER('参数'!$G$35),ISNUMBER(Q85),ISNUMBER(Q84)),ROUND(Q84-Q85,6)&gt;='参数'!$G$35,FALSE)+IF(AND(ISNUMBER('参数'!$I$35),ISNUMBER(S85),ISNUMBER(S84)),ROUND(S84-S85,6)&gt;='参数'!$I$35,FALSE)+IF(ISNUMBER(J84),J85&lt;J84,FALSE)),"")</f>
        <v/>
      </c>
      <c r="Y85" s="40" t="str">
        <f>IF(AND(ISNUMBER(J85),ISNUMBER(K85)),IF(N(ISNUMBER('参数'!$E$36))+N(ISNUMBER('参数'!$G$36))+N(ISNUMBER('参数'!$I$36))=0,"",IF(AND(ISNUMBER('参数'!$E$36),ISNUMBER(J84)),AND(J85&lt;='参数'!$E$36,J85&lt;J84),FALSE)+IF(ISNUMBER('参数'!$G$36),K85&gt;='参数'!$G$36,FALSE)+IF(AND(ISNUMBER('参数'!$I$36),ISNUMBER(S85)),S85&lt;'参数'!$I$36,FALSE)+IF(AND(ISNUMBER(R85),ISNUMBER(R84)),R85&lt;R84,FALSE)),"")</f>
        <v/>
      </c>
      <c r="Z85" s="41" t="str">
        <f>IF(NOT(AND(ISNUMBER(J85),ISNUMBER(K85))),"",IF(COUNT(T85:Y85)=0,"先填阈值",IF(MAX(AD85:AI85)=0,"不写",INDEX($T$4:$Y$4,MATCH(MAX(AD85:AI85),AD85:AI85,0))&amp;"·"&amp;IF(MAX(AD85:AI85)&gt;=200,"高","中")&amp;IF(LARGE(AD85:AI85,2)&gt;0,"（也像"&amp;INDEX($T$4:$Y$4,MATCH(LARGE(AD85:AI85,2),AD85:AI85,0))&amp;"·"&amp;IF(LARGE(AD85:AI85,2)&gt;=200,"高","中")&amp;"）",""))))</f>
        <v/>
      </c>
      <c r="AA85" s="27" t="n"/>
      <c r="AB85" s="32" t="n"/>
      <c r="AC85" s="16" t="n"/>
      <c r="AD85" s="40">
        <f>IF(N(T85)&gt;=3,IF(T85=4,2,1)*100+T85*10+6,0)</f>
        <v>0</v>
      </c>
      <c r="AE85" s="40">
        <f>IF(N(U85)&gt;=3,1*100+U85*10+1,0)</f>
        <v>0</v>
      </c>
      <c r="AF85" s="40">
        <f>IF(N(V85)&gt;=3,IF(V85=4,2,1)*100+V85*10+2,0)</f>
        <v>0</v>
      </c>
      <c r="AG85" s="40">
        <f>IF(N(W85)&gt;=3,1*100+W85*10+3,0)</f>
        <v>0</v>
      </c>
      <c r="AH85" s="40">
        <f>IF(N(X85)&gt;=3,1*100+X85*10+4,0)</f>
        <v>0</v>
      </c>
      <c r="AI85" s="40">
        <f>IF(N(Y85)&gt;=3,IF(AND(N(T85)&gt;=3,OR(N(T85)=4,N(Y85)&lt;=N(T85))),0,IF(Y85=4,2,1)*100+Y85*10+5),0)</f>
        <v>0</v>
      </c>
    </row>
    <row r="86">
      <c r="A86" s="31" t="n"/>
      <c r="B86" s="36" t="str">
        <f>IF(ISNUMBER(A86),"周"&amp;CHOOSE(WEEKDAY(A86,2),"一","二","三","四","五","六","日"),"")</f>
        <v/>
      </c>
      <c r="C86" s="37" t="n"/>
      <c r="D86" s="37" t="n"/>
      <c r="E86" s="37" t="n"/>
      <c r="F86" s="17" t="n"/>
      <c r="G86" s="38" t="str">
        <f>IF(AND(ISNUMBER(F86),ISNUMBER(F85)),IF(F85=0,"",F86/F85-1),"")</f>
        <v/>
      </c>
      <c r="H86" s="17" t="n"/>
      <c r="I86" s="17" t="n"/>
      <c r="J86" s="17" t="n"/>
      <c r="K86" s="17" t="n"/>
      <c r="L86" s="17" t="n"/>
      <c r="M86" s="17" t="n"/>
      <c r="N86" s="39" t="str">
        <f>IF(AND(ISNUMBER(L86),ISNUMBER(M86),N(L86)&gt;0),M86/L86,"")</f>
        <v/>
      </c>
      <c r="O86" s="17" t="n"/>
      <c r="P86" s="17" t="n"/>
      <c r="Q86" s="39" t="str">
        <f>IF(AND(ISNUMBER(O86),ISNUMBER(P86),N(O86)&gt;0),P86/O86,"")</f>
        <v/>
      </c>
      <c r="R86" s="17" t="n"/>
      <c r="S86" s="37" t="n"/>
      <c r="T86" s="40" t="str">
        <f>IF(AND(ISNUMBER(J86),ISNUMBER(K86)),IF(N(ISNUMBER('参数'!$E$31))+N(ISNUMBER('参数'!$G$31))+N(ISNUMBER('参数'!$I$31))+N(ISNUMBER('参数'!$K$31))=0,"",IF(ISNUMBER('参数'!$E$31),J86&lt;='参数'!$E$31,FALSE)+IF(ISNUMBER('参数'!$G$31),K86&gt;='参数'!$G$31,FALSE)+IF(AND(ISNUMBER('参数'!$I$31),ISNUMBER(N86)),N86&gt;='参数'!$I$31,FALSE)+IF(AND(ISNUMBER('参数'!$K$31),ISNUMBER(Q86)),Q86&lt;='参数'!$K$31,FALSE)),"")</f>
        <v/>
      </c>
      <c r="U86" s="40" t="str">
        <f>IF(AND(ISNUMBER(J86),ISNUMBER(K86)),IF(N(ISNUMBER('参数'!$G$32))+N(ISNUMBER('参数'!$I$32))+N(ISNUMBER('参数'!$K$32))=0,"",IF(AND(ISNUMBER(J85),ISNUMBER(J84)),AND(J86&gt;J85,J85&gt;J84),FALSE)+IF(ISNUMBER('参数'!$G$32),J86&lt;'参数'!$G$32,FALSE)+IF(AND(ISNUMBER('参数'!$I$32),ISNUMBER(Q86)),Q86&gt;='参数'!$I$32,FALSE)+IF(AND(ISNUMBER('参数'!$K$32),ISNUMBER(S86)),S86&gt;='参数'!$K$32,FALSE)),"")</f>
        <v/>
      </c>
      <c r="V86" s="40" t="str">
        <f>IF(AND(ISNUMBER(J86),ISNUMBER(K86)),IF(N(ISNUMBER('参数'!$E$33))+N(ISNUMBER('参数'!$G$33))+N(ISNUMBER('参数'!$I$33))+N(ISNUMBER('参数'!$K$33))=0,"",IF(AND(ISNUMBER('参数'!$E$33),ISNUMBER(J85)),AND(J86&gt;='参数'!$E$33,J86&gt;J85),FALSE)+IF(AND(ISNUMBER('参数'!$G$33),ISNUMBER(N86)),N86&lt;='参数'!$G$33,FALSE)+IF(AND(ISNUMBER('参数'!$I$33),ISNUMBER(Q86)),Q86&gt;='参数'!$I$33,FALSE)+IF(AND(ISNUMBER('参数'!$K$33),ISNUMBER(S86)),S86&gt;='参数'!$K$33,FALSE)),"")</f>
        <v/>
      </c>
      <c r="W86" s="40" t="str">
        <f>IF(AND(ISNUMBER(J86),ISNUMBER(K86)),IF(N(ISNUMBER('参数'!$E$34))+N(ISNUMBER('参数'!$G$34))+N(ISNUMBER('参数'!$I$34))+N(ISNUMBER('参数'!$K$34))=0,"",IF(ISNUMBER('参数'!$E$34),J86&gt;='参数'!$E$34,FALSE)+IF(AND(ISNUMBER('参数'!$G$34),ISNUMBER(N86)),N86&lt;='参数'!$G$34,FALSE)+IF(AND(ISNUMBER('参数'!$I$34),ISNUMBER(S86)),S86&gt;='参数'!$I$34,FALSE)+IF(AND(ISNUMBER('参数'!$K$34),ISNUMBER(R86)),R86&gt;='参数'!$K$34,FALSE)),"")</f>
        <v/>
      </c>
      <c r="X86" s="40" t="str">
        <f>IF(AND(ISNUMBER(J86),ISNUMBER(K86)),IF(N(ISNUMBER('参数'!$E$35))+N(ISNUMBER('参数'!$G$35))+N(ISNUMBER('参数'!$I$35))=0,"",IF(AND(ISNUMBER('参数'!$E$35),ISNUMBER(N86),ISNUMBER(N85)),ROUND(N86-N85,6)&gt;='参数'!$E$35,FALSE)+IF(AND(ISNUMBER('参数'!$G$35),ISNUMBER(Q86),ISNUMBER(Q85)),ROUND(Q85-Q86,6)&gt;='参数'!$G$35,FALSE)+IF(AND(ISNUMBER('参数'!$I$35),ISNUMBER(S86),ISNUMBER(S85)),ROUND(S85-S86,6)&gt;='参数'!$I$35,FALSE)+IF(ISNUMBER(J85),J86&lt;J85,FALSE)),"")</f>
        <v/>
      </c>
      <c r="Y86" s="40" t="str">
        <f>IF(AND(ISNUMBER(J86),ISNUMBER(K86)),IF(N(ISNUMBER('参数'!$E$36))+N(ISNUMBER('参数'!$G$36))+N(ISNUMBER('参数'!$I$36))=0,"",IF(AND(ISNUMBER('参数'!$E$36),ISNUMBER(J85)),AND(J86&lt;='参数'!$E$36,J86&lt;J85),FALSE)+IF(ISNUMBER('参数'!$G$36),K86&gt;='参数'!$G$36,FALSE)+IF(AND(ISNUMBER('参数'!$I$36),ISNUMBER(S86)),S86&lt;'参数'!$I$36,FALSE)+IF(AND(ISNUMBER(R86),ISNUMBER(R85)),R86&lt;R85,FALSE)),"")</f>
        <v/>
      </c>
      <c r="Z86" s="41" t="str">
        <f>IF(NOT(AND(ISNUMBER(J86),ISNUMBER(K86))),"",IF(COUNT(T86:Y86)=0,"先填阈值",IF(MAX(AD86:AI86)=0,"不写",INDEX($T$4:$Y$4,MATCH(MAX(AD86:AI86),AD86:AI86,0))&amp;"·"&amp;IF(MAX(AD86:AI86)&gt;=200,"高","中")&amp;IF(LARGE(AD86:AI86,2)&gt;0,"（也像"&amp;INDEX($T$4:$Y$4,MATCH(LARGE(AD86:AI86,2),AD86:AI86,0))&amp;"·"&amp;IF(LARGE(AD86:AI86,2)&gt;=200,"高","中")&amp;"）",""))))</f>
        <v/>
      </c>
      <c r="AA86" s="27" t="n"/>
      <c r="AB86" s="32" t="n"/>
      <c r="AC86" s="16" t="n"/>
      <c r="AD86" s="40">
        <f>IF(N(T86)&gt;=3,IF(T86=4,2,1)*100+T86*10+6,0)</f>
        <v>0</v>
      </c>
      <c r="AE86" s="40">
        <f>IF(N(U86)&gt;=3,1*100+U86*10+1,0)</f>
        <v>0</v>
      </c>
      <c r="AF86" s="40">
        <f>IF(N(V86)&gt;=3,IF(V86=4,2,1)*100+V86*10+2,0)</f>
        <v>0</v>
      </c>
      <c r="AG86" s="40">
        <f>IF(N(W86)&gt;=3,1*100+W86*10+3,0)</f>
        <v>0</v>
      </c>
      <c r="AH86" s="40">
        <f>IF(N(X86)&gt;=3,1*100+X86*10+4,0)</f>
        <v>0</v>
      </c>
      <c r="AI86" s="40">
        <f>IF(N(Y86)&gt;=3,IF(AND(N(T86)&gt;=3,OR(N(T86)=4,N(Y86)&lt;=N(T86))),0,IF(Y86=4,2,1)*100+Y86*10+5),0)</f>
        <v>0</v>
      </c>
    </row>
    <row r="87">
      <c r="A87" s="31" t="n"/>
      <c r="B87" s="36" t="str">
        <f>IF(ISNUMBER(A87),"周"&amp;CHOOSE(WEEKDAY(A87,2),"一","二","三","四","五","六","日"),"")</f>
        <v/>
      </c>
      <c r="C87" s="37" t="n"/>
      <c r="D87" s="37" t="n"/>
      <c r="E87" s="37" t="n"/>
      <c r="F87" s="17" t="n"/>
      <c r="G87" s="38" t="str">
        <f>IF(AND(ISNUMBER(F87),ISNUMBER(F86)),IF(F86=0,"",F87/F86-1),"")</f>
        <v/>
      </c>
      <c r="H87" s="17" t="n"/>
      <c r="I87" s="17" t="n"/>
      <c r="J87" s="17" t="n"/>
      <c r="K87" s="17" t="n"/>
      <c r="L87" s="17" t="n"/>
      <c r="M87" s="17" t="n"/>
      <c r="N87" s="39" t="str">
        <f>IF(AND(ISNUMBER(L87),ISNUMBER(M87),N(L87)&gt;0),M87/L87,"")</f>
        <v/>
      </c>
      <c r="O87" s="17" t="n"/>
      <c r="P87" s="17" t="n"/>
      <c r="Q87" s="39" t="str">
        <f>IF(AND(ISNUMBER(O87),ISNUMBER(P87),N(O87)&gt;0),P87/O87,"")</f>
        <v/>
      </c>
      <c r="R87" s="17" t="n"/>
      <c r="S87" s="37" t="n"/>
      <c r="T87" s="40" t="str">
        <f>IF(AND(ISNUMBER(J87),ISNUMBER(K87)),IF(N(ISNUMBER('参数'!$E$31))+N(ISNUMBER('参数'!$G$31))+N(ISNUMBER('参数'!$I$31))+N(ISNUMBER('参数'!$K$31))=0,"",IF(ISNUMBER('参数'!$E$31),J87&lt;='参数'!$E$31,FALSE)+IF(ISNUMBER('参数'!$G$31),K87&gt;='参数'!$G$31,FALSE)+IF(AND(ISNUMBER('参数'!$I$31),ISNUMBER(N87)),N87&gt;='参数'!$I$31,FALSE)+IF(AND(ISNUMBER('参数'!$K$31),ISNUMBER(Q87)),Q87&lt;='参数'!$K$31,FALSE)),"")</f>
        <v/>
      </c>
      <c r="U87" s="40" t="str">
        <f>IF(AND(ISNUMBER(J87),ISNUMBER(K87)),IF(N(ISNUMBER('参数'!$G$32))+N(ISNUMBER('参数'!$I$32))+N(ISNUMBER('参数'!$K$32))=0,"",IF(AND(ISNUMBER(J86),ISNUMBER(J85)),AND(J87&gt;J86,J86&gt;J85),FALSE)+IF(ISNUMBER('参数'!$G$32),J87&lt;'参数'!$G$32,FALSE)+IF(AND(ISNUMBER('参数'!$I$32),ISNUMBER(Q87)),Q87&gt;='参数'!$I$32,FALSE)+IF(AND(ISNUMBER('参数'!$K$32),ISNUMBER(S87)),S87&gt;='参数'!$K$32,FALSE)),"")</f>
        <v/>
      </c>
      <c r="V87" s="40" t="str">
        <f>IF(AND(ISNUMBER(J87),ISNUMBER(K87)),IF(N(ISNUMBER('参数'!$E$33))+N(ISNUMBER('参数'!$G$33))+N(ISNUMBER('参数'!$I$33))+N(ISNUMBER('参数'!$K$33))=0,"",IF(AND(ISNUMBER('参数'!$E$33),ISNUMBER(J86)),AND(J87&gt;='参数'!$E$33,J87&gt;J86),FALSE)+IF(AND(ISNUMBER('参数'!$G$33),ISNUMBER(N87)),N87&lt;='参数'!$G$33,FALSE)+IF(AND(ISNUMBER('参数'!$I$33),ISNUMBER(Q87)),Q87&gt;='参数'!$I$33,FALSE)+IF(AND(ISNUMBER('参数'!$K$33),ISNUMBER(S87)),S87&gt;='参数'!$K$33,FALSE)),"")</f>
        <v/>
      </c>
      <c r="W87" s="40" t="str">
        <f>IF(AND(ISNUMBER(J87),ISNUMBER(K87)),IF(N(ISNUMBER('参数'!$E$34))+N(ISNUMBER('参数'!$G$34))+N(ISNUMBER('参数'!$I$34))+N(ISNUMBER('参数'!$K$34))=0,"",IF(ISNUMBER('参数'!$E$34),J87&gt;='参数'!$E$34,FALSE)+IF(AND(ISNUMBER('参数'!$G$34),ISNUMBER(N87)),N87&lt;='参数'!$G$34,FALSE)+IF(AND(ISNUMBER('参数'!$I$34),ISNUMBER(S87)),S87&gt;='参数'!$I$34,FALSE)+IF(AND(ISNUMBER('参数'!$K$34),ISNUMBER(R87)),R87&gt;='参数'!$K$34,FALSE)),"")</f>
        <v/>
      </c>
      <c r="X87" s="40" t="str">
        <f>IF(AND(ISNUMBER(J87),ISNUMBER(K87)),IF(N(ISNUMBER('参数'!$E$35))+N(ISNUMBER('参数'!$G$35))+N(ISNUMBER('参数'!$I$35))=0,"",IF(AND(ISNUMBER('参数'!$E$35),ISNUMBER(N87),ISNUMBER(N86)),ROUND(N87-N86,6)&gt;='参数'!$E$35,FALSE)+IF(AND(ISNUMBER('参数'!$G$35),ISNUMBER(Q87),ISNUMBER(Q86)),ROUND(Q86-Q87,6)&gt;='参数'!$G$35,FALSE)+IF(AND(ISNUMBER('参数'!$I$35),ISNUMBER(S87),ISNUMBER(S86)),ROUND(S86-S87,6)&gt;='参数'!$I$35,FALSE)+IF(ISNUMBER(J86),J87&lt;J86,FALSE)),"")</f>
        <v/>
      </c>
      <c r="Y87" s="40" t="str">
        <f>IF(AND(ISNUMBER(J87),ISNUMBER(K87)),IF(N(ISNUMBER('参数'!$E$36))+N(ISNUMBER('参数'!$G$36))+N(ISNUMBER('参数'!$I$36))=0,"",IF(AND(ISNUMBER('参数'!$E$36),ISNUMBER(J86)),AND(J87&lt;='参数'!$E$36,J87&lt;J86),FALSE)+IF(ISNUMBER('参数'!$G$36),K87&gt;='参数'!$G$36,FALSE)+IF(AND(ISNUMBER('参数'!$I$36),ISNUMBER(S87)),S87&lt;'参数'!$I$36,FALSE)+IF(AND(ISNUMBER(R87),ISNUMBER(R86)),R87&lt;R86,FALSE)),"")</f>
        <v/>
      </c>
      <c r="Z87" s="41" t="str">
        <f>IF(NOT(AND(ISNUMBER(J87),ISNUMBER(K87))),"",IF(COUNT(T87:Y87)=0,"先填阈值",IF(MAX(AD87:AI87)=0,"不写",INDEX($T$4:$Y$4,MATCH(MAX(AD87:AI87),AD87:AI87,0))&amp;"·"&amp;IF(MAX(AD87:AI87)&gt;=200,"高","中")&amp;IF(LARGE(AD87:AI87,2)&gt;0,"（也像"&amp;INDEX($T$4:$Y$4,MATCH(LARGE(AD87:AI87,2),AD87:AI87,0))&amp;"·"&amp;IF(LARGE(AD87:AI87,2)&gt;=200,"高","中")&amp;"）",""))))</f>
        <v/>
      </c>
      <c r="AA87" s="27" t="n"/>
      <c r="AB87" s="32" t="n"/>
      <c r="AC87" s="16" t="n"/>
      <c r="AD87" s="40">
        <f>IF(N(T87)&gt;=3,IF(T87=4,2,1)*100+T87*10+6,0)</f>
        <v>0</v>
      </c>
      <c r="AE87" s="40">
        <f>IF(N(U87)&gt;=3,1*100+U87*10+1,0)</f>
        <v>0</v>
      </c>
      <c r="AF87" s="40">
        <f>IF(N(V87)&gt;=3,IF(V87=4,2,1)*100+V87*10+2,0)</f>
        <v>0</v>
      </c>
      <c r="AG87" s="40">
        <f>IF(N(W87)&gt;=3,1*100+W87*10+3,0)</f>
        <v>0</v>
      </c>
      <c r="AH87" s="40">
        <f>IF(N(X87)&gt;=3,1*100+X87*10+4,0)</f>
        <v>0</v>
      </c>
      <c r="AI87" s="40">
        <f>IF(N(Y87)&gt;=3,IF(AND(N(T87)&gt;=3,OR(N(T87)=4,N(Y87)&lt;=N(T87))),0,IF(Y87=4,2,1)*100+Y87*10+5),0)</f>
        <v>0</v>
      </c>
    </row>
    <row r="88">
      <c r="A88" s="31" t="n"/>
      <c r="B88" s="36" t="str">
        <f>IF(ISNUMBER(A88),"周"&amp;CHOOSE(WEEKDAY(A88,2),"一","二","三","四","五","六","日"),"")</f>
        <v/>
      </c>
      <c r="C88" s="37" t="n"/>
      <c r="D88" s="37" t="n"/>
      <c r="E88" s="37" t="n"/>
      <c r="F88" s="17" t="n"/>
      <c r="G88" s="38" t="str">
        <f>IF(AND(ISNUMBER(F88),ISNUMBER(F87)),IF(F87=0,"",F88/F87-1),"")</f>
        <v/>
      </c>
      <c r="H88" s="17" t="n"/>
      <c r="I88" s="17" t="n"/>
      <c r="J88" s="17" t="n"/>
      <c r="K88" s="17" t="n"/>
      <c r="L88" s="17" t="n"/>
      <c r="M88" s="17" t="n"/>
      <c r="N88" s="39" t="str">
        <f>IF(AND(ISNUMBER(L88),ISNUMBER(M88),N(L88)&gt;0),M88/L88,"")</f>
        <v/>
      </c>
      <c r="O88" s="17" t="n"/>
      <c r="P88" s="17" t="n"/>
      <c r="Q88" s="39" t="str">
        <f>IF(AND(ISNUMBER(O88),ISNUMBER(P88),N(O88)&gt;0),P88/O88,"")</f>
        <v/>
      </c>
      <c r="R88" s="17" t="n"/>
      <c r="S88" s="37" t="n"/>
      <c r="T88" s="40" t="str">
        <f>IF(AND(ISNUMBER(J88),ISNUMBER(K88)),IF(N(ISNUMBER('参数'!$E$31))+N(ISNUMBER('参数'!$G$31))+N(ISNUMBER('参数'!$I$31))+N(ISNUMBER('参数'!$K$31))=0,"",IF(ISNUMBER('参数'!$E$31),J88&lt;='参数'!$E$31,FALSE)+IF(ISNUMBER('参数'!$G$31),K88&gt;='参数'!$G$31,FALSE)+IF(AND(ISNUMBER('参数'!$I$31),ISNUMBER(N88)),N88&gt;='参数'!$I$31,FALSE)+IF(AND(ISNUMBER('参数'!$K$31),ISNUMBER(Q88)),Q88&lt;='参数'!$K$31,FALSE)),"")</f>
        <v/>
      </c>
      <c r="U88" s="40" t="str">
        <f>IF(AND(ISNUMBER(J88),ISNUMBER(K88)),IF(N(ISNUMBER('参数'!$G$32))+N(ISNUMBER('参数'!$I$32))+N(ISNUMBER('参数'!$K$32))=0,"",IF(AND(ISNUMBER(J87),ISNUMBER(J86)),AND(J88&gt;J87,J87&gt;J86),FALSE)+IF(ISNUMBER('参数'!$G$32),J88&lt;'参数'!$G$32,FALSE)+IF(AND(ISNUMBER('参数'!$I$32),ISNUMBER(Q88)),Q88&gt;='参数'!$I$32,FALSE)+IF(AND(ISNUMBER('参数'!$K$32),ISNUMBER(S88)),S88&gt;='参数'!$K$32,FALSE)),"")</f>
        <v/>
      </c>
      <c r="V88" s="40" t="str">
        <f>IF(AND(ISNUMBER(J88),ISNUMBER(K88)),IF(N(ISNUMBER('参数'!$E$33))+N(ISNUMBER('参数'!$G$33))+N(ISNUMBER('参数'!$I$33))+N(ISNUMBER('参数'!$K$33))=0,"",IF(AND(ISNUMBER('参数'!$E$33),ISNUMBER(J87)),AND(J88&gt;='参数'!$E$33,J88&gt;J87),FALSE)+IF(AND(ISNUMBER('参数'!$G$33),ISNUMBER(N88)),N88&lt;='参数'!$G$33,FALSE)+IF(AND(ISNUMBER('参数'!$I$33),ISNUMBER(Q88)),Q88&gt;='参数'!$I$33,FALSE)+IF(AND(ISNUMBER('参数'!$K$33),ISNUMBER(S88)),S88&gt;='参数'!$K$33,FALSE)),"")</f>
        <v/>
      </c>
      <c r="W88" s="40" t="str">
        <f>IF(AND(ISNUMBER(J88),ISNUMBER(K88)),IF(N(ISNUMBER('参数'!$E$34))+N(ISNUMBER('参数'!$G$34))+N(ISNUMBER('参数'!$I$34))+N(ISNUMBER('参数'!$K$34))=0,"",IF(ISNUMBER('参数'!$E$34),J88&gt;='参数'!$E$34,FALSE)+IF(AND(ISNUMBER('参数'!$G$34),ISNUMBER(N88)),N88&lt;='参数'!$G$34,FALSE)+IF(AND(ISNUMBER('参数'!$I$34),ISNUMBER(S88)),S88&gt;='参数'!$I$34,FALSE)+IF(AND(ISNUMBER('参数'!$K$34),ISNUMBER(R88)),R88&gt;='参数'!$K$34,FALSE)),"")</f>
        <v/>
      </c>
      <c r="X88" s="40" t="str">
        <f>IF(AND(ISNUMBER(J88),ISNUMBER(K88)),IF(N(ISNUMBER('参数'!$E$35))+N(ISNUMBER('参数'!$G$35))+N(ISNUMBER('参数'!$I$35))=0,"",IF(AND(ISNUMBER('参数'!$E$35),ISNUMBER(N88),ISNUMBER(N87)),ROUND(N88-N87,6)&gt;='参数'!$E$35,FALSE)+IF(AND(ISNUMBER('参数'!$G$35),ISNUMBER(Q88),ISNUMBER(Q87)),ROUND(Q87-Q88,6)&gt;='参数'!$G$35,FALSE)+IF(AND(ISNUMBER('参数'!$I$35),ISNUMBER(S88),ISNUMBER(S87)),ROUND(S87-S88,6)&gt;='参数'!$I$35,FALSE)+IF(ISNUMBER(J87),J88&lt;J87,FALSE)),"")</f>
        <v/>
      </c>
      <c r="Y88" s="40" t="str">
        <f>IF(AND(ISNUMBER(J88),ISNUMBER(K88)),IF(N(ISNUMBER('参数'!$E$36))+N(ISNUMBER('参数'!$G$36))+N(ISNUMBER('参数'!$I$36))=0,"",IF(AND(ISNUMBER('参数'!$E$36),ISNUMBER(J87)),AND(J88&lt;='参数'!$E$36,J88&lt;J87),FALSE)+IF(ISNUMBER('参数'!$G$36),K88&gt;='参数'!$G$36,FALSE)+IF(AND(ISNUMBER('参数'!$I$36),ISNUMBER(S88)),S88&lt;'参数'!$I$36,FALSE)+IF(AND(ISNUMBER(R88),ISNUMBER(R87)),R88&lt;R87,FALSE)),"")</f>
        <v/>
      </c>
      <c r="Z88" s="41" t="str">
        <f>IF(NOT(AND(ISNUMBER(J88),ISNUMBER(K88))),"",IF(COUNT(T88:Y88)=0,"先填阈值",IF(MAX(AD88:AI88)=0,"不写",INDEX($T$4:$Y$4,MATCH(MAX(AD88:AI88),AD88:AI88,0))&amp;"·"&amp;IF(MAX(AD88:AI88)&gt;=200,"高","中")&amp;IF(LARGE(AD88:AI88,2)&gt;0,"（也像"&amp;INDEX($T$4:$Y$4,MATCH(LARGE(AD88:AI88,2),AD88:AI88,0))&amp;"·"&amp;IF(LARGE(AD88:AI88,2)&gt;=200,"高","中")&amp;"）",""))))</f>
        <v/>
      </c>
      <c r="AA88" s="27" t="n"/>
      <c r="AB88" s="32" t="n"/>
      <c r="AC88" s="16" t="n"/>
      <c r="AD88" s="40">
        <f>IF(N(T88)&gt;=3,IF(T88=4,2,1)*100+T88*10+6,0)</f>
        <v>0</v>
      </c>
      <c r="AE88" s="40">
        <f>IF(N(U88)&gt;=3,1*100+U88*10+1,0)</f>
        <v>0</v>
      </c>
      <c r="AF88" s="40">
        <f>IF(N(V88)&gt;=3,IF(V88=4,2,1)*100+V88*10+2,0)</f>
        <v>0</v>
      </c>
      <c r="AG88" s="40">
        <f>IF(N(W88)&gt;=3,1*100+W88*10+3,0)</f>
        <v>0</v>
      </c>
      <c r="AH88" s="40">
        <f>IF(N(X88)&gt;=3,1*100+X88*10+4,0)</f>
        <v>0</v>
      </c>
      <c r="AI88" s="40">
        <f>IF(N(Y88)&gt;=3,IF(AND(N(T88)&gt;=3,OR(N(T88)=4,N(Y88)&lt;=N(T88))),0,IF(Y88=4,2,1)*100+Y88*10+5),0)</f>
        <v>0</v>
      </c>
    </row>
    <row r="89">
      <c r="A89" s="31" t="n"/>
      <c r="B89" s="36" t="str">
        <f>IF(ISNUMBER(A89),"周"&amp;CHOOSE(WEEKDAY(A89,2),"一","二","三","四","五","六","日"),"")</f>
        <v/>
      </c>
      <c r="C89" s="37" t="n"/>
      <c r="D89" s="37" t="n"/>
      <c r="E89" s="37" t="n"/>
      <c r="F89" s="17" t="n"/>
      <c r="G89" s="38" t="str">
        <f>IF(AND(ISNUMBER(F89),ISNUMBER(F88)),IF(F88=0,"",F89/F88-1),"")</f>
        <v/>
      </c>
      <c r="H89" s="17" t="n"/>
      <c r="I89" s="17" t="n"/>
      <c r="J89" s="17" t="n"/>
      <c r="K89" s="17" t="n"/>
      <c r="L89" s="17" t="n"/>
      <c r="M89" s="17" t="n"/>
      <c r="N89" s="39" t="str">
        <f>IF(AND(ISNUMBER(L89),ISNUMBER(M89),N(L89)&gt;0),M89/L89,"")</f>
        <v/>
      </c>
      <c r="O89" s="17" t="n"/>
      <c r="P89" s="17" t="n"/>
      <c r="Q89" s="39" t="str">
        <f>IF(AND(ISNUMBER(O89),ISNUMBER(P89),N(O89)&gt;0),P89/O89,"")</f>
        <v/>
      </c>
      <c r="R89" s="17" t="n"/>
      <c r="S89" s="37" t="n"/>
      <c r="T89" s="40" t="str">
        <f>IF(AND(ISNUMBER(J89),ISNUMBER(K89)),IF(N(ISNUMBER('参数'!$E$31))+N(ISNUMBER('参数'!$G$31))+N(ISNUMBER('参数'!$I$31))+N(ISNUMBER('参数'!$K$31))=0,"",IF(ISNUMBER('参数'!$E$31),J89&lt;='参数'!$E$31,FALSE)+IF(ISNUMBER('参数'!$G$31),K89&gt;='参数'!$G$31,FALSE)+IF(AND(ISNUMBER('参数'!$I$31),ISNUMBER(N89)),N89&gt;='参数'!$I$31,FALSE)+IF(AND(ISNUMBER('参数'!$K$31),ISNUMBER(Q89)),Q89&lt;='参数'!$K$31,FALSE)),"")</f>
        <v/>
      </c>
      <c r="U89" s="40" t="str">
        <f>IF(AND(ISNUMBER(J89),ISNUMBER(K89)),IF(N(ISNUMBER('参数'!$G$32))+N(ISNUMBER('参数'!$I$32))+N(ISNUMBER('参数'!$K$32))=0,"",IF(AND(ISNUMBER(J88),ISNUMBER(J87)),AND(J89&gt;J88,J88&gt;J87),FALSE)+IF(ISNUMBER('参数'!$G$32),J89&lt;'参数'!$G$32,FALSE)+IF(AND(ISNUMBER('参数'!$I$32),ISNUMBER(Q89)),Q89&gt;='参数'!$I$32,FALSE)+IF(AND(ISNUMBER('参数'!$K$32),ISNUMBER(S89)),S89&gt;='参数'!$K$32,FALSE)),"")</f>
        <v/>
      </c>
      <c r="V89" s="40" t="str">
        <f>IF(AND(ISNUMBER(J89),ISNUMBER(K89)),IF(N(ISNUMBER('参数'!$E$33))+N(ISNUMBER('参数'!$G$33))+N(ISNUMBER('参数'!$I$33))+N(ISNUMBER('参数'!$K$33))=0,"",IF(AND(ISNUMBER('参数'!$E$33),ISNUMBER(J88)),AND(J89&gt;='参数'!$E$33,J89&gt;J88),FALSE)+IF(AND(ISNUMBER('参数'!$G$33),ISNUMBER(N89)),N89&lt;='参数'!$G$33,FALSE)+IF(AND(ISNUMBER('参数'!$I$33),ISNUMBER(Q89)),Q89&gt;='参数'!$I$33,FALSE)+IF(AND(ISNUMBER('参数'!$K$33),ISNUMBER(S89)),S89&gt;='参数'!$K$33,FALSE)),"")</f>
        <v/>
      </c>
      <c r="W89" s="40" t="str">
        <f>IF(AND(ISNUMBER(J89),ISNUMBER(K89)),IF(N(ISNUMBER('参数'!$E$34))+N(ISNUMBER('参数'!$G$34))+N(ISNUMBER('参数'!$I$34))+N(ISNUMBER('参数'!$K$34))=0,"",IF(ISNUMBER('参数'!$E$34),J89&gt;='参数'!$E$34,FALSE)+IF(AND(ISNUMBER('参数'!$G$34),ISNUMBER(N89)),N89&lt;='参数'!$G$34,FALSE)+IF(AND(ISNUMBER('参数'!$I$34),ISNUMBER(S89)),S89&gt;='参数'!$I$34,FALSE)+IF(AND(ISNUMBER('参数'!$K$34),ISNUMBER(R89)),R89&gt;='参数'!$K$34,FALSE)),"")</f>
        <v/>
      </c>
      <c r="X89" s="40" t="str">
        <f>IF(AND(ISNUMBER(J89),ISNUMBER(K89)),IF(N(ISNUMBER('参数'!$E$35))+N(ISNUMBER('参数'!$G$35))+N(ISNUMBER('参数'!$I$35))=0,"",IF(AND(ISNUMBER('参数'!$E$35),ISNUMBER(N89),ISNUMBER(N88)),ROUND(N89-N88,6)&gt;='参数'!$E$35,FALSE)+IF(AND(ISNUMBER('参数'!$G$35),ISNUMBER(Q89),ISNUMBER(Q88)),ROUND(Q88-Q89,6)&gt;='参数'!$G$35,FALSE)+IF(AND(ISNUMBER('参数'!$I$35),ISNUMBER(S89),ISNUMBER(S88)),ROUND(S88-S89,6)&gt;='参数'!$I$35,FALSE)+IF(ISNUMBER(J88),J89&lt;J88,FALSE)),"")</f>
        <v/>
      </c>
      <c r="Y89" s="40" t="str">
        <f>IF(AND(ISNUMBER(J89),ISNUMBER(K89)),IF(N(ISNUMBER('参数'!$E$36))+N(ISNUMBER('参数'!$G$36))+N(ISNUMBER('参数'!$I$36))=0,"",IF(AND(ISNUMBER('参数'!$E$36),ISNUMBER(J88)),AND(J89&lt;='参数'!$E$36,J89&lt;J88),FALSE)+IF(ISNUMBER('参数'!$G$36),K89&gt;='参数'!$G$36,FALSE)+IF(AND(ISNUMBER('参数'!$I$36),ISNUMBER(S89)),S89&lt;'参数'!$I$36,FALSE)+IF(AND(ISNUMBER(R89),ISNUMBER(R88)),R89&lt;R88,FALSE)),"")</f>
        <v/>
      </c>
      <c r="Z89" s="41" t="str">
        <f>IF(NOT(AND(ISNUMBER(J89),ISNUMBER(K89))),"",IF(COUNT(T89:Y89)=0,"先填阈值",IF(MAX(AD89:AI89)=0,"不写",INDEX($T$4:$Y$4,MATCH(MAX(AD89:AI89),AD89:AI89,0))&amp;"·"&amp;IF(MAX(AD89:AI89)&gt;=200,"高","中")&amp;IF(LARGE(AD89:AI89,2)&gt;0,"（也像"&amp;INDEX($T$4:$Y$4,MATCH(LARGE(AD89:AI89,2),AD89:AI89,0))&amp;"·"&amp;IF(LARGE(AD89:AI89,2)&gt;=200,"高","中")&amp;"）",""))))</f>
        <v/>
      </c>
      <c r="AA89" s="27" t="n"/>
      <c r="AB89" s="32" t="n"/>
      <c r="AC89" s="16" t="n"/>
      <c r="AD89" s="40">
        <f>IF(N(T89)&gt;=3,IF(T89=4,2,1)*100+T89*10+6,0)</f>
        <v>0</v>
      </c>
      <c r="AE89" s="40">
        <f>IF(N(U89)&gt;=3,1*100+U89*10+1,0)</f>
        <v>0</v>
      </c>
      <c r="AF89" s="40">
        <f>IF(N(V89)&gt;=3,IF(V89=4,2,1)*100+V89*10+2,0)</f>
        <v>0</v>
      </c>
      <c r="AG89" s="40">
        <f>IF(N(W89)&gt;=3,1*100+W89*10+3,0)</f>
        <v>0</v>
      </c>
      <c r="AH89" s="40">
        <f>IF(N(X89)&gt;=3,1*100+X89*10+4,0)</f>
        <v>0</v>
      </c>
      <c r="AI89" s="40">
        <f>IF(N(Y89)&gt;=3,IF(AND(N(T89)&gt;=3,OR(N(T89)=4,N(Y89)&lt;=N(T89))),0,IF(Y89=4,2,1)*100+Y89*10+5),0)</f>
        <v>0</v>
      </c>
    </row>
    <row r="90">
      <c r="A90" s="31" t="n"/>
      <c r="B90" s="36" t="str">
        <f>IF(ISNUMBER(A90),"周"&amp;CHOOSE(WEEKDAY(A90,2),"一","二","三","四","五","六","日"),"")</f>
        <v/>
      </c>
      <c r="C90" s="37" t="n"/>
      <c r="D90" s="37" t="n"/>
      <c r="E90" s="37" t="n"/>
      <c r="F90" s="17" t="n"/>
      <c r="G90" s="38" t="str">
        <f>IF(AND(ISNUMBER(F90),ISNUMBER(F89)),IF(F89=0,"",F90/F89-1),"")</f>
        <v/>
      </c>
      <c r="H90" s="17" t="n"/>
      <c r="I90" s="17" t="n"/>
      <c r="J90" s="17" t="n"/>
      <c r="K90" s="17" t="n"/>
      <c r="L90" s="17" t="n"/>
      <c r="M90" s="17" t="n"/>
      <c r="N90" s="39" t="str">
        <f>IF(AND(ISNUMBER(L90),ISNUMBER(M90),N(L90)&gt;0),M90/L90,"")</f>
        <v/>
      </c>
      <c r="O90" s="17" t="n"/>
      <c r="P90" s="17" t="n"/>
      <c r="Q90" s="39" t="str">
        <f>IF(AND(ISNUMBER(O90),ISNUMBER(P90),N(O90)&gt;0),P90/O90,"")</f>
        <v/>
      </c>
      <c r="R90" s="17" t="n"/>
      <c r="S90" s="37" t="n"/>
      <c r="T90" s="40" t="str">
        <f>IF(AND(ISNUMBER(J90),ISNUMBER(K90)),IF(N(ISNUMBER('参数'!$E$31))+N(ISNUMBER('参数'!$G$31))+N(ISNUMBER('参数'!$I$31))+N(ISNUMBER('参数'!$K$31))=0,"",IF(ISNUMBER('参数'!$E$31),J90&lt;='参数'!$E$31,FALSE)+IF(ISNUMBER('参数'!$G$31),K90&gt;='参数'!$G$31,FALSE)+IF(AND(ISNUMBER('参数'!$I$31),ISNUMBER(N90)),N90&gt;='参数'!$I$31,FALSE)+IF(AND(ISNUMBER('参数'!$K$31),ISNUMBER(Q90)),Q90&lt;='参数'!$K$31,FALSE)),"")</f>
        <v/>
      </c>
      <c r="U90" s="40" t="str">
        <f>IF(AND(ISNUMBER(J90),ISNUMBER(K90)),IF(N(ISNUMBER('参数'!$G$32))+N(ISNUMBER('参数'!$I$32))+N(ISNUMBER('参数'!$K$32))=0,"",IF(AND(ISNUMBER(J89),ISNUMBER(J88)),AND(J90&gt;J89,J89&gt;J88),FALSE)+IF(ISNUMBER('参数'!$G$32),J90&lt;'参数'!$G$32,FALSE)+IF(AND(ISNUMBER('参数'!$I$32),ISNUMBER(Q90)),Q90&gt;='参数'!$I$32,FALSE)+IF(AND(ISNUMBER('参数'!$K$32),ISNUMBER(S90)),S90&gt;='参数'!$K$32,FALSE)),"")</f>
        <v/>
      </c>
      <c r="V90" s="40" t="str">
        <f>IF(AND(ISNUMBER(J90),ISNUMBER(K90)),IF(N(ISNUMBER('参数'!$E$33))+N(ISNUMBER('参数'!$G$33))+N(ISNUMBER('参数'!$I$33))+N(ISNUMBER('参数'!$K$33))=0,"",IF(AND(ISNUMBER('参数'!$E$33),ISNUMBER(J89)),AND(J90&gt;='参数'!$E$33,J90&gt;J89),FALSE)+IF(AND(ISNUMBER('参数'!$G$33),ISNUMBER(N90)),N90&lt;='参数'!$G$33,FALSE)+IF(AND(ISNUMBER('参数'!$I$33),ISNUMBER(Q90)),Q90&gt;='参数'!$I$33,FALSE)+IF(AND(ISNUMBER('参数'!$K$33),ISNUMBER(S90)),S90&gt;='参数'!$K$33,FALSE)),"")</f>
        <v/>
      </c>
      <c r="W90" s="40" t="str">
        <f>IF(AND(ISNUMBER(J90),ISNUMBER(K90)),IF(N(ISNUMBER('参数'!$E$34))+N(ISNUMBER('参数'!$G$34))+N(ISNUMBER('参数'!$I$34))+N(ISNUMBER('参数'!$K$34))=0,"",IF(ISNUMBER('参数'!$E$34),J90&gt;='参数'!$E$34,FALSE)+IF(AND(ISNUMBER('参数'!$G$34),ISNUMBER(N90)),N90&lt;='参数'!$G$34,FALSE)+IF(AND(ISNUMBER('参数'!$I$34),ISNUMBER(S90)),S90&gt;='参数'!$I$34,FALSE)+IF(AND(ISNUMBER('参数'!$K$34),ISNUMBER(R90)),R90&gt;='参数'!$K$34,FALSE)),"")</f>
        <v/>
      </c>
      <c r="X90" s="40" t="str">
        <f>IF(AND(ISNUMBER(J90),ISNUMBER(K90)),IF(N(ISNUMBER('参数'!$E$35))+N(ISNUMBER('参数'!$G$35))+N(ISNUMBER('参数'!$I$35))=0,"",IF(AND(ISNUMBER('参数'!$E$35),ISNUMBER(N90),ISNUMBER(N89)),ROUND(N90-N89,6)&gt;='参数'!$E$35,FALSE)+IF(AND(ISNUMBER('参数'!$G$35),ISNUMBER(Q90),ISNUMBER(Q89)),ROUND(Q89-Q90,6)&gt;='参数'!$G$35,FALSE)+IF(AND(ISNUMBER('参数'!$I$35),ISNUMBER(S90),ISNUMBER(S89)),ROUND(S89-S90,6)&gt;='参数'!$I$35,FALSE)+IF(ISNUMBER(J89),J90&lt;J89,FALSE)),"")</f>
        <v/>
      </c>
      <c r="Y90" s="40" t="str">
        <f>IF(AND(ISNUMBER(J90),ISNUMBER(K90)),IF(N(ISNUMBER('参数'!$E$36))+N(ISNUMBER('参数'!$G$36))+N(ISNUMBER('参数'!$I$36))=0,"",IF(AND(ISNUMBER('参数'!$E$36),ISNUMBER(J89)),AND(J90&lt;='参数'!$E$36,J90&lt;J89),FALSE)+IF(ISNUMBER('参数'!$G$36),K90&gt;='参数'!$G$36,FALSE)+IF(AND(ISNUMBER('参数'!$I$36),ISNUMBER(S90)),S90&lt;'参数'!$I$36,FALSE)+IF(AND(ISNUMBER(R90),ISNUMBER(R89)),R90&lt;R89,FALSE)),"")</f>
        <v/>
      </c>
      <c r="Z90" s="41" t="str">
        <f>IF(NOT(AND(ISNUMBER(J90),ISNUMBER(K90))),"",IF(COUNT(T90:Y90)=0,"先填阈值",IF(MAX(AD90:AI90)=0,"不写",INDEX($T$4:$Y$4,MATCH(MAX(AD90:AI90),AD90:AI90,0))&amp;"·"&amp;IF(MAX(AD90:AI90)&gt;=200,"高","中")&amp;IF(LARGE(AD90:AI90,2)&gt;0,"（也像"&amp;INDEX($T$4:$Y$4,MATCH(LARGE(AD90:AI90,2),AD90:AI90,0))&amp;"·"&amp;IF(LARGE(AD90:AI90,2)&gt;=200,"高","中")&amp;"）",""))))</f>
        <v/>
      </c>
      <c r="AA90" s="27" t="n"/>
      <c r="AB90" s="32" t="n"/>
      <c r="AC90" s="16" t="n"/>
      <c r="AD90" s="40">
        <f>IF(N(T90)&gt;=3,IF(T90=4,2,1)*100+T90*10+6,0)</f>
        <v>0</v>
      </c>
      <c r="AE90" s="40">
        <f>IF(N(U90)&gt;=3,1*100+U90*10+1,0)</f>
        <v>0</v>
      </c>
      <c r="AF90" s="40">
        <f>IF(N(V90)&gt;=3,IF(V90=4,2,1)*100+V90*10+2,0)</f>
        <v>0</v>
      </c>
      <c r="AG90" s="40">
        <f>IF(N(W90)&gt;=3,1*100+W90*10+3,0)</f>
        <v>0</v>
      </c>
      <c r="AH90" s="40">
        <f>IF(N(X90)&gt;=3,1*100+X90*10+4,0)</f>
        <v>0</v>
      </c>
      <c r="AI90" s="40">
        <f>IF(N(Y90)&gt;=3,IF(AND(N(T90)&gt;=3,OR(N(T90)=4,N(Y90)&lt;=N(T90))),0,IF(Y90=4,2,1)*100+Y90*10+5),0)</f>
        <v>0</v>
      </c>
    </row>
    <row r="91">
      <c r="A91" s="31" t="n"/>
      <c r="B91" s="36" t="str">
        <f>IF(ISNUMBER(A91),"周"&amp;CHOOSE(WEEKDAY(A91,2),"一","二","三","四","五","六","日"),"")</f>
        <v/>
      </c>
      <c r="C91" s="37" t="n"/>
      <c r="D91" s="37" t="n"/>
      <c r="E91" s="37" t="n"/>
      <c r="F91" s="17" t="n"/>
      <c r="G91" s="38" t="str">
        <f>IF(AND(ISNUMBER(F91),ISNUMBER(F90)),IF(F90=0,"",F91/F90-1),"")</f>
        <v/>
      </c>
      <c r="H91" s="17" t="n"/>
      <c r="I91" s="17" t="n"/>
      <c r="J91" s="17" t="n"/>
      <c r="K91" s="17" t="n"/>
      <c r="L91" s="17" t="n"/>
      <c r="M91" s="17" t="n"/>
      <c r="N91" s="39" t="str">
        <f>IF(AND(ISNUMBER(L91),ISNUMBER(M91),N(L91)&gt;0),M91/L91,"")</f>
        <v/>
      </c>
      <c r="O91" s="17" t="n"/>
      <c r="P91" s="17" t="n"/>
      <c r="Q91" s="39" t="str">
        <f>IF(AND(ISNUMBER(O91),ISNUMBER(P91),N(O91)&gt;0),P91/O91,"")</f>
        <v/>
      </c>
      <c r="R91" s="17" t="n"/>
      <c r="S91" s="37" t="n"/>
      <c r="T91" s="40" t="str">
        <f>IF(AND(ISNUMBER(J91),ISNUMBER(K91)),IF(N(ISNUMBER('参数'!$E$31))+N(ISNUMBER('参数'!$G$31))+N(ISNUMBER('参数'!$I$31))+N(ISNUMBER('参数'!$K$31))=0,"",IF(ISNUMBER('参数'!$E$31),J91&lt;='参数'!$E$31,FALSE)+IF(ISNUMBER('参数'!$G$31),K91&gt;='参数'!$G$31,FALSE)+IF(AND(ISNUMBER('参数'!$I$31),ISNUMBER(N91)),N91&gt;='参数'!$I$31,FALSE)+IF(AND(ISNUMBER('参数'!$K$31),ISNUMBER(Q91)),Q91&lt;='参数'!$K$31,FALSE)),"")</f>
        <v/>
      </c>
      <c r="U91" s="40" t="str">
        <f>IF(AND(ISNUMBER(J91),ISNUMBER(K91)),IF(N(ISNUMBER('参数'!$G$32))+N(ISNUMBER('参数'!$I$32))+N(ISNUMBER('参数'!$K$32))=0,"",IF(AND(ISNUMBER(J90),ISNUMBER(J89)),AND(J91&gt;J90,J90&gt;J89),FALSE)+IF(ISNUMBER('参数'!$G$32),J91&lt;'参数'!$G$32,FALSE)+IF(AND(ISNUMBER('参数'!$I$32),ISNUMBER(Q91)),Q91&gt;='参数'!$I$32,FALSE)+IF(AND(ISNUMBER('参数'!$K$32),ISNUMBER(S91)),S91&gt;='参数'!$K$32,FALSE)),"")</f>
        <v/>
      </c>
      <c r="V91" s="40" t="str">
        <f>IF(AND(ISNUMBER(J91),ISNUMBER(K91)),IF(N(ISNUMBER('参数'!$E$33))+N(ISNUMBER('参数'!$G$33))+N(ISNUMBER('参数'!$I$33))+N(ISNUMBER('参数'!$K$33))=0,"",IF(AND(ISNUMBER('参数'!$E$33),ISNUMBER(J90)),AND(J91&gt;='参数'!$E$33,J91&gt;J90),FALSE)+IF(AND(ISNUMBER('参数'!$G$33),ISNUMBER(N91)),N91&lt;='参数'!$G$33,FALSE)+IF(AND(ISNUMBER('参数'!$I$33),ISNUMBER(Q91)),Q91&gt;='参数'!$I$33,FALSE)+IF(AND(ISNUMBER('参数'!$K$33),ISNUMBER(S91)),S91&gt;='参数'!$K$33,FALSE)),"")</f>
        <v/>
      </c>
      <c r="W91" s="40" t="str">
        <f>IF(AND(ISNUMBER(J91),ISNUMBER(K91)),IF(N(ISNUMBER('参数'!$E$34))+N(ISNUMBER('参数'!$G$34))+N(ISNUMBER('参数'!$I$34))+N(ISNUMBER('参数'!$K$34))=0,"",IF(ISNUMBER('参数'!$E$34),J91&gt;='参数'!$E$34,FALSE)+IF(AND(ISNUMBER('参数'!$G$34),ISNUMBER(N91)),N91&lt;='参数'!$G$34,FALSE)+IF(AND(ISNUMBER('参数'!$I$34),ISNUMBER(S91)),S91&gt;='参数'!$I$34,FALSE)+IF(AND(ISNUMBER('参数'!$K$34),ISNUMBER(R91)),R91&gt;='参数'!$K$34,FALSE)),"")</f>
        <v/>
      </c>
      <c r="X91" s="40" t="str">
        <f>IF(AND(ISNUMBER(J91),ISNUMBER(K91)),IF(N(ISNUMBER('参数'!$E$35))+N(ISNUMBER('参数'!$G$35))+N(ISNUMBER('参数'!$I$35))=0,"",IF(AND(ISNUMBER('参数'!$E$35),ISNUMBER(N91),ISNUMBER(N90)),ROUND(N91-N90,6)&gt;='参数'!$E$35,FALSE)+IF(AND(ISNUMBER('参数'!$G$35),ISNUMBER(Q91),ISNUMBER(Q90)),ROUND(Q90-Q91,6)&gt;='参数'!$G$35,FALSE)+IF(AND(ISNUMBER('参数'!$I$35),ISNUMBER(S91),ISNUMBER(S90)),ROUND(S90-S91,6)&gt;='参数'!$I$35,FALSE)+IF(ISNUMBER(J90),J91&lt;J90,FALSE)),"")</f>
        <v/>
      </c>
      <c r="Y91" s="40" t="str">
        <f>IF(AND(ISNUMBER(J91),ISNUMBER(K91)),IF(N(ISNUMBER('参数'!$E$36))+N(ISNUMBER('参数'!$G$36))+N(ISNUMBER('参数'!$I$36))=0,"",IF(AND(ISNUMBER('参数'!$E$36),ISNUMBER(J90)),AND(J91&lt;='参数'!$E$36,J91&lt;J90),FALSE)+IF(ISNUMBER('参数'!$G$36),K91&gt;='参数'!$G$36,FALSE)+IF(AND(ISNUMBER('参数'!$I$36),ISNUMBER(S91)),S91&lt;'参数'!$I$36,FALSE)+IF(AND(ISNUMBER(R91),ISNUMBER(R90)),R91&lt;R90,FALSE)),"")</f>
        <v/>
      </c>
      <c r="Z91" s="41" t="str">
        <f>IF(NOT(AND(ISNUMBER(J91),ISNUMBER(K91))),"",IF(COUNT(T91:Y91)=0,"先填阈值",IF(MAX(AD91:AI91)=0,"不写",INDEX($T$4:$Y$4,MATCH(MAX(AD91:AI91),AD91:AI91,0))&amp;"·"&amp;IF(MAX(AD91:AI91)&gt;=200,"高","中")&amp;IF(LARGE(AD91:AI91,2)&gt;0,"（也像"&amp;INDEX($T$4:$Y$4,MATCH(LARGE(AD91:AI91,2),AD91:AI91,0))&amp;"·"&amp;IF(LARGE(AD91:AI91,2)&gt;=200,"高","中")&amp;"）",""))))</f>
        <v/>
      </c>
      <c r="AA91" s="27" t="n"/>
      <c r="AB91" s="32" t="n"/>
      <c r="AC91" s="16" t="n"/>
      <c r="AD91" s="40">
        <f>IF(N(T91)&gt;=3,IF(T91=4,2,1)*100+T91*10+6,0)</f>
        <v>0</v>
      </c>
      <c r="AE91" s="40">
        <f>IF(N(U91)&gt;=3,1*100+U91*10+1,0)</f>
        <v>0</v>
      </c>
      <c r="AF91" s="40">
        <f>IF(N(V91)&gt;=3,IF(V91=4,2,1)*100+V91*10+2,0)</f>
        <v>0</v>
      </c>
      <c r="AG91" s="40">
        <f>IF(N(W91)&gt;=3,1*100+W91*10+3,0)</f>
        <v>0</v>
      </c>
      <c r="AH91" s="40">
        <f>IF(N(X91)&gt;=3,1*100+X91*10+4,0)</f>
        <v>0</v>
      </c>
      <c r="AI91" s="40">
        <f>IF(N(Y91)&gt;=3,IF(AND(N(T91)&gt;=3,OR(N(T91)=4,N(Y91)&lt;=N(T91))),0,IF(Y91=4,2,1)*100+Y91*10+5),0)</f>
        <v>0</v>
      </c>
    </row>
    <row r="92">
      <c r="A92" s="31" t="n"/>
      <c r="B92" s="36" t="str">
        <f>IF(ISNUMBER(A92),"周"&amp;CHOOSE(WEEKDAY(A92,2),"一","二","三","四","五","六","日"),"")</f>
        <v/>
      </c>
      <c r="C92" s="37" t="n"/>
      <c r="D92" s="37" t="n"/>
      <c r="E92" s="37" t="n"/>
      <c r="F92" s="17" t="n"/>
      <c r="G92" s="38" t="str">
        <f>IF(AND(ISNUMBER(F92),ISNUMBER(F91)),IF(F91=0,"",F92/F91-1),"")</f>
        <v/>
      </c>
      <c r="H92" s="17" t="n"/>
      <c r="I92" s="17" t="n"/>
      <c r="J92" s="17" t="n"/>
      <c r="K92" s="17" t="n"/>
      <c r="L92" s="17" t="n"/>
      <c r="M92" s="17" t="n"/>
      <c r="N92" s="39" t="str">
        <f>IF(AND(ISNUMBER(L92),ISNUMBER(M92),N(L92)&gt;0),M92/L92,"")</f>
        <v/>
      </c>
      <c r="O92" s="17" t="n"/>
      <c r="P92" s="17" t="n"/>
      <c r="Q92" s="39" t="str">
        <f>IF(AND(ISNUMBER(O92),ISNUMBER(P92),N(O92)&gt;0),P92/O92,"")</f>
        <v/>
      </c>
      <c r="R92" s="17" t="n"/>
      <c r="S92" s="37" t="n"/>
      <c r="T92" s="40" t="str">
        <f>IF(AND(ISNUMBER(J92),ISNUMBER(K92)),IF(N(ISNUMBER('参数'!$E$31))+N(ISNUMBER('参数'!$G$31))+N(ISNUMBER('参数'!$I$31))+N(ISNUMBER('参数'!$K$31))=0,"",IF(ISNUMBER('参数'!$E$31),J92&lt;='参数'!$E$31,FALSE)+IF(ISNUMBER('参数'!$G$31),K92&gt;='参数'!$G$31,FALSE)+IF(AND(ISNUMBER('参数'!$I$31),ISNUMBER(N92)),N92&gt;='参数'!$I$31,FALSE)+IF(AND(ISNUMBER('参数'!$K$31),ISNUMBER(Q92)),Q92&lt;='参数'!$K$31,FALSE)),"")</f>
        <v/>
      </c>
      <c r="U92" s="40" t="str">
        <f>IF(AND(ISNUMBER(J92),ISNUMBER(K92)),IF(N(ISNUMBER('参数'!$G$32))+N(ISNUMBER('参数'!$I$32))+N(ISNUMBER('参数'!$K$32))=0,"",IF(AND(ISNUMBER(J91),ISNUMBER(J90)),AND(J92&gt;J91,J91&gt;J90),FALSE)+IF(ISNUMBER('参数'!$G$32),J92&lt;'参数'!$G$32,FALSE)+IF(AND(ISNUMBER('参数'!$I$32),ISNUMBER(Q92)),Q92&gt;='参数'!$I$32,FALSE)+IF(AND(ISNUMBER('参数'!$K$32),ISNUMBER(S92)),S92&gt;='参数'!$K$32,FALSE)),"")</f>
        <v/>
      </c>
      <c r="V92" s="40" t="str">
        <f>IF(AND(ISNUMBER(J92),ISNUMBER(K92)),IF(N(ISNUMBER('参数'!$E$33))+N(ISNUMBER('参数'!$G$33))+N(ISNUMBER('参数'!$I$33))+N(ISNUMBER('参数'!$K$33))=0,"",IF(AND(ISNUMBER('参数'!$E$33),ISNUMBER(J91)),AND(J92&gt;='参数'!$E$33,J92&gt;J91),FALSE)+IF(AND(ISNUMBER('参数'!$G$33),ISNUMBER(N92)),N92&lt;='参数'!$G$33,FALSE)+IF(AND(ISNUMBER('参数'!$I$33),ISNUMBER(Q92)),Q92&gt;='参数'!$I$33,FALSE)+IF(AND(ISNUMBER('参数'!$K$33),ISNUMBER(S92)),S92&gt;='参数'!$K$33,FALSE)),"")</f>
        <v/>
      </c>
      <c r="W92" s="40" t="str">
        <f>IF(AND(ISNUMBER(J92),ISNUMBER(K92)),IF(N(ISNUMBER('参数'!$E$34))+N(ISNUMBER('参数'!$G$34))+N(ISNUMBER('参数'!$I$34))+N(ISNUMBER('参数'!$K$34))=0,"",IF(ISNUMBER('参数'!$E$34),J92&gt;='参数'!$E$34,FALSE)+IF(AND(ISNUMBER('参数'!$G$34),ISNUMBER(N92)),N92&lt;='参数'!$G$34,FALSE)+IF(AND(ISNUMBER('参数'!$I$34),ISNUMBER(S92)),S92&gt;='参数'!$I$34,FALSE)+IF(AND(ISNUMBER('参数'!$K$34),ISNUMBER(R92)),R92&gt;='参数'!$K$34,FALSE)),"")</f>
        <v/>
      </c>
      <c r="X92" s="40" t="str">
        <f>IF(AND(ISNUMBER(J92),ISNUMBER(K92)),IF(N(ISNUMBER('参数'!$E$35))+N(ISNUMBER('参数'!$G$35))+N(ISNUMBER('参数'!$I$35))=0,"",IF(AND(ISNUMBER('参数'!$E$35),ISNUMBER(N92),ISNUMBER(N91)),ROUND(N92-N91,6)&gt;='参数'!$E$35,FALSE)+IF(AND(ISNUMBER('参数'!$G$35),ISNUMBER(Q92),ISNUMBER(Q91)),ROUND(Q91-Q92,6)&gt;='参数'!$G$35,FALSE)+IF(AND(ISNUMBER('参数'!$I$35),ISNUMBER(S92),ISNUMBER(S91)),ROUND(S91-S92,6)&gt;='参数'!$I$35,FALSE)+IF(ISNUMBER(J91),J92&lt;J91,FALSE)),"")</f>
        <v/>
      </c>
      <c r="Y92" s="40" t="str">
        <f>IF(AND(ISNUMBER(J92),ISNUMBER(K92)),IF(N(ISNUMBER('参数'!$E$36))+N(ISNUMBER('参数'!$G$36))+N(ISNUMBER('参数'!$I$36))=0,"",IF(AND(ISNUMBER('参数'!$E$36),ISNUMBER(J91)),AND(J92&lt;='参数'!$E$36,J92&lt;J91),FALSE)+IF(ISNUMBER('参数'!$G$36),K92&gt;='参数'!$G$36,FALSE)+IF(AND(ISNUMBER('参数'!$I$36),ISNUMBER(S92)),S92&lt;'参数'!$I$36,FALSE)+IF(AND(ISNUMBER(R92),ISNUMBER(R91)),R92&lt;R91,FALSE)),"")</f>
        <v/>
      </c>
      <c r="Z92" s="41" t="str">
        <f>IF(NOT(AND(ISNUMBER(J92),ISNUMBER(K92))),"",IF(COUNT(T92:Y92)=0,"先填阈值",IF(MAX(AD92:AI92)=0,"不写",INDEX($T$4:$Y$4,MATCH(MAX(AD92:AI92),AD92:AI92,0))&amp;"·"&amp;IF(MAX(AD92:AI92)&gt;=200,"高","中")&amp;IF(LARGE(AD92:AI92,2)&gt;0,"（也像"&amp;INDEX($T$4:$Y$4,MATCH(LARGE(AD92:AI92,2),AD92:AI92,0))&amp;"·"&amp;IF(LARGE(AD92:AI92,2)&gt;=200,"高","中")&amp;"）",""))))</f>
        <v/>
      </c>
      <c r="AA92" s="27" t="n"/>
      <c r="AB92" s="32" t="n"/>
      <c r="AC92" s="16" t="n"/>
      <c r="AD92" s="40">
        <f>IF(N(T92)&gt;=3,IF(T92=4,2,1)*100+T92*10+6,0)</f>
        <v>0</v>
      </c>
      <c r="AE92" s="40">
        <f>IF(N(U92)&gt;=3,1*100+U92*10+1,0)</f>
        <v>0</v>
      </c>
      <c r="AF92" s="40">
        <f>IF(N(V92)&gt;=3,IF(V92=4,2,1)*100+V92*10+2,0)</f>
        <v>0</v>
      </c>
      <c r="AG92" s="40">
        <f>IF(N(W92)&gt;=3,1*100+W92*10+3,0)</f>
        <v>0</v>
      </c>
      <c r="AH92" s="40">
        <f>IF(N(X92)&gt;=3,1*100+X92*10+4,0)</f>
        <v>0</v>
      </c>
      <c r="AI92" s="40">
        <f>IF(N(Y92)&gt;=3,IF(AND(N(T92)&gt;=3,OR(N(T92)=4,N(Y92)&lt;=N(T92))),0,IF(Y92=4,2,1)*100+Y92*10+5),0)</f>
        <v>0</v>
      </c>
    </row>
    <row r="93">
      <c r="A93" s="31" t="n"/>
      <c r="B93" s="36" t="str">
        <f>IF(ISNUMBER(A93),"周"&amp;CHOOSE(WEEKDAY(A93,2),"一","二","三","四","五","六","日"),"")</f>
        <v/>
      </c>
      <c r="C93" s="37" t="n"/>
      <c r="D93" s="37" t="n"/>
      <c r="E93" s="37" t="n"/>
      <c r="F93" s="17" t="n"/>
      <c r="G93" s="38" t="str">
        <f>IF(AND(ISNUMBER(F93),ISNUMBER(F92)),IF(F92=0,"",F93/F92-1),"")</f>
        <v/>
      </c>
      <c r="H93" s="17" t="n"/>
      <c r="I93" s="17" t="n"/>
      <c r="J93" s="17" t="n"/>
      <c r="K93" s="17" t="n"/>
      <c r="L93" s="17" t="n"/>
      <c r="M93" s="17" t="n"/>
      <c r="N93" s="39" t="str">
        <f>IF(AND(ISNUMBER(L93),ISNUMBER(M93),N(L93)&gt;0),M93/L93,"")</f>
        <v/>
      </c>
      <c r="O93" s="17" t="n"/>
      <c r="P93" s="17" t="n"/>
      <c r="Q93" s="39" t="str">
        <f>IF(AND(ISNUMBER(O93),ISNUMBER(P93),N(O93)&gt;0),P93/O93,"")</f>
        <v/>
      </c>
      <c r="R93" s="17" t="n"/>
      <c r="S93" s="37" t="n"/>
      <c r="T93" s="40" t="str">
        <f>IF(AND(ISNUMBER(J93),ISNUMBER(K93)),IF(N(ISNUMBER('参数'!$E$31))+N(ISNUMBER('参数'!$G$31))+N(ISNUMBER('参数'!$I$31))+N(ISNUMBER('参数'!$K$31))=0,"",IF(ISNUMBER('参数'!$E$31),J93&lt;='参数'!$E$31,FALSE)+IF(ISNUMBER('参数'!$G$31),K93&gt;='参数'!$G$31,FALSE)+IF(AND(ISNUMBER('参数'!$I$31),ISNUMBER(N93)),N93&gt;='参数'!$I$31,FALSE)+IF(AND(ISNUMBER('参数'!$K$31),ISNUMBER(Q93)),Q93&lt;='参数'!$K$31,FALSE)),"")</f>
        <v/>
      </c>
      <c r="U93" s="40" t="str">
        <f>IF(AND(ISNUMBER(J93),ISNUMBER(K93)),IF(N(ISNUMBER('参数'!$G$32))+N(ISNUMBER('参数'!$I$32))+N(ISNUMBER('参数'!$K$32))=0,"",IF(AND(ISNUMBER(J92),ISNUMBER(J91)),AND(J93&gt;J92,J92&gt;J91),FALSE)+IF(ISNUMBER('参数'!$G$32),J93&lt;'参数'!$G$32,FALSE)+IF(AND(ISNUMBER('参数'!$I$32),ISNUMBER(Q93)),Q93&gt;='参数'!$I$32,FALSE)+IF(AND(ISNUMBER('参数'!$K$32),ISNUMBER(S93)),S93&gt;='参数'!$K$32,FALSE)),"")</f>
        <v/>
      </c>
      <c r="V93" s="40" t="str">
        <f>IF(AND(ISNUMBER(J93),ISNUMBER(K93)),IF(N(ISNUMBER('参数'!$E$33))+N(ISNUMBER('参数'!$G$33))+N(ISNUMBER('参数'!$I$33))+N(ISNUMBER('参数'!$K$33))=0,"",IF(AND(ISNUMBER('参数'!$E$33),ISNUMBER(J92)),AND(J93&gt;='参数'!$E$33,J93&gt;J92),FALSE)+IF(AND(ISNUMBER('参数'!$G$33),ISNUMBER(N93)),N93&lt;='参数'!$G$33,FALSE)+IF(AND(ISNUMBER('参数'!$I$33),ISNUMBER(Q93)),Q93&gt;='参数'!$I$33,FALSE)+IF(AND(ISNUMBER('参数'!$K$33),ISNUMBER(S93)),S93&gt;='参数'!$K$33,FALSE)),"")</f>
        <v/>
      </c>
      <c r="W93" s="40" t="str">
        <f>IF(AND(ISNUMBER(J93),ISNUMBER(K93)),IF(N(ISNUMBER('参数'!$E$34))+N(ISNUMBER('参数'!$G$34))+N(ISNUMBER('参数'!$I$34))+N(ISNUMBER('参数'!$K$34))=0,"",IF(ISNUMBER('参数'!$E$34),J93&gt;='参数'!$E$34,FALSE)+IF(AND(ISNUMBER('参数'!$G$34),ISNUMBER(N93)),N93&lt;='参数'!$G$34,FALSE)+IF(AND(ISNUMBER('参数'!$I$34),ISNUMBER(S93)),S93&gt;='参数'!$I$34,FALSE)+IF(AND(ISNUMBER('参数'!$K$34),ISNUMBER(R93)),R93&gt;='参数'!$K$34,FALSE)),"")</f>
        <v/>
      </c>
      <c r="X93" s="40" t="str">
        <f>IF(AND(ISNUMBER(J93),ISNUMBER(K93)),IF(N(ISNUMBER('参数'!$E$35))+N(ISNUMBER('参数'!$G$35))+N(ISNUMBER('参数'!$I$35))=0,"",IF(AND(ISNUMBER('参数'!$E$35),ISNUMBER(N93),ISNUMBER(N92)),ROUND(N93-N92,6)&gt;='参数'!$E$35,FALSE)+IF(AND(ISNUMBER('参数'!$G$35),ISNUMBER(Q93),ISNUMBER(Q92)),ROUND(Q92-Q93,6)&gt;='参数'!$G$35,FALSE)+IF(AND(ISNUMBER('参数'!$I$35),ISNUMBER(S93),ISNUMBER(S92)),ROUND(S92-S93,6)&gt;='参数'!$I$35,FALSE)+IF(ISNUMBER(J92),J93&lt;J92,FALSE)),"")</f>
        <v/>
      </c>
      <c r="Y93" s="40" t="str">
        <f>IF(AND(ISNUMBER(J93),ISNUMBER(K93)),IF(N(ISNUMBER('参数'!$E$36))+N(ISNUMBER('参数'!$G$36))+N(ISNUMBER('参数'!$I$36))=0,"",IF(AND(ISNUMBER('参数'!$E$36),ISNUMBER(J92)),AND(J93&lt;='参数'!$E$36,J93&lt;J92),FALSE)+IF(ISNUMBER('参数'!$G$36),K93&gt;='参数'!$G$36,FALSE)+IF(AND(ISNUMBER('参数'!$I$36),ISNUMBER(S93)),S93&lt;'参数'!$I$36,FALSE)+IF(AND(ISNUMBER(R93),ISNUMBER(R92)),R93&lt;R92,FALSE)),"")</f>
        <v/>
      </c>
      <c r="Z93" s="41" t="str">
        <f>IF(NOT(AND(ISNUMBER(J93),ISNUMBER(K93))),"",IF(COUNT(T93:Y93)=0,"先填阈值",IF(MAX(AD93:AI93)=0,"不写",INDEX($T$4:$Y$4,MATCH(MAX(AD93:AI93),AD93:AI93,0))&amp;"·"&amp;IF(MAX(AD93:AI93)&gt;=200,"高","中")&amp;IF(LARGE(AD93:AI93,2)&gt;0,"（也像"&amp;INDEX($T$4:$Y$4,MATCH(LARGE(AD93:AI93,2),AD93:AI93,0))&amp;"·"&amp;IF(LARGE(AD93:AI93,2)&gt;=200,"高","中")&amp;"）",""))))</f>
        <v/>
      </c>
      <c r="AA93" s="27" t="n"/>
      <c r="AB93" s="32" t="n"/>
      <c r="AC93" s="16" t="n"/>
      <c r="AD93" s="40">
        <f>IF(N(T93)&gt;=3,IF(T93=4,2,1)*100+T93*10+6,0)</f>
        <v>0</v>
      </c>
      <c r="AE93" s="40">
        <f>IF(N(U93)&gt;=3,1*100+U93*10+1,0)</f>
        <v>0</v>
      </c>
      <c r="AF93" s="40">
        <f>IF(N(V93)&gt;=3,IF(V93=4,2,1)*100+V93*10+2,0)</f>
        <v>0</v>
      </c>
      <c r="AG93" s="40">
        <f>IF(N(W93)&gt;=3,1*100+W93*10+3,0)</f>
        <v>0</v>
      </c>
      <c r="AH93" s="40">
        <f>IF(N(X93)&gt;=3,1*100+X93*10+4,0)</f>
        <v>0</v>
      </c>
      <c r="AI93" s="40">
        <f>IF(N(Y93)&gt;=3,IF(AND(N(T93)&gt;=3,OR(N(T93)=4,N(Y93)&lt;=N(T93))),0,IF(Y93=4,2,1)*100+Y93*10+5),0)</f>
        <v>0</v>
      </c>
    </row>
    <row r="94">
      <c r="A94" s="31" t="n"/>
      <c r="B94" s="36" t="str">
        <f>IF(ISNUMBER(A94),"周"&amp;CHOOSE(WEEKDAY(A94,2),"一","二","三","四","五","六","日"),"")</f>
        <v/>
      </c>
      <c r="C94" s="37" t="n"/>
      <c r="D94" s="37" t="n"/>
      <c r="E94" s="37" t="n"/>
      <c r="F94" s="17" t="n"/>
      <c r="G94" s="38" t="str">
        <f>IF(AND(ISNUMBER(F94),ISNUMBER(F93)),IF(F93=0,"",F94/F93-1),"")</f>
        <v/>
      </c>
      <c r="H94" s="17" t="n"/>
      <c r="I94" s="17" t="n"/>
      <c r="J94" s="17" t="n"/>
      <c r="K94" s="17" t="n"/>
      <c r="L94" s="17" t="n"/>
      <c r="M94" s="17" t="n"/>
      <c r="N94" s="39" t="str">
        <f>IF(AND(ISNUMBER(L94),ISNUMBER(M94),N(L94)&gt;0),M94/L94,"")</f>
        <v/>
      </c>
      <c r="O94" s="17" t="n"/>
      <c r="P94" s="17" t="n"/>
      <c r="Q94" s="39" t="str">
        <f>IF(AND(ISNUMBER(O94),ISNUMBER(P94),N(O94)&gt;0),P94/O94,"")</f>
        <v/>
      </c>
      <c r="R94" s="17" t="n"/>
      <c r="S94" s="37" t="n"/>
      <c r="T94" s="40" t="str">
        <f>IF(AND(ISNUMBER(J94),ISNUMBER(K94)),IF(N(ISNUMBER('参数'!$E$31))+N(ISNUMBER('参数'!$G$31))+N(ISNUMBER('参数'!$I$31))+N(ISNUMBER('参数'!$K$31))=0,"",IF(ISNUMBER('参数'!$E$31),J94&lt;='参数'!$E$31,FALSE)+IF(ISNUMBER('参数'!$G$31),K94&gt;='参数'!$G$31,FALSE)+IF(AND(ISNUMBER('参数'!$I$31),ISNUMBER(N94)),N94&gt;='参数'!$I$31,FALSE)+IF(AND(ISNUMBER('参数'!$K$31),ISNUMBER(Q94)),Q94&lt;='参数'!$K$31,FALSE)),"")</f>
        <v/>
      </c>
      <c r="U94" s="40" t="str">
        <f>IF(AND(ISNUMBER(J94),ISNUMBER(K94)),IF(N(ISNUMBER('参数'!$G$32))+N(ISNUMBER('参数'!$I$32))+N(ISNUMBER('参数'!$K$32))=0,"",IF(AND(ISNUMBER(J93),ISNUMBER(J92)),AND(J94&gt;J93,J93&gt;J92),FALSE)+IF(ISNUMBER('参数'!$G$32),J94&lt;'参数'!$G$32,FALSE)+IF(AND(ISNUMBER('参数'!$I$32),ISNUMBER(Q94)),Q94&gt;='参数'!$I$32,FALSE)+IF(AND(ISNUMBER('参数'!$K$32),ISNUMBER(S94)),S94&gt;='参数'!$K$32,FALSE)),"")</f>
        <v/>
      </c>
      <c r="V94" s="40" t="str">
        <f>IF(AND(ISNUMBER(J94),ISNUMBER(K94)),IF(N(ISNUMBER('参数'!$E$33))+N(ISNUMBER('参数'!$G$33))+N(ISNUMBER('参数'!$I$33))+N(ISNUMBER('参数'!$K$33))=0,"",IF(AND(ISNUMBER('参数'!$E$33),ISNUMBER(J93)),AND(J94&gt;='参数'!$E$33,J94&gt;J93),FALSE)+IF(AND(ISNUMBER('参数'!$G$33),ISNUMBER(N94)),N94&lt;='参数'!$G$33,FALSE)+IF(AND(ISNUMBER('参数'!$I$33),ISNUMBER(Q94)),Q94&gt;='参数'!$I$33,FALSE)+IF(AND(ISNUMBER('参数'!$K$33),ISNUMBER(S94)),S94&gt;='参数'!$K$33,FALSE)),"")</f>
        <v/>
      </c>
      <c r="W94" s="40" t="str">
        <f>IF(AND(ISNUMBER(J94),ISNUMBER(K94)),IF(N(ISNUMBER('参数'!$E$34))+N(ISNUMBER('参数'!$G$34))+N(ISNUMBER('参数'!$I$34))+N(ISNUMBER('参数'!$K$34))=0,"",IF(ISNUMBER('参数'!$E$34),J94&gt;='参数'!$E$34,FALSE)+IF(AND(ISNUMBER('参数'!$G$34),ISNUMBER(N94)),N94&lt;='参数'!$G$34,FALSE)+IF(AND(ISNUMBER('参数'!$I$34),ISNUMBER(S94)),S94&gt;='参数'!$I$34,FALSE)+IF(AND(ISNUMBER('参数'!$K$34),ISNUMBER(R94)),R94&gt;='参数'!$K$34,FALSE)),"")</f>
        <v/>
      </c>
      <c r="X94" s="40" t="str">
        <f>IF(AND(ISNUMBER(J94),ISNUMBER(K94)),IF(N(ISNUMBER('参数'!$E$35))+N(ISNUMBER('参数'!$G$35))+N(ISNUMBER('参数'!$I$35))=0,"",IF(AND(ISNUMBER('参数'!$E$35),ISNUMBER(N94),ISNUMBER(N93)),ROUND(N94-N93,6)&gt;='参数'!$E$35,FALSE)+IF(AND(ISNUMBER('参数'!$G$35),ISNUMBER(Q94),ISNUMBER(Q93)),ROUND(Q93-Q94,6)&gt;='参数'!$G$35,FALSE)+IF(AND(ISNUMBER('参数'!$I$35),ISNUMBER(S94),ISNUMBER(S93)),ROUND(S93-S94,6)&gt;='参数'!$I$35,FALSE)+IF(ISNUMBER(J93),J94&lt;J93,FALSE)),"")</f>
        <v/>
      </c>
      <c r="Y94" s="40" t="str">
        <f>IF(AND(ISNUMBER(J94),ISNUMBER(K94)),IF(N(ISNUMBER('参数'!$E$36))+N(ISNUMBER('参数'!$G$36))+N(ISNUMBER('参数'!$I$36))=0,"",IF(AND(ISNUMBER('参数'!$E$36),ISNUMBER(J93)),AND(J94&lt;='参数'!$E$36,J94&lt;J93),FALSE)+IF(ISNUMBER('参数'!$G$36),K94&gt;='参数'!$G$36,FALSE)+IF(AND(ISNUMBER('参数'!$I$36),ISNUMBER(S94)),S94&lt;'参数'!$I$36,FALSE)+IF(AND(ISNUMBER(R94),ISNUMBER(R93)),R94&lt;R93,FALSE)),"")</f>
        <v/>
      </c>
      <c r="Z94" s="41" t="str">
        <f>IF(NOT(AND(ISNUMBER(J94),ISNUMBER(K94))),"",IF(COUNT(T94:Y94)=0,"先填阈值",IF(MAX(AD94:AI94)=0,"不写",INDEX($T$4:$Y$4,MATCH(MAX(AD94:AI94),AD94:AI94,0))&amp;"·"&amp;IF(MAX(AD94:AI94)&gt;=200,"高","中")&amp;IF(LARGE(AD94:AI94,2)&gt;0,"（也像"&amp;INDEX($T$4:$Y$4,MATCH(LARGE(AD94:AI94,2),AD94:AI94,0))&amp;"·"&amp;IF(LARGE(AD94:AI94,2)&gt;=200,"高","中")&amp;"）",""))))</f>
        <v/>
      </c>
      <c r="AA94" s="27" t="n"/>
      <c r="AB94" s="32" t="n"/>
      <c r="AC94" s="16" t="n"/>
      <c r="AD94" s="40">
        <f>IF(N(T94)&gt;=3,IF(T94=4,2,1)*100+T94*10+6,0)</f>
        <v>0</v>
      </c>
      <c r="AE94" s="40">
        <f>IF(N(U94)&gt;=3,1*100+U94*10+1,0)</f>
        <v>0</v>
      </c>
      <c r="AF94" s="40">
        <f>IF(N(V94)&gt;=3,IF(V94=4,2,1)*100+V94*10+2,0)</f>
        <v>0</v>
      </c>
      <c r="AG94" s="40">
        <f>IF(N(W94)&gt;=3,1*100+W94*10+3,0)</f>
        <v>0</v>
      </c>
      <c r="AH94" s="40">
        <f>IF(N(X94)&gt;=3,1*100+X94*10+4,0)</f>
        <v>0</v>
      </c>
      <c r="AI94" s="40">
        <f>IF(N(Y94)&gt;=3,IF(AND(N(T94)&gt;=3,OR(N(T94)=4,N(Y94)&lt;=N(T94))),0,IF(Y94=4,2,1)*100+Y94*10+5),0)</f>
        <v>0</v>
      </c>
    </row>
    <row r="95">
      <c r="A95" s="31" t="n"/>
      <c r="B95" s="36" t="str">
        <f>IF(ISNUMBER(A95),"周"&amp;CHOOSE(WEEKDAY(A95,2),"一","二","三","四","五","六","日"),"")</f>
        <v/>
      </c>
      <c r="C95" s="37" t="n"/>
      <c r="D95" s="37" t="n"/>
      <c r="E95" s="37" t="n"/>
      <c r="F95" s="17" t="n"/>
      <c r="G95" s="38" t="str">
        <f>IF(AND(ISNUMBER(F95),ISNUMBER(F94)),IF(F94=0,"",F95/F94-1),"")</f>
        <v/>
      </c>
      <c r="H95" s="17" t="n"/>
      <c r="I95" s="17" t="n"/>
      <c r="J95" s="17" t="n"/>
      <c r="K95" s="17" t="n"/>
      <c r="L95" s="17" t="n"/>
      <c r="M95" s="17" t="n"/>
      <c r="N95" s="39" t="str">
        <f>IF(AND(ISNUMBER(L95),ISNUMBER(M95),N(L95)&gt;0),M95/L95,"")</f>
        <v/>
      </c>
      <c r="O95" s="17" t="n"/>
      <c r="P95" s="17" t="n"/>
      <c r="Q95" s="39" t="str">
        <f>IF(AND(ISNUMBER(O95),ISNUMBER(P95),N(O95)&gt;0),P95/O95,"")</f>
        <v/>
      </c>
      <c r="R95" s="17" t="n"/>
      <c r="S95" s="37" t="n"/>
      <c r="T95" s="40" t="str">
        <f>IF(AND(ISNUMBER(J95),ISNUMBER(K95)),IF(N(ISNUMBER('参数'!$E$31))+N(ISNUMBER('参数'!$G$31))+N(ISNUMBER('参数'!$I$31))+N(ISNUMBER('参数'!$K$31))=0,"",IF(ISNUMBER('参数'!$E$31),J95&lt;='参数'!$E$31,FALSE)+IF(ISNUMBER('参数'!$G$31),K95&gt;='参数'!$G$31,FALSE)+IF(AND(ISNUMBER('参数'!$I$31),ISNUMBER(N95)),N95&gt;='参数'!$I$31,FALSE)+IF(AND(ISNUMBER('参数'!$K$31),ISNUMBER(Q95)),Q95&lt;='参数'!$K$31,FALSE)),"")</f>
        <v/>
      </c>
      <c r="U95" s="40" t="str">
        <f>IF(AND(ISNUMBER(J95),ISNUMBER(K95)),IF(N(ISNUMBER('参数'!$G$32))+N(ISNUMBER('参数'!$I$32))+N(ISNUMBER('参数'!$K$32))=0,"",IF(AND(ISNUMBER(J94),ISNUMBER(J93)),AND(J95&gt;J94,J94&gt;J93),FALSE)+IF(ISNUMBER('参数'!$G$32),J95&lt;'参数'!$G$32,FALSE)+IF(AND(ISNUMBER('参数'!$I$32),ISNUMBER(Q95)),Q95&gt;='参数'!$I$32,FALSE)+IF(AND(ISNUMBER('参数'!$K$32),ISNUMBER(S95)),S95&gt;='参数'!$K$32,FALSE)),"")</f>
        <v/>
      </c>
      <c r="V95" s="40" t="str">
        <f>IF(AND(ISNUMBER(J95),ISNUMBER(K95)),IF(N(ISNUMBER('参数'!$E$33))+N(ISNUMBER('参数'!$G$33))+N(ISNUMBER('参数'!$I$33))+N(ISNUMBER('参数'!$K$33))=0,"",IF(AND(ISNUMBER('参数'!$E$33),ISNUMBER(J94)),AND(J95&gt;='参数'!$E$33,J95&gt;J94),FALSE)+IF(AND(ISNUMBER('参数'!$G$33),ISNUMBER(N95)),N95&lt;='参数'!$G$33,FALSE)+IF(AND(ISNUMBER('参数'!$I$33),ISNUMBER(Q95)),Q95&gt;='参数'!$I$33,FALSE)+IF(AND(ISNUMBER('参数'!$K$33),ISNUMBER(S95)),S95&gt;='参数'!$K$33,FALSE)),"")</f>
        <v/>
      </c>
      <c r="W95" s="40" t="str">
        <f>IF(AND(ISNUMBER(J95),ISNUMBER(K95)),IF(N(ISNUMBER('参数'!$E$34))+N(ISNUMBER('参数'!$G$34))+N(ISNUMBER('参数'!$I$34))+N(ISNUMBER('参数'!$K$34))=0,"",IF(ISNUMBER('参数'!$E$34),J95&gt;='参数'!$E$34,FALSE)+IF(AND(ISNUMBER('参数'!$G$34),ISNUMBER(N95)),N95&lt;='参数'!$G$34,FALSE)+IF(AND(ISNUMBER('参数'!$I$34),ISNUMBER(S95)),S95&gt;='参数'!$I$34,FALSE)+IF(AND(ISNUMBER('参数'!$K$34),ISNUMBER(R95)),R95&gt;='参数'!$K$34,FALSE)),"")</f>
        <v/>
      </c>
      <c r="X95" s="40" t="str">
        <f>IF(AND(ISNUMBER(J95),ISNUMBER(K95)),IF(N(ISNUMBER('参数'!$E$35))+N(ISNUMBER('参数'!$G$35))+N(ISNUMBER('参数'!$I$35))=0,"",IF(AND(ISNUMBER('参数'!$E$35),ISNUMBER(N95),ISNUMBER(N94)),ROUND(N95-N94,6)&gt;='参数'!$E$35,FALSE)+IF(AND(ISNUMBER('参数'!$G$35),ISNUMBER(Q95),ISNUMBER(Q94)),ROUND(Q94-Q95,6)&gt;='参数'!$G$35,FALSE)+IF(AND(ISNUMBER('参数'!$I$35),ISNUMBER(S95),ISNUMBER(S94)),ROUND(S94-S95,6)&gt;='参数'!$I$35,FALSE)+IF(ISNUMBER(J94),J95&lt;J94,FALSE)),"")</f>
        <v/>
      </c>
      <c r="Y95" s="40" t="str">
        <f>IF(AND(ISNUMBER(J95),ISNUMBER(K95)),IF(N(ISNUMBER('参数'!$E$36))+N(ISNUMBER('参数'!$G$36))+N(ISNUMBER('参数'!$I$36))=0,"",IF(AND(ISNUMBER('参数'!$E$36),ISNUMBER(J94)),AND(J95&lt;='参数'!$E$36,J95&lt;J94),FALSE)+IF(ISNUMBER('参数'!$G$36),K95&gt;='参数'!$G$36,FALSE)+IF(AND(ISNUMBER('参数'!$I$36),ISNUMBER(S95)),S95&lt;'参数'!$I$36,FALSE)+IF(AND(ISNUMBER(R95),ISNUMBER(R94)),R95&lt;R94,FALSE)),"")</f>
        <v/>
      </c>
      <c r="Z95" s="41" t="str">
        <f>IF(NOT(AND(ISNUMBER(J95),ISNUMBER(K95))),"",IF(COUNT(T95:Y95)=0,"先填阈值",IF(MAX(AD95:AI95)=0,"不写",INDEX($T$4:$Y$4,MATCH(MAX(AD95:AI95),AD95:AI95,0))&amp;"·"&amp;IF(MAX(AD95:AI95)&gt;=200,"高","中")&amp;IF(LARGE(AD95:AI95,2)&gt;0,"（也像"&amp;INDEX($T$4:$Y$4,MATCH(LARGE(AD95:AI95,2),AD95:AI95,0))&amp;"·"&amp;IF(LARGE(AD95:AI95,2)&gt;=200,"高","中")&amp;"）",""))))</f>
        <v/>
      </c>
      <c r="AA95" s="27" t="n"/>
      <c r="AB95" s="32" t="n"/>
      <c r="AC95" s="16" t="n"/>
      <c r="AD95" s="40">
        <f>IF(N(T95)&gt;=3,IF(T95=4,2,1)*100+T95*10+6,0)</f>
        <v>0</v>
      </c>
      <c r="AE95" s="40">
        <f>IF(N(U95)&gt;=3,1*100+U95*10+1,0)</f>
        <v>0</v>
      </c>
      <c r="AF95" s="40">
        <f>IF(N(V95)&gt;=3,IF(V95=4,2,1)*100+V95*10+2,0)</f>
        <v>0</v>
      </c>
      <c r="AG95" s="40">
        <f>IF(N(W95)&gt;=3,1*100+W95*10+3,0)</f>
        <v>0</v>
      </c>
      <c r="AH95" s="40">
        <f>IF(N(X95)&gt;=3,1*100+X95*10+4,0)</f>
        <v>0</v>
      </c>
      <c r="AI95" s="40">
        <f>IF(N(Y95)&gt;=3,IF(AND(N(T95)&gt;=3,OR(N(T95)=4,N(Y95)&lt;=N(T95))),0,IF(Y95=4,2,1)*100+Y95*10+5),0)</f>
        <v>0</v>
      </c>
    </row>
    <row r="96">
      <c r="A96" s="31" t="n"/>
      <c r="B96" s="36" t="str">
        <f>IF(ISNUMBER(A96),"周"&amp;CHOOSE(WEEKDAY(A96,2),"一","二","三","四","五","六","日"),"")</f>
        <v/>
      </c>
      <c r="C96" s="37" t="n"/>
      <c r="D96" s="37" t="n"/>
      <c r="E96" s="37" t="n"/>
      <c r="F96" s="17" t="n"/>
      <c r="G96" s="38" t="str">
        <f>IF(AND(ISNUMBER(F96),ISNUMBER(F95)),IF(F95=0,"",F96/F95-1),"")</f>
        <v/>
      </c>
      <c r="H96" s="17" t="n"/>
      <c r="I96" s="17" t="n"/>
      <c r="J96" s="17" t="n"/>
      <c r="K96" s="17" t="n"/>
      <c r="L96" s="17" t="n"/>
      <c r="M96" s="17" t="n"/>
      <c r="N96" s="39" t="str">
        <f>IF(AND(ISNUMBER(L96),ISNUMBER(M96),N(L96)&gt;0),M96/L96,"")</f>
        <v/>
      </c>
      <c r="O96" s="17" t="n"/>
      <c r="P96" s="17" t="n"/>
      <c r="Q96" s="39" t="str">
        <f>IF(AND(ISNUMBER(O96),ISNUMBER(P96),N(O96)&gt;0),P96/O96,"")</f>
        <v/>
      </c>
      <c r="R96" s="17" t="n"/>
      <c r="S96" s="37" t="n"/>
      <c r="T96" s="40" t="str">
        <f>IF(AND(ISNUMBER(J96),ISNUMBER(K96)),IF(N(ISNUMBER('参数'!$E$31))+N(ISNUMBER('参数'!$G$31))+N(ISNUMBER('参数'!$I$31))+N(ISNUMBER('参数'!$K$31))=0,"",IF(ISNUMBER('参数'!$E$31),J96&lt;='参数'!$E$31,FALSE)+IF(ISNUMBER('参数'!$G$31),K96&gt;='参数'!$G$31,FALSE)+IF(AND(ISNUMBER('参数'!$I$31),ISNUMBER(N96)),N96&gt;='参数'!$I$31,FALSE)+IF(AND(ISNUMBER('参数'!$K$31),ISNUMBER(Q96)),Q96&lt;='参数'!$K$31,FALSE)),"")</f>
        <v/>
      </c>
      <c r="U96" s="40" t="str">
        <f>IF(AND(ISNUMBER(J96),ISNUMBER(K96)),IF(N(ISNUMBER('参数'!$G$32))+N(ISNUMBER('参数'!$I$32))+N(ISNUMBER('参数'!$K$32))=0,"",IF(AND(ISNUMBER(J95),ISNUMBER(J94)),AND(J96&gt;J95,J95&gt;J94),FALSE)+IF(ISNUMBER('参数'!$G$32),J96&lt;'参数'!$G$32,FALSE)+IF(AND(ISNUMBER('参数'!$I$32),ISNUMBER(Q96)),Q96&gt;='参数'!$I$32,FALSE)+IF(AND(ISNUMBER('参数'!$K$32),ISNUMBER(S96)),S96&gt;='参数'!$K$32,FALSE)),"")</f>
        <v/>
      </c>
      <c r="V96" s="40" t="str">
        <f>IF(AND(ISNUMBER(J96),ISNUMBER(K96)),IF(N(ISNUMBER('参数'!$E$33))+N(ISNUMBER('参数'!$G$33))+N(ISNUMBER('参数'!$I$33))+N(ISNUMBER('参数'!$K$33))=0,"",IF(AND(ISNUMBER('参数'!$E$33),ISNUMBER(J95)),AND(J96&gt;='参数'!$E$33,J96&gt;J95),FALSE)+IF(AND(ISNUMBER('参数'!$G$33),ISNUMBER(N96)),N96&lt;='参数'!$G$33,FALSE)+IF(AND(ISNUMBER('参数'!$I$33),ISNUMBER(Q96)),Q96&gt;='参数'!$I$33,FALSE)+IF(AND(ISNUMBER('参数'!$K$33),ISNUMBER(S96)),S96&gt;='参数'!$K$33,FALSE)),"")</f>
        <v/>
      </c>
      <c r="W96" s="40" t="str">
        <f>IF(AND(ISNUMBER(J96),ISNUMBER(K96)),IF(N(ISNUMBER('参数'!$E$34))+N(ISNUMBER('参数'!$G$34))+N(ISNUMBER('参数'!$I$34))+N(ISNUMBER('参数'!$K$34))=0,"",IF(ISNUMBER('参数'!$E$34),J96&gt;='参数'!$E$34,FALSE)+IF(AND(ISNUMBER('参数'!$G$34),ISNUMBER(N96)),N96&lt;='参数'!$G$34,FALSE)+IF(AND(ISNUMBER('参数'!$I$34),ISNUMBER(S96)),S96&gt;='参数'!$I$34,FALSE)+IF(AND(ISNUMBER('参数'!$K$34),ISNUMBER(R96)),R96&gt;='参数'!$K$34,FALSE)),"")</f>
        <v/>
      </c>
      <c r="X96" s="40" t="str">
        <f>IF(AND(ISNUMBER(J96),ISNUMBER(K96)),IF(N(ISNUMBER('参数'!$E$35))+N(ISNUMBER('参数'!$G$35))+N(ISNUMBER('参数'!$I$35))=0,"",IF(AND(ISNUMBER('参数'!$E$35),ISNUMBER(N96),ISNUMBER(N95)),ROUND(N96-N95,6)&gt;='参数'!$E$35,FALSE)+IF(AND(ISNUMBER('参数'!$G$35),ISNUMBER(Q96),ISNUMBER(Q95)),ROUND(Q95-Q96,6)&gt;='参数'!$G$35,FALSE)+IF(AND(ISNUMBER('参数'!$I$35),ISNUMBER(S96),ISNUMBER(S95)),ROUND(S95-S96,6)&gt;='参数'!$I$35,FALSE)+IF(ISNUMBER(J95),J96&lt;J95,FALSE)),"")</f>
        <v/>
      </c>
      <c r="Y96" s="40" t="str">
        <f>IF(AND(ISNUMBER(J96),ISNUMBER(K96)),IF(N(ISNUMBER('参数'!$E$36))+N(ISNUMBER('参数'!$G$36))+N(ISNUMBER('参数'!$I$36))=0,"",IF(AND(ISNUMBER('参数'!$E$36),ISNUMBER(J95)),AND(J96&lt;='参数'!$E$36,J96&lt;J95),FALSE)+IF(ISNUMBER('参数'!$G$36),K96&gt;='参数'!$G$36,FALSE)+IF(AND(ISNUMBER('参数'!$I$36),ISNUMBER(S96)),S96&lt;'参数'!$I$36,FALSE)+IF(AND(ISNUMBER(R96),ISNUMBER(R95)),R96&lt;R95,FALSE)),"")</f>
        <v/>
      </c>
      <c r="Z96" s="41" t="str">
        <f>IF(NOT(AND(ISNUMBER(J96),ISNUMBER(K96))),"",IF(COUNT(T96:Y96)=0,"先填阈值",IF(MAX(AD96:AI96)=0,"不写",INDEX($T$4:$Y$4,MATCH(MAX(AD96:AI96),AD96:AI96,0))&amp;"·"&amp;IF(MAX(AD96:AI96)&gt;=200,"高","中")&amp;IF(LARGE(AD96:AI96,2)&gt;0,"（也像"&amp;INDEX($T$4:$Y$4,MATCH(LARGE(AD96:AI96,2),AD96:AI96,0))&amp;"·"&amp;IF(LARGE(AD96:AI96,2)&gt;=200,"高","中")&amp;"）",""))))</f>
        <v/>
      </c>
      <c r="AA96" s="27" t="n"/>
      <c r="AB96" s="32" t="n"/>
      <c r="AC96" s="16" t="n"/>
      <c r="AD96" s="40">
        <f>IF(N(T96)&gt;=3,IF(T96=4,2,1)*100+T96*10+6,0)</f>
        <v>0</v>
      </c>
      <c r="AE96" s="40">
        <f>IF(N(U96)&gt;=3,1*100+U96*10+1,0)</f>
        <v>0</v>
      </c>
      <c r="AF96" s="40">
        <f>IF(N(V96)&gt;=3,IF(V96=4,2,1)*100+V96*10+2,0)</f>
        <v>0</v>
      </c>
      <c r="AG96" s="40">
        <f>IF(N(W96)&gt;=3,1*100+W96*10+3,0)</f>
        <v>0</v>
      </c>
      <c r="AH96" s="40">
        <f>IF(N(X96)&gt;=3,1*100+X96*10+4,0)</f>
        <v>0</v>
      </c>
      <c r="AI96" s="40">
        <f>IF(N(Y96)&gt;=3,IF(AND(N(T96)&gt;=3,OR(N(T96)=4,N(Y96)&lt;=N(T96))),0,IF(Y96=4,2,1)*100+Y96*10+5),0)</f>
        <v>0</v>
      </c>
    </row>
    <row r="97">
      <c r="A97" s="31" t="n"/>
      <c r="B97" s="36" t="str">
        <f>IF(ISNUMBER(A97),"周"&amp;CHOOSE(WEEKDAY(A97,2),"一","二","三","四","五","六","日"),"")</f>
        <v/>
      </c>
      <c r="C97" s="37" t="n"/>
      <c r="D97" s="37" t="n"/>
      <c r="E97" s="37" t="n"/>
      <c r="F97" s="17" t="n"/>
      <c r="G97" s="38" t="str">
        <f>IF(AND(ISNUMBER(F97),ISNUMBER(F96)),IF(F96=0,"",F97/F96-1),"")</f>
        <v/>
      </c>
      <c r="H97" s="17" t="n"/>
      <c r="I97" s="17" t="n"/>
      <c r="J97" s="17" t="n"/>
      <c r="K97" s="17" t="n"/>
      <c r="L97" s="17" t="n"/>
      <c r="M97" s="17" t="n"/>
      <c r="N97" s="39" t="str">
        <f>IF(AND(ISNUMBER(L97),ISNUMBER(M97),N(L97)&gt;0),M97/L97,"")</f>
        <v/>
      </c>
      <c r="O97" s="17" t="n"/>
      <c r="P97" s="17" t="n"/>
      <c r="Q97" s="39" t="str">
        <f>IF(AND(ISNUMBER(O97),ISNUMBER(P97),N(O97)&gt;0),P97/O97,"")</f>
        <v/>
      </c>
      <c r="R97" s="17" t="n"/>
      <c r="S97" s="37" t="n"/>
      <c r="T97" s="40" t="str">
        <f>IF(AND(ISNUMBER(J97),ISNUMBER(K97)),IF(N(ISNUMBER('参数'!$E$31))+N(ISNUMBER('参数'!$G$31))+N(ISNUMBER('参数'!$I$31))+N(ISNUMBER('参数'!$K$31))=0,"",IF(ISNUMBER('参数'!$E$31),J97&lt;='参数'!$E$31,FALSE)+IF(ISNUMBER('参数'!$G$31),K97&gt;='参数'!$G$31,FALSE)+IF(AND(ISNUMBER('参数'!$I$31),ISNUMBER(N97)),N97&gt;='参数'!$I$31,FALSE)+IF(AND(ISNUMBER('参数'!$K$31),ISNUMBER(Q97)),Q97&lt;='参数'!$K$31,FALSE)),"")</f>
        <v/>
      </c>
      <c r="U97" s="40" t="str">
        <f>IF(AND(ISNUMBER(J97),ISNUMBER(K97)),IF(N(ISNUMBER('参数'!$G$32))+N(ISNUMBER('参数'!$I$32))+N(ISNUMBER('参数'!$K$32))=0,"",IF(AND(ISNUMBER(J96),ISNUMBER(J95)),AND(J97&gt;J96,J96&gt;J95),FALSE)+IF(ISNUMBER('参数'!$G$32),J97&lt;'参数'!$G$32,FALSE)+IF(AND(ISNUMBER('参数'!$I$32),ISNUMBER(Q97)),Q97&gt;='参数'!$I$32,FALSE)+IF(AND(ISNUMBER('参数'!$K$32),ISNUMBER(S97)),S97&gt;='参数'!$K$32,FALSE)),"")</f>
        <v/>
      </c>
      <c r="V97" s="40" t="str">
        <f>IF(AND(ISNUMBER(J97),ISNUMBER(K97)),IF(N(ISNUMBER('参数'!$E$33))+N(ISNUMBER('参数'!$G$33))+N(ISNUMBER('参数'!$I$33))+N(ISNUMBER('参数'!$K$33))=0,"",IF(AND(ISNUMBER('参数'!$E$33),ISNUMBER(J96)),AND(J97&gt;='参数'!$E$33,J97&gt;J96),FALSE)+IF(AND(ISNUMBER('参数'!$G$33),ISNUMBER(N97)),N97&lt;='参数'!$G$33,FALSE)+IF(AND(ISNUMBER('参数'!$I$33),ISNUMBER(Q97)),Q97&gt;='参数'!$I$33,FALSE)+IF(AND(ISNUMBER('参数'!$K$33),ISNUMBER(S97)),S97&gt;='参数'!$K$33,FALSE)),"")</f>
        <v/>
      </c>
      <c r="W97" s="40" t="str">
        <f>IF(AND(ISNUMBER(J97),ISNUMBER(K97)),IF(N(ISNUMBER('参数'!$E$34))+N(ISNUMBER('参数'!$G$34))+N(ISNUMBER('参数'!$I$34))+N(ISNUMBER('参数'!$K$34))=0,"",IF(ISNUMBER('参数'!$E$34),J97&gt;='参数'!$E$34,FALSE)+IF(AND(ISNUMBER('参数'!$G$34),ISNUMBER(N97)),N97&lt;='参数'!$G$34,FALSE)+IF(AND(ISNUMBER('参数'!$I$34),ISNUMBER(S97)),S97&gt;='参数'!$I$34,FALSE)+IF(AND(ISNUMBER('参数'!$K$34),ISNUMBER(R97)),R97&gt;='参数'!$K$34,FALSE)),"")</f>
        <v/>
      </c>
      <c r="X97" s="40" t="str">
        <f>IF(AND(ISNUMBER(J97),ISNUMBER(K97)),IF(N(ISNUMBER('参数'!$E$35))+N(ISNUMBER('参数'!$G$35))+N(ISNUMBER('参数'!$I$35))=0,"",IF(AND(ISNUMBER('参数'!$E$35),ISNUMBER(N97),ISNUMBER(N96)),ROUND(N97-N96,6)&gt;='参数'!$E$35,FALSE)+IF(AND(ISNUMBER('参数'!$G$35),ISNUMBER(Q97),ISNUMBER(Q96)),ROUND(Q96-Q97,6)&gt;='参数'!$G$35,FALSE)+IF(AND(ISNUMBER('参数'!$I$35),ISNUMBER(S97),ISNUMBER(S96)),ROUND(S96-S97,6)&gt;='参数'!$I$35,FALSE)+IF(ISNUMBER(J96),J97&lt;J96,FALSE)),"")</f>
        <v/>
      </c>
      <c r="Y97" s="40" t="str">
        <f>IF(AND(ISNUMBER(J97),ISNUMBER(K97)),IF(N(ISNUMBER('参数'!$E$36))+N(ISNUMBER('参数'!$G$36))+N(ISNUMBER('参数'!$I$36))=0,"",IF(AND(ISNUMBER('参数'!$E$36),ISNUMBER(J96)),AND(J97&lt;='参数'!$E$36,J97&lt;J96),FALSE)+IF(ISNUMBER('参数'!$G$36),K97&gt;='参数'!$G$36,FALSE)+IF(AND(ISNUMBER('参数'!$I$36),ISNUMBER(S97)),S97&lt;'参数'!$I$36,FALSE)+IF(AND(ISNUMBER(R97),ISNUMBER(R96)),R97&lt;R96,FALSE)),"")</f>
        <v/>
      </c>
      <c r="Z97" s="41" t="str">
        <f>IF(NOT(AND(ISNUMBER(J97),ISNUMBER(K97))),"",IF(COUNT(T97:Y97)=0,"先填阈值",IF(MAX(AD97:AI97)=0,"不写",INDEX($T$4:$Y$4,MATCH(MAX(AD97:AI97),AD97:AI97,0))&amp;"·"&amp;IF(MAX(AD97:AI97)&gt;=200,"高","中")&amp;IF(LARGE(AD97:AI97,2)&gt;0,"（也像"&amp;INDEX($T$4:$Y$4,MATCH(LARGE(AD97:AI97,2),AD97:AI97,0))&amp;"·"&amp;IF(LARGE(AD97:AI97,2)&gt;=200,"高","中")&amp;"）",""))))</f>
        <v/>
      </c>
      <c r="AA97" s="27" t="n"/>
      <c r="AB97" s="32" t="n"/>
      <c r="AC97" s="16" t="n"/>
      <c r="AD97" s="40">
        <f>IF(N(T97)&gt;=3,IF(T97=4,2,1)*100+T97*10+6,0)</f>
        <v>0</v>
      </c>
      <c r="AE97" s="40">
        <f>IF(N(U97)&gt;=3,1*100+U97*10+1,0)</f>
        <v>0</v>
      </c>
      <c r="AF97" s="40">
        <f>IF(N(V97)&gt;=3,IF(V97=4,2,1)*100+V97*10+2,0)</f>
        <v>0</v>
      </c>
      <c r="AG97" s="40">
        <f>IF(N(W97)&gt;=3,1*100+W97*10+3,0)</f>
        <v>0</v>
      </c>
      <c r="AH97" s="40">
        <f>IF(N(X97)&gt;=3,1*100+X97*10+4,0)</f>
        <v>0</v>
      </c>
      <c r="AI97" s="40">
        <f>IF(N(Y97)&gt;=3,IF(AND(N(T97)&gt;=3,OR(N(T97)=4,N(Y97)&lt;=N(T97))),0,IF(Y97=4,2,1)*100+Y97*10+5),0)</f>
        <v>0</v>
      </c>
    </row>
    <row r="98">
      <c r="A98" s="31" t="n"/>
      <c r="B98" s="36" t="str">
        <f>IF(ISNUMBER(A98),"周"&amp;CHOOSE(WEEKDAY(A98,2),"一","二","三","四","五","六","日"),"")</f>
        <v/>
      </c>
      <c r="C98" s="37" t="n"/>
      <c r="D98" s="37" t="n"/>
      <c r="E98" s="37" t="n"/>
      <c r="F98" s="17" t="n"/>
      <c r="G98" s="38" t="str">
        <f>IF(AND(ISNUMBER(F98),ISNUMBER(F97)),IF(F97=0,"",F98/F97-1),"")</f>
        <v/>
      </c>
      <c r="H98" s="17" t="n"/>
      <c r="I98" s="17" t="n"/>
      <c r="J98" s="17" t="n"/>
      <c r="K98" s="17" t="n"/>
      <c r="L98" s="17" t="n"/>
      <c r="M98" s="17" t="n"/>
      <c r="N98" s="39" t="str">
        <f>IF(AND(ISNUMBER(L98),ISNUMBER(M98),N(L98)&gt;0),M98/L98,"")</f>
        <v/>
      </c>
      <c r="O98" s="17" t="n"/>
      <c r="P98" s="17" t="n"/>
      <c r="Q98" s="39" t="str">
        <f>IF(AND(ISNUMBER(O98),ISNUMBER(P98),N(O98)&gt;0),P98/O98,"")</f>
        <v/>
      </c>
      <c r="R98" s="17" t="n"/>
      <c r="S98" s="37" t="n"/>
      <c r="T98" s="40" t="str">
        <f>IF(AND(ISNUMBER(J98),ISNUMBER(K98)),IF(N(ISNUMBER('参数'!$E$31))+N(ISNUMBER('参数'!$G$31))+N(ISNUMBER('参数'!$I$31))+N(ISNUMBER('参数'!$K$31))=0,"",IF(ISNUMBER('参数'!$E$31),J98&lt;='参数'!$E$31,FALSE)+IF(ISNUMBER('参数'!$G$31),K98&gt;='参数'!$G$31,FALSE)+IF(AND(ISNUMBER('参数'!$I$31),ISNUMBER(N98)),N98&gt;='参数'!$I$31,FALSE)+IF(AND(ISNUMBER('参数'!$K$31),ISNUMBER(Q98)),Q98&lt;='参数'!$K$31,FALSE)),"")</f>
        <v/>
      </c>
      <c r="U98" s="40" t="str">
        <f>IF(AND(ISNUMBER(J98),ISNUMBER(K98)),IF(N(ISNUMBER('参数'!$G$32))+N(ISNUMBER('参数'!$I$32))+N(ISNUMBER('参数'!$K$32))=0,"",IF(AND(ISNUMBER(J97),ISNUMBER(J96)),AND(J98&gt;J97,J97&gt;J96),FALSE)+IF(ISNUMBER('参数'!$G$32),J98&lt;'参数'!$G$32,FALSE)+IF(AND(ISNUMBER('参数'!$I$32),ISNUMBER(Q98)),Q98&gt;='参数'!$I$32,FALSE)+IF(AND(ISNUMBER('参数'!$K$32),ISNUMBER(S98)),S98&gt;='参数'!$K$32,FALSE)),"")</f>
        <v/>
      </c>
      <c r="V98" s="40" t="str">
        <f>IF(AND(ISNUMBER(J98),ISNUMBER(K98)),IF(N(ISNUMBER('参数'!$E$33))+N(ISNUMBER('参数'!$G$33))+N(ISNUMBER('参数'!$I$33))+N(ISNUMBER('参数'!$K$33))=0,"",IF(AND(ISNUMBER('参数'!$E$33),ISNUMBER(J97)),AND(J98&gt;='参数'!$E$33,J98&gt;J97),FALSE)+IF(AND(ISNUMBER('参数'!$G$33),ISNUMBER(N98)),N98&lt;='参数'!$G$33,FALSE)+IF(AND(ISNUMBER('参数'!$I$33),ISNUMBER(Q98)),Q98&gt;='参数'!$I$33,FALSE)+IF(AND(ISNUMBER('参数'!$K$33),ISNUMBER(S98)),S98&gt;='参数'!$K$33,FALSE)),"")</f>
        <v/>
      </c>
      <c r="W98" s="40" t="str">
        <f>IF(AND(ISNUMBER(J98),ISNUMBER(K98)),IF(N(ISNUMBER('参数'!$E$34))+N(ISNUMBER('参数'!$G$34))+N(ISNUMBER('参数'!$I$34))+N(ISNUMBER('参数'!$K$34))=0,"",IF(ISNUMBER('参数'!$E$34),J98&gt;='参数'!$E$34,FALSE)+IF(AND(ISNUMBER('参数'!$G$34),ISNUMBER(N98)),N98&lt;='参数'!$G$34,FALSE)+IF(AND(ISNUMBER('参数'!$I$34),ISNUMBER(S98)),S98&gt;='参数'!$I$34,FALSE)+IF(AND(ISNUMBER('参数'!$K$34),ISNUMBER(R98)),R98&gt;='参数'!$K$34,FALSE)),"")</f>
        <v/>
      </c>
      <c r="X98" s="40" t="str">
        <f>IF(AND(ISNUMBER(J98),ISNUMBER(K98)),IF(N(ISNUMBER('参数'!$E$35))+N(ISNUMBER('参数'!$G$35))+N(ISNUMBER('参数'!$I$35))=0,"",IF(AND(ISNUMBER('参数'!$E$35),ISNUMBER(N98),ISNUMBER(N97)),ROUND(N98-N97,6)&gt;='参数'!$E$35,FALSE)+IF(AND(ISNUMBER('参数'!$G$35),ISNUMBER(Q98),ISNUMBER(Q97)),ROUND(Q97-Q98,6)&gt;='参数'!$G$35,FALSE)+IF(AND(ISNUMBER('参数'!$I$35),ISNUMBER(S98),ISNUMBER(S97)),ROUND(S97-S98,6)&gt;='参数'!$I$35,FALSE)+IF(ISNUMBER(J97),J98&lt;J97,FALSE)),"")</f>
        <v/>
      </c>
      <c r="Y98" s="40" t="str">
        <f>IF(AND(ISNUMBER(J98),ISNUMBER(K98)),IF(N(ISNUMBER('参数'!$E$36))+N(ISNUMBER('参数'!$G$36))+N(ISNUMBER('参数'!$I$36))=0,"",IF(AND(ISNUMBER('参数'!$E$36),ISNUMBER(J97)),AND(J98&lt;='参数'!$E$36,J98&lt;J97),FALSE)+IF(ISNUMBER('参数'!$G$36),K98&gt;='参数'!$G$36,FALSE)+IF(AND(ISNUMBER('参数'!$I$36),ISNUMBER(S98)),S98&lt;'参数'!$I$36,FALSE)+IF(AND(ISNUMBER(R98),ISNUMBER(R97)),R98&lt;R97,FALSE)),"")</f>
        <v/>
      </c>
      <c r="Z98" s="41" t="str">
        <f>IF(NOT(AND(ISNUMBER(J98),ISNUMBER(K98))),"",IF(COUNT(T98:Y98)=0,"先填阈值",IF(MAX(AD98:AI98)=0,"不写",INDEX($T$4:$Y$4,MATCH(MAX(AD98:AI98),AD98:AI98,0))&amp;"·"&amp;IF(MAX(AD98:AI98)&gt;=200,"高","中")&amp;IF(LARGE(AD98:AI98,2)&gt;0,"（也像"&amp;INDEX($T$4:$Y$4,MATCH(LARGE(AD98:AI98,2),AD98:AI98,0))&amp;"·"&amp;IF(LARGE(AD98:AI98,2)&gt;=200,"高","中")&amp;"）",""))))</f>
        <v/>
      </c>
      <c r="AA98" s="27" t="n"/>
      <c r="AB98" s="32" t="n"/>
      <c r="AC98" s="16" t="n"/>
      <c r="AD98" s="40">
        <f>IF(N(T98)&gt;=3,IF(T98=4,2,1)*100+T98*10+6,0)</f>
        <v>0</v>
      </c>
      <c r="AE98" s="40">
        <f>IF(N(U98)&gt;=3,1*100+U98*10+1,0)</f>
        <v>0</v>
      </c>
      <c r="AF98" s="40">
        <f>IF(N(V98)&gt;=3,IF(V98=4,2,1)*100+V98*10+2,0)</f>
        <v>0</v>
      </c>
      <c r="AG98" s="40">
        <f>IF(N(W98)&gt;=3,1*100+W98*10+3,0)</f>
        <v>0</v>
      </c>
      <c r="AH98" s="40">
        <f>IF(N(X98)&gt;=3,1*100+X98*10+4,0)</f>
        <v>0</v>
      </c>
      <c r="AI98" s="40">
        <f>IF(N(Y98)&gt;=3,IF(AND(N(T98)&gt;=3,OR(N(T98)=4,N(Y98)&lt;=N(T98))),0,IF(Y98=4,2,1)*100+Y98*10+5),0)</f>
        <v>0</v>
      </c>
    </row>
    <row r="99">
      <c r="A99" s="31" t="n"/>
      <c r="B99" s="36" t="str">
        <f>IF(ISNUMBER(A99),"周"&amp;CHOOSE(WEEKDAY(A99,2),"一","二","三","四","五","六","日"),"")</f>
        <v/>
      </c>
      <c r="C99" s="37" t="n"/>
      <c r="D99" s="37" t="n"/>
      <c r="E99" s="37" t="n"/>
      <c r="F99" s="17" t="n"/>
      <c r="G99" s="38" t="str">
        <f>IF(AND(ISNUMBER(F99),ISNUMBER(F98)),IF(F98=0,"",F99/F98-1),"")</f>
        <v/>
      </c>
      <c r="H99" s="17" t="n"/>
      <c r="I99" s="17" t="n"/>
      <c r="J99" s="17" t="n"/>
      <c r="K99" s="17" t="n"/>
      <c r="L99" s="17" t="n"/>
      <c r="M99" s="17" t="n"/>
      <c r="N99" s="39" t="str">
        <f>IF(AND(ISNUMBER(L99),ISNUMBER(M99),N(L99)&gt;0),M99/L99,"")</f>
        <v/>
      </c>
      <c r="O99" s="17" t="n"/>
      <c r="P99" s="17" t="n"/>
      <c r="Q99" s="39" t="str">
        <f>IF(AND(ISNUMBER(O99),ISNUMBER(P99),N(O99)&gt;0),P99/O99,"")</f>
        <v/>
      </c>
      <c r="R99" s="17" t="n"/>
      <c r="S99" s="37" t="n"/>
      <c r="T99" s="40" t="str">
        <f>IF(AND(ISNUMBER(J99),ISNUMBER(K99)),IF(N(ISNUMBER('参数'!$E$31))+N(ISNUMBER('参数'!$G$31))+N(ISNUMBER('参数'!$I$31))+N(ISNUMBER('参数'!$K$31))=0,"",IF(ISNUMBER('参数'!$E$31),J99&lt;='参数'!$E$31,FALSE)+IF(ISNUMBER('参数'!$G$31),K99&gt;='参数'!$G$31,FALSE)+IF(AND(ISNUMBER('参数'!$I$31),ISNUMBER(N99)),N99&gt;='参数'!$I$31,FALSE)+IF(AND(ISNUMBER('参数'!$K$31),ISNUMBER(Q99)),Q99&lt;='参数'!$K$31,FALSE)),"")</f>
        <v/>
      </c>
      <c r="U99" s="40" t="str">
        <f>IF(AND(ISNUMBER(J99),ISNUMBER(K99)),IF(N(ISNUMBER('参数'!$G$32))+N(ISNUMBER('参数'!$I$32))+N(ISNUMBER('参数'!$K$32))=0,"",IF(AND(ISNUMBER(J98),ISNUMBER(J97)),AND(J99&gt;J98,J98&gt;J97),FALSE)+IF(ISNUMBER('参数'!$G$32),J99&lt;'参数'!$G$32,FALSE)+IF(AND(ISNUMBER('参数'!$I$32),ISNUMBER(Q99)),Q99&gt;='参数'!$I$32,FALSE)+IF(AND(ISNUMBER('参数'!$K$32),ISNUMBER(S99)),S99&gt;='参数'!$K$32,FALSE)),"")</f>
        <v/>
      </c>
      <c r="V99" s="40" t="str">
        <f>IF(AND(ISNUMBER(J99),ISNUMBER(K99)),IF(N(ISNUMBER('参数'!$E$33))+N(ISNUMBER('参数'!$G$33))+N(ISNUMBER('参数'!$I$33))+N(ISNUMBER('参数'!$K$33))=0,"",IF(AND(ISNUMBER('参数'!$E$33),ISNUMBER(J98)),AND(J99&gt;='参数'!$E$33,J99&gt;J98),FALSE)+IF(AND(ISNUMBER('参数'!$G$33),ISNUMBER(N99)),N99&lt;='参数'!$G$33,FALSE)+IF(AND(ISNUMBER('参数'!$I$33),ISNUMBER(Q99)),Q99&gt;='参数'!$I$33,FALSE)+IF(AND(ISNUMBER('参数'!$K$33),ISNUMBER(S99)),S99&gt;='参数'!$K$33,FALSE)),"")</f>
        <v/>
      </c>
      <c r="W99" s="40" t="str">
        <f>IF(AND(ISNUMBER(J99),ISNUMBER(K99)),IF(N(ISNUMBER('参数'!$E$34))+N(ISNUMBER('参数'!$G$34))+N(ISNUMBER('参数'!$I$34))+N(ISNUMBER('参数'!$K$34))=0,"",IF(ISNUMBER('参数'!$E$34),J99&gt;='参数'!$E$34,FALSE)+IF(AND(ISNUMBER('参数'!$G$34),ISNUMBER(N99)),N99&lt;='参数'!$G$34,FALSE)+IF(AND(ISNUMBER('参数'!$I$34),ISNUMBER(S99)),S99&gt;='参数'!$I$34,FALSE)+IF(AND(ISNUMBER('参数'!$K$34),ISNUMBER(R99)),R99&gt;='参数'!$K$34,FALSE)),"")</f>
        <v/>
      </c>
      <c r="X99" s="40" t="str">
        <f>IF(AND(ISNUMBER(J99),ISNUMBER(K99)),IF(N(ISNUMBER('参数'!$E$35))+N(ISNUMBER('参数'!$G$35))+N(ISNUMBER('参数'!$I$35))=0,"",IF(AND(ISNUMBER('参数'!$E$35),ISNUMBER(N99),ISNUMBER(N98)),ROUND(N99-N98,6)&gt;='参数'!$E$35,FALSE)+IF(AND(ISNUMBER('参数'!$G$35),ISNUMBER(Q99),ISNUMBER(Q98)),ROUND(Q98-Q99,6)&gt;='参数'!$G$35,FALSE)+IF(AND(ISNUMBER('参数'!$I$35),ISNUMBER(S99),ISNUMBER(S98)),ROUND(S98-S99,6)&gt;='参数'!$I$35,FALSE)+IF(ISNUMBER(J98),J99&lt;J98,FALSE)),"")</f>
        <v/>
      </c>
      <c r="Y99" s="40" t="str">
        <f>IF(AND(ISNUMBER(J99),ISNUMBER(K99)),IF(N(ISNUMBER('参数'!$E$36))+N(ISNUMBER('参数'!$G$36))+N(ISNUMBER('参数'!$I$36))=0,"",IF(AND(ISNUMBER('参数'!$E$36),ISNUMBER(J98)),AND(J99&lt;='参数'!$E$36,J99&lt;J98),FALSE)+IF(ISNUMBER('参数'!$G$36),K99&gt;='参数'!$G$36,FALSE)+IF(AND(ISNUMBER('参数'!$I$36),ISNUMBER(S99)),S99&lt;'参数'!$I$36,FALSE)+IF(AND(ISNUMBER(R99),ISNUMBER(R98)),R99&lt;R98,FALSE)),"")</f>
        <v/>
      </c>
      <c r="Z99" s="41" t="str">
        <f>IF(NOT(AND(ISNUMBER(J99),ISNUMBER(K99))),"",IF(COUNT(T99:Y99)=0,"先填阈值",IF(MAX(AD99:AI99)=0,"不写",INDEX($T$4:$Y$4,MATCH(MAX(AD99:AI99),AD99:AI99,0))&amp;"·"&amp;IF(MAX(AD99:AI99)&gt;=200,"高","中")&amp;IF(LARGE(AD99:AI99,2)&gt;0,"（也像"&amp;INDEX($T$4:$Y$4,MATCH(LARGE(AD99:AI99,2),AD99:AI99,0))&amp;"·"&amp;IF(LARGE(AD99:AI99,2)&gt;=200,"高","中")&amp;"）",""))))</f>
        <v/>
      </c>
      <c r="AA99" s="27" t="n"/>
      <c r="AB99" s="32" t="n"/>
      <c r="AC99" s="16" t="n"/>
      <c r="AD99" s="40">
        <f>IF(N(T99)&gt;=3,IF(T99=4,2,1)*100+T99*10+6,0)</f>
        <v>0</v>
      </c>
      <c r="AE99" s="40">
        <f>IF(N(U99)&gt;=3,1*100+U99*10+1,0)</f>
        <v>0</v>
      </c>
      <c r="AF99" s="40">
        <f>IF(N(V99)&gt;=3,IF(V99=4,2,1)*100+V99*10+2,0)</f>
        <v>0</v>
      </c>
      <c r="AG99" s="40">
        <f>IF(N(W99)&gt;=3,1*100+W99*10+3,0)</f>
        <v>0</v>
      </c>
      <c r="AH99" s="40">
        <f>IF(N(X99)&gt;=3,1*100+X99*10+4,0)</f>
        <v>0</v>
      </c>
      <c r="AI99" s="40">
        <f>IF(N(Y99)&gt;=3,IF(AND(N(T99)&gt;=3,OR(N(T99)=4,N(Y99)&lt;=N(T99))),0,IF(Y99=4,2,1)*100+Y99*10+5),0)</f>
        <v>0</v>
      </c>
    </row>
    <row r="100">
      <c r="A100" s="31" t="n"/>
      <c r="B100" s="36" t="str">
        <f>IF(ISNUMBER(A100),"周"&amp;CHOOSE(WEEKDAY(A100,2),"一","二","三","四","五","六","日"),"")</f>
        <v/>
      </c>
      <c r="C100" s="37" t="n"/>
      <c r="D100" s="37" t="n"/>
      <c r="E100" s="37" t="n"/>
      <c r="F100" s="17" t="n"/>
      <c r="G100" s="38" t="str">
        <f>IF(AND(ISNUMBER(F100),ISNUMBER(F99)),IF(F99=0,"",F100/F99-1),"")</f>
        <v/>
      </c>
      <c r="H100" s="17" t="n"/>
      <c r="I100" s="17" t="n"/>
      <c r="J100" s="17" t="n"/>
      <c r="K100" s="17" t="n"/>
      <c r="L100" s="17" t="n"/>
      <c r="M100" s="17" t="n"/>
      <c r="N100" s="39" t="str">
        <f>IF(AND(ISNUMBER(L100),ISNUMBER(M100),N(L100)&gt;0),M100/L100,"")</f>
        <v/>
      </c>
      <c r="O100" s="17" t="n"/>
      <c r="P100" s="17" t="n"/>
      <c r="Q100" s="39" t="str">
        <f>IF(AND(ISNUMBER(O100),ISNUMBER(P100),N(O100)&gt;0),P100/O100,"")</f>
        <v/>
      </c>
      <c r="R100" s="17" t="n"/>
      <c r="S100" s="37" t="n"/>
      <c r="T100" s="40" t="str">
        <f>IF(AND(ISNUMBER(J100),ISNUMBER(K100)),IF(N(ISNUMBER('参数'!$E$31))+N(ISNUMBER('参数'!$G$31))+N(ISNUMBER('参数'!$I$31))+N(ISNUMBER('参数'!$K$31))=0,"",IF(ISNUMBER('参数'!$E$31),J100&lt;='参数'!$E$31,FALSE)+IF(ISNUMBER('参数'!$G$31),K100&gt;='参数'!$G$31,FALSE)+IF(AND(ISNUMBER('参数'!$I$31),ISNUMBER(N100)),N100&gt;='参数'!$I$31,FALSE)+IF(AND(ISNUMBER('参数'!$K$31),ISNUMBER(Q100)),Q100&lt;='参数'!$K$31,FALSE)),"")</f>
        <v/>
      </c>
      <c r="U100" s="40" t="str">
        <f>IF(AND(ISNUMBER(J100),ISNUMBER(K100)),IF(N(ISNUMBER('参数'!$G$32))+N(ISNUMBER('参数'!$I$32))+N(ISNUMBER('参数'!$K$32))=0,"",IF(AND(ISNUMBER(J99),ISNUMBER(J98)),AND(J100&gt;J99,J99&gt;J98),FALSE)+IF(ISNUMBER('参数'!$G$32),J100&lt;'参数'!$G$32,FALSE)+IF(AND(ISNUMBER('参数'!$I$32),ISNUMBER(Q100)),Q100&gt;='参数'!$I$32,FALSE)+IF(AND(ISNUMBER('参数'!$K$32),ISNUMBER(S100)),S100&gt;='参数'!$K$32,FALSE)),"")</f>
        <v/>
      </c>
      <c r="V100" s="40" t="str">
        <f>IF(AND(ISNUMBER(J100),ISNUMBER(K100)),IF(N(ISNUMBER('参数'!$E$33))+N(ISNUMBER('参数'!$G$33))+N(ISNUMBER('参数'!$I$33))+N(ISNUMBER('参数'!$K$33))=0,"",IF(AND(ISNUMBER('参数'!$E$33),ISNUMBER(J99)),AND(J100&gt;='参数'!$E$33,J100&gt;J99),FALSE)+IF(AND(ISNUMBER('参数'!$G$33),ISNUMBER(N100)),N100&lt;='参数'!$G$33,FALSE)+IF(AND(ISNUMBER('参数'!$I$33),ISNUMBER(Q100)),Q100&gt;='参数'!$I$33,FALSE)+IF(AND(ISNUMBER('参数'!$K$33),ISNUMBER(S100)),S100&gt;='参数'!$K$33,FALSE)),"")</f>
        <v/>
      </c>
      <c r="W100" s="40" t="str">
        <f>IF(AND(ISNUMBER(J100),ISNUMBER(K100)),IF(N(ISNUMBER('参数'!$E$34))+N(ISNUMBER('参数'!$G$34))+N(ISNUMBER('参数'!$I$34))+N(ISNUMBER('参数'!$K$34))=0,"",IF(ISNUMBER('参数'!$E$34),J100&gt;='参数'!$E$34,FALSE)+IF(AND(ISNUMBER('参数'!$G$34),ISNUMBER(N100)),N100&lt;='参数'!$G$34,FALSE)+IF(AND(ISNUMBER('参数'!$I$34),ISNUMBER(S100)),S100&gt;='参数'!$I$34,FALSE)+IF(AND(ISNUMBER('参数'!$K$34),ISNUMBER(R100)),R100&gt;='参数'!$K$34,FALSE)),"")</f>
        <v/>
      </c>
      <c r="X100" s="40" t="str">
        <f>IF(AND(ISNUMBER(J100),ISNUMBER(K100)),IF(N(ISNUMBER('参数'!$E$35))+N(ISNUMBER('参数'!$G$35))+N(ISNUMBER('参数'!$I$35))=0,"",IF(AND(ISNUMBER('参数'!$E$35),ISNUMBER(N100),ISNUMBER(N99)),ROUND(N100-N99,6)&gt;='参数'!$E$35,FALSE)+IF(AND(ISNUMBER('参数'!$G$35),ISNUMBER(Q100),ISNUMBER(Q99)),ROUND(Q99-Q100,6)&gt;='参数'!$G$35,FALSE)+IF(AND(ISNUMBER('参数'!$I$35),ISNUMBER(S100),ISNUMBER(S99)),ROUND(S99-S100,6)&gt;='参数'!$I$35,FALSE)+IF(ISNUMBER(J99),J100&lt;J99,FALSE)),"")</f>
        <v/>
      </c>
      <c r="Y100" s="40" t="str">
        <f>IF(AND(ISNUMBER(J100),ISNUMBER(K100)),IF(N(ISNUMBER('参数'!$E$36))+N(ISNUMBER('参数'!$G$36))+N(ISNUMBER('参数'!$I$36))=0,"",IF(AND(ISNUMBER('参数'!$E$36),ISNUMBER(J99)),AND(J100&lt;='参数'!$E$36,J100&lt;J99),FALSE)+IF(ISNUMBER('参数'!$G$36),K100&gt;='参数'!$G$36,FALSE)+IF(AND(ISNUMBER('参数'!$I$36),ISNUMBER(S100)),S100&lt;'参数'!$I$36,FALSE)+IF(AND(ISNUMBER(R100),ISNUMBER(R99)),R100&lt;R99,FALSE)),"")</f>
        <v/>
      </c>
      <c r="Z100" s="41" t="str">
        <f>IF(NOT(AND(ISNUMBER(J100),ISNUMBER(K100))),"",IF(COUNT(T100:Y100)=0,"先填阈值",IF(MAX(AD100:AI100)=0,"不写",INDEX($T$4:$Y$4,MATCH(MAX(AD100:AI100),AD100:AI100,0))&amp;"·"&amp;IF(MAX(AD100:AI100)&gt;=200,"高","中")&amp;IF(LARGE(AD100:AI100,2)&gt;0,"（也像"&amp;INDEX($T$4:$Y$4,MATCH(LARGE(AD100:AI100,2),AD100:AI100,0))&amp;"·"&amp;IF(LARGE(AD100:AI100,2)&gt;=200,"高","中")&amp;"）",""))))</f>
        <v/>
      </c>
      <c r="AA100" s="27" t="n"/>
      <c r="AB100" s="32" t="n"/>
      <c r="AC100" s="16" t="n"/>
      <c r="AD100" s="40">
        <f>IF(N(T100)&gt;=3,IF(T100=4,2,1)*100+T100*10+6,0)</f>
        <v>0</v>
      </c>
      <c r="AE100" s="40">
        <f>IF(N(U100)&gt;=3,1*100+U100*10+1,0)</f>
        <v>0</v>
      </c>
      <c r="AF100" s="40">
        <f>IF(N(V100)&gt;=3,IF(V100=4,2,1)*100+V100*10+2,0)</f>
        <v>0</v>
      </c>
      <c r="AG100" s="40">
        <f>IF(N(W100)&gt;=3,1*100+W100*10+3,0)</f>
        <v>0</v>
      </c>
      <c r="AH100" s="40">
        <f>IF(N(X100)&gt;=3,1*100+X100*10+4,0)</f>
        <v>0</v>
      </c>
      <c r="AI100" s="40">
        <f>IF(N(Y100)&gt;=3,IF(AND(N(T100)&gt;=3,OR(N(T100)=4,N(Y100)&lt;=N(T100))),0,IF(Y100=4,2,1)*100+Y100*10+5),0)</f>
        <v>0</v>
      </c>
    </row>
    <row r="101">
      <c r="A101" s="31" t="n"/>
      <c r="B101" s="36" t="str">
        <f>IF(ISNUMBER(A101),"周"&amp;CHOOSE(WEEKDAY(A101,2),"一","二","三","四","五","六","日"),"")</f>
        <v/>
      </c>
      <c r="C101" s="37" t="n"/>
      <c r="D101" s="37" t="n"/>
      <c r="E101" s="37" t="n"/>
      <c r="F101" s="17" t="n"/>
      <c r="G101" s="38" t="str">
        <f>IF(AND(ISNUMBER(F101),ISNUMBER(F100)),IF(F100=0,"",F101/F100-1),"")</f>
        <v/>
      </c>
      <c r="H101" s="17" t="n"/>
      <c r="I101" s="17" t="n"/>
      <c r="J101" s="17" t="n"/>
      <c r="K101" s="17" t="n"/>
      <c r="L101" s="17" t="n"/>
      <c r="M101" s="17" t="n"/>
      <c r="N101" s="39" t="str">
        <f>IF(AND(ISNUMBER(L101),ISNUMBER(M101),N(L101)&gt;0),M101/L101,"")</f>
        <v/>
      </c>
      <c r="O101" s="17" t="n"/>
      <c r="P101" s="17" t="n"/>
      <c r="Q101" s="39" t="str">
        <f>IF(AND(ISNUMBER(O101),ISNUMBER(P101),N(O101)&gt;0),P101/O101,"")</f>
        <v/>
      </c>
      <c r="R101" s="17" t="n"/>
      <c r="S101" s="37" t="n"/>
      <c r="T101" s="40" t="str">
        <f>IF(AND(ISNUMBER(J101),ISNUMBER(K101)),IF(N(ISNUMBER('参数'!$E$31))+N(ISNUMBER('参数'!$G$31))+N(ISNUMBER('参数'!$I$31))+N(ISNUMBER('参数'!$K$31))=0,"",IF(ISNUMBER('参数'!$E$31),J101&lt;='参数'!$E$31,FALSE)+IF(ISNUMBER('参数'!$G$31),K101&gt;='参数'!$G$31,FALSE)+IF(AND(ISNUMBER('参数'!$I$31),ISNUMBER(N101)),N101&gt;='参数'!$I$31,FALSE)+IF(AND(ISNUMBER('参数'!$K$31),ISNUMBER(Q101)),Q101&lt;='参数'!$K$31,FALSE)),"")</f>
        <v/>
      </c>
      <c r="U101" s="40" t="str">
        <f>IF(AND(ISNUMBER(J101),ISNUMBER(K101)),IF(N(ISNUMBER('参数'!$G$32))+N(ISNUMBER('参数'!$I$32))+N(ISNUMBER('参数'!$K$32))=0,"",IF(AND(ISNUMBER(J100),ISNUMBER(J99)),AND(J101&gt;J100,J100&gt;J99),FALSE)+IF(ISNUMBER('参数'!$G$32),J101&lt;'参数'!$G$32,FALSE)+IF(AND(ISNUMBER('参数'!$I$32),ISNUMBER(Q101)),Q101&gt;='参数'!$I$32,FALSE)+IF(AND(ISNUMBER('参数'!$K$32),ISNUMBER(S101)),S101&gt;='参数'!$K$32,FALSE)),"")</f>
        <v/>
      </c>
      <c r="V101" s="40" t="str">
        <f>IF(AND(ISNUMBER(J101),ISNUMBER(K101)),IF(N(ISNUMBER('参数'!$E$33))+N(ISNUMBER('参数'!$G$33))+N(ISNUMBER('参数'!$I$33))+N(ISNUMBER('参数'!$K$33))=0,"",IF(AND(ISNUMBER('参数'!$E$33),ISNUMBER(J100)),AND(J101&gt;='参数'!$E$33,J101&gt;J100),FALSE)+IF(AND(ISNUMBER('参数'!$G$33),ISNUMBER(N101)),N101&lt;='参数'!$G$33,FALSE)+IF(AND(ISNUMBER('参数'!$I$33),ISNUMBER(Q101)),Q101&gt;='参数'!$I$33,FALSE)+IF(AND(ISNUMBER('参数'!$K$33),ISNUMBER(S101)),S101&gt;='参数'!$K$33,FALSE)),"")</f>
        <v/>
      </c>
      <c r="W101" s="40" t="str">
        <f>IF(AND(ISNUMBER(J101),ISNUMBER(K101)),IF(N(ISNUMBER('参数'!$E$34))+N(ISNUMBER('参数'!$G$34))+N(ISNUMBER('参数'!$I$34))+N(ISNUMBER('参数'!$K$34))=0,"",IF(ISNUMBER('参数'!$E$34),J101&gt;='参数'!$E$34,FALSE)+IF(AND(ISNUMBER('参数'!$G$34),ISNUMBER(N101)),N101&lt;='参数'!$G$34,FALSE)+IF(AND(ISNUMBER('参数'!$I$34),ISNUMBER(S101)),S101&gt;='参数'!$I$34,FALSE)+IF(AND(ISNUMBER('参数'!$K$34),ISNUMBER(R101)),R101&gt;='参数'!$K$34,FALSE)),"")</f>
        <v/>
      </c>
      <c r="X101" s="40" t="str">
        <f>IF(AND(ISNUMBER(J101),ISNUMBER(K101)),IF(N(ISNUMBER('参数'!$E$35))+N(ISNUMBER('参数'!$G$35))+N(ISNUMBER('参数'!$I$35))=0,"",IF(AND(ISNUMBER('参数'!$E$35),ISNUMBER(N101),ISNUMBER(N100)),ROUND(N101-N100,6)&gt;='参数'!$E$35,FALSE)+IF(AND(ISNUMBER('参数'!$G$35),ISNUMBER(Q101),ISNUMBER(Q100)),ROUND(Q100-Q101,6)&gt;='参数'!$G$35,FALSE)+IF(AND(ISNUMBER('参数'!$I$35),ISNUMBER(S101),ISNUMBER(S100)),ROUND(S100-S101,6)&gt;='参数'!$I$35,FALSE)+IF(ISNUMBER(J100),J101&lt;J100,FALSE)),"")</f>
        <v/>
      </c>
      <c r="Y101" s="40" t="str">
        <f>IF(AND(ISNUMBER(J101),ISNUMBER(K101)),IF(N(ISNUMBER('参数'!$E$36))+N(ISNUMBER('参数'!$G$36))+N(ISNUMBER('参数'!$I$36))=0,"",IF(AND(ISNUMBER('参数'!$E$36),ISNUMBER(J100)),AND(J101&lt;='参数'!$E$36,J101&lt;J100),FALSE)+IF(ISNUMBER('参数'!$G$36),K101&gt;='参数'!$G$36,FALSE)+IF(AND(ISNUMBER('参数'!$I$36),ISNUMBER(S101)),S101&lt;'参数'!$I$36,FALSE)+IF(AND(ISNUMBER(R101),ISNUMBER(R100)),R101&lt;R100,FALSE)),"")</f>
        <v/>
      </c>
      <c r="Z101" s="41" t="str">
        <f>IF(NOT(AND(ISNUMBER(J101),ISNUMBER(K101))),"",IF(COUNT(T101:Y101)=0,"先填阈值",IF(MAX(AD101:AI101)=0,"不写",INDEX($T$4:$Y$4,MATCH(MAX(AD101:AI101),AD101:AI101,0))&amp;"·"&amp;IF(MAX(AD101:AI101)&gt;=200,"高","中")&amp;IF(LARGE(AD101:AI101,2)&gt;0,"（也像"&amp;INDEX($T$4:$Y$4,MATCH(LARGE(AD101:AI101,2),AD101:AI101,0))&amp;"·"&amp;IF(LARGE(AD101:AI101,2)&gt;=200,"高","中")&amp;"）",""))))</f>
        <v/>
      </c>
      <c r="AA101" s="27" t="n"/>
      <c r="AB101" s="32" t="n"/>
      <c r="AC101" s="16" t="n"/>
      <c r="AD101" s="40">
        <f>IF(N(T101)&gt;=3,IF(T101=4,2,1)*100+T101*10+6,0)</f>
        <v>0</v>
      </c>
      <c r="AE101" s="40">
        <f>IF(N(U101)&gt;=3,1*100+U101*10+1,0)</f>
        <v>0</v>
      </c>
      <c r="AF101" s="40">
        <f>IF(N(V101)&gt;=3,IF(V101=4,2,1)*100+V101*10+2,0)</f>
        <v>0</v>
      </c>
      <c r="AG101" s="40">
        <f>IF(N(W101)&gt;=3,1*100+W101*10+3,0)</f>
        <v>0</v>
      </c>
      <c r="AH101" s="40">
        <f>IF(N(X101)&gt;=3,1*100+X101*10+4,0)</f>
        <v>0</v>
      </c>
      <c r="AI101" s="40">
        <f>IF(N(Y101)&gt;=3,IF(AND(N(T101)&gt;=3,OR(N(T101)=4,N(Y101)&lt;=N(T101))),0,IF(Y101=4,2,1)*100+Y101*10+5),0)</f>
        <v>0</v>
      </c>
    </row>
    <row r="102">
      <c r="A102" s="31" t="n"/>
      <c r="B102" s="36" t="str">
        <f>IF(ISNUMBER(A102),"周"&amp;CHOOSE(WEEKDAY(A102,2),"一","二","三","四","五","六","日"),"")</f>
        <v/>
      </c>
      <c r="C102" s="37" t="n"/>
      <c r="D102" s="37" t="n"/>
      <c r="E102" s="37" t="n"/>
      <c r="F102" s="17" t="n"/>
      <c r="G102" s="38" t="str">
        <f>IF(AND(ISNUMBER(F102),ISNUMBER(F101)),IF(F101=0,"",F102/F101-1),"")</f>
        <v/>
      </c>
      <c r="H102" s="17" t="n"/>
      <c r="I102" s="17" t="n"/>
      <c r="J102" s="17" t="n"/>
      <c r="K102" s="17" t="n"/>
      <c r="L102" s="17" t="n"/>
      <c r="M102" s="17" t="n"/>
      <c r="N102" s="39" t="str">
        <f>IF(AND(ISNUMBER(L102),ISNUMBER(M102),N(L102)&gt;0),M102/L102,"")</f>
        <v/>
      </c>
      <c r="O102" s="17" t="n"/>
      <c r="P102" s="17" t="n"/>
      <c r="Q102" s="39" t="str">
        <f>IF(AND(ISNUMBER(O102),ISNUMBER(P102),N(O102)&gt;0),P102/O102,"")</f>
        <v/>
      </c>
      <c r="R102" s="17" t="n"/>
      <c r="S102" s="37" t="n"/>
      <c r="T102" s="40" t="str">
        <f>IF(AND(ISNUMBER(J102),ISNUMBER(K102)),IF(N(ISNUMBER('参数'!$E$31))+N(ISNUMBER('参数'!$G$31))+N(ISNUMBER('参数'!$I$31))+N(ISNUMBER('参数'!$K$31))=0,"",IF(ISNUMBER('参数'!$E$31),J102&lt;='参数'!$E$31,FALSE)+IF(ISNUMBER('参数'!$G$31),K102&gt;='参数'!$G$31,FALSE)+IF(AND(ISNUMBER('参数'!$I$31),ISNUMBER(N102)),N102&gt;='参数'!$I$31,FALSE)+IF(AND(ISNUMBER('参数'!$K$31),ISNUMBER(Q102)),Q102&lt;='参数'!$K$31,FALSE)),"")</f>
        <v/>
      </c>
      <c r="U102" s="40" t="str">
        <f>IF(AND(ISNUMBER(J102),ISNUMBER(K102)),IF(N(ISNUMBER('参数'!$G$32))+N(ISNUMBER('参数'!$I$32))+N(ISNUMBER('参数'!$K$32))=0,"",IF(AND(ISNUMBER(J101),ISNUMBER(J100)),AND(J102&gt;J101,J101&gt;J100),FALSE)+IF(ISNUMBER('参数'!$G$32),J102&lt;'参数'!$G$32,FALSE)+IF(AND(ISNUMBER('参数'!$I$32),ISNUMBER(Q102)),Q102&gt;='参数'!$I$32,FALSE)+IF(AND(ISNUMBER('参数'!$K$32),ISNUMBER(S102)),S102&gt;='参数'!$K$32,FALSE)),"")</f>
        <v/>
      </c>
      <c r="V102" s="40" t="str">
        <f>IF(AND(ISNUMBER(J102),ISNUMBER(K102)),IF(N(ISNUMBER('参数'!$E$33))+N(ISNUMBER('参数'!$G$33))+N(ISNUMBER('参数'!$I$33))+N(ISNUMBER('参数'!$K$33))=0,"",IF(AND(ISNUMBER('参数'!$E$33),ISNUMBER(J101)),AND(J102&gt;='参数'!$E$33,J102&gt;J101),FALSE)+IF(AND(ISNUMBER('参数'!$G$33),ISNUMBER(N102)),N102&lt;='参数'!$G$33,FALSE)+IF(AND(ISNUMBER('参数'!$I$33),ISNUMBER(Q102)),Q102&gt;='参数'!$I$33,FALSE)+IF(AND(ISNUMBER('参数'!$K$33),ISNUMBER(S102)),S102&gt;='参数'!$K$33,FALSE)),"")</f>
        <v/>
      </c>
      <c r="W102" s="40" t="str">
        <f>IF(AND(ISNUMBER(J102),ISNUMBER(K102)),IF(N(ISNUMBER('参数'!$E$34))+N(ISNUMBER('参数'!$G$34))+N(ISNUMBER('参数'!$I$34))+N(ISNUMBER('参数'!$K$34))=0,"",IF(ISNUMBER('参数'!$E$34),J102&gt;='参数'!$E$34,FALSE)+IF(AND(ISNUMBER('参数'!$G$34),ISNUMBER(N102)),N102&lt;='参数'!$G$34,FALSE)+IF(AND(ISNUMBER('参数'!$I$34),ISNUMBER(S102)),S102&gt;='参数'!$I$34,FALSE)+IF(AND(ISNUMBER('参数'!$K$34),ISNUMBER(R102)),R102&gt;='参数'!$K$34,FALSE)),"")</f>
        <v/>
      </c>
      <c r="X102" s="40" t="str">
        <f>IF(AND(ISNUMBER(J102),ISNUMBER(K102)),IF(N(ISNUMBER('参数'!$E$35))+N(ISNUMBER('参数'!$G$35))+N(ISNUMBER('参数'!$I$35))=0,"",IF(AND(ISNUMBER('参数'!$E$35),ISNUMBER(N102),ISNUMBER(N101)),ROUND(N102-N101,6)&gt;='参数'!$E$35,FALSE)+IF(AND(ISNUMBER('参数'!$G$35),ISNUMBER(Q102),ISNUMBER(Q101)),ROUND(Q101-Q102,6)&gt;='参数'!$G$35,FALSE)+IF(AND(ISNUMBER('参数'!$I$35),ISNUMBER(S102),ISNUMBER(S101)),ROUND(S101-S102,6)&gt;='参数'!$I$35,FALSE)+IF(ISNUMBER(J101),J102&lt;J101,FALSE)),"")</f>
        <v/>
      </c>
      <c r="Y102" s="40" t="str">
        <f>IF(AND(ISNUMBER(J102),ISNUMBER(K102)),IF(N(ISNUMBER('参数'!$E$36))+N(ISNUMBER('参数'!$G$36))+N(ISNUMBER('参数'!$I$36))=0,"",IF(AND(ISNUMBER('参数'!$E$36),ISNUMBER(J101)),AND(J102&lt;='参数'!$E$36,J102&lt;J101),FALSE)+IF(ISNUMBER('参数'!$G$36),K102&gt;='参数'!$G$36,FALSE)+IF(AND(ISNUMBER('参数'!$I$36),ISNUMBER(S102)),S102&lt;'参数'!$I$36,FALSE)+IF(AND(ISNUMBER(R102),ISNUMBER(R101)),R102&lt;R101,FALSE)),"")</f>
        <v/>
      </c>
      <c r="Z102" s="41" t="str">
        <f>IF(NOT(AND(ISNUMBER(J102),ISNUMBER(K102))),"",IF(COUNT(T102:Y102)=0,"先填阈值",IF(MAX(AD102:AI102)=0,"不写",INDEX($T$4:$Y$4,MATCH(MAX(AD102:AI102),AD102:AI102,0))&amp;"·"&amp;IF(MAX(AD102:AI102)&gt;=200,"高","中")&amp;IF(LARGE(AD102:AI102,2)&gt;0,"（也像"&amp;INDEX($T$4:$Y$4,MATCH(LARGE(AD102:AI102,2),AD102:AI102,0))&amp;"·"&amp;IF(LARGE(AD102:AI102,2)&gt;=200,"高","中")&amp;"）",""))))</f>
        <v/>
      </c>
      <c r="AA102" s="27" t="n"/>
      <c r="AB102" s="32" t="n"/>
      <c r="AC102" s="16" t="n"/>
      <c r="AD102" s="40">
        <f>IF(N(T102)&gt;=3,IF(T102=4,2,1)*100+T102*10+6,0)</f>
        <v>0</v>
      </c>
      <c r="AE102" s="40">
        <f>IF(N(U102)&gt;=3,1*100+U102*10+1,0)</f>
        <v>0</v>
      </c>
      <c r="AF102" s="40">
        <f>IF(N(V102)&gt;=3,IF(V102=4,2,1)*100+V102*10+2,0)</f>
        <v>0</v>
      </c>
      <c r="AG102" s="40">
        <f>IF(N(W102)&gt;=3,1*100+W102*10+3,0)</f>
        <v>0</v>
      </c>
      <c r="AH102" s="40">
        <f>IF(N(X102)&gt;=3,1*100+X102*10+4,0)</f>
        <v>0</v>
      </c>
      <c r="AI102" s="40">
        <f>IF(N(Y102)&gt;=3,IF(AND(N(T102)&gt;=3,OR(N(T102)=4,N(Y102)&lt;=N(T102))),0,IF(Y102=4,2,1)*100+Y102*10+5),0)</f>
        <v>0</v>
      </c>
    </row>
    <row r="103">
      <c r="A103" s="31" t="n"/>
      <c r="B103" s="36" t="str">
        <f>IF(ISNUMBER(A103),"周"&amp;CHOOSE(WEEKDAY(A103,2),"一","二","三","四","五","六","日"),"")</f>
        <v/>
      </c>
      <c r="C103" s="37" t="n"/>
      <c r="D103" s="37" t="n"/>
      <c r="E103" s="37" t="n"/>
      <c r="F103" s="17" t="n"/>
      <c r="G103" s="38" t="str">
        <f>IF(AND(ISNUMBER(F103),ISNUMBER(F102)),IF(F102=0,"",F103/F102-1),"")</f>
        <v/>
      </c>
      <c r="H103" s="17" t="n"/>
      <c r="I103" s="17" t="n"/>
      <c r="J103" s="17" t="n"/>
      <c r="K103" s="17" t="n"/>
      <c r="L103" s="17" t="n"/>
      <c r="M103" s="17" t="n"/>
      <c r="N103" s="39" t="str">
        <f>IF(AND(ISNUMBER(L103),ISNUMBER(M103),N(L103)&gt;0),M103/L103,"")</f>
        <v/>
      </c>
      <c r="O103" s="17" t="n"/>
      <c r="P103" s="17" t="n"/>
      <c r="Q103" s="39" t="str">
        <f>IF(AND(ISNUMBER(O103),ISNUMBER(P103),N(O103)&gt;0),P103/O103,"")</f>
        <v/>
      </c>
      <c r="R103" s="17" t="n"/>
      <c r="S103" s="37" t="n"/>
      <c r="T103" s="40" t="str">
        <f>IF(AND(ISNUMBER(J103),ISNUMBER(K103)),IF(N(ISNUMBER('参数'!$E$31))+N(ISNUMBER('参数'!$G$31))+N(ISNUMBER('参数'!$I$31))+N(ISNUMBER('参数'!$K$31))=0,"",IF(ISNUMBER('参数'!$E$31),J103&lt;='参数'!$E$31,FALSE)+IF(ISNUMBER('参数'!$G$31),K103&gt;='参数'!$G$31,FALSE)+IF(AND(ISNUMBER('参数'!$I$31),ISNUMBER(N103)),N103&gt;='参数'!$I$31,FALSE)+IF(AND(ISNUMBER('参数'!$K$31),ISNUMBER(Q103)),Q103&lt;='参数'!$K$31,FALSE)),"")</f>
        <v/>
      </c>
      <c r="U103" s="40" t="str">
        <f>IF(AND(ISNUMBER(J103),ISNUMBER(K103)),IF(N(ISNUMBER('参数'!$G$32))+N(ISNUMBER('参数'!$I$32))+N(ISNUMBER('参数'!$K$32))=0,"",IF(AND(ISNUMBER(J102),ISNUMBER(J101)),AND(J103&gt;J102,J102&gt;J101),FALSE)+IF(ISNUMBER('参数'!$G$32),J103&lt;'参数'!$G$32,FALSE)+IF(AND(ISNUMBER('参数'!$I$32),ISNUMBER(Q103)),Q103&gt;='参数'!$I$32,FALSE)+IF(AND(ISNUMBER('参数'!$K$32),ISNUMBER(S103)),S103&gt;='参数'!$K$32,FALSE)),"")</f>
        <v/>
      </c>
      <c r="V103" s="40" t="str">
        <f>IF(AND(ISNUMBER(J103),ISNUMBER(K103)),IF(N(ISNUMBER('参数'!$E$33))+N(ISNUMBER('参数'!$G$33))+N(ISNUMBER('参数'!$I$33))+N(ISNUMBER('参数'!$K$33))=0,"",IF(AND(ISNUMBER('参数'!$E$33),ISNUMBER(J102)),AND(J103&gt;='参数'!$E$33,J103&gt;J102),FALSE)+IF(AND(ISNUMBER('参数'!$G$33),ISNUMBER(N103)),N103&lt;='参数'!$G$33,FALSE)+IF(AND(ISNUMBER('参数'!$I$33),ISNUMBER(Q103)),Q103&gt;='参数'!$I$33,FALSE)+IF(AND(ISNUMBER('参数'!$K$33),ISNUMBER(S103)),S103&gt;='参数'!$K$33,FALSE)),"")</f>
        <v/>
      </c>
      <c r="W103" s="40" t="str">
        <f>IF(AND(ISNUMBER(J103),ISNUMBER(K103)),IF(N(ISNUMBER('参数'!$E$34))+N(ISNUMBER('参数'!$G$34))+N(ISNUMBER('参数'!$I$34))+N(ISNUMBER('参数'!$K$34))=0,"",IF(ISNUMBER('参数'!$E$34),J103&gt;='参数'!$E$34,FALSE)+IF(AND(ISNUMBER('参数'!$G$34),ISNUMBER(N103)),N103&lt;='参数'!$G$34,FALSE)+IF(AND(ISNUMBER('参数'!$I$34),ISNUMBER(S103)),S103&gt;='参数'!$I$34,FALSE)+IF(AND(ISNUMBER('参数'!$K$34),ISNUMBER(R103)),R103&gt;='参数'!$K$34,FALSE)),"")</f>
        <v/>
      </c>
      <c r="X103" s="40" t="str">
        <f>IF(AND(ISNUMBER(J103),ISNUMBER(K103)),IF(N(ISNUMBER('参数'!$E$35))+N(ISNUMBER('参数'!$G$35))+N(ISNUMBER('参数'!$I$35))=0,"",IF(AND(ISNUMBER('参数'!$E$35),ISNUMBER(N103),ISNUMBER(N102)),ROUND(N103-N102,6)&gt;='参数'!$E$35,FALSE)+IF(AND(ISNUMBER('参数'!$G$35),ISNUMBER(Q103),ISNUMBER(Q102)),ROUND(Q102-Q103,6)&gt;='参数'!$G$35,FALSE)+IF(AND(ISNUMBER('参数'!$I$35),ISNUMBER(S103),ISNUMBER(S102)),ROUND(S102-S103,6)&gt;='参数'!$I$35,FALSE)+IF(ISNUMBER(J102),J103&lt;J102,FALSE)),"")</f>
        <v/>
      </c>
      <c r="Y103" s="40" t="str">
        <f>IF(AND(ISNUMBER(J103),ISNUMBER(K103)),IF(N(ISNUMBER('参数'!$E$36))+N(ISNUMBER('参数'!$G$36))+N(ISNUMBER('参数'!$I$36))=0,"",IF(AND(ISNUMBER('参数'!$E$36),ISNUMBER(J102)),AND(J103&lt;='参数'!$E$36,J103&lt;J102),FALSE)+IF(ISNUMBER('参数'!$G$36),K103&gt;='参数'!$G$36,FALSE)+IF(AND(ISNUMBER('参数'!$I$36),ISNUMBER(S103)),S103&lt;'参数'!$I$36,FALSE)+IF(AND(ISNUMBER(R103),ISNUMBER(R102)),R103&lt;R102,FALSE)),"")</f>
        <v/>
      </c>
      <c r="Z103" s="41" t="str">
        <f>IF(NOT(AND(ISNUMBER(J103),ISNUMBER(K103))),"",IF(COUNT(T103:Y103)=0,"先填阈值",IF(MAX(AD103:AI103)=0,"不写",INDEX($T$4:$Y$4,MATCH(MAX(AD103:AI103),AD103:AI103,0))&amp;"·"&amp;IF(MAX(AD103:AI103)&gt;=200,"高","中")&amp;IF(LARGE(AD103:AI103,2)&gt;0,"（也像"&amp;INDEX($T$4:$Y$4,MATCH(LARGE(AD103:AI103,2),AD103:AI103,0))&amp;"·"&amp;IF(LARGE(AD103:AI103,2)&gt;=200,"高","中")&amp;"）",""))))</f>
        <v/>
      </c>
      <c r="AA103" s="27" t="n"/>
      <c r="AB103" s="32" t="n"/>
      <c r="AC103" s="16" t="n"/>
      <c r="AD103" s="40">
        <f>IF(N(T103)&gt;=3,IF(T103=4,2,1)*100+T103*10+6,0)</f>
        <v>0</v>
      </c>
      <c r="AE103" s="40">
        <f>IF(N(U103)&gt;=3,1*100+U103*10+1,0)</f>
        <v>0</v>
      </c>
      <c r="AF103" s="40">
        <f>IF(N(V103)&gt;=3,IF(V103=4,2,1)*100+V103*10+2,0)</f>
        <v>0</v>
      </c>
      <c r="AG103" s="40">
        <f>IF(N(W103)&gt;=3,1*100+W103*10+3,0)</f>
        <v>0</v>
      </c>
      <c r="AH103" s="40">
        <f>IF(N(X103)&gt;=3,1*100+X103*10+4,0)</f>
        <v>0</v>
      </c>
      <c r="AI103" s="40">
        <f>IF(N(Y103)&gt;=3,IF(AND(N(T103)&gt;=3,OR(N(T103)=4,N(Y103)&lt;=N(T103))),0,IF(Y103=4,2,1)*100+Y103*10+5),0)</f>
        <v>0</v>
      </c>
    </row>
    <row r="104">
      <c r="A104" s="31" t="n"/>
      <c r="B104" s="36" t="str">
        <f>IF(ISNUMBER(A104),"周"&amp;CHOOSE(WEEKDAY(A104,2),"一","二","三","四","五","六","日"),"")</f>
        <v/>
      </c>
      <c r="C104" s="37" t="n"/>
      <c r="D104" s="37" t="n"/>
      <c r="E104" s="37" t="n"/>
      <c r="F104" s="17" t="n"/>
      <c r="G104" s="38" t="str">
        <f>IF(AND(ISNUMBER(F104),ISNUMBER(F103)),IF(F103=0,"",F104/F103-1),"")</f>
        <v/>
      </c>
      <c r="H104" s="17" t="n"/>
      <c r="I104" s="17" t="n"/>
      <c r="J104" s="17" t="n"/>
      <c r="K104" s="17" t="n"/>
      <c r="L104" s="17" t="n"/>
      <c r="M104" s="17" t="n"/>
      <c r="N104" s="39" t="str">
        <f>IF(AND(ISNUMBER(L104),ISNUMBER(M104),N(L104)&gt;0),M104/L104,"")</f>
        <v/>
      </c>
      <c r="O104" s="17" t="n"/>
      <c r="P104" s="17" t="n"/>
      <c r="Q104" s="39" t="str">
        <f>IF(AND(ISNUMBER(O104),ISNUMBER(P104),N(O104)&gt;0),P104/O104,"")</f>
        <v/>
      </c>
      <c r="R104" s="17" t="n"/>
      <c r="S104" s="37" t="n"/>
      <c r="T104" s="40" t="str">
        <f>IF(AND(ISNUMBER(J104),ISNUMBER(K104)),IF(N(ISNUMBER('参数'!$E$31))+N(ISNUMBER('参数'!$G$31))+N(ISNUMBER('参数'!$I$31))+N(ISNUMBER('参数'!$K$31))=0,"",IF(ISNUMBER('参数'!$E$31),J104&lt;='参数'!$E$31,FALSE)+IF(ISNUMBER('参数'!$G$31),K104&gt;='参数'!$G$31,FALSE)+IF(AND(ISNUMBER('参数'!$I$31),ISNUMBER(N104)),N104&gt;='参数'!$I$31,FALSE)+IF(AND(ISNUMBER('参数'!$K$31),ISNUMBER(Q104)),Q104&lt;='参数'!$K$31,FALSE)),"")</f>
        <v/>
      </c>
      <c r="U104" s="40" t="str">
        <f>IF(AND(ISNUMBER(J104),ISNUMBER(K104)),IF(N(ISNUMBER('参数'!$G$32))+N(ISNUMBER('参数'!$I$32))+N(ISNUMBER('参数'!$K$32))=0,"",IF(AND(ISNUMBER(J103),ISNUMBER(J102)),AND(J104&gt;J103,J103&gt;J102),FALSE)+IF(ISNUMBER('参数'!$G$32),J104&lt;'参数'!$G$32,FALSE)+IF(AND(ISNUMBER('参数'!$I$32),ISNUMBER(Q104)),Q104&gt;='参数'!$I$32,FALSE)+IF(AND(ISNUMBER('参数'!$K$32),ISNUMBER(S104)),S104&gt;='参数'!$K$32,FALSE)),"")</f>
        <v/>
      </c>
      <c r="V104" s="40" t="str">
        <f>IF(AND(ISNUMBER(J104),ISNUMBER(K104)),IF(N(ISNUMBER('参数'!$E$33))+N(ISNUMBER('参数'!$G$33))+N(ISNUMBER('参数'!$I$33))+N(ISNUMBER('参数'!$K$33))=0,"",IF(AND(ISNUMBER('参数'!$E$33),ISNUMBER(J103)),AND(J104&gt;='参数'!$E$33,J104&gt;J103),FALSE)+IF(AND(ISNUMBER('参数'!$G$33),ISNUMBER(N104)),N104&lt;='参数'!$G$33,FALSE)+IF(AND(ISNUMBER('参数'!$I$33),ISNUMBER(Q104)),Q104&gt;='参数'!$I$33,FALSE)+IF(AND(ISNUMBER('参数'!$K$33),ISNUMBER(S104)),S104&gt;='参数'!$K$33,FALSE)),"")</f>
        <v/>
      </c>
      <c r="W104" s="40" t="str">
        <f>IF(AND(ISNUMBER(J104),ISNUMBER(K104)),IF(N(ISNUMBER('参数'!$E$34))+N(ISNUMBER('参数'!$G$34))+N(ISNUMBER('参数'!$I$34))+N(ISNUMBER('参数'!$K$34))=0,"",IF(ISNUMBER('参数'!$E$34),J104&gt;='参数'!$E$34,FALSE)+IF(AND(ISNUMBER('参数'!$G$34),ISNUMBER(N104)),N104&lt;='参数'!$G$34,FALSE)+IF(AND(ISNUMBER('参数'!$I$34),ISNUMBER(S104)),S104&gt;='参数'!$I$34,FALSE)+IF(AND(ISNUMBER('参数'!$K$34),ISNUMBER(R104)),R104&gt;='参数'!$K$34,FALSE)),"")</f>
        <v/>
      </c>
      <c r="X104" s="40" t="str">
        <f>IF(AND(ISNUMBER(J104),ISNUMBER(K104)),IF(N(ISNUMBER('参数'!$E$35))+N(ISNUMBER('参数'!$G$35))+N(ISNUMBER('参数'!$I$35))=0,"",IF(AND(ISNUMBER('参数'!$E$35),ISNUMBER(N104),ISNUMBER(N103)),ROUND(N104-N103,6)&gt;='参数'!$E$35,FALSE)+IF(AND(ISNUMBER('参数'!$G$35),ISNUMBER(Q104),ISNUMBER(Q103)),ROUND(Q103-Q104,6)&gt;='参数'!$G$35,FALSE)+IF(AND(ISNUMBER('参数'!$I$35),ISNUMBER(S104),ISNUMBER(S103)),ROUND(S103-S104,6)&gt;='参数'!$I$35,FALSE)+IF(ISNUMBER(J103),J104&lt;J103,FALSE)),"")</f>
        <v/>
      </c>
      <c r="Y104" s="40" t="str">
        <f>IF(AND(ISNUMBER(J104),ISNUMBER(K104)),IF(N(ISNUMBER('参数'!$E$36))+N(ISNUMBER('参数'!$G$36))+N(ISNUMBER('参数'!$I$36))=0,"",IF(AND(ISNUMBER('参数'!$E$36),ISNUMBER(J103)),AND(J104&lt;='参数'!$E$36,J104&lt;J103),FALSE)+IF(ISNUMBER('参数'!$G$36),K104&gt;='参数'!$G$36,FALSE)+IF(AND(ISNUMBER('参数'!$I$36),ISNUMBER(S104)),S104&lt;'参数'!$I$36,FALSE)+IF(AND(ISNUMBER(R104),ISNUMBER(R103)),R104&lt;R103,FALSE)),"")</f>
        <v/>
      </c>
      <c r="Z104" s="41" t="str">
        <f>IF(NOT(AND(ISNUMBER(J104),ISNUMBER(K104))),"",IF(COUNT(T104:Y104)=0,"先填阈值",IF(MAX(AD104:AI104)=0,"不写",INDEX($T$4:$Y$4,MATCH(MAX(AD104:AI104),AD104:AI104,0))&amp;"·"&amp;IF(MAX(AD104:AI104)&gt;=200,"高","中")&amp;IF(LARGE(AD104:AI104,2)&gt;0,"（也像"&amp;INDEX($T$4:$Y$4,MATCH(LARGE(AD104:AI104,2),AD104:AI104,0))&amp;"·"&amp;IF(LARGE(AD104:AI104,2)&gt;=200,"高","中")&amp;"）",""))))</f>
        <v/>
      </c>
      <c r="AA104" s="27" t="n"/>
      <c r="AB104" s="32" t="n"/>
      <c r="AC104" s="16" t="n"/>
      <c r="AD104" s="40">
        <f>IF(N(T104)&gt;=3,IF(T104=4,2,1)*100+T104*10+6,0)</f>
        <v>0</v>
      </c>
      <c r="AE104" s="40">
        <f>IF(N(U104)&gt;=3,1*100+U104*10+1,0)</f>
        <v>0</v>
      </c>
      <c r="AF104" s="40">
        <f>IF(N(V104)&gt;=3,IF(V104=4,2,1)*100+V104*10+2,0)</f>
        <v>0</v>
      </c>
      <c r="AG104" s="40">
        <f>IF(N(W104)&gt;=3,1*100+W104*10+3,0)</f>
        <v>0</v>
      </c>
      <c r="AH104" s="40">
        <f>IF(N(X104)&gt;=3,1*100+X104*10+4,0)</f>
        <v>0</v>
      </c>
      <c r="AI104" s="40">
        <f>IF(N(Y104)&gt;=3,IF(AND(N(T104)&gt;=3,OR(N(T104)=4,N(Y104)&lt;=N(T104))),0,IF(Y104=4,2,1)*100+Y104*10+5),0)</f>
        <v>0</v>
      </c>
    </row>
    <row r="105">
      <c r="A105" s="31" t="n"/>
      <c r="B105" s="36" t="str">
        <f>IF(ISNUMBER(A105),"周"&amp;CHOOSE(WEEKDAY(A105,2),"一","二","三","四","五","六","日"),"")</f>
        <v/>
      </c>
      <c r="C105" s="37" t="n"/>
      <c r="D105" s="37" t="n"/>
      <c r="E105" s="37" t="n"/>
      <c r="F105" s="17" t="n"/>
      <c r="G105" s="38" t="str">
        <f>IF(AND(ISNUMBER(F105),ISNUMBER(F104)),IF(F104=0,"",F105/F104-1),"")</f>
        <v/>
      </c>
      <c r="H105" s="17" t="n"/>
      <c r="I105" s="17" t="n"/>
      <c r="J105" s="17" t="n"/>
      <c r="K105" s="17" t="n"/>
      <c r="L105" s="17" t="n"/>
      <c r="M105" s="17" t="n"/>
      <c r="N105" s="39" t="str">
        <f>IF(AND(ISNUMBER(L105),ISNUMBER(M105),N(L105)&gt;0),M105/L105,"")</f>
        <v/>
      </c>
      <c r="O105" s="17" t="n"/>
      <c r="P105" s="17" t="n"/>
      <c r="Q105" s="39" t="str">
        <f>IF(AND(ISNUMBER(O105),ISNUMBER(P105),N(O105)&gt;0),P105/O105,"")</f>
        <v/>
      </c>
      <c r="R105" s="17" t="n"/>
      <c r="S105" s="37" t="n"/>
      <c r="T105" s="40" t="str">
        <f>IF(AND(ISNUMBER(J105),ISNUMBER(K105)),IF(N(ISNUMBER('参数'!$E$31))+N(ISNUMBER('参数'!$G$31))+N(ISNUMBER('参数'!$I$31))+N(ISNUMBER('参数'!$K$31))=0,"",IF(ISNUMBER('参数'!$E$31),J105&lt;='参数'!$E$31,FALSE)+IF(ISNUMBER('参数'!$G$31),K105&gt;='参数'!$G$31,FALSE)+IF(AND(ISNUMBER('参数'!$I$31),ISNUMBER(N105)),N105&gt;='参数'!$I$31,FALSE)+IF(AND(ISNUMBER('参数'!$K$31),ISNUMBER(Q105)),Q105&lt;='参数'!$K$31,FALSE)),"")</f>
        <v/>
      </c>
      <c r="U105" s="40" t="str">
        <f>IF(AND(ISNUMBER(J105),ISNUMBER(K105)),IF(N(ISNUMBER('参数'!$G$32))+N(ISNUMBER('参数'!$I$32))+N(ISNUMBER('参数'!$K$32))=0,"",IF(AND(ISNUMBER(J104),ISNUMBER(J103)),AND(J105&gt;J104,J104&gt;J103),FALSE)+IF(ISNUMBER('参数'!$G$32),J105&lt;'参数'!$G$32,FALSE)+IF(AND(ISNUMBER('参数'!$I$32),ISNUMBER(Q105)),Q105&gt;='参数'!$I$32,FALSE)+IF(AND(ISNUMBER('参数'!$K$32),ISNUMBER(S105)),S105&gt;='参数'!$K$32,FALSE)),"")</f>
        <v/>
      </c>
      <c r="V105" s="40" t="str">
        <f>IF(AND(ISNUMBER(J105),ISNUMBER(K105)),IF(N(ISNUMBER('参数'!$E$33))+N(ISNUMBER('参数'!$G$33))+N(ISNUMBER('参数'!$I$33))+N(ISNUMBER('参数'!$K$33))=0,"",IF(AND(ISNUMBER('参数'!$E$33),ISNUMBER(J104)),AND(J105&gt;='参数'!$E$33,J105&gt;J104),FALSE)+IF(AND(ISNUMBER('参数'!$G$33),ISNUMBER(N105)),N105&lt;='参数'!$G$33,FALSE)+IF(AND(ISNUMBER('参数'!$I$33),ISNUMBER(Q105)),Q105&gt;='参数'!$I$33,FALSE)+IF(AND(ISNUMBER('参数'!$K$33),ISNUMBER(S105)),S105&gt;='参数'!$K$33,FALSE)),"")</f>
        <v/>
      </c>
      <c r="W105" s="40" t="str">
        <f>IF(AND(ISNUMBER(J105),ISNUMBER(K105)),IF(N(ISNUMBER('参数'!$E$34))+N(ISNUMBER('参数'!$G$34))+N(ISNUMBER('参数'!$I$34))+N(ISNUMBER('参数'!$K$34))=0,"",IF(ISNUMBER('参数'!$E$34),J105&gt;='参数'!$E$34,FALSE)+IF(AND(ISNUMBER('参数'!$G$34),ISNUMBER(N105)),N105&lt;='参数'!$G$34,FALSE)+IF(AND(ISNUMBER('参数'!$I$34),ISNUMBER(S105)),S105&gt;='参数'!$I$34,FALSE)+IF(AND(ISNUMBER('参数'!$K$34),ISNUMBER(R105)),R105&gt;='参数'!$K$34,FALSE)),"")</f>
        <v/>
      </c>
      <c r="X105" s="40" t="str">
        <f>IF(AND(ISNUMBER(J105),ISNUMBER(K105)),IF(N(ISNUMBER('参数'!$E$35))+N(ISNUMBER('参数'!$G$35))+N(ISNUMBER('参数'!$I$35))=0,"",IF(AND(ISNUMBER('参数'!$E$35),ISNUMBER(N105),ISNUMBER(N104)),ROUND(N105-N104,6)&gt;='参数'!$E$35,FALSE)+IF(AND(ISNUMBER('参数'!$G$35),ISNUMBER(Q105),ISNUMBER(Q104)),ROUND(Q104-Q105,6)&gt;='参数'!$G$35,FALSE)+IF(AND(ISNUMBER('参数'!$I$35),ISNUMBER(S105),ISNUMBER(S104)),ROUND(S104-S105,6)&gt;='参数'!$I$35,FALSE)+IF(ISNUMBER(J104),J105&lt;J104,FALSE)),"")</f>
        <v/>
      </c>
      <c r="Y105" s="40" t="str">
        <f>IF(AND(ISNUMBER(J105),ISNUMBER(K105)),IF(N(ISNUMBER('参数'!$E$36))+N(ISNUMBER('参数'!$G$36))+N(ISNUMBER('参数'!$I$36))=0,"",IF(AND(ISNUMBER('参数'!$E$36),ISNUMBER(J104)),AND(J105&lt;='参数'!$E$36,J105&lt;J104),FALSE)+IF(ISNUMBER('参数'!$G$36),K105&gt;='参数'!$G$36,FALSE)+IF(AND(ISNUMBER('参数'!$I$36),ISNUMBER(S105)),S105&lt;'参数'!$I$36,FALSE)+IF(AND(ISNUMBER(R105),ISNUMBER(R104)),R105&lt;R104,FALSE)),"")</f>
        <v/>
      </c>
      <c r="Z105" s="41" t="str">
        <f>IF(NOT(AND(ISNUMBER(J105),ISNUMBER(K105))),"",IF(COUNT(T105:Y105)=0,"先填阈值",IF(MAX(AD105:AI105)=0,"不写",INDEX($T$4:$Y$4,MATCH(MAX(AD105:AI105),AD105:AI105,0))&amp;"·"&amp;IF(MAX(AD105:AI105)&gt;=200,"高","中")&amp;IF(LARGE(AD105:AI105,2)&gt;0,"（也像"&amp;INDEX($T$4:$Y$4,MATCH(LARGE(AD105:AI105,2),AD105:AI105,0))&amp;"·"&amp;IF(LARGE(AD105:AI105,2)&gt;=200,"高","中")&amp;"）",""))))</f>
        <v/>
      </c>
      <c r="AA105" s="27" t="n"/>
      <c r="AB105" s="32" t="n"/>
      <c r="AC105" s="16" t="n"/>
      <c r="AD105" s="40">
        <f>IF(N(T105)&gt;=3,IF(T105=4,2,1)*100+T105*10+6,0)</f>
        <v>0</v>
      </c>
      <c r="AE105" s="40">
        <f>IF(N(U105)&gt;=3,1*100+U105*10+1,0)</f>
        <v>0</v>
      </c>
      <c r="AF105" s="40">
        <f>IF(N(V105)&gt;=3,IF(V105=4,2,1)*100+V105*10+2,0)</f>
        <v>0</v>
      </c>
      <c r="AG105" s="40">
        <f>IF(N(W105)&gt;=3,1*100+W105*10+3,0)</f>
        <v>0</v>
      </c>
      <c r="AH105" s="40">
        <f>IF(N(X105)&gt;=3,1*100+X105*10+4,0)</f>
        <v>0</v>
      </c>
      <c r="AI105" s="40">
        <f>IF(N(Y105)&gt;=3,IF(AND(N(T105)&gt;=3,OR(N(T105)=4,N(Y105)&lt;=N(T105))),0,IF(Y105=4,2,1)*100+Y105*10+5),0)</f>
        <v>0</v>
      </c>
    </row>
    <row r="106">
      <c r="A106" s="31" t="n"/>
      <c r="B106" s="36" t="str">
        <f>IF(ISNUMBER(A106),"周"&amp;CHOOSE(WEEKDAY(A106,2),"一","二","三","四","五","六","日"),"")</f>
        <v/>
      </c>
      <c r="C106" s="37" t="n"/>
      <c r="D106" s="37" t="n"/>
      <c r="E106" s="37" t="n"/>
      <c r="F106" s="17" t="n"/>
      <c r="G106" s="38" t="str">
        <f>IF(AND(ISNUMBER(F106),ISNUMBER(F105)),IF(F105=0,"",F106/F105-1),"")</f>
        <v/>
      </c>
      <c r="H106" s="17" t="n"/>
      <c r="I106" s="17" t="n"/>
      <c r="J106" s="17" t="n"/>
      <c r="K106" s="17" t="n"/>
      <c r="L106" s="17" t="n"/>
      <c r="M106" s="17" t="n"/>
      <c r="N106" s="39" t="str">
        <f>IF(AND(ISNUMBER(L106),ISNUMBER(M106),N(L106)&gt;0),M106/L106,"")</f>
        <v/>
      </c>
      <c r="O106" s="17" t="n"/>
      <c r="P106" s="17" t="n"/>
      <c r="Q106" s="39" t="str">
        <f>IF(AND(ISNUMBER(O106),ISNUMBER(P106),N(O106)&gt;0),P106/O106,"")</f>
        <v/>
      </c>
      <c r="R106" s="17" t="n"/>
      <c r="S106" s="37" t="n"/>
      <c r="T106" s="40" t="str">
        <f>IF(AND(ISNUMBER(J106),ISNUMBER(K106)),IF(N(ISNUMBER('参数'!$E$31))+N(ISNUMBER('参数'!$G$31))+N(ISNUMBER('参数'!$I$31))+N(ISNUMBER('参数'!$K$31))=0,"",IF(ISNUMBER('参数'!$E$31),J106&lt;='参数'!$E$31,FALSE)+IF(ISNUMBER('参数'!$G$31),K106&gt;='参数'!$G$31,FALSE)+IF(AND(ISNUMBER('参数'!$I$31),ISNUMBER(N106)),N106&gt;='参数'!$I$31,FALSE)+IF(AND(ISNUMBER('参数'!$K$31),ISNUMBER(Q106)),Q106&lt;='参数'!$K$31,FALSE)),"")</f>
        <v/>
      </c>
      <c r="U106" s="40" t="str">
        <f>IF(AND(ISNUMBER(J106),ISNUMBER(K106)),IF(N(ISNUMBER('参数'!$G$32))+N(ISNUMBER('参数'!$I$32))+N(ISNUMBER('参数'!$K$32))=0,"",IF(AND(ISNUMBER(J105),ISNUMBER(J104)),AND(J106&gt;J105,J105&gt;J104),FALSE)+IF(ISNUMBER('参数'!$G$32),J106&lt;'参数'!$G$32,FALSE)+IF(AND(ISNUMBER('参数'!$I$32),ISNUMBER(Q106)),Q106&gt;='参数'!$I$32,FALSE)+IF(AND(ISNUMBER('参数'!$K$32),ISNUMBER(S106)),S106&gt;='参数'!$K$32,FALSE)),"")</f>
        <v/>
      </c>
      <c r="V106" s="40" t="str">
        <f>IF(AND(ISNUMBER(J106),ISNUMBER(K106)),IF(N(ISNUMBER('参数'!$E$33))+N(ISNUMBER('参数'!$G$33))+N(ISNUMBER('参数'!$I$33))+N(ISNUMBER('参数'!$K$33))=0,"",IF(AND(ISNUMBER('参数'!$E$33),ISNUMBER(J105)),AND(J106&gt;='参数'!$E$33,J106&gt;J105),FALSE)+IF(AND(ISNUMBER('参数'!$G$33),ISNUMBER(N106)),N106&lt;='参数'!$G$33,FALSE)+IF(AND(ISNUMBER('参数'!$I$33),ISNUMBER(Q106)),Q106&gt;='参数'!$I$33,FALSE)+IF(AND(ISNUMBER('参数'!$K$33),ISNUMBER(S106)),S106&gt;='参数'!$K$33,FALSE)),"")</f>
        <v/>
      </c>
      <c r="W106" s="40" t="str">
        <f>IF(AND(ISNUMBER(J106),ISNUMBER(K106)),IF(N(ISNUMBER('参数'!$E$34))+N(ISNUMBER('参数'!$G$34))+N(ISNUMBER('参数'!$I$34))+N(ISNUMBER('参数'!$K$34))=0,"",IF(ISNUMBER('参数'!$E$34),J106&gt;='参数'!$E$34,FALSE)+IF(AND(ISNUMBER('参数'!$G$34),ISNUMBER(N106)),N106&lt;='参数'!$G$34,FALSE)+IF(AND(ISNUMBER('参数'!$I$34),ISNUMBER(S106)),S106&gt;='参数'!$I$34,FALSE)+IF(AND(ISNUMBER('参数'!$K$34),ISNUMBER(R106)),R106&gt;='参数'!$K$34,FALSE)),"")</f>
        <v/>
      </c>
      <c r="X106" s="40" t="str">
        <f>IF(AND(ISNUMBER(J106),ISNUMBER(K106)),IF(N(ISNUMBER('参数'!$E$35))+N(ISNUMBER('参数'!$G$35))+N(ISNUMBER('参数'!$I$35))=0,"",IF(AND(ISNUMBER('参数'!$E$35),ISNUMBER(N106),ISNUMBER(N105)),ROUND(N106-N105,6)&gt;='参数'!$E$35,FALSE)+IF(AND(ISNUMBER('参数'!$G$35),ISNUMBER(Q106),ISNUMBER(Q105)),ROUND(Q105-Q106,6)&gt;='参数'!$G$35,FALSE)+IF(AND(ISNUMBER('参数'!$I$35),ISNUMBER(S106),ISNUMBER(S105)),ROUND(S105-S106,6)&gt;='参数'!$I$35,FALSE)+IF(ISNUMBER(J105),J106&lt;J105,FALSE)),"")</f>
        <v/>
      </c>
      <c r="Y106" s="40" t="str">
        <f>IF(AND(ISNUMBER(J106),ISNUMBER(K106)),IF(N(ISNUMBER('参数'!$E$36))+N(ISNUMBER('参数'!$G$36))+N(ISNUMBER('参数'!$I$36))=0,"",IF(AND(ISNUMBER('参数'!$E$36),ISNUMBER(J105)),AND(J106&lt;='参数'!$E$36,J106&lt;J105),FALSE)+IF(ISNUMBER('参数'!$G$36),K106&gt;='参数'!$G$36,FALSE)+IF(AND(ISNUMBER('参数'!$I$36),ISNUMBER(S106)),S106&lt;'参数'!$I$36,FALSE)+IF(AND(ISNUMBER(R106),ISNUMBER(R105)),R106&lt;R105,FALSE)),"")</f>
        <v/>
      </c>
      <c r="Z106" s="41" t="str">
        <f>IF(NOT(AND(ISNUMBER(J106),ISNUMBER(K106))),"",IF(COUNT(T106:Y106)=0,"先填阈值",IF(MAX(AD106:AI106)=0,"不写",INDEX($T$4:$Y$4,MATCH(MAX(AD106:AI106),AD106:AI106,0))&amp;"·"&amp;IF(MAX(AD106:AI106)&gt;=200,"高","中")&amp;IF(LARGE(AD106:AI106,2)&gt;0,"（也像"&amp;INDEX($T$4:$Y$4,MATCH(LARGE(AD106:AI106,2),AD106:AI106,0))&amp;"·"&amp;IF(LARGE(AD106:AI106,2)&gt;=200,"高","中")&amp;"）",""))))</f>
        <v/>
      </c>
      <c r="AA106" s="27" t="n"/>
      <c r="AB106" s="32" t="n"/>
      <c r="AC106" s="16" t="n"/>
      <c r="AD106" s="40">
        <f>IF(N(T106)&gt;=3,IF(T106=4,2,1)*100+T106*10+6,0)</f>
        <v>0</v>
      </c>
      <c r="AE106" s="40">
        <f>IF(N(U106)&gt;=3,1*100+U106*10+1,0)</f>
        <v>0</v>
      </c>
      <c r="AF106" s="40">
        <f>IF(N(V106)&gt;=3,IF(V106=4,2,1)*100+V106*10+2,0)</f>
        <v>0</v>
      </c>
      <c r="AG106" s="40">
        <f>IF(N(W106)&gt;=3,1*100+W106*10+3,0)</f>
        <v>0</v>
      </c>
      <c r="AH106" s="40">
        <f>IF(N(X106)&gt;=3,1*100+X106*10+4,0)</f>
        <v>0</v>
      </c>
      <c r="AI106" s="40">
        <f>IF(N(Y106)&gt;=3,IF(AND(N(T106)&gt;=3,OR(N(T106)=4,N(Y106)&lt;=N(T106))),0,IF(Y106=4,2,1)*100+Y106*10+5),0)</f>
        <v>0</v>
      </c>
    </row>
    <row r="107">
      <c r="A107" s="31" t="n"/>
      <c r="B107" s="36" t="str">
        <f>IF(ISNUMBER(A107),"周"&amp;CHOOSE(WEEKDAY(A107,2),"一","二","三","四","五","六","日"),"")</f>
        <v/>
      </c>
      <c r="C107" s="37" t="n"/>
      <c r="D107" s="37" t="n"/>
      <c r="E107" s="37" t="n"/>
      <c r="F107" s="17" t="n"/>
      <c r="G107" s="38" t="str">
        <f>IF(AND(ISNUMBER(F107),ISNUMBER(F106)),IF(F106=0,"",F107/F106-1),"")</f>
        <v/>
      </c>
      <c r="H107" s="17" t="n"/>
      <c r="I107" s="17" t="n"/>
      <c r="J107" s="17" t="n"/>
      <c r="K107" s="17" t="n"/>
      <c r="L107" s="17" t="n"/>
      <c r="M107" s="17" t="n"/>
      <c r="N107" s="39" t="str">
        <f>IF(AND(ISNUMBER(L107),ISNUMBER(M107),N(L107)&gt;0),M107/L107,"")</f>
        <v/>
      </c>
      <c r="O107" s="17" t="n"/>
      <c r="P107" s="17" t="n"/>
      <c r="Q107" s="39" t="str">
        <f>IF(AND(ISNUMBER(O107),ISNUMBER(P107),N(O107)&gt;0),P107/O107,"")</f>
        <v/>
      </c>
      <c r="R107" s="17" t="n"/>
      <c r="S107" s="37" t="n"/>
      <c r="T107" s="40" t="str">
        <f>IF(AND(ISNUMBER(J107),ISNUMBER(K107)),IF(N(ISNUMBER('参数'!$E$31))+N(ISNUMBER('参数'!$G$31))+N(ISNUMBER('参数'!$I$31))+N(ISNUMBER('参数'!$K$31))=0,"",IF(ISNUMBER('参数'!$E$31),J107&lt;='参数'!$E$31,FALSE)+IF(ISNUMBER('参数'!$G$31),K107&gt;='参数'!$G$31,FALSE)+IF(AND(ISNUMBER('参数'!$I$31),ISNUMBER(N107)),N107&gt;='参数'!$I$31,FALSE)+IF(AND(ISNUMBER('参数'!$K$31),ISNUMBER(Q107)),Q107&lt;='参数'!$K$31,FALSE)),"")</f>
        <v/>
      </c>
      <c r="U107" s="40" t="str">
        <f>IF(AND(ISNUMBER(J107),ISNUMBER(K107)),IF(N(ISNUMBER('参数'!$G$32))+N(ISNUMBER('参数'!$I$32))+N(ISNUMBER('参数'!$K$32))=0,"",IF(AND(ISNUMBER(J106),ISNUMBER(J105)),AND(J107&gt;J106,J106&gt;J105),FALSE)+IF(ISNUMBER('参数'!$G$32),J107&lt;'参数'!$G$32,FALSE)+IF(AND(ISNUMBER('参数'!$I$32),ISNUMBER(Q107)),Q107&gt;='参数'!$I$32,FALSE)+IF(AND(ISNUMBER('参数'!$K$32),ISNUMBER(S107)),S107&gt;='参数'!$K$32,FALSE)),"")</f>
        <v/>
      </c>
      <c r="V107" s="40" t="str">
        <f>IF(AND(ISNUMBER(J107),ISNUMBER(K107)),IF(N(ISNUMBER('参数'!$E$33))+N(ISNUMBER('参数'!$G$33))+N(ISNUMBER('参数'!$I$33))+N(ISNUMBER('参数'!$K$33))=0,"",IF(AND(ISNUMBER('参数'!$E$33),ISNUMBER(J106)),AND(J107&gt;='参数'!$E$33,J107&gt;J106),FALSE)+IF(AND(ISNUMBER('参数'!$G$33),ISNUMBER(N107)),N107&lt;='参数'!$G$33,FALSE)+IF(AND(ISNUMBER('参数'!$I$33),ISNUMBER(Q107)),Q107&gt;='参数'!$I$33,FALSE)+IF(AND(ISNUMBER('参数'!$K$33),ISNUMBER(S107)),S107&gt;='参数'!$K$33,FALSE)),"")</f>
        <v/>
      </c>
      <c r="W107" s="40" t="str">
        <f>IF(AND(ISNUMBER(J107),ISNUMBER(K107)),IF(N(ISNUMBER('参数'!$E$34))+N(ISNUMBER('参数'!$G$34))+N(ISNUMBER('参数'!$I$34))+N(ISNUMBER('参数'!$K$34))=0,"",IF(ISNUMBER('参数'!$E$34),J107&gt;='参数'!$E$34,FALSE)+IF(AND(ISNUMBER('参数'!$G$34),ISNUMBER(N107)),N107&lt;='参数'!$G$34,FALSE)+IF(AND(ISNUMBER('参数'!$I$34),ISNUMBER(S107)),S107&gt;='参数'!$I$34,FALSE)+IF(AND(ISNUMBER('参数'!$K$34),ISNUMBER(R107)),R107&gt;='参数'!$K$34,FALSE)),"")</f>
        <v/>
      </c>
      <c r="X107" s="40" t="str">
        <f>IF(AND(ISNUMBER(J107),ISNUMBER(K107)),IF(N(ISNUMBER('参数'!$E$35))+N(ISNUMBER('参数'!$G$35))+N(ISNUMBER('参数'!$I$35))=0,"",IF(AND(ISNUMBER('参数'!$E$35),ISNUMBER(N107),ISNUMBER(N106)),ROUND(N107-N106,6)&gt;='参数'!$E$35,FALSE)+IF(AND(ISNUMBER('参数'!$G$35),ISNUMBER(Q107),ISNUMBER(Q106)),ROUND(Q106-Q107,6)&gt;='参数'!$G$35,FALSE)+IF(AND(ISNUMBER('参数'!$I$35),ISNUMBER(S107),ISNUMBER(S106)),ROUND(S106-S107,6)&gt;='参数'!$I$35,FALSE)+IF(ISNUMBER(J106),J107&lt;J106,FALSE)),"")</f>
        <v/>
      </c>
      <c r="Y107" s="40" t="str">
        <f>IF(AND(ISNUMBER(J107),ISNUMBER(K107)),IF(N(ISNUMBER('参数'!$E$36))+N(ISNUMBER('参数'!$G$36))+N(ISNUMBER('参数'!$I$36))=0,"",IF(AND(ISNUMBER('参数'!$E$36),ISNUMBER(J106)),AND(J107&lt;='参数'!$E$36,J107&lt;J106),FALSE)+IF(ISNUMBER('参数'!$G$36),K107&gt;='参数'!$G$36,FALSE)+IF(AND(ISNUMBER('参数'!$I$36),ISNUMBER(S107)),S107&lt;'参数'!$I$36,FALSE)+IF(AND(ISNUMBER(R107),ISNUMBER(R106)),R107&lt;R106,FALSE)),"")</f>
        <v/>
      </c>
      <c r="Z107" s="41" t="str">
        <f>IF(NOT(AND(ISNUMBER(J107),ISNUMBER(K107))),"",IF(COUNT(T107:Y107)=0,"先填阈值",IF(MAX(AD107:AI107)=0,"不写",INDEX($T$4:$Y$4,MATCH(MAX(AD107:AI107),AD107:AI107,0))&amp;"·"&amp;IF(MAX(AD107:AI107)&gt;=200,"高","中")&amp;IF(LARGE(AD107:AI107,2)&gt;0,"（也像"&amp;INDEX($T$4:$Y$4,MATCH(LARGE(AD107:AI107,2),AD107:AI107,0))&amp;"·"&amp;IF(LARGE(AD107:AI107,2)&gt;=200,"高","中")&amp;"）",""))))</f>
        <v/>
      </c>
      <c r="AA107" s="27" t="n"/>
      <c r="AB107" s="32" t="n"/>
      <c r="AC107" s="16" t="n"/>
      <c r="AD107" s="40">
        <f>IF(N(T107)&gt;=3,IF(T107=4,2,1)*100+T107*10+6,0)</f>
        <v>0</v>
      </c>
      <c r="AE107" s="40">
        <f>IF(N(U107)&gt;=3,1*100+U107*10+1,0)</f>
        <v>0</v>
      </c>
      <c r="AF107" s="40">
        <f>IF(N(V107)&gt;=3,IF(V107=4,2,1)*100+V107*10+2,0)</f>
        <v>0</v>
      </c>
      <c r="AG107" s="40">
        <f>IF(N(W107)&gt;=3,1*100+W107*10+3,0)</f>
        <v>0</v>
      </c>
      <c r="AH107" s="40">
        <f>IF(N(X107)&gt;=3,1*100+X107*10+4,0)</f>
        <v>0</v>
      </c>
      <c r="AI107" s="40">
        <f>IF(N(Y107)&gt;=3,IF(AND(N(T107)&gt;=3,OR(N(T107)=4,N(Y107)&lt;=N(T107))),0,IF(Y107=4,2,1)*100+Y107*10+5),0)</f>
        <v>0</v>
      </c>
    </row>
    <row r="108">
      <c r="A108" s="31" t="n"/>
      <c r="B108" s="36" t="str">
        <f>IF(ISNUMBER(A108),"周"&amp;CHOOSE(WEEKDAY(A108,2),"一","二","三","四","五","六","日"),"")</f>
        <v/>
      </c>
      <c r="C108" s="37" t="n"/>
      <c r="D108" s="37" t="n"/>
      <c r="E108" s="37" t="n"/>
      <c r="F108" s="17" t="n"/>
      <c r="G108" s="38" t="str">
        <f>IF(AND(ISNUMBER(F108),ISNUMBER(F107)),IF(F107=0,"",F108/F107-1),"")</f>
        <v/>
      </c>
      <c r="H108" s="17" t="n"/>
      <c r="I108" s="17" t="n"/>
      <c r="J108" s="17" t="n"/>
      <c r="K108" s="17" t="n"/>
      <c r="L108" s="17" t="n"/>
      <c r="M108" s="17" t="n"/>
      <c r="N108" s="39" t="str">
        <f>IF(AND(ISNUMBER(L108),ISNUMBER(M108),N(L108)&gt;0),M108/L108,"")</f>
        <v/>
      </c>
      <c r="O108" s="17" t="n"/>
      <c r="P108" s="17" t="n"/>
      <c r="Q108" s="39" t="str">
        <f>IF(AND(ISNUMBER(O108),ISNUMBER(P108),N(O108)&gt;0),P108/O108,"")</f>
        <v/>
      </c>
      <c r="R108" s="17" t="n"/>
      <c r="S108" s="37" t="n"/>
      <c r="T108" s="40" t="str">
        <f>IF(AND(ISNUMBER(J108),ISNUMBER(K108)),IF(N(ISNUMBER('参数'!$E$31))+N(ISNUMBER('参数'!$G$31))+N(ISNUMBER('参数'!$I$31))+N(ISNUMBER('参数'!$K$31))=0,"",IF(ISNUMBER('参数'!$E$31),J108&lt;='参数'!$E$31,FALSE)+IF(ISNUMBER('参数'!$G$31),K108&gt;='参数'!$G$31,FALSE)+IF(AND(ISNUMBER('参数'!$I$31),ISNUMBER(N108)),N108&gt;='参数'!$I$31,FALSE)+IF(AND(ISNUMBER('参数'!$K$31),ISNUMBER(Q108)),Q108&lt;='参数'!$K$31,FALSE)),"")</f>
        <v/>
      </c>
      <c r="U108" s="40" t="str">
        <f>IF(AND(ISNUMBER(J108),ISNUMBER(K108)),IF(N(ISNUMBER('参数'!$G$32))+N(ISNUMBER('参数'!$I$32))+N(ISNUMBER('参数'!$K$32))=0,"",IF(AND(ISNUMBER(J107),ISNUMBER(J106)),AND(J108&gt;J107,J107&gt;J106),FALSE)+IF(ISNUMBER('参数'!$G$32),J108&lt;'参数'!$G$32,FALSE)+IF(AND(ISNUMBER('参数'!$I$32),ISNUMBER(Q108)),Q108&gt;='参数'!$I$32,FALSE)+IF(AND(ISNUMBER('参数'!$K$32),ISNUMBER(S108)),S108&gt;='参数'!$K$32,FALSE)),"")</f>
        <v/>
      </c>
      <c r="V108" s="40" t="str">
        <f>IF(AND(ISNUMBER(J108),ISNUMBER(K108)),IF(N(ISNUMBER('参数'!$E$33))+N(ISNUMBER('参数'!$G$33))+N(ISNUMBER('参数'!$I$33))+N(ISNUMBER('参数'!$K$33))=0,"",IF(AND(ISNUMBER('参数'!$E$33),ISNUMBER(J107)),AND(J108&gt;='参数'!$E$33,J108&gt;J107),FALSE)+IF(AND(ISNUMBER('参数'!$G$33),ISNUMBER(N108)),N108&lt;='参数'!$G$33,FALSE)+IF(AND(ISNUMBER('参数'!$I$33),ISNUMBER(Q108)),Q108&gt;='参数'!$I$33,FALSE)+IF(AND(ISNUMBER('参数'!$K$33),ISNUMBER(S108)),S108&gt;='参数'!$K$33,FALSE)),"")</f>
        <v/>
      </c>
      <c r="W108" s="40" t="str">
        <f>IF(AND(ISNUMBER(J108),ISNUMBER(K108)),IF(N(ISNUMBER('参数'!$E$34))+N(ISNUMBER('参数'!$G$34))+N(ISNUMBER('参数'!$I$34))+N(ISNUMBER('参数'!$K$34))=0,"",IF(ISNUMBER('参数'!$E$34),J108&gt;='参数'!$E$34,FALSE)+IF(AND(ISNUMBER('参数'!$G$34),ISNUMBER(N108)),N108&lt;='参数'!$G$34,FALSE)+IF(AND(ISNUMBER('参数'!$I$34),ISNUMBER(S108)),S108&gt;='参数'!$I$34,FALSE)+IF(AND(ISNUMBER('参数'!$K$34),ISNUMBER(R108)),R108&gt;='参数'!$K$34,FALSE)),"")</f>
        <v/>
      </c>
      <c r="X108" s="40" t="str">
        <f>IF(AND(ISNUMBER(J108),ISNUMBER(K108)),IF(N(ISNUMBER('参数'!$E$35))+N(ISNUMBER('参数'!$G$35))+N(ISNUMBER('参数'!$I$35))=0,"",IF(AND(ISNUMBER('参数'!$E$35),ISNUMBER(N108),ISNUMBER(N107)),ROUND(N108-N107,6)&gt;='参数'!$E$35,FALSE)+IF(AND(ISNUMBER('参数'!$G$35),ISNUMBER(Q108),ISNUMBER(Q107)),ROUND(Q107-Q108,6)&gt;='参数'!$G$35,FALSE)+IF(AND(ISNUMBER('参数'!$I$35),ISNUMBER(S108),ISNUMBER(S107)),ROUND(S107-S108,6)&gt;='参数'!$I$35,FALSE)+IF(ISNUMBER(J107),J108&lt;J107,FALSE)),"")</f>
        <v/>
      </c>
      <c r="Y108" s="40" t="str">
        <f>IF(AND(ISNUMBER(J108),ISNUMBER(K108)),IF(N(ISNUMBER('参数'!$E$36))+N(ISNUMBER('参数'!$G$36))+N(ISNUMBER('参数'!$I$36))=0,"",IF(AND(ISNUMBER('参数'!$E$36),ISNUMBER(J107)),AND(J108&lt;='参数'!$E$36,J108&lt;J107),FALSE)+IF(ISNUMBER('参数'!$G$36),K108&gt;='参数'!$G$36,FALSE)+IF(AND(ISNUMBER('参数'!$I$36),ISNUMBER(S108)),S108&lt;'参数'!$I$36,FALSE)+IF(AND(ISNUMBER(R108),ISNUMBER(R107)),R108&lt;R107,FALSE)),"")</f>
        <v/>
      </c>
      <c r="Z108" s="41" t="str">
        <f>IF(NOT(AND(ISNUMBER(J108),ISNUMBER(K108))),"",IF(COUNT(T108:Y108)=0,"先填阈值",IF(MAX(AD108:AI108)=0,"不写",INDEX($T$4:$Y$4,MATCH(MAX(AD108:AI108),AD108:AI108,0))&amp;"·"&amp;IF(MAX(AD108:AI108)&gt;=200,"高","中")&amp;IF(LARGE(AD108:AI108,2)&gt;0,"（也像"&amp;INDEX($T$4:$Y$4,MATCH(LARGE(AD108:AI108,2),AD108:AI108,0))&amp;"·"&amp;IF(LARGE(AD108:AI108,2)&gt;=200,"高","中")&amp;"）",""))))</f>
        <v/>
      </c>
      <c r="AA108" s="27" t="n"/>
      <c r="AB108" s="32" t="n"/>
      <c r="AC108" s="16" t="n"/>
      <c r="AD108" s="40">
        <f>IF(N(T108)&gt;=3,IF(T108=4,2,1)*100+T108*10+6,0)</f>
        <v>0</v>
      </c>
      <c r="AE108" s="40">
        <f>IF(N(U108)&gt;=3,1*100+U108*10+1,0)</f>
        <v>0</v>
      </c>
      <c r="AF108" s="40">
        <f>IF(N(V108)&gt;=3,IF(V108=4,2,1)*100+V108*10+2,0)</f>
        <v>0</v>
      </c>
      <c r="AG108" s="40">
        <f>IF(N(W108)&gt;=3,1*100+W108*10+3,0)</f>
        <v>0</v>
      </c>
      <c r="AH108" s="40">
        <f>IF(N(X108)&gt;=3,1*100+X108*10+4,0)</f>
        <v>0</v>
      </c>
      <c r="AI108" s="40">
        <f>IF(N(Y108)&gt;=3,IF(AND(N(T108)&gt;=3,OR(N(T108)=4,N(Y108)&lt;=N(T108))),0,IF(Y108=4,2,1)*100+Y108*10+5),0)</f>
        <v>0</v>
      </c>
    </row>
    <row r="109">
      <c r="A109" s="31" t="n"/>
      <c r="B109" s="36" t="str">
        <f>IF(ISNUMBER(A109),"周"&amp;CHOOSE(WEEKDAY(A109,2),"一","二","三","四","五","六","日"),"")</f>
        <v/>
      </c>
      <c r="C109" s="37" t="n"/>
      <c r="D109" s="37" t="n"/>
      <c r="E109" s="37" t="n"/>
      <c r="F109" s="17" t="n"/>
      <c r="G109" s="38" t="str">
        <f>IF(AND(ISNUMBER(F109),ISNUMBER(F108)),IF(F108=0,"",F109/F108-1),"")</f>
        <v/>
      </c>
      <c r="H109" s="17" t="n"/>
      <c r="I109" s="17" t="n"/>
      <c r="J109" s="17" t="n"/>
      <c r="K109" s="17" t="n"/>
      <c r="L109" s="17" t="n"/>
      <c r="M109" s="17" t="n"/>
      <c r="N109" s="39" t="str">
        <f>IF(AND(ISNUMBER(L109),ISNUMBER(M109),N(L109)&gt;0),M109/L109,"")</f>
        <v/>
      </c>
      <c r="O109" s="17" t="n"/>
      <c r="P109" s="17" t="n"/>
      <c r="Q109" s="39" t="str">
        <f>IF(AND(ISNUMBER(O109),ISNUMBER(P109),N(O109)&gt;0),P109/O109,"")</f>
        <v/>
      </c>
      <c r="R109" s="17" t="n"/>
      <c r="S109" s="37" t="n"/>
      <c r="T109" s="40" t="str">
        <f>IF(AND(ISNUMBER(J109),ISNUMBER(K109)),IF(N(ISNUMBER('参数'!$E$31))+N(ISNUMBER('参数'!$G$31))+N(ISNUMBER('参数'!$I$31))+N(ISNUMBER('参数'!$K$31))=0,"",IF(ISNUMBER('参数'!$E$31),J109&lt;='参数'!$E$31,FALSE)+IF(ISNUMBER('参数'!$G$31),K109&gt;='参数'!$G$31,FALSE)+IF(AND(ISNUMBER('参数'!$I$31),ISNUMBER(N109)),N109&gt;='参数'!$I$31,FALSE)+IF(AND(ISNUMBER('参数'!$K$31),ISNUMBER(Q109)),Q109&lt;='参数'!$K$31,FALSE)),"")</f>
        <v/>
      </c>
      <c r="U109" s="40" t="str">
        <f>IF(AND(ISNUMBER(J109),ISNUMBER(K109)),IF(N(ISNUMBER('参数'!$G$32))+N(ISNUMBER('参数'!$I$32))+N(ISNUMBER('参数'!$K$32))=0,"",IF(AND(ISNUMBER(J108),ISNUMBER(J107)),AND(J109&gt;J108,J108&gt;J107),FALSE)+IF(ISNUMBER('参数'!$G$32),J109&lt;'参数'!$G$32,FALSE)+IF(AND(ISNUMBER('参数'!$I$32),ISNUMBER(Q109)),Q109&gt;='参数'!$I$32,FALSE)+IF(AND(ISNUMBER('参数'!$K$32),ISNUMBER(S109)),S109&gt;='参数'!$K$32,FALSE)),"")</f>
        <v/>
      </c>
      <c r="V109" s="40" t="str">
        <f>IF(AND(ISNUMBER(J109),ISNUMBER(K109)),IF(N(ISNUMBER('参数'!$E$33))+N(ISNUMBER('参数'!$G$33))+N(ISNUMBER('参数'!$I$33))+N(ISNUMBER('参数'!$K$33))=0,"",IF(AND(ISNUMBER('参数'!$E$33),ISNUMBER(J108)),AND(J109&gt;='参数'!$E$33,J109&gt;J108),FALSE)+IF(AND(ISNUMBER('参数'!$G$33),ISNUMBER(N109)),N109&lt;='参数'!$G$33,FALSE)+IF(AND(ISNUMBER('参数'!$I$33),ISNUMBER(Q109)),Q109&gt;='参数'!$I$33,FALSE)+IF(AND(ISNUMBER('参数'!$K$33),ISNUMBER(S109)),S109&gt;='参数'!$K$33,FALSE)),"")</f>
        <v/>
      </c>
      <c r="W109" s="40" t="str">
        <f>IF(AND(ISNUMBER(J109),ISNUMBER(K109)),IF(N(ISNUMBER('参数'!$E$34))+N(ISNUMBER('参数'!$G$34))+N(ISNUMBER('参数'!$I$34))+N(ISNUMBER('参数'!$K$34))=0,"",IF(ISNUMBER('参数'!$E$34),J109&gt;='参数'!$E$34,FALSE)+IF(AND(ISNUMBER('参数'!$G$34),ISNUMBER(N109)),N109&lt;='参数'!$G$34,FALSE)+IF(AND(ISNUMBER('参数'!$I$34),ISNUMBER(S109)),S109&gt;='参数'!$I$34,FALSE)+IF(AND(ISNUMBER('参数'!$K$34),ISNUMBER(R109)),R109&gt;='参数'!$K$34,FALSE)),"")</f>
        <v/>
      </c>
      <c r="X109" s="40" t="str">
        <f>IF(AND(ISNUMBER(J109),ISNUMBER(K109)),IF(N(ISNUMBER('参数'!$E$35))+N(ISNUMBER('参数'!$G$35))+N(ISNUMBER('参数'!$I$35))=0,"",IF(AND(ISNUMBER('参数'!$E$35),ISNUMBER(N109),ISNUMBER(N108)),ROUND(N109-N108,6)&gt;='参数'!$E$35,FALSE)+IF(AND(ISNUMBER('参数'!$G$35),ISNUMBER(Q109),ISNUMBER(Q108)),ROUND(Q108-Q109,6)&gt;='参数'!$G$35,FALSE)+IF(AND(ISNUMBER('参数'!$I$35),ISNUMBER(S109),ISNUMBER(S108)),ROUND(S108-S109,6)&gt;='参数'!$I$35,FALSE)+IF(ISNUMBER(J108),J109&lt;J108,FALSE)),"")</f>
        <v/>
      </c>
      <c r="Y109" s="40" t="str">
        <f>IF(AND(ISNUMBER(J109),ISNUMBER(K109)),IF(N(ISNUMBER('参数'!$E$36))+N(ISNUMBER('参数'!$G$36))+N(ISNUMBER('参数'!$I$36))=0,"",IF(AND(ISNUMBER('参数'!$E$36),ISNUMBER(J108)),AND(J109&lt;='参数'!$E$36,J109&lt;J108),FALSE)+IF(ISNUMBER('参数'!$G$36),K109&gt;='参数'!$G$36,FALSE)+IF(AND(ISNUMBER('参数'!$I$36),ISNUMBER(S109)),S109&lt;'参数'!$I$36,FALSE)+IF(AND(ISNUMBER(R109),ISNUMBER(R108)),R109&lt;R108,FALSE)),"")</f>
        <v/>
      </c>
      <c r="Z109" s="41" t="str">
        <f>IF(NOT(AND(ISNUMBER(J109),ISNUMBER(K109))),"",IF(COUNT(T109:Y109)=0,"先填阈值",IF(MAX(AD109:AI109)=0,"不写",INDEX($T$4:$Y$4,MATCH(MAX(AD109:AI109),AD109:AI109,0))&amp;"·"&amp;IF(MAX(AD109:AI109)&gt;=200,"高","中")&amp;IF(LARGE(AD109:AI109,2)&gt;0,"（也像"&amp;INDEX($T$4:$Y$4,MATCH(LARGE(AD109:AI109,2),AD109:AI109,0))&amp;"·"&amp;IF(LARGE(AD109:AI109,2)&gt;=200,"高","中")&amp;"）",""))))</f>
        <v/>
      </c>
      <c r="AA109" s="27" t="n"/>
      <c r="AB109" s="32" t="n"/>
      <c r="AC109" s="16" t="n"/>
      <c r="AD109" s="40">
        <f>IF(N(T109)&gt;=3,IF(T109=4,2,1)*100+T109*10+6,0)</f>
        <v>0</v>
      </c>
      <c r="AE109" s="40">
        <f>IF(N(U109)&gt;=3,1*100+U109*10+1,0)</f>
        <v>0</v>
      </c>
      <c r="AF109" s="40">
        <f>IF(N(V109)&gt;=3,IF(V109=4,2,1)*100+V109*10+2,0)</f>
        <v>0</v>
      </c>
      <c r="AG109" s="40">
        <f>IF(N(W109)&gt;=3,1*100+W109*10+3,0)</f>
        <v>0</v>
      </c>
      <c r="AH109" s="40">
        <f>IF(N(X109)&gt;=3,1*100+X109*10+4,0)</f>
        <v>0</v>
      </c>
      <c r="AI109" s="40">
        <f>IF(N(Y109)&gt;=3,IF(AND(N(T109)&gt;=3,OR(N(T109)=4,N(Y109)&lt;=N(T109))),0,IF(Y109=4,2,1)*100+Y109*10+5),0)</f>
        <v>0</v>
      </c>
    </row>
    <row r="110">
      <c r="A110" s="31" t="n"/>
      <c r="B110" s="36" t="str">
        <f>IF(ISNUMBER(A110),"周"&amp;CHOOSE(WEEKDAY(A110,2),"一","二","三","四","五","六","日"),"")</f>
        <v/>
      </c>
      <c r="C110" s="37" t="n"/>
      <c r="D110" s="37" t="n"/>
      <c r="E110" s="37" t="n"/>
      <c r="F110" s="17" t="n"/>
      <c r="G110" s="38" t="str">
        <f>IF(AND(ISNUMBER(F110),ISNUMBER(F109)),IF(F109=0,"",F110/F109-1),"")</f>
        <v/>
      </c>
      <c r="H110" s="17" t="n"/>
      <c r="I110" s="17" t="n"/>
      <c r="J110" s="17" t="n"/>
      <c r="K110" s="17" t="n"/>
      <c r="L110" s="17" t="n"/>
      <c r="M110" s="17" t="n"/>
      <c r="N110" s="39" t="str">
        <f>IF(AND(ISNUMBER(L110),ISNUMBER(M110),N(L110)&gt;0),M110/L110,"")</f>
        <v/>
      </c>
      <c r="O110" s="17" t="n"/>
      <c r="P110" s="17" t="n"/>
      <c r="Q110" s="39" t="str">
        <f>IF(AND(ISNUMBER(O110),ISNUMBER(P110),N(O110)&gt;0),P110/O110,"")</f>
        <v/>
      </c>
      <c r="R110" s="17" t="n"/>
      <c r="S110" s="37" t="n"/>
      <c r="T110" s="40" t="str">
        <f>IF(AND(ISNUMBER(J110),ISNUMBER(K110)),IF(N(ISNUMBER('参数'!$E$31))+N(ISNUMBER('参数'!$G$31))+N(ISNUMBER('参数'!$I$31))+N(ISNUMBER('参数'!$K$31))=0,"",IF(ISNUMBER('参数'!$E$31),J110&lt;='参数'!$E$31,FALSE)+IF(ISNUMBER('参数'!$G$31),K110&gt;='参数'!$G$31,FALSE)+IF(AND(ISNUMBER('参数'!$I$31),ISNUMBER(N110)),N110&gt;='参数'!$I$31,FALSE)+IF(AND(ISNUMBER('参数'!$K$31),ISNUMBER(Q110)),Q110&lt;='参数'!$K$31,FALSE)),"")</f>
        <v/>
      </c>
      <c r="U110" s="40" t="str">
        <f>IF(AND(ISNUMBER(J110),ISNUMBER(K110)),IF(N(ISNUMBER('参数'!$G$32))+N(ISNUMBER('参数'!$I$32))+N(ISNUMBER('参数'!$K$32))=0,"",IF(AND(ISNUMBER(J109),ISNUMBER(J108)),AND(J110&gt;J109,J109&gt;J108),FALSE)+IF(ISNUMBER('参数'!$G$32),J110&lt;'参数'!$G$32,FALSE)+IF(AND(ISNUMBER('参数'!$I$32),ISNUMBER(Q110)),Q110&gt;='参数'!$I$32,FALSE)+IF(AND(ISNUMBER('参数'!$K$32),ISNUMBER(S110)),S110&gt;='参数'!$K$32,FALSE)),"")</f>
        <v/>
      </c>
      <c r="V110" s="40" t="str">
        <f>IF(AND(ISNUMBER(J110),ISNUMBER(K110)),IF(N(ISNUMBER('参数'!$E$33))+N(ISNUMBER('参数'!$G$33))+N(ISNUMBER('参数'!$I$33))+N(ISNUMBER('参数'!$K$33))=0,"",IF(AND(ISNUMBER('参数'!$E$33),ISNUMBER(J109)),AND(J110&gt;='参数'!$E$33,J110&gt;J109),FALSE)+IF(AND(ISNUMBER('参数'!$G$33),ISNUMBER(N110)),N110&lt;='参数'!$G$33,FALSE)+IF(AND(ISNUMBER('参数'!$I$33),ISNUMBER(Q110)),Q110&gt;='参数'!$I$33,FALSE)+IF(AND(ISNUMBER('参数'!$K$33),ISNUMBER(S110)),S110&gt;='参数'!$K$33,FALSE)),"")</f>
        <v/>
      </c>
      <c r="W110" s="40" t="str">
        <f>IF(AND(ISNUMBER(J110),ISNUMBER(K110)),IF(N(ISNUMBER('参数'!$E$34))+N(ISNUMBER('参数'!$G$34))+N(ISNUMBER('参数'!$I$34))+N(ISNUMBER('参数'!$K$34))=0,"",IF(ISNUMBER('参数'!$E$34),J110&gt;='参数'!$E$34,FALSE)+IF(AND(ISNUMBER('参数'!$G$34),ISNUMBER(N110)),N110&lt;='参数'!$G$34,FALSE)+IF(AND(ISNUMBER('参数'!$I$34),ISNUMBER(S110)),S110&gt;='参数'!$I$34,FALSE)+IF(AND(ISNUMBER('参数'!$K$34),ISNUMBER(R110)),R110&gt;='参数'!$K$34,FALSE)),"")</f>
        <v/>
      </c>
      <c r="X110" s="40" t="str">
        <f>IF(AND(ISNUMBER(J110),ISNUMBER(K110)),IF(N(ISNUMBER('参数'!$E$35))+N(ISNUMBER('参数'!$G$35))+N(ISNUMBER('参数'!$I$35))=0,"",IF(AND(ISNUMBER('参数'!$E$35),ISNUMBER(N110),ISNUMBER(N109)),ROUND(N110-N109,6)&gt;='参数'!$E$35,FALSE)+IF(AND(ISNUMBER('参数'!$G$35),ISNUMBER(Q110),ISNUMBER(Q109)),ROUND(Q109-Q110,6)&gt;='参数'!$G$35,FALSE)+IF(AND(ISNUMBER('参数'!$I$35),ISNUMBER(S110),ISNUMBER(S109)),ROUND(S109-S110,6)&gt;='参数'!$I$35,FALSE)+IF(ISNUMBER(J109),J110&lt;J109,FALSE)),"")</f>
        <v/>
      </c>
      <c r="Y110" s="40" t="str">
        <f>IF(AND(ISNUMBER(J110),ISNUMBER(K110)),IF(N(ISNUMBER('参数'!$E$36))+N(ISNUMBER('参数'!$G$36))+N(ISNUMBER('参数'!$I$36))=0,"",IF(AND(ISNUMBER('参数'!$E$36),ISNUMBER(J109)),AND(J110&lt;='参数'!$E$36,J110&lt;J109),FALSE)+IF(ISNUMBER('参数'!$G$36),K110&gt;='参数'!$G$36,FALSE)+IF(AND(ISNUMBER('参数'!$I$36),ISNUMBER(S110)),S110&lt;'参数'!$I$36,FALSE)+IF(AND(ISNUMBER(R110),ISNUMBER(R109)),R110&lt;R109,FALSE)),"")</f>
        <v/>
      </c>
      <c r="Z110" s="41" t="str">
        <f>IF(NOT(AND(ISNUMBER(J110),ISNUMBER(K110))),"",IF(COUNT(T110:Y110)=0,"先填阈值",IF(MAX(AD110:AI110)=0,"不写",INDEX($T$4:$Y$4,MATCH(MAX(AD110:AI110),AD110:AI110,0))&amp;"·"&amp;IF(MAX(AD110:AI110)&gt;=200,"高","中")&amp;IF(LARGE(AD110:AI110,2)&gt;0,"（也像"&amp;INDEX($T$4:$Y$4,MATCH(LARGE(AD110:AI110,2),AD110:AI110,0))&amp;"·"&amp;IF(LARGE(AD110:AI110,2)&gt;=200,"高","中")&amp;"）",""))))</f>
        <v/>
      </c>
      <c r="AA110" s="27" t="n"/>
      <c r="AB110" s="32" t="n"/>
      <c r="AC110" s="16" t="n"/>
      <c r="AD110" s="40">
        <f>IF(N(T110)&gt;=3,IF(T110=4,2,1)*100+T110*10+6,0)</f>
        <v>0</v>
      </c>
      <c r="AE110" s="40">
        <f>IF(N(U110)&gt;=3,1*100+U110*10+1,0)</f>
        <v>0</v>
      </c>
      <c r="AF110" s="40">
        <f>IF(N(V110)&gt;=3,IF(V110=4,2,1)*100+V110*10+2,0)</f>
        <v>0</v>
      </c>
      <c r="AG110" s="40">
        <f>IF(N(W110)&gt;=3,1*100+W110*10+3,0)</f>
        <v>0</v>
      </c>
      <c r="AH110" s="40">
        <f>IF(N(X110)&gt;=3,1*100+X110*10+4,0)</f>
        <v>0</v>
      </c>
      <c r="AI110" s="40">
        <f>IF(N(Y110)&gt;=3,IF(AND(N(T110)&gt;=3,OR(N(T110)=4,N(Y110)&lt;=N(T110))),0,IF(Y110=4,2,1)*100+Y110*10+5),0)</f>
        <v>0</v>
      </c>
    </row>
    <row r="111">
      <c r="A111" s="31" t="n"/>
      <c r="B111" s="36" t="str">
        <f>IF(ISNUMBER(A111),"周"&amp;CHOOSE(WEEKDAY(A111,2),"一","二","三","四","五","六","日"),"")</f>
        <v/>
      </c>
      <c r="C111" s="37" t="n"/>
      <c r="D111" s="37" t="n"/>
      <c r="E111" s="37" t="n"/>
      <c r="F111" s="17" t="n"/>
      <c r="G111" s="38" t="str">
        <f>IF(AND(ISNUMBER(F111),ISNUMBER(F110)),IF(F110=0,"",F111/F110-1),"")</f>
        <v/>
      </c>
      <c r="H111" s="17" t="n"/>
      <c r="I111" s="17" t="n"/>
      <c r="J111" s="17" t="n"/>
      <c r="K111" s="17" t="n"/>
      <c r="L111" s="17" t="n"/>
      <c r="M111" s="17" t="n"/>
      <c r="N111" s="39" t="str">
        <f>IF(AND(ISNUMBER(L111),ISNUMBER(M111),N(L111)&gt;0),M111/L111,"")</f>
        <v/>
      </c>
      <c r="O111" s="17" t="n"/>
      <c r="P111" s="17" t="n"/>
      <c r="Q111" s="39" t="str">
        <f>IF(AND(ISNUMBER(O111),ISNUMBER(P111),N(O111)&gt;0),P111/O111,"")</f>
        <v/>
      </c>
      <c r="R111" s="17" t="n"/>
      <c r="S111" s="37" t="n"/>
      <c r="T111" s="40" t="str">
        <f>IF(AND(ISNUMBER(J111),ISNUMBER(K111)),IF(N(ISNUMBER('参数'!$E$31))+N(ISNUMBER('参数'!$G$31))+N(ISNUMBER('参数'!$I$31))+N(ISNUMBER('参数'!$K$31))=0,"",IF(ISNUMBER('参数'!$E$31),J111&lt;='参数'!$E$31,FALSE)+IF(ISNUMBER('参数'!$G$31),K111&gt;='参数'!$G$31,FALSE)+IF(AND(ISNUMBER('参数'!$I$31),ISNUMBER(N111)),N111&gt;='参数'!$I$31,FALSE)+IF(AND(ISNUMBER('参数'!$K$31),ISNUMBER(Q111)),Q111&lt;='参数'!$K$31,FALSE)),"")</f>
        <v/>
      </c>
      <c r="U111" s="40" t="str">
        <f>IF(AND(ISNUMBER(J111),ISNUMBER(K111)),IF(N(ISNUMBER('参数'!$G$32))+N(ISNUMBER('参数'!$I$32))+N(ISNUMBER('参数'!$K$32))=0,"",IF(AND(ISNUMBER(J110),ISNUMBER(J109)),AND(J111&gt;J110,J110&gt;J109),FALSE)+IF(ISNUMBER('参数'!$G$32),J111&lt;'参数'!$G$32,FALSE)+IF(AND(ISNUMBER('参数'!$I$32),ISNUMBER(Q111)),Q111&gt;='参数'!$I$32,FALSE)+IF(AND(ISNUMBER('参数'!$K$32),ISNUMBER(S111)),S111&gt;='参数'!$K$32,FALSE)),"")</f>
        <v/>
      </c>
      <c r="V111" s="40" t="str">
        <f>IF(AND(ISNUMBER(J111),ISNUMBER(K111)),IF(N(ISNUMBER('参数'!$E$33))+N(ISNUMBER('参数'!$G$33))+N(ISNUMBER('参数'!$I$33))+N(ISNUMBER('参数'!$K$33))=0,"",IF(AND(ISNUMBER('参数'!$E$33),ISNUMBER(J110)),AND(J111&gt;='参数'!$E$33,J111&gt;J110),FALSE)+IF(AND(ISNUMBER('参数'!$G$33),ISNUMBER(N111)),N111&lt;='参数'!$G$33,FALSE)+IF(AND(ISNUMBER('参数'!$I$33),ISNUMBER(Q111)),Q111&gt;='参数'!$I$33,FALSE)+IF(AND(ISNUMBER('参数'!$K$33),ISNUMBER(S111)),S111&gt;='参数'!$K$33,FALSE)),"")</f>
        <v/>
      </c>
      <c r="W111" s="40" t="str">
        <f>IF(AND(ISNUMBER(J111),ISNUMBER(K111)),IF(N(ISNUMBER('参数'!$E$34))+N(ISNUMBER('参数'!$G$34))+N(ISNUMBER('参数'!$I$34))+N(ISNUMBER('参数'!$K$34))=0,"",IF(ISNUMBER('参数'!$E$34),J111&gt;='参数'!$E$34,FALSE)+IF(AND(ISNUMBER('参数'!$G$34),ISNUMBER(N111)),N111&lt;='参数'!$G$34,FALSE)+IF(AND(ISNUMBER('参数'!$I$34),ISNUMBER(S111)),S111&gt;='参数'!$I$34,FALSE)+IF(AND(ISNUMBER('参数'!$K$34),ISNUMBER(R111)),R111&gt;='参数'!$K$34,FALSE)),"")</f>
        <v/>
      </c>
      <c r="X111" s="40" t="str">
        <f>IF(AND(ISNUMBER(J111),ISNUMBER(K111)),IF(N(ISNUMBER('参数'!$E$35))+N(ISNUMBER('参数'!$G$35))+N(ISNUMBER('参数'!$I$35))=0,"",IF(AND(ISNUMBER('参数'!$E$35),ISNUMBER(N111),ISNUMBER(N110)),ROUND(N111-N110,6)&gt;='参数'!$E$35,FALSE)+IF(AND(ISNUMBER('参数'!$G$35),ISNUMBER(Q111),ISNUMBER(Q110)),ROUND(Q110-Q111,6)&gt;='参数'!$G$35,FALSE)+IF(AND(ISNUMBER('参数'!$I$35),ISNUMBER(S111),ISNUMBER(S110)),ROUND(S110-S111,6)&gt;='参数'!$I$35,FALSE)+IF(ISNUMBER(J110),J111&lt;J110,FALSE)),"")</f>
        <v/>
      </c>
      <c r="Y111" s="40" t="str">
        <f>IF(AND(ISNUMBER(J111),ISNUMBER(K111)),IF(N(ISNUMBER('参数'!$E$36))+N(ISNUMBER('参数'!$G$36))+N(ISNUMBER('参数'!$I$36))=0,"",IF(AND(ISNUMBER('参数'!$E$36),ISNUMBER(J110)),AND(J111&lt;='参数'!$E$36,J111&lt;J110),FALSE)+IF(ISNUMBER('参数'!$G$36),K111&gt;='参数'!$G$36,FALSE)+IF(AND(ISNUMBER('参数'!$I$36),ISNUMBER(S111)),S111&lt;'参数'!$I$36,FALSE)+IF(AND(ISNUMBER(R111),ISNUMBER(R110)),R111&lt;R110,FALSE)),"")</f>
        <v/>
      </c>
      <c r="Z111" s="41" t="str">
        <f>IF(NOT(AND(ISNUMBER(J111),ISNUMBER(K111))),"",IF(COUNT(T111:Y111)=0,"先填阈值",IF(MAX(AD111:AI111)=0,"不写",INDEX($T$4:$Y$4,MATCH(MAX(AD111:AI111),AD111:AI111,0))&amp;"·"&amp;IF(MAX(AD111:AI111)&gt;=200,"高","中")&amp;IF(LARGE(AD111:AI111,2)&gt;0,"（也像"&amp;INDEX($T$4:$Y$4,MATCH(LARGE(AD111:AI111,2),AD111:AI111,0))&amp;"·"&amp;IF(LARGE(AD111:AI111,2)&gt;=200,"高","中")&amp;"）",""))))</f>
        <v/>
      </c>
      <c r="AA111" s="27" t="n"/>
      <c r="AB111" s="32" t="n"/>
      <c r="AC111" s="16" t="n"/>
      <c r="AD111" s="40">
        <f>IF(N(T111)&gt;=3,IF(T111=4,2,1)*100+T111*10+6,0)</f>
        <v>0</v>
      </c>
      <c r="AE111" s="40">
        <f>IF(N(U111)&gt;=3,1*100+U111*10+1,0)</f>
        <v>0</v>
      </c>
      <c r="AF111" s="40">
        <f>IF(N(V111)&gt;=3,IF(V111=4,2,1)*100+V111*10+2,0)</f>
        <v>0</v>
      </c>
      <c r="AG111" s="40">
        <f>IF(N(W111)&gt;=3,1*100+W111*10+3,0)</f>
        <v>0</v>
      </c>
      <c r="AH111" s="40">
        <f>IF(N(X111)&gt;=3,1*100+X111*10+4,0)</f>
        <v>0</v>
      </c>
      <c r="AI111" s="40">
        <f>IF(N(Y111)&gt;=3,IF(AND(N(T111)&gt;=3,OR(N(T111)=4,N(Y111)&lt;=N(T111))),0,IF(Y111=4,2,1)*100+Y111*10+5),0)</f>
        <v>0</v>
      </c>
    </row>
    <row r="112">
      <c r="A112" s="31" t="n"/>
      <c r="B112" s="36" t="str">
        <f>IF(ISNUMBER(A112),"周"&amp;CHOOSE(WEEKDAY(A112,2),"一","二","三","四","五","六","日"),"")</f>
        <v/>
      </c>
      <c r="C112" s="37" t="n"/>
      <c r="D112" s="37" t="n"/>
      <c r="E112" s="37" t="n"/>
      <c r="F112" s="17" t="n"/>
      <c r="G112" s="38" t="str">
        <f>IF(AND(ISNUMBER(F112),ISNUMBER(F111)),IF(F111=0,"",F112/F111-1),"")</f>
        <v/>
      </c>
      <c r="H112" s="17" t="n"/>
      <c r="I112" s="17" t="n"/>
      <c r="J112" s="17" t="n"/>
      <c r="K112" s="17" t="n"/>
      <c r="L112" s="17" t="n"/>
      <c r="M112" s="17" t="n"/>
      <c r="N112" s="39" t="str">
        <f>IF(AND(ISNUMBER(L112),ISNUMBER(M112),N(L112)&gt;0),M112/L112,"")</f>
        <v/>
      </c>
      <c r="O112" s="17" t="n"/>
      <c r="P112" s="17" t="n"/>
      <c r="Q112" s="39" t="str">
        <f>IF(AND(ISNUMBER(O112),ISNUMBER(P112),N(O112)&gt;0),P112/O112,"")</f>
        <v/>
      </c>
      <c r="R112" s="17" t="n"/>
      <c r="S112" s="37" t="n"/>
      <c r="T112" s="40" t="str">
        <f>IF(AND(ISNUMBER(J112),ISNUMBER(K112)),IF(N(ISNUMBER('参数'!$E$31))+N(ISNUMBER('参数'!$G$31))+N(ISNUMBER('参数'!$I$31))+N(ISNUMBER('参数'!$K$31))=0,"",IF(ISNUMBER('参数'!$E$31),J112&lt;='参数'!$E$31,FALSE)+IF(ISNUMBER('参数'!$G$31),K112&gt;='参数'!$G$31,FALSE)+IF(AND(ISNUMBER('参数'!$I$31),ISNUMBER(N112)),N112&gt;='参数'!$I$31,FALSE)+IF(AND(ISNUMBER('参数'!$K$31),ISNUMBER(Q112)),Q112&lt;='参数'!$K$31,FALSE)),"")</f>
        <v/>
      </c>
      <c r="U112" s="40" t="str">
        <f>IF(AND(ISNUMBER(J112),ISNUMBER(K112)),IF(N(ISNUMBER('参数'!$G$32))+N(ISNUMBER('参数'!$I$32))+N(ISNUMBER('参数'!$K$32))=0,"",IF(AND(ISNUMBER(J111),ISNUMBER(J110)),AND(J112&gt;J111,J111&gt;J110),FALSE)+IF(ISNUMBER('参数'!$G$32),J112&lt;'参数'!$G$32,FALSE)+IF(AND(ISNUMBER('参数'!$I$32),ISNUMBER(Q112)),Q112&gt;='参数'!$I$32,FALSE)+IF(AND(ISNUMBER('参数'!$K$32),ISNUMBER(S112)),S112&gt;='参数'!$K$32,FALSE)),"")</f>
        <v/>
      </c>
      <c r="V112" s="40" t="str">
        <f>IF(AND(ISNUMBER(J112),ISNUMBER(K112)),IF(N(ISNUMBER('参数'!$E$33))+N(ISNUMBER('参数'!$G$33))+N(ISNUMBER('参数'!$I$33))+N(ISNUMBER('参数'!$K$33))=0,"",IF(AND(ISNUMBER('参数'!$E$33),ISNUMBER(J111)),AND(J112&gt;='参数'!$E$33,J112&gt;J111),FALSE)+IF(AND(ISNUMBER('参数'!$G$33),ISNUMBER(N112)),N112&lt;='参数'!$G$33,FALSE)+IF(AND(ISNUMBER('参数'!$I$33),ISNUMBER(Q112)),Q112&gt;='参数'!$I$33,FALSE)+IF(AND(ISNUMBER('参数'!$K$33),ISNUMBER(S112)),S112&gt;='参数'!$K$33,FALSE)),"")</f>
        <v/>
      </c>
      <c r="W112" s="40" t="str">
        <f>IF(AND(ISNUMBER(J112),ISNUMBER(K112)),IF(N(ISNUMBER('参数'!$E$34))+N(ISNUMBER('参数'!$G$34))+N(ISNUMBER('参数'!$I$34))+N(ISNUMBER('参数'!$K$34))=0,"",IF(ISNUMBER('参数'!$E$34),J112&gt;='参数'!$E$34,FALSE)+IF(AND(ISNUMBER('参数'!$G$34),ISNUMBER(N112)),N112&lt;='参数'!$G$34,FALSE)+IF(AND(ISNUMBER('参数'!$I$34),ISNUMBER(S112)),S112&gt;='参数'!$I$34,FALSE)+IF(AND(ISNUMBER('参数'!$K$34),ISNUMBER(R112)),R112&gt;='参数'!$K$34,FALSE)),"")</f>
        <v/>
      </c>
      <c r="X112" s="40" t="str">
        <f>IF(AND(ISNUMBER(J112),ISNUMBER(K112)),IF(N(ISNUMBER('参数'!$E$35))+N(ISNUMBER('参数'!$G$35))+N(ISNUMBER('参数'!$I$35))=0,"",IF(AND(ISNUMBER('参数'!$E$35),ISNUMBER(N112),ISNUMBER(N111)),ROUND(N112-N111,6)&gt;='参数'!$E$35,FALSE)+IF(AND(ISNUMBER('参数'!$G$35),ISNUMBER(Q112),ISNUMBER(Q111)),ROUND(Q111-Q112,6)&gt;='参数'!$G$35,FALSE)+IF(AND(ISNUMBER('参数'!$I$35),ISNUMBER(S112),ISNUMBER(S111)),ROUND(S111-S112,6)&gt;='参数'!$I$35,FALSE)+IF(ISNUMBER(J111),J112&lt;J111,FALSE)),"")</f>
        <v/>
      </c>
      <c r="Y112" s="40" t="str">
        <f>IF(AND(ISNUMBER(J112),ISNUMBER(K112)),IF(N(ISNUMBER('参数'!$E$36))+N(ISNUMBER('参数'!$G$36))+N(ISNUMBER('参数'!$I$36))=0,"",IF(AND(ISNUMBER('参数'!$E$36),ISNUMBER(J111)),AND(J112&lt;='参数'!$E$36,J112&lt;J111),FALSE)+IF(ISNUMBER('参数'!$G$36),K112&gt;='参数'!$G$36,FALSE)+IF(AND(ISNUMBER('参数'!$I$36),ISNUMBER(S112)),S112&lt;'参数'!$I$36,FALSE)+IF(AND(ISNUMBER(R112),ISNUMBER(R111)),R112&lt;R111,FALSE)),"")</f>
        <v/>
      </c>
      <c r="Z112" s="41" t="str">
        <f>IF(NOT(AND(ISNUMBER(J112),ISNUMBER(K112))),"",IF(COUNT(T112:Y112)=0,"先填阈值",IF(MAX(AD112:AI112)=0,"不写",INDEX($T$4:$Y$4,MATCH(MAX(AD112:AI112),AD112:AI112,0))&amp;"·"&amp;IF(MAX(AD112:AI112)&gt;=200,"高","中")&amp;IF(LARGE(AD112:AI112,2)&gt;0,"（也像"&amp;INDEX($T$4:$Y$4,MATCH(LARGE(AD112:AI112,2),AD112:AI112,0))&amp;"·"&amp;IF(LARGE(AD112:AI112,2)&gt;=200,"高","中")&amp;"）",""))))</f>
        <v/>
      </c>
      <c r="AA112" s="27" t="n"/>
      <c r="AB112" s="32" t="n"/>
      <c r="AC112" s="16" t="n"/>
      <c r="AD112" s="40">
        <f>IF(N(T112)&gt;=3,IF(T112=4,2,1)*100+T112*10+6,0)</f>
        <v>0</v>
      </c>
      <c r="AE112" s="40">
        <f>IF(N(U112)&gt;=3,1*100+U112*10+1,0)</f>
        <v>0</v>
      </c>
      <c r="AF112" s="40">
        <f>IF(N(V112)&gt;=3,IF(V112=4,2,1)*100+V112*10+2,0)</f>
        <v>0</v>
      </c>
      <c r="AG112" s="40">
        <f>IF(N(W112)&gt;=3,1*100+W112*10+3,0)</f>
        <v>0</v>
      </c>
      <c r="AH112" s="40">
        <f>IF(N(X112)&gt;=3,1*100+X112*10+4,0)</f>
        <v>0</v>
      </c>
      <c r="AI112" s="40">
        <f>IF(N(Y112)&gt;=3,IF(AND(N(T112)&gt;=3,OR(N(T112)=4,N(Y112)&lt;=N(T112))),0,IF(Y112=4,2,1)*100+Y112*10+5),0)</f>
        <v>0</v>
      </c>
    </row>
    <row r="113">
      <c r="A113" s="31" t="n"/>
      <c r="B113" s="36" t="str">
        <f>IF(ISNUMBER(A113),"周"&amp;CHOOSE(WEEKDAY(A113,2),"一","二","三","四","五","六","日"),"")</f>
        <v/>
      </c>
      <c r="C113" s="37" t="n"/>
      <c r="D113" s="37" t="n"/>
      <c r="E113" s="37" t="n"/>
      <c r="F113" s="17" t="n"/>
      <c r="G113" s="38" t="str">
        <f>IF(AND(ISNUMBER(F113),ISNUMBER(F112)),IF(F112=0,"",F113/F112-1),"")</f>
        <v/>
      </c>
      <c r="H113" s="17" t="n"/>
      <c r="I113" s="17" t="n"/>
      <c r="J113" s="17" t="n"/>
      <c r="K113" s="17" t="n"/>
      <c r="L113" s="17" t="n"/>
      <c r="M113" s="17" t="n"/>
      <c r="N113" s="39" t="str">
        <f>IF(AND(ISNUMBER(L113),ISNUMBER(M113),N(L113)&gt;0),M113/L113,"")</f>
        <v/>
      </c>
      <c r="O113" s="17" t="n"/>
      <c r="P113" s="17" t="n"/>
      <c r="Q113" s="39" t="str">
        <f>IF(AND(ISNUMBER(O113),ISNUMBER(P113),N(O113)&gt;0),P113/O113,"")</f>
        <v/>
      </c>
      <c r="R113" s="17" t="n"/>
      <c r="S113" s="37" t="n"/>
      <c r="T113" s="40" t="str">
        <f>IF(AND(ISNUMBER(J113),ISNUMBER(K113)),IF(N(ISNUMBER('参数'!$E$31))+N(ISNUMBER('参数'!$G$31))+N(ISNUMBER('参数'!$I$31))+N(ISNUMBER('参数'!$K$31))=0,"",IF(ISNUMBER('参数'!$E$31),J113&lt;='参数'!$E$31,FALSE)+IF(ISNUMBER('参数'!$G$31),K113&gt;='参数'!$G$31,FALSE)+IF(AND(ISNUMBER('参数'!$I$31),ISNUMBER(N113)),N113&gt;='参数'!$I$31,FALSE)+IF(AND(ISNUMBER('参数'!$K$31),ISNUMBER(Q113)),Q113&lt;='参数'!$K$31,FALSE)),"")</f>
        <v/>
      </c>
      <c r="U113" s="40" t="str">
        <f>IF(AND(ISNUMBER(J113),ISNUMBER(K113)),IF(N(ISNUMBER('参数'!$G$32))+N(ISNUMBER('参数'!$I$32))+N(ISNUMBER('参数'!$K$32))=0,"",IF(AND(ISNUMBER(J112),ISNUMBER(J111)),AND(J113&gt;J112,J112&gt;J111),FALSE)+IF(ISNUMBER('参数'!$G$32),J113&lt;'参数'!$G$32,FALSE)+IF(AND(ISNUMBER('参数'!$I$32),ISNUMBER(Q113)),Q113&gt;='参数'!$I$32,FALSE)+IF(AND(ISNUMBER('参数'!$K$32),ISNUMBER(S113)),S113&gt;='参数'!$K$32,FALSE)),"")</f>
        <v/>
      </c>
      <c r="V113" s="40" t="str">
        <f>IF(AND(ISNUMBER(J113),ISNUMBER(K113)),IF(N(ISNUMBER('参数'!$E$33))+N(ISNUMBER('参数'!$G$33))+N(ISNUMBER('参数'!$I$33))+N(ISNUMBER('参数'!$K$33))=0,"",IF(AND(ISNUMBER('参数'!$E$33),ISNUMBER(J112)),AND(J113&gt;='参数'!$E$33,J113&gt;J112),FALSE)+IF(AND(ISNUMBER('参数'!$G$33),ISNUMBER(N113)),N113&lt;='参数'!$G$33,FALSE)+IF(AND(ISNUMBER('参数'!$I$33),ISNUMBER(Q113)),Q113&gt;='参数'!$I$33,FALSE)+IF(AND(ISNUMBER('参数'!$K$33),ISNUMBER(S113)),S113&gt;='参数'!$K$33,FALSE)),"")</f>
        <v/>
      </c>
      <c r="W113" s="40" t="str">
        <f>IF(AND(ISNUMBER(J113),ISNUMBER(K113)),IF(N(ISNUMBER('参数'!$E$34))+N(ISNUMBER('参数'!$G$34))+N(ISNUMBER('参数'!$I$34))+N(ISNUMBER('参数'!$K$34))=0,"",IF(ISNUMBER('参数'!$E$34),J113&gt;='参数'!$E$34,FALSE)+IF(AND(ISNUMBER('参数'!$G$34),ISNUMBER(N113)),N113&lt;='参数'!$G$34,FALSE)+IF(AND(ISNUMBER('参数'!$I$34),ISNUMBER(S113)),S113&gt;='参数'!$I$34,FALSE)+IF(AND(ISNUMBER('参数'!$K$34),ISNUMBER(R113)),R113&gt;='参数'!$K$34,FALSE)),"")</f>
        <v/>
      </c>
      <c r="X113" s="40" t="str">
        <f>IF(AND(ISNUMBER(J113),ISNUMBER(K113)),IF(N(ISNUMBER('参数'!$E$35))+N(ISNUMBER('参数'!$G$35))+N(ISNUMBER('参数'!$I$35))=0,"",IF(AND(ISNUMBER('参数'!$E$35),ISNUMBER(N113),ISNUMBER(N112)),ROUND(N113-N112,6)&gt;='参数'!$E$35,FALSE)+IF(AND(ISNUMBER('参数'!$G$35),ISNUMBER(Q113),ISNUMBER(Q112)),ROUND(Q112-Q113,6)&gt;='参数'!$G$35,FALSE)+IF(AND(ISNUMBER('参数'!$I$35),ISNUMBER(S113),ISNUMBER(S112)),ROUND(S112-S113,6)&gt;='参数'!$I$35,FALSE)+IF(ISNUMBER(J112),J113&lt;J112,FALSE)),"")</f>
        <v/>
      </c>
      <c r="Y113" s="40" t="str">
        <f>IF(AND(ISNUMBER(J113),ISNUMBER(K113)),IF(N(ISNUMBER('参数'!$E$36))+N(ISNUMBER('参数'!$G$36))+N(ISNUMBER('参数'!$I$36))=0,"",IF(AND(ISNUMBER('参数'!$E$36),ISNUMBER(J112)),AND(J113&lt;='参数'!$E$36,J113&lt;J112),FALSE)+IF(ISNUMBER('参数'!$G$36),K113&gt;='参数'!$G$36,FALSE)+IF(AND(ISNUMBER('参数'!$I$36),ISNUMBER(S113)),S113&lt;'参数'!$I$36,FALSE)+IF(AND(ISNUMBER(R113),ISNUMBER(R112)),R113&lt;R112,FALSE)),"")</f>
        <v/>
      </c>
      <c r="Z113" s="41" t="str">
        <f>IF(NOT(AND(ISNUMBER(J113),ISNUMBER(K113))),"",IF(COUNT(T113:Y113)=0,"先填阈值",IF(MAX(AD113:AI113)=0,"不写",INDEX($T$4:$Y$4,MATCH(MAX(AD113:AI113),AD113:AI113,0))&amp;"·"&amp;IF(MAX(AD113:AI113)&gt;=200,"高","中")&amp;IF(LARGE(AD113:AI113,2)&gt;0,"（也像"&amp;INDEX($T$4:$Y$4,MATCH(LARGE(AD113:AI113,2),AD113:AI113,0))&amp;"·"&amp;IF(LARGE(AD113:AI113,2)&gt;=200,"高","中")&amp;"）",""))))</f>
        <v/>
      </c>
      <c r="AA113" s="27" t="n"/>
      <c r="AB113" s="32" t="n"/>
      <c r="AC113" s="16" t="n"/>
      <c r="AD113" s="40">
        <f>IF(N(T113)&gt;=3,IF(T113=4,2,1)*100+T113*10+6,0)</f>
        <v>0</v>
      </c>
      <c r="AE113" s="40">
        <f>IF(N(U113)&gt;=3,1*100+U113*10+1,0)</f>
        <v>0</v>
      </c>
      <c r="AF113" s="40">
        <f>IF(N(V113)&gt;=3,IF(V113=4,2,1)*100+V113*10+2,0)</f>
        <v>0</v>
      </c>
      <c r="AG113" s="40">
        <f>IF(N(W113)&gt;=3,1*100+W113*10+3,0)</f>
        <v>0</v>
      </c>
      <c r="AH113" s="40">
        <f>IF(N(X113)&gt;=3,1*100+X113*10+4,0)</f>
        <v>0</v>
      </c>
      <c r="AI113" s="40">
        <f>IF(N(Y113)&gt;=3,IF(AND(N(T113)&gt;=3,OR(N(T113)=4,N(Y113)&lt;=N(T113))),0,IF(Y113=4,2,1)*100+Y113*10+5),0)</f>
        <v>0</v>
      </c>
    </row>
    <row r="114">
      <c r="A114" s="31" t="n"/>
      <c r="B114" s="36" t="str">
        <f>IF(ISNUMBER(A114),"周"&amp;CHOOSE(WEEKDAY(A114,2),"一","二","三","四","五","六","日"),"")</f>
        <v/>
      </c>
      <c r="C114" s="37" t="n"/>
      <c r="D114" s="37" t="n"/>
      <c r="E114" s="37" t="n"/>
      <c r="F114" s="17" t="n"/>
      <c r="G114" s="38" t="str">
        <f>IF(AND(ISNUMBER(F114),ISNUMBER(F113)),IF(F113=0,"",F114/F113-1),"")</f>
        <v/>
      </c>
      <c r="H114" s="17" t="n"/>
      <c r="I114" s="17" t="n"/>
      <c r="J114" s="17" t="n"/>
      <c r="K114" s="17" t="n"/>
      <c r="L114" s="17" t="n"/>
      <c r="M114" s="17" t="n"/>
      <c r="N114" s="39" t="str">
        <f>IF(AND(ISNUMBER(L114),ISNUMBER(M114),N(L114)&gt;0),M114/L114,"")</f>
        <v/>
      </c>
      <c r="O114" s="17" t="n"/>
      <c r="P114" s="17" t="n"/>
      <c r="Q114" s="39" t="str">
        <f>IF(AND(ISNUMBER(O114),ISNUMBER(P114),N(O114)&gt;0),P114/O114,"")</f>
        <v/>
      </c>
      <c r="R114" s="17" t="n"/>
      <c r="S114" s="37" t="n"/>
      <c r="T114" s="40" t="str">
        <f>IF(AND(ISNUMBER(J114),ISNUMBER(K114)),IF(N(ISNUMBER('参数'!$E$31))+N(ISNUMBER('参数'!$G$31))+N(ISNUMBER('参数'!$I$31))+N(ISNUMBER('参数'!$K$31))=0,"",IF(ISNUMBER('参数'!$E$31),J114&lt;='参数'!$E$31,FALSE)+IF(ISNUMBER('参数'!$G$31),K114&gt;='参数'!$G$31,FALSE)+IF(AND(ISNUMBER('参数'!$I$31),ISNUMBER(N114)),N114&gt;='参数'!$I$31,FALSE)+IF(AND(ISNUMBER('参数'!$K$31),ISNUMBER(Q114)),Q114&lt;='参数'!$K$31,FALSE)),"")</f>
        <v/>
      </c>
      <c r="U114" s="40" t="str">
        <f>IF(AND(ISNUMBER(J114),ISNUMBER(K114)),IF(N(ISNUMBER('参数'!$G$32))+N(ISNUMBER('参数'!$I$32))+N(ISNUMBER('参数'!$K$32))=0,"",IF(AND(ISNUMBER(J113),ISNUMBER(J112)),AND(J114&gt;J113,J113&gt;J112),FALSE)+IF(ISNUMBER('参数'!$G$32),J114&lt;'参数'!$G$32,FALSE)+IF(AND(ISNUMBER('参数'!$I$32),ISNUMBER(Q114)),Q114&gt;='参数'!$I$32,FALSE)+IF(AND(ISNUMBER('参数'!$K$32),ISNUMBER(S114)),S114&gt;='参数'!$K$32,FALSE)),"")</f>
        <v/>
      </c>
      <c r="V114" s="40" t="str">
        <f>IF(AND(ISNUMBER(J114),ISNUMBER(K114)),IF(N(ISNUMBER('参数'!$E$33))+N(ISNUMBER('参数'!$G$33))+N(ISNUMBER('参数'!$I$33))+N(ISNUMBER('参数'!$K$33))=0,"",IF(AND(ISNUMBER('参数'!$E$33),ISNUMBER(J113)),AND(J114&gt;='参数'!$E$33,J114&gt;J113),FALSE)+IF(AND(ISNUMBER('参数'!$G$33),ISNUMBER(N114)),N114&lt;='参数'!$G$33,FALSE)+IF(AND(ISNUMBER('参数'!$I$33),ISNUMBER(Q114)),Q114&gt;='参数'!$I$33,FALSE)+IF(AND(ISNUMBER('参数'!$K$33),ISNUMBER(S114)),S114&gt;='参数'!$K$33,FALSE)),"")</f>
        <v/>
      </c>
      <c r="W114" s="40" t="str">
        <f>IF(AND(ISNUMBER(J114),ISNUMBER(K114)),IF(N(ISNUMBER('参数'!$E$34))+N(ISNUMBER('参数'!$G$34))+N(ISNUMBER('参数'!$I$34))+N(ISNUMBER('参数'!$K$34))=0,"",IF(ISNUMBER('参数'!$E$34),J114&gt;='参数'!$E$34,FALSE)+IF(AND(ISNUMBER('参数'!$G$34),ISNUMBER(N114)),N114&lt;='参数'!$G$34,FALSE)+IF(AND(ISNUMBER('参数'!$I$34),ISNUMBER(S114)),S114&gt;='参数'!$I$34,FALSE)+IF(AND(ISNUMBER('参数'!$K$34),ISNUMBER(R114)),R114&gt;='参数'!$K$34,FALSE)),"")</f>
        <v/>
      </c>
      <c r="X114" s="40" t="str">
        <f>IF(AND(ISNUMBER(J114),ISNUMBER(K114)),IF(N(ISNUMBER('参数'!$E$35))+N(ISNUMBER('参数'!$G$35))+N(ISNUMBER('参数'!$I$35))=0,"",IF(AND(ISNUMBER('参数'!$E$35),ISNUMBER(N114),ISNUMBER(N113)),ROUND(N114-N113,6)&gt;='参数'!$E$35,FALSE)+IF(AND(ISNUMBER('参数'!$G$35),ISNUMBER(Q114),ISNUMBER(Q113)),ROUND(Q113-Q114,6)&gt;='参数'!$G$35,FALSE)+IF(AND(ISNUMBER('参数'!$I$35),ISNUMBER(S114),ISNUMBER(S113)),ROUND(S113-S114,6)&gt;='参数'!$I$35,FALSE)+IF(ISNUMBER(J113),J114&lt;J113,FALSE)),"")</f>
        <v/>
      </c>
      <c r="Y114" s="40" t="str">
        <f>IF(AND(ISNUMBER(J114),ISNUMBER(K114)),IF(N(ISNUMBER('参数'!$E$36))+N(ISNUMBER('参数'!$G$36))+N(ISNUMBER('参数'!$I$36))=0,"",IF(AND(ISNUMBER('参数'!$E$36),ISNUMBER(J113)),AND(J114&lt;='参数'!$E$36,J114&lt;J113),FALSE)+IF(ISNUMBER('参数'!$G$36),K114&gt;='参数'!$G$36,FALSE)+IF(AND(ISNUMBER('参数'!$I$36),ISNUMBER(S114)),S114&lt;'参数'!$I$36,FALSE)+IF(AND(ISNUMBER(R114),ISNUMBER(R113)),R114&lt;R113,FALSE)),"")</f>
        <v/>
      </c>
      <c r="Z114" s="41" t="str">
        <f>IF(NOT(AND(ISNUMBER(J114),ISNUMBER(K114))),"",IF(COUNT(T114:Y114)=0,"先填阈值",IF(MAX(AD114:AI114)=0,"不写",INDEX($T$4:$Y$4,MATCH(MAX(AD114:AI114),AD114:AI114,0))&amp;"·"&amp;IF(MAX(AD114:AI114)&gt;=200,"高","中")&amp;IF(LARGE(AD114:AI114,2)&gt;0,"（也像"&amp;INDEX($T$4:$Y$4,MATCH(LARGE(AD114:AI114,2),AD114:AI114,0))&amp;"·"&amp;IF(LARGE(AD114:AI114,2)&gt;=200,"高","中")&amp;"）",""))))</f>
        <v/>
      </c>
      <c r="AA114" s="27" t="n"/>
      <c r="AB114" s="32" t="n"/>
      <c r="AC114" s="16" t="n"/>
      <c r="AD114" s="40">
        <f>IF(N(T114)&gt;=3,IF(T114=4,2,1)*100+T114*10+6,0)</f>
        <v>0</v>
      </c>
      <c r="AE114" s="40">
        <f>IF(N(U114)&gt;=3,1*100+U114*10+1,0)</f>
        <v>0</v>
      </c>
      <c r="AF114" s="40">
        <f>IF(N(V114)&gt;=3,IF(V114=4,2,1)*100+V114*10+2,0)</f>
        <v>0</v>
      </c>
      <c r="AG114" s="40">
        <f>IF(N(W114)&gt;=3,1*100+W114*10+3,0)</f>
        <v>0</v>
      </c>
      <c r="AH114" s="40">
        <f>IF(N(X114)&gt;=3,1*100+X114*10+4,0)</f>
        <v>0</v>
      </c>
      <c r="AI114" s="40">
        <f>IF(N(Y114)&gt;=3,IF(AND(N(T114)&gt;=3,OR(N(T114)=4,N(Y114)&lt;=N(T114))),0,IF(Y114=4,2,1)*100+Y114*10+5),0)</f>
        <v>0</v>
      </c>
    </row>
    <row r="115">
      <c r="A115" s="31" t="n"/>
      <c r="B115" s="36" t="str">
        <f>IF(ISNUMBER(A115),"周"&amp;CHOOSE(WEEKDAY(A115,2),"一","二","三","四","五","六","日"),"")</f>
        <v/>
      </c>
      <c r="C115" s="37" t="n"/>
      <c r="D115" s="37" t="n"/>
      <c r="E115" s="37" t="n"/>
      <c r="F115" s="17" t="n"/>
      <c r="G115" s="38" t="str">
        <f>IF(AND(ISNUMBER(F115),ISNUMBER(F114)),IF(F114=0,"",F115/F114-1),"")</f>
        <v/>
      </c>
      <c r="H115" s="17" t="n"/>
      <c r="I115" s="17" t="n"/>
      <c r="J115" s="17" t="n"/>
      <c r="K115" s="17" t="n"/>
      <c r="L115" s="17" t="n"/>
      <c r="M115" s="17" t="n"/>
      <c r="N115" s="39" t="str">
        <f>IF(AND(ISNUMBER(L115),ISNUMBER(M115),N(L115)&gt;0),M115/L115,"")</f>
        <v/>
      </c>
      <c r="O115" s="17" t="n"/>
      <c r="P115" s="17" t="n"/>
      <c r="Q115" s="39" t="str">
        <f>IF(AND(ISNUMBER(O115),ISNUMBER(P115),N(O115)&gt;0),P115/O115,"")</f>
        <v/>
      </c>
      <c r="R115" s="17" t="n"/>
      <c r="S115" s="37" t="n"/>
      <c r="T115" s="40" t="str">
        <f>IF(AND(ISNUMBER(J115),ISNUMBER(K115)),IF(N(ISNUMBER('参数'!$E$31))+N(ISNUMBER('参数'!$G$31))+N(ISNUMBER('参数'!$I$31))+N(ISNUMBER('参数'!$K$31))=0,"",IF(ISNUMBER('参数'!$E$31),J115&lt;='参数'!$E$31,FALSE)+IF(ISNUMBER('参数'!$G$31),K115&gt;='参数'!$G$31,FALSE)+IF(AND(ISNUMBER('参数'!$I$31),ISNUMBER(N115)),N115&gt;='参数'!$I$31,FALSE)+IF(AND(ISNUMBER('参数'!$K$31),ISNUMBER(Q115)),Q115&lt;='参数'!$K$31,FALSE)),"")</f>
        <v/>
      </c>
      <c r="U115" s="40" t="str">
        <f>IF(AND(ISNUMBER(J115),ISNUMBER(K115)),IF(N(ISNUMBER('参数'!$G$32))+N(ISNUMBER('参数'!$I$32))+N(ISNUMBER('参数'!$K$32))=0,"",IF(AND(ISNUMBER(J114),ISNUMBER(J113)),AND(J115&gt;J114,J114&gt;J113),FALSE)+IF(ISNUMBER('参数'!$G$32),J115&lt;'参数'!$G$32,FALSE)+IF(AND(ISNUMBER('参数'!$I$32),ISNUMBER(Q115)),Q115&gt;='参数'!$I$32,FALSE)+IF(AND(ISNUMBER('参数'!$K$32),ISNUMBER(S115)),S115&gt;='参数'!$K$32,FALSE)),"")</f>
        <v/>
      </c>
      <c r="V115" s="40" t="str">
        <f>IF(AND(ISNUMBER(J115),ISNUMBER(K115)),IF(N(ISNUMBER('参数'!$E$33))+N(ISNUMBER('参数'!$G$33))+N(ISNUMBER('参数'!$I$33))+N(ISNUMBER('参数'!$K$33))=0,"",IF(AND(ISNUMBER('参数'!$E$33),ISNUMBER(J114)),AND(J115&gt;='参数'!$E$33,J115&gt;J114),FALSE)+IF(AND(ISNUMBER('参数'!$G$33),ISNUMBER(N115)),N115&lt;='参数'!$G$33,FALSE)+IF(AND(ISNUMBER('参数'!$I$33),ISNUMBER(Q115)),Q115&gt;='参数'!$I$33,FALSE)+IF(AND(ISNUMBER('参数'!$K$33),ISNUMBER(S115)),S115&gt;='参数'!$K$33,FALSE)),"")</f>
        <v/>
      </c>
      <c r="W115" s="40" t="str">
        <f>IF(AND(ISNUMBER(J115),ISNUMBER(K115)),IF(N(ISNUMBER('参数'!$E$34))+N(ISNUMBER('参数'!$G$34))+N(ISNUMBER('参数'!$I$34))+N(ISNUMBER('参数'!$K$34))=0,"",IF(ISNUMBER('参数'!$E$34),J115&gt;='参数'!$E$34,FALSE)+IF(AND(ISNUMBER('参数'!$G$34),ISNUMBER(N115)),N115&lt;='参数'!$G$34,FALSE)+IF(AND(ISNUMBER('参数'!$I$34),ISNUMBER(S115)),S115&gt;='参数'!$I$34,FALSE)+IF(AND(ISNUMBER('参数'!$K$34),ISNUMBER(R115)),R115&gt;='参数'!$K$34,FALSE)),"")</f>
        <v/>
      </c>
      <c r="X115" s="40" t="str">
        <f>IF(AND(ISNUMBER(J115),ISNUMBER(K115)),IF(N(ISNUMBER('参数'!$E$35))+N(ISNUMBER('参数'!$G$35))+N(ISNUMBER('参数'!$I$35))=0,"",IF(AND(ISNUMBER('参数'!$E$35),ISNUMBER(N115),ISNUMBER(N114)),ROUND(N115-N114,6)&gt;='参数'!$E$35,FALSE)+IF(AND(ISNUMBER('参数'!$G$35),ISNUMBER(Q115),ISNUMBER(Q114)),ROUND(Q114-Q115,6)&gt;='参数'!$G$35,FALSE)+IF(AND(ISNUMBER('参数'!$I$35),ISNUMBER(S115),ISNUMBER(S114)),ROUND(S114-S115,6)&gt;='参数'!$I$35,FALSE)+IF(ISNUMBER(J114),J115&lt;J114,FALSE)),"")</f>
        <v/>
      </c>
      <c r="Y115" s="40" t="str">
        <f>IF(AND(ISNUMBER(J115),ISNUMBER(K115)),IF(N(ISNUMBER('参数'!$E$36))+N(ISNUMBER('参数'!$G$36))+N(ISNUMBER('参数'!$I$36))=0,"",IF(AND(ISNUMBER('参数'!$E$36),ISNUMBER(J114)),AND(J115&lt;='参数'!$E$36,J115&lt;J114),FALSE)+IF(ISNUMBER('参数'!$G$36),K115&gt;='参数'!$G$36,FALSE)+IF(AND(ISNUMBER('参数'!$I$36),ISNUMBER(S115)),S115&lt;'参数'!$I$36,FALSE)+IF(AND(ISNUMBER(R115),ISNUMBER(R114)),R115&lt;R114,FALSE)),"")</f>
        <v/>
      </c>
      <c r="Z115" s="41" t="str">
        <f>IF(NOT(AND(ISNUMBER(J115),ISNUMBER(K115))),"",IF(COUNT(T115:Y115)=0,"先填阈值",IF(MAX(AD115:AI115)=0,"不写",INDEX($T$4:$Y$4,MATCH(MAX(AD115:AI115),AD115:AI115,0))&amp;"·"&amp;IF(MAX(AD115:AI115)&gt;=200,"高","中")&amp;IF(LARGE(AD115:AI115,2)&gt;0,"（也像"&amp;INDEX($T$4:$Y$4,MATCH(LARGE(AD115:AI115,2),AD115:AI115,0))&amp;"·"&amp;IF(LARGE(AD115:AI115,2)&gt;=200,"高","中")&amp;"）",""))))</f>
        <v/>
      </c>
      <c r="AA115" s="27" t="n"/>
      <c r="AB115" s="32" t="n"/>
      <c r="AC115" s="16" t="n"/>
      <c r="AD115" s="40">
        <f>IF(N(T115)&gt;=3,IF(T115=4,2,1)*100+T115*10+6,0)</f>
        <v>0</v>
      </c>
      <c r="AE115" s="40">
        <f>IF(N(U115)&gt;=3,1*100+U115*10+1,0)</f>
        <v>0</v>
      </c>
      <c r="AF115" s="40">
        <f>IF(N(V115)&gt;=3,IF(V115=4,2,1)*100+V115*10+2,0)</f>
        <v>0</v>
      </c>
      <c r="AG115" s="40">
        <f>IF(N(W115)&gt;=3,1*100+W115*10+3,0)</f>
        <v>0</v>
      </c>
      <c r="AH115" s="40">
        <f>IF(N(X115)&gt;=3,1*100+X115*10+4,0)</f>
        <v>0</v>
      </c>
      <c r="AI115" s="40">
        <f>IF(N(Y115)&gt;=3,IF(AND(N(T115)&gt;=3,OR(N(T115)=4,N(Y115)&lt;=N(T115))),0,IF(Y115=4,2,1)*100+Y115*10+5),0)</f>
        <v>0</v>
      </c>
    </row>
    <row r="116">
      <c r="A116" s="31" t="n"/>
      <c r="B116" s="36" t="str">
        <f>IF(ISNUMBER(A116),"周"&amp;CHOOSE(WEEKDAY(A116,2),"一","二","三","四","五","六","日"),"")</f>
        <v/>
      </c>
      <c r="C116" s="37" t="n"/>
      <c r="D116" s="37" t="n"/>
      <c r="E116" s="37" t="n"/>
      <c r="F116" s="17" t="n"/>
      <c r="G116" s="38" t="str">
        <f>IF(AND(ISNUMBER(F116),ISNUMBER(F115)),IF(F115=0,"",F116/F115-1),"")</f>
        <v/>
      </c>
      <c r="H116" s="17" t="n"/>
      <c r="I116" s="17" t="n"/>
      <c r="J116" s="17" t="n"/>
      <c r="K116" s="17" t="n"/>
      <c r="L116" s="17" t="n"/>
      <c r="M116" s="17" t="n"/>
      <c r="N116" s="39" t="str">
        <f>IF(AND(ISNUMBER(L116),ISNUMBER(M116),N(L116)&gt;0),M116/L116,"")</f>
        <v/>
      </c>
      <c r="O116" s="17" t="n"/>
      <c r="P116" s="17" t="n"/>
      <c r="Q116" s="39" t="str">
        <f>IF(AND(ISNUMBER(O116),ISNUMBER(P116),N(O116)&gt;0),P116/O116,"")</f>
        <v/>
      </c>
      <c r="R116" s="17" t="n"/>
      <c r="S116" s="37" t="n"/>
      <c r="T116" s="40" t="str">
        <f>IF(AND(ISNUMBER(J116),ISNUMBER(K116)),IF(N(ISNUMBER('参数'!$E$31))+N(ISNUMBER('参数'!$G$31))+N(ISNUMBER('参数'!$I$31))+N(ISNUMBER('参数'!$K$31))=0,"",IF(ISNUMBER('参数'!$E$31),J116&lt;='参数'!$E$31,FALSE)+IF(ISNUMBER('参数'!$G$31),K116&gt;='参数'!$G$31,FALSE)+IF(AND(ISNUMBER('参数'!$I$31),ISNUMBER(N116)),N116&gt;='参数'!$I$31,FALSE)+IF(AND(ISNUMBER('参数'!$K$31),ISNUMBER(Q116)),Q116&lt;='参数'!$K$31,FALSE)),"")</f>
        <v/>
      </c>
      <c r="U116" s="40" t="str">
        <f>IF(AND(ISNUMBER(J116),ISNUMBER(K116)),IF(N(ISNUMBER('参数'!$G$32))+N(ISNUMBER('参数'!$I$32))+N(ISNUMBER('参数'!$K$32))=0,"",IF(AND(ISNUMBER(J115),ISNUMBER(J114)),AND(J116&gt;J115,J115&gt;J114),FALSE)+IF(ISNUMBER('参数'!$G$32),J116&lt;'参数'!$G$32,FALSE)+IF(AND(ISNUMBER('参数'!$I$32),ISNUMBER(Q116)),Q116&gt;='参数'!$I$32,FALSE)+IF(AND(ISNUMBER('参数'!$K$32),ISNUMBER(S116)),S116&gt;='参数'!$K$32,FALSE)),"")</f>
        <v/>
      </c>
      <c r="V116" s="40" t="str">
        <f>IF(AND(ISNUMBER(J116),ISNUMBER(K116)),IF(N(ISNUMBER('参数'!$E$33))+N(ISNUMBER('参数'!$G$33))+N(ISNUMBER('参数'!$I$33))+N(ISNUMBER('参数'!$K$33))=0,"",IF(AND(ISNUMBER('参数'!$E$33),ISNUMBER(J115)),AND(J116&gt;='参数'!$E$33,J116&gt;J115),FALSE)+IF(AND(ISNUMBER('参数'!$G$33),ISNUMBER(N116)),N116&lt;='参数'!$G$33,FALSE)+IF(AND(ISNUMBER('参数'!$I$33),ISNUMBER(Q116)),Q116&gt;='参数'!$I$33,FALSE)+IF(AND(ISNUMBER('参数'!$K$33),ISNUMBER(S116)),S116&gt;='参数'!$K$33,FALSE)),"")</f>
        <v/>
      </c>
      <c r="W116" s="40" t="str">
        <f>IF(AND(ISNUMBER(J116),ISNUMBER(K116)),IF(N(ISNUMBER('参数'!$E$34))+N(ISNUMBER('参数'!$G$34))+N(ISNUMBER('参数'!$I$34))+N(ISNUMBER('参数'!$K$34))=0,"",IF(ISNUMBER('参数'!$E$34),J116&gt;='参数'!$E$34,FALSE)+IF(AND(ISNUMBER('参数'!$G$34),ISNUMBER(N116)),N116&lt;='参数'!$G$34,FALSE)+IF(AND(ISNUMBER('参数'!$I$34),ISNUMBER(S116)),S116&gt;='参数'!$I$34,FALSE)+IF(AND(ISNUMBER('参数'!$K$34),ISNUMBER(R116)),R116&gt;='参数'!$K$34,FALSE)),"")</f>
        <v/>
      </c>
      <c r="X116" s="40" t="str">
        <f>IF(AND(ISNUMBER(J116),ISNUMBER(K116)),IF(N(ISNUMBER('参数'!$E$35))+N(ISNUMBER('参数'!$G$35))+N(ISNUMBER('参数'!$I$35))=0,"",IF(AND(ISNUMBER('参数'!$E$35),ISNUMBER(N116),ISNUMBER(N115)),ROUND(N116-N115,6)&gt;='参数'!$E$35,FALSE)+IF(AND(ISNUMBER('参数'!$G$35),ISNUMBER(Q116),ISNUMBER(Q115)),ROUND(Q115-Q116,6)&gt;='参数'!$G$35,FALSE)+IF(AND(ISNUMBER('参数'!$I$35),ISNUMBER(S116),ISNUMBER(S115)),ROUND(S115-S116,6)&gt;='参数'!$I$35,FALSE)+IF(ISNUMBER(J115),J116&lt;J115,FALSE)),"")</f>
        <v/>
      </c>
      <c r="Y116" s="40" t="str">
        <f>IF(AND(ISNUMBER(J116),ISNUMBER(K116)),IF(N(ISNUMBER('参数'!$E$36))+N(ISNUMBER('参数'!$G$36))+N(ISNUMBER('参数'!$I$36))=0,"",IF(AND(ISNUMBER('参数'!$E$36),ISNUMBER(J115)),AND(J116&lt;='参数'!$E$36,J116&lt;J115),FALSE)+IF(ISNUMBER('参数'!$G$36),K116&gt;='参数'!$G$36,FALSE)+IF(AND(ISNUMBER('参数'!$I$36),ISNUMBER(S116)),S116&lt;'参数'!$I$36,FALSE)+IF(AND(ISNUMBER(R116),ISNUMBER(R115)),R116&lt;R115,FALSE)),"")</f>
        <v/>
      </c>
      <c r="Z116" s="41" t="str">
        <f>IF(NOT(AND(ISNUMBER(J116),ISNUMBER(K116))),"",IF(COUNT(T116:Y116)=0,"先填阈值",IF(MAX(AD116:AI116)=0,"不写",INDEX($T$4:$Y$4,MATCH(MAX(AD116:AI116),AD116:AI116,0))&amp;"·"&amp;IF(MAX(AD116:AI116)&gt;=200,"高","中")&amp;IF(LARGE(AD116:AI116,2)&gt;0,"（也像"&amp;INDEX($T$4:$Y$4,MATCH(LARGE(AD116:AI116,2),AD116:AI116,0))&amp;"·"&amp;IF(LARGE(AD116:AI116,2)&gt;=200,"高","中")&amp;"）",""))))</f>
        <v/>
      </c>
      <c r="AA116" s="27" t="n"/>
      <c r="AB116" s="32" t="n"/>
      <c r="AC116" s="16" t="n"/>
      <c r="AD116" s="40">
        <f>IF(N(T116)&gt;=3,IF(T116=4,2,1)*100+T116*10+6,0)</f>
        <v>0</v>
      </c>
      <c r="AE116" s="40">
        <f>IF(N(U116)&gt;=3,1*100+U116*10+1,0)</f>
        <v>0</v>
      </c>
      <c r="AF116" s="40">
        <f>IF(N(V116)&gt;=3,IF(V116=4,2,1)*100+V116*10+2,0)</f>
        <v>0</v>
      </c>
      <c r="AG116" s="40">
        <f>IF(N(W116)&gt;=3,1*100+W116*10+3,0)</f>
        <v>0</v>
      </c>
      <c r="AH116" s="40">
        <f>IF(N(X116)&gt;=3,1*100+X116*10+4,0)</f>
        <v>0</v>
      </c>
      <c r="AI116" s="40">
        <f>IF(N(Y116)&gt;=3,IF(AND(N(T116)&gt;=3,OR(N(T116)=4,N(Y116)&lt;=N(T116))),0,IF(Y116=4,2,1)*100+Y116*10+5),0)</f>
        <v>0</v>
      </c>
    </row>
    <row r="117">
      <c r="A117" s="31" t="n"/>
      <c r="B117" s="36" t="str">
        <f>IF(ISNUMBER(A117),"周"&amp;CHOOSE(WEEKDAY(A117,2),"一","二","三","四","五","六","日"),"")</f>
        <v/>
      </c>
      <c r="C117" s="37" t="n"/>
      <c r="D117" s="37" t="n"/>
      <c r="E117" s="37" t="n"/>
      <c r="F117" s="17" t="n"/>
      <c r="G117" s="38" t="str">
        <f>IF(AND(ISNUMBER(F117),ISNUMBER(F116)),IF(F116=0,"",F117/F116-1),"")</f>
        <v/>
      </c>
      <c r="H117" s="17" t="n"/>
      <c r="I117" s="17" t="n"/>
      <c r="J117" s="17" t="n"/>
      <c r="K117" s="17" t="n"/>
      <c r="L117" s="17" t="n"/>
      <c r="M117" s="17" t="n"/>
      <c r="N117" s="39" t="str">
        <f>IF(AND(ISNUMBER(L117),ISNUMBER(M117),N(L117)&gt;0),M117/L117,"")</f>
        <v/>
      </c>
      <c r="O117" s="17" t="n"/>
      <c r="P117" s="17" t="n"/>
      <c r="Q117" s="39" t="str">
        <f>IF(AND(ISNUMBER(O117),ISNUMBER(P117),N(O117)&gt;0),P117/O117,"")</f>
        <v/>
      </c>
      <c r="R117" s="17" t="n"/>
      <c r="S117" s="37" t="n"/>
      <c r="T117" s="40" t="str">
        <f>IF(AND(ISNUMBER(J117),ISNUMBER(K117)),IF(N(ISNUMBER('参数'!$E$31))+N(ISNUMBER('参数'!$G$31))+N(ISNUMBER('参数'!$I$31))+N(ISNUMBER('参数'!$K$31))=0,"",IF(ISNUMBER('参数'!$E$31),J117&lt;='参数'!$E$31,FALSE)+IF(ISNUMBER('参数'!$G$31),K117&gt;='参数'!$G$31,FALSE)+IF(AND(ISNUMBER('参数'!$I$31),ISNUMBER(N117)),N117&gt;='参数'!$I$31,FALSE)+IF(AND(ISNUMBER('参数'!$K$31),ISNUMBER(Q117)),Q117&lt;='参数'!$K$31,FALSE)),"")</f>
        <v/>
      </c>
      <c r="U117" s="40" t="str">
        <f>IF(AND(ISNUMBER(J117),ISNUMBER(K117)),IF(N(ISNUMBER('参数'!$G$32))+N(ISNUMBER('参数'!$I$32))+N(ISNUMBER('参数'!$K$32))=0,"",IF(AND(ISNUMBER(J116),ISNUMBER(J115)),AND(J117&gt;J116,J116&gt;J115),FALSE)+IF(ISNUMBER('参数'!$G$32),J117&lt;'参数'!$G$32,FALSE)+IF(AND(ISNUMBER('参数'!$I$32),ISNUMBER(Q117)),Q117&gt;='参数'!$I$32,FALSE)+IF(AND(ISNUMBER('参数'!$K$32),ISNUMBER(S117)),S117&gt;='参数'!$K$32,FALSE)),"")</f>
        <v/>
      </c>
      <c r="V117" s="40" t="str">
        <f>IF(AND(ISNUMBER(J117),ISNUMBER(K117)),IF(N(ISNUMBER('参数'!$E$33))+N(ISNUMBER('参数'!$G$33))+N(ISNUMBER('参数'!$I$33))+N(ISNUMBER('参数'!$K$33))=0,"",IF(AND(ISNUMBER('参数'!$E$33),ISNUMBER(J116)),AND(J117&gt;='参数'!$E$33,J117&gt;J116),FALSE)+IF(AND(ISNUMBER('参数'!$G$33),ISNUMBER(N117)),N117&lt;='参数'!$G$33,FALSE)+IF(AND(ISNUMBER('参数'!$I$33),ISNUMBER(Q117)),Q117&gt;='参数'!$I$33,FALSE)+IF(AND(ISNUMBER('参数'!$K$33),ISNUMBER(S117)),S117&gt;='参数'!$K$33,FALSE)),"")</f>
        <v/>
      </c>
      <c r="W117" s="40" t="str">
        <f>IF(AND(ISNUMBER(J117),ISNUMBER(K117)),IF(N(ISNUMBER('参数'!$E$34))+N(ISNUMBER('参数'!$G$34))+N(ISNUMBER('参数'!$I$34))+N(ISNUMBER('参数'!$K$34))=0,"",IF(ISNUMBER('参数'!$E$34),J117&gt;='参数'!$E$34,FALSE)+IF(AND(ISNUMBER('参数'!$G$34),ISNUMBER(N117)),N117&lt;='参数'!$G$34,FALSE)+IF(AND(ISNUMBER('参数'!$I$34),ISNUMBER(S117)),S117&gt;='参数'!$I$34,FALSE)+IF(AND(ISNUMBER('参数'!$K$34),ISNUMBER(R117)),R117&gt;='参数'!$K$34,FALSE)),"")</f>
        <v/>
      </c>
      <c r="X117" s="40" t="str">
        <f>IF(AND(ISNUMBER(J117),ISNUMBER(K117)),IF(N(ISNUMBER('参数'!$E$35))+N(ISNUMBER('参数'!$G$35))+N(ISNUMBER('参数'!$I$35))=0,"",IF(AND(ISNUMBER('参数'!$E$35),ISNUMBER(N117),ISNUMBER(N116)),ROUND(N117-N116,6)&gt;='参数'!$E$35,FALSE)+IF(AND(ISNUMBER('参数'!$G$35),ISNUMBER(Q117),ISNUMBER(Q116)),ROUND(Q116-Q117,6)&gt;='参数'!$G$35,FALSE)+IF(AND(ISNUMBER('参数'!$I$35),ISNUMBER(S117),ISNUMBER(S116)),ROUND(S116-S117,6)&gt;='参数'!$I$35,FALSE)+IF(ISNUMBER(J116),J117&lt;J116,FALSE)),"")</f>
        <v/>
      </c>
      <c r="Y117" s="40" t="str">
        <f>IF(AND(ISNUMBER(J117),ISNUMBER(K117)),IF(N(ISNUMBER('参数'!$E$36))+N(ISNUMBER('参数'!$G$36))+N(ISNUMBER('参数'!$I$36))=0,"",IF(AND(ISNUMBER('参数'!$E$36),ISNUMBER(J116)),AND(J117&lt;='参数'!$E$36,J117&lt;J116),FALSE)+IF(ISNUMBER('参数'!$G$36),K117&gt;='参数'!$G$36,FALSE)+IF(AND(ISNUMBER('参数'!$I$36),ISNUMBER(S117)),S117&lt;'参数'!$I$36,FALSE)+IF(AND(ISNUMBER(R117),ISNUMBER(R116)),R117&lt;R116,FALSE)),"")</f>
        <v/>
      </c>
      <c r="Z117" s="41" t="str">
        <f>IF(NOT(AND(ISNUMBER(J117),ISNUMBER(K117))),"",IF(COUNT(T117:Y117)=0,"先填阈值",IF(MAX(AD117:AI117)=0,"不写",INDEX($T$4:$Y$4,MATCH(MAX(AD117:AI117),AD117:AI117,0))&amp;"·"&amp;IF(MAX(AD117:AI117)&gt;=200,"高","中")&amp;IF(LARGE(AD117:AI117,2)&gt;0,"（也像"&amp;INDEX($T$4:$Y$4,MATCH(LARGE(AD117:AI117,2),AD117:AI117,0))&amp;"·"&amp;IF(LARGE(AD117:AI117,2)&gt;=200,"高","中")&amp;"）",""))))</f>
        <v/>
      </c>
      <c r="AA117" s="27" t="n"/>
      <c r="AB117" s="32" t="n"/>
      <c r="AC117" s="16" t="n"/>
      <c r="AD117" s="40">
        <f>IF(N(T117)&gt;=3,IF(T117=4,2,1)*100+T117*10+6,0)</f>
        <v>0</v>
      </c>
      <c r="AE117" s="40">
        <f>IF(N(U117)&gt;=3,1*100+U117*10+1,0)</f>
        <v>0</v>
      </c>
      <c r="AF117" s="40">
        <f>IF(N(V117)&gt;=3,IF(V117=4,2,1)*100+V117*10+2,0)</f>
        <v>0</v>
      </c>
      <c r="AG117" s="40">
        <f>IF(N(W117)&gt;=3,1*100+W117*10+3,0)</f>
        <v>0</v>
      </c>
      <c r="AH117" s="40">
        <f>IF(N(X117)&gt;=3,1*100+X117*10+4,0)</f>
        <v>0</v>
      </c>
      <c r="AI117" s="40">
        <f>IF(N(Y117)&gt;=3,IF(AND(N(T117)&gt;=3,OR(N(T117)=4,N(Y117)&lt;=N(T117))),0,IF(Y117=4,2,1)*100+Y117*10+5),0)</f>
        <v>0</v>
      </c>
    </row>
    <row r="118">
      <c r="A118" s="31" t="n"/>
      <c r="B118" s="36" t="str">
        <f>IF(ISNUMBER(A118),"周"&amp;CHOOSE(WEEKDAY(A118,2),"一","二","三","四","五","六","日"),"")</f>
        <v/>
      </c>
      <c r="C118" s="37" t="n"/>
      <c r="D118" s="37" t="n"/>
      <c r="E118" s="37" t="n"/>
      <c r="F118" s="17" t="n"/>
      <c r="G118" s="38" t="str">
        <f>IF(AND(ISNUMBER(F118),ISNUMBER(F117)),IF(F117=0,"",F118/F117-1),"")</f>
        <v/>
      </c>
      <c r="H118" s="17" t="n"/>
      <c r="I118" s="17" t="n"/>
      <c r="J118" s="17" t="n"/>
      <c r="K118" s="17" t="n"/>
      <c r="L118" s="17" t="n"/>
      <c r="M118" s="17" t="n"/>
      <c r="N118" s="39" t="str">
        <f>IF(AND(ISNUMBER(L118),ISNUMBER(M118),N(L118)&gt;0),M118/L118,"")</f>
        <v/>
      </c>
      <c r="O118" s="17" t="n"/>
      <c r="P118" s="17" t="n"/>
      <c r="Q118" s="39" t="str">
        <f>IF(AND(ISNUMBER(O118),ISNUMBER(P118),N(O118)&gt;0),P118/O118,"")</f>
        <v/>
      </c>
      <c r="R118" s="17" t="n"/>
      <c r="S118" s="37" t="n"/>
      <c r="T118" s="40" t="str">
        <f>IF(AND(ISNUMBER(J118),ISNUMBER(K118)),IF(N(ISNUMBER('参数'!$E$31))+N(ISNUMBER('参数'!$G$31))+N(ISNUMBER('参数'!$I$31))+N(ISNUMBER('参数'!$K$31))=0,"",IF(ISNUMBER('参数'!$E$31),J118&lt;='参数'!$E$31,FALSE)+IF(ISNUMBER('参数'!$G$31),K118&gt;='参数'!$G$31,FALSE)+IF(AND(ISNUMBER('参数'!$I$31),ISNUMBER(N118)),N118&gt;='参数'!$I$31,FALSE)+IF(AND(ISNUMBER('参数'!$K$31),ISNUMBER(Q118)),Q118&lt;='参数'!$K$31,FALSE)),"")</f>
        <v/>
      </c>
      <c r="U118" s="40" t="str">
        <f>IF(AND(ISNUMBER(J118),ISNUMBER(K118)),IF(N(ISNUMBER('参数'!$G$32))+N(ISNUMBER('参数'!$I$32))+N(ISNUMBER('参数'!$K$32))=0,"",IF(AND(ISNUMBER(J117),ISNUMBER(J116)),AND(J118&gt;J117,J117&gt;J116),FALSE)+IF(ISNUMBER('参数'!$G$32),J118&lt;'参数'!$G$32,FALSE)+IF(AND(ISNUMBER('参数'!$I$32),ISNUMBER(Q118)),Q118&gt;='参数'!$I$32,FALSE)+IF(AND(ISNUMBER('参数'!$K$32),ISNUMBER(S118)),S118&gt;='参数'!$K$32,FALSE)),"")</f>
        <v/>
      </c>
      <c r="V118" s="40" t="str">
        <f>IF(AND(ISNUMBER(J118),ISNUMBER(K118)),IF(N(ISNUMBER('参数'!$E$33))+N(ISNUMBER('参数'!$G$33))+N(ISNUMBER('参数'!$I$33))+N(ISNUMBER('参数'!$K$33))=0,"",IF(AND(ISNUMBER('参数'!$E$33),ISNUMBER(J117)),AND(J118&gt;='参数'!$E$33,J118&gt;J117),FALSE)+IF(AND(ISNUMBER('参数'!$G$33),ISNUMBER(N118)),N118&lt;='参数'!$G$33,FALSE)+IF(AND(ISNUMBER('参数'!$I$33),ISNUMBER(Q118)),Q118&gt;='参数'!$I$33,FALSE)+IF(AND(ISNUMBER('参数'!$K$33),ISNUMBER(S118)),S118&gt;='参数'!$K$33,FALSE)),"")</f>
        <v/>
      </c>
      <c r="W118" s="40" t="str">
        <f>IF(AND(ISNUMBER(J118),ISNUMBER(K118)),IF(N(ISNUMBER('参数'!$E$34))+N(ISNUMBER('参数'!$G$34))+N(ISNUMBER('参数'!$I$34))+N(ISNUMBER('参数'!$K$34))=0,"",IF(ISNUMBER('参数'!$E$34),J118&gt;='参数'!$E$34,FALSE)+IF(AND(ISNUMBER('参数'!$G$34),ISNUMBER(N118)),N118&lt;='参数'!$G$34,FALSE)+IF(AND(ISNUMBER('参数'!$I$34),ISNUMBER(S118)),S118&gt;='参数'!$I$34,FALSE)+IF(AND(ISNUMBER('参数'!$K$34),ISNUMBER(R118)),R118&gt;='参数'!$K$34,FALSE)),"")</f>
        <v/>
      </c>
      <c r="X118" s="40" t="str">
        <f>IF(AND(ISNUMBER(J118),ISNUMBER(K118)),IF(N(ISNUMBER('参数'!$E$35))+N(ISNUMBER('参数'!$G$35))+N(ISNUMBER('参数'!$I$35))=0,"",IF(AND(ISNUMBER('参数'!$E$35),ISNUMBER(N118),ISNUMBER(N117)),ROUND(N118-N117,6)&gt;='参数'!$E$35,FALSE)+IF(AND(ISNUMBER('参数'!$G$35),ISNUMBER(Q118),ISNUMBER(Q117)),ROUND(Q117-Q118,6)&gt;='参数'!$G$35,FALSE)+IF(AND(ISNUMBER('参数'!$I$35),ISNUMBER(S118),ISNUMBER(S117)),ROUND(S117-S118,6)&gt;='参数'!$I$35,FALSE)+IF(ISNUMBER(J117),J118&lt;J117,FALSE)),"")</f>
        <v/>
      </c>
      <c r="Y118" s="40" t="str">
        <f>IF(AND(ISNUMBER(J118),ISNUMBER(K118)),IF(N(ISNUMBER('参数'!$E$36))+N(ISNUMBER('参数'!$G$36))+N(ISNUMBER('参数'!$I$36))=0,"",IF(AND(ISNUMBER('参数'!$E$36),ISNUMBER(J117)),AND(J118&lt;='参数'!$E$36,J118&lt;J117),FALSE)+IF(ISNUMBER('参数'!$G$36),K118&gt;='参数'!$G$36,FALSE)+IF(AND(ISNUMBER('参数'!$I$36),ISNUMBER(S118)),S118&lt;'参数'!$I$36,FALSE)+IF(AND(ISNUMBER(R118),ISNUMBER(R117)),R118&lt;R117,FALSE)),"")</f>
        <v/>
      </c>
      <c r="Z118" s="41" t="str">
        <f>IF(NOT(AND(ISNUMBER(J118),ISNUMBER(K118))),"",IF(COUNT(T118:Y118)=0,"先填阈值",IF(MAX(AD118:AI118)=0,"不写",INDEX($T$4:$Y$4,MATCH(MAX(AD118:AI118),AD118:AI118,0))&amp;"·"&amp;IF(MAX(AD118:AI118)&gt;=200,"高","中")&amp;IF(LARGE(AD118:AI118,2)&gt;0,"（也像"&amp;INDEX($T$4:$Y$4,MATCH(LARGE(AD118:AI118,2),AD118:AI118,0))&amp;"·"&amp;IF(LARGE(AD118:AI118,2)&gt;=200,"高","中")&amp;"）",""))))</f>
        <v/>
      </c>
      <c r="AA118" s="27" t="n"/>
      <c r="AB118" s="32" t="n"/>
      <c r="AC118" s="16" t="n"/>
      <c r="AD118" s="40">
        <f>IF(N(T118)&gt;=3,IF(T118=4,2,1)*100+T118*10+6,0)</f>
        <v>0</v>
      </c>
      <c r="AE118" s="40">
        <f>IF(N(U118)&gt;=3,1*100+U118*10+1,0)</f>
        <v>0</v>
      </c>
      <c r="AF118" s="40">
        <f>IF(N(V118)&gt;=3,IF(V118=4,2,1)*100+V118*10+2,0)</f>
        <v>0</v>
      </c>
      <c r="AG118" s="40">
        <f>IF(N(W118)&gt;=3,1*100+W118*10+3,0)</f>
        <v>0</v>
      </c>
      <c r="AH118" s="40">
        <f>IF(N(X118)&gt;=3,1*100+X118*10+4,0)</f>
        <v>0</v>
      </c>
      <c r="AI118" s="40">
        <f>IF(N(Y118)&gt;=3,IF(AND(N(T118)&gt;=3,OR(N(T118)=4,N(Y118)&lt;=N(T118))),0,IF(Y118=4,2,1)*100+Y118*10+5),0)</f>
        <v>0</v>
      </c>
    </row>
    <row r="119">
      <c r="A119" s="31" t="n"/>
      <c r="B119" s="36" t="str">
        <f>IF(ISNUMBER(A119),"周"&amp;CHOOSE(WEEKDAY(A119,2),"一","二","三","四","五","六","日"),"")</f>
        <v/>
      </c>
      <c r="C119" s="37" t="n"/>
      <c r="D119" s="37" t="n"/>
      <c r="E119" s="37" t="n"/>
      <c r="F119" s="17" t="n"/>
      <c r="G119" s="38" t="str">
        <f>IF(AND(ISNUMBER(F119),ISNUMBER(F118)),IF(F118=0,"",F119/F118-1),"")</f>
        <v/>
      </c>
      <c r="H119" s="17" t="n"/>
      <c r="I119" s="17" t="n"/>
      <c r="J119" s="17" t="n"/>
      <c r="K119" s="17" t="n"/>
      <c r="L119" s="17" t="n"/>
      <c r="M119" s="17" t="n"/>
      <c r="N119" s="39" t="str">
        <f>IF(AND(ISNUMBER(L119),ISNUMBER(M119),N(L119)&gt;0),M119/L119,"")</f>
        <v/>
      </c>
      <c r="O119" s="17" t="n"/>
      <c r="P119" s="17" t="n"/>
      <c r="Q119" s="39" t="str">
        <f>IF(AND(ISNUMBER(O119),ISNUMBER(P119),N(O119)&gt;0),P119/O119,"")</f>
        <v/>
      </c>
      <c r="R119" s="17" t="n"/>
      <c r="S119" s="37" t="n"/>
      <c r="T119" s="40" t="str">
        <f>IF(AND(ISNUMBER(J119),ISNUMBER(K119)),IF(N(ISNUMBER('参数'!$E$31))+N(ISNUMBER('参数'!$G$31))+N(ISNUMBER('参数'!$I$31))+N(ISNUMBER('参数'!$K$31))=0,"",IF(ISNUMBER('参数'!$E$31),J119&lt;='参数'!$E$31,FALSE)+IF(ISNUMBER('参数'!$G$31),K119&gt;='参数'!$G$31,FALSE)+IF(AND(ISNUMBER('参数'!$I$31),ISNUMBER(N119)),N119&gt;='参数'!$I$31,FALSE)+IF(AND(ISNUMBER('参数'!$K$31),ISNUMBER(Q119)),Q119&lt;='参数'!$K$31,FALSE)),"")</f>
        <v/>
      </c>
      <c r="U119" s="40" t="str">
        <f>IF(AND(ISNUMBER(J119),ISNUMBER(K119)),IF(N(ISNUMBER('参数'!$G$32))+N(ISNUMBER('参数'!$I$32))+N(ISNUMBER('参数'!$K$32))=0,"",IF(AND(ISNUMBER(J118),ISNUMBER(J117)),AND(J119&gt;J118,J118&gt;J117),FALSE)+IF(ISNUMBER('参数'!$G$32),J119&lt;'参数'!$G$32,FALSE)+IF(AND(ISNUMBER('参数'!$I$32),ISNUMBER(Q119)),Q119&gt;='参数'!$I$32,FALSE)+IF(AND(ISNUMBER('参数'!$K$32),ISNUMBER(S119)),S119&gt;='参数'!$K$32,FALSE)),"")</f>
        <v/>
      </c>
      <c r="V119" s="40" t="str">
        <f>IF(AND(ISNUMBER(J119),ISNUMBER(K119)),IF(N(ISNUMBER('参数'!$E$33))+N(ISNUMBER('参数'!$G$33))+N(ISNUMBER('参数'!$I$33))+N(ISNUMBER('参数'!$K$33))=0,"",IF(AND(ISNUMBER('参数'!$E$33),ISNUMBER(J118)),AND(J119&gt;='参数'!$E$33,J119&gt;J118),FALSE)+IF(AND(ISNUMBER('参数'!$G$33),ISNUMBER(N119)),N119&lt;='参数'!$G$33,FALSE)+IF(AND(ISNUMBER('参数'!$I$33),ISNUMBER(Q119)),Q119&gt;='参数'!$I$33,FALSE)+IF(AND(ISNUMBER('参数'!$K$33),ISNUMBER(S119)),S119&gt;='参数'!$K$33,FALSE)),"")</f>
        <v/>
      </c>
      <c r="W119" s="40" t="str">
        <f>IF(AND(ISNUMBER(J119),ISNUMBER(K119)),IF(N(ISNUMBER('参数'!$E$34))+N(ISNUMBER('参数'!$G$34))+N(ISNUMBER('参数'!$I$34))+N(ISNUMBER('参数'!$K$34))=0,"",IF(ISNUMBER('参数'!$E$34),J119&gt;='参数'!$E$34,FALSE)+IF(AND(ISNUMBER('参数'!$G$34),ISNUMBER(N119)),N119&lt;='参数'!$G$34,FALSE)+IF(AND(ISNUMBER('参数'!$I$34),ISNUMBER(S119)),S119&gt;='参数'!$I$34,FALSE)+IF(AND(ISNUMBER('参数'!$K$34),ISNUMBER(R119)),R119&gt;='参数'!$K$34,FALSE)),"")</f>
        <v/>
      </c>
      <c r="X119" s="40" t="str">
        <f>IF(AND(ISNUMBER(J119),ISNUMBER(K119)),IF(N(ISNUMBER('参数'!$E$35))+N(ISNUMBER('参数'!$G$35))+N(ISNUMBER('参数'!$I$35))=0,"",IF(AND(ISNUMBER('参数'!$E$35),ISNUMBER(N119),ISNUMBER(N118)),ROUND(N119-N118,6)&gt;='参数'!$E$35,FALSE)+IF(AND(ISNUMBER('参数'!$G$35),ISNUMBER(Q119),ISNUMBER(Q118)),ROUND(Q118-Q119,6)&gt;='参数'!$G$35,FALSE)+IF(AND(ISNUMBER('参数'!$I$35),ISNUMBER(S119),ISNUMBER(S118)),ROUND(S118-S119,6)&gt;='参数'!$I$35,FALSE)+IF(ISNUMBER(J118),J119&lt;J118,FALSE)),"")</f>
        <v/>
      </c>
      <c r="Y119" s="40" t="str">
        <f>IF(AND(ISNUMBER(J119),ISNUMBER(K119)),IF(N(ISNUMBER('参数'!$E$36))+N(ISNUMBER('参数'!$G$36))+N(ISNUMBER('参数'!$I$36))=0,"",IF(AND(ISNUMBER('参数'!$E$36),ISNUMBER(J118)),AND(J119&lt;='参数'!$E$36,J119&lt;J118),FALSE)+IF(ISNUMBER('参数'!$G$36),K119&gt;='参数'!$G$36,FALSE)+IF(AND(ISNUMBER('参数'!$I$36),ISNUMBER(S119)),S119&lt;'参数'!$I$36,FALSE)+IF(AND(ISNUMBER(R119),ISNUMBER(R118)),R119&lt;R118,FALSE)),"")</f>
        <v/>
      </c>
      <c r="Z119" s="41" t="str">
        <f>IF(NOT(AND(ISNUMBER(J119),ISNUMBER(K119))),"",IF(COUNT(T119:Y119)=0,"先填阈值",IF(MAX(AD119:AI119)=0,"不写",INDEX($T$4:$Y$4,MATCH(MAX(AD119:AI119),AD119:AI119,0))&amp;"·"&amp;IF(MAX(AD119:AI119)&gt;=200,"高","中")&amp;IF(LARGE(AD119:AI119,2)&gt;0,"（也像"&amp;INDEX($T$4:$Y$4,MATCH(LARGE(AD119:AI119,2),AD119:AI119,0))&amp;"·"&amp;IF(LARGE(AD119:AI119,2)&gt;=200,"高","中")&amp;"）",""))))</f>
        <v/>
      </c>
      <c r="AA119" s="27" t="n"/>
      <c r="AB119" s="32" t="n"/>
      <c r="AC119" s="16" t="n"/>
      <c r="AD119" s="40">
        <f>IF(N(T119)&gt;=3,IF(T119=4,2,1)*100+T119*10+6,0)</f>
        <v>0</v>
      </c>
      <c r="AE119" s="40">
        <f>IF(N(U119)&gt;=3,1*100+U119*10+1,0)</f>
        <v>0</v>
      </c>
      <c r="AF119" s="40">
        <f>IF(N(V119)&gt;=3,IF(V119=4,2,1)*100+V119*10+2,0)</f>
        <v>0</v>
      </c>
      <c r="AG119" s="40">
        <f>IF(N(W119)&gt;=3,1*100+W119*10+3,0)</f>
        <v>0</v>
      </c>
      <c r="AH119" s="40">
        <f>IF(N(X119)&gt;=3,1*100+X119*10+4,0)</f>
        <v>0</v>
      </c>
      <c r="AI119" s="40">
        <f>IF(N(Y119)&gt;=3,IF(AND(N(T119)&gt;=3,OR(N(T119)=4,N(Y119)&lt;=N(T119))),0,IF(Y119=4,2,1)*100+Y119*10+5),0)</f>
        <v>0</v>
      </c>
    </row>
    <row r="120">
      <c r="A120" s="31" t="n"/>
      <c r="B120" s="36" t="str">
        <f>IF(ISNUMBER(A120),"周"&amp;CHOOSE(WEEKDAY(A120,2),"一","二","三","四","五","六","日"),"")</f>
        <v/>
      </c>
      <c r="C120" s="37" t="n"/>
      <c r="D120" s="37" t="n"/>
      <c r="E120" s="37" t="n"/>
      <c r="F120" s="17" t="n"/>
      <c r="G120" s="38" t="str">
        <f>IF(AND(ISNUMBER(F120),ISNUMBER(F119)),IF(F119=0,"",F120/F119-1),"")</f>
        <v/>
      </c>
      <c r="H120" s="17" t="n"/>
      <c r="I120" s="17" t="n"/>
      <c r="J120" s="17" t="n"/>
      <c r="K120" s="17" t="n"/>
      <c r="L120" s="17" t="n"/>
      <c r="M120" s="17" t="n"/>
      <c r="N120" s="39" t="str">
        <f>IF(AND(ISNUMBER(L120),ISNUMBER(M120),N(L120)&gt;0),M120/L120,"")</f>
        <v/>
      </c>
      <c r="O120" s="17" t="n"/>
      <c r="P120" s="17" t="n"/>
      <c r="Q120" s="39" t="str">
        <f>IF(AND(ISNUMBER(O120),ISNUMBER(P120),N(O120)&gt;0),P120/O120,"")</f>
        <v/>
      </c>
      <c r="R120" s="17" t="n"/>
      <c r="S120" s="37" t="n"/>
      <c r="T120" s="40" t="str">
        <f>IF(AND(ISNUMBER(J120),ISNUMBER(K120)),IF(N(ISNUMBER('参数'!$E$31))+N(ISNUMBER('参数'!$G$31))+N(ISNUMBER('参数'!$I$31))+N(ISNUMBER('参数'!$K$31))=0,"",IF(ISNUMBER('参数'!$E$31),J120&lt;='参数'!$E$31,FALSE)+IF(ISNUMBER('参数'!$G$31),K120&gt;='参数'!$G$31,FALSE)+IF(AND(ISNUMBER('参数'!$I$31),ISNUMBER(N120)),N120&gt;='参数'!$I$31,FALSE)+IF(AND(ISNUMBER('参数'!$K$31),ISNUMBER(Q120)),Q120&lt;='参数'!$K$31,FALSE)),"")</f>
        <v/>
      </c>
      <c r="U120" s="40" t="str">
        <f>IF(AND(ISNUMBER(J120),ISNUMBER(K120)),IF(N(ISNUMBER('参数'!$G$32))+N(ISNUMBER('参数'!$I$32))+N(ISNUMBER('参数'!$K$32))=0,"",IF(AND(ISNUMBER(J119),ISNUMBER(J118)),AND(J120&gt;J119,J119&gt;J118),FALSE)+IF(ISNUMBER('参数'!$G$32),J120&lt;'参数'!$G$32,FALSE)+IF(AND(ISNUMBER('参数'!$I$32),ISNUMBER(Q120)),Q120&gt;='参数'!$I$32,FALSE)+IF(AND(ISNUMBER('参数'!$K$32),ISNUMBER(S120)),S120&gt;='参数'!$K$32,FALSE)),"")</f>
        <v/>
      </c>
      <c r="V120" s="40" t="str">
        <f>IF(AND(ISNUMBER(J120),ISNUMBER(K120)),IF(N(ISNUMBER('参数'!$E$33))+N(ISNUMBER('参数'!$G$33))+N(ISNUMBER('参数'!$I$33))+N(ISNUMBER('参数'!$K$33))=0,"",IF(AND(ISNUMBER('参数'!$E$33),ISNUMBER(J119)),AND(J120&gt;='参数'!$E$33,J120&gt;J119),FALSE)+IF(AND(ISNUMBER('参数'!$G$33),ISNUMBER(N120)),N120&lt;='参数'!$G$33,FALSE)+IF(AND(ISNUMBER('参数'!$I$33),ISNUMBER(Q120)),Q120&gt;='参数'!$I$33,FALSE)+IF(AND(ISNUMBER('参数'!$K$33),ISNUMBER(S120)),S120&gt;='参数'!$K$33,FALSE)),"")</f>
        <v/>
      </c>
      <c r="W120" s="40" t="str">
        <f>IF(AND(ISNUMBER(J120),ISNUMBER(K120)),IF(N(ISNUMBER('参数'!$E$34))+N(ISNUMBER('参数'!$G$34))+N(ISNUMBER('参数'!$I$34))+N(ISNUMBER('参数'!$K$34))=0,"",IF(ISNUMBER('参数'!$E$34),J120&gt;='参数'!$E$34,FALSE)+IF(AND(ISNUMBER('参数'!$G$34),ISNUMBER(N120)),N120&lt;='参数'!$G$34,FALSE)+IF(AND(ISNUMBER('参数'!$I$34),ISNUMBER(S120)),S120&gt;='参数'!$I$34,FALSE)+IF(AND(ISNUMBER('参数'!$K$34),ISNUMBER(R120)),R120&gt;='参数'!$K$34,FALSE)),"")</f>
        <v/>
      </c>
      <c r="X120" s="40" t="str">
        <f>IF(AND(ISNUMBER(J120),ISNUMBER(K120)),IF(N(ISNUMBER('参数'!$E$35))+N(ISNUMBER('参数'!$G$35))+N(ISNUMBER('参数'!$I$35))=0,"",IF(AND(ISNUMBER('参数'!$E$35),ISNUMBER(N120),ISNUMBER(N119)),ROUND(N120-N119,6)&gt;='参数'!$E$35,FALSE)+IF(AND(ISNUMBER('参数'!$G$35),ISNUMBER(Q120),ISNUMBER(Q119)),ROUND(Q119-Q120,6)&gt;='参数'!$G$35,FALSE)+IF(AND(ISNUMBER('参数'!$I$35),ISNUMBER(S120),ISNUMBER(S119)),ROUND(S119-S120,6)&gt;='参数'!$I$35,FALSE)+IF(ISNUMBER(J119),J120&lt;J119,FALSE)),"")</f>
        <v/>
      </c>
      <c r="Y120" s="40" t="str">
        <f>IF(AND(ISNUMBER(J120),ISNUMBER(K120)),IF(N(ISNUMBER('参数'!$E$36))+N(ISNUMBER('参数'!$G$36))+N(ISNUMBER('参数'!$I$36))=0,"",IF(AND(ISNUMBER('参数'!$E$36),ISNUMBER(J119)),AND(J120&lt;='参数'!$E$36,J120&lt;J119),FALSE)+IF(ISNUMBER('参数'!$G$36),K120&gt;='参数'!$G$36,FALSE)+IF(AND(ISNUMBER('参数'!$I$36),ISNUMBER(S120)),S120&lt;'参数'!$I$36,FALSE)+IF(AND(ISNUMBER(R120),ISNUMBER(R119)),R120&lt;R119,FALSE)),"")</f>
        <v/>
      </c>
      <c r="Z120" s="41" t="str">
        <f>IF(NOT(AND(ISNUMBER(J120),ISNUMBER(K120))),"",IF(COUNT(T120:Y120)=0,"先填阈值",IF(MAX(AD120:AI120)=0,"不写",INDEX($T$4:$Y$4,MATCH(MAX(AD120:AI120),AD120:AI120,0))&amp;"·"&amp;IF(MAX(AD120:AI120)&gt;=200,"高","中")&amp;IF(LARGE(AD120:AI120,2)&gt;0,"（也像"&amp;INDEX($T$4:$Y$4,MATCH(LARGE(AD120:AI120,2),AD120:AI120,0))&amp;"·"&amp;IF(LARGE(AD120:AI120,2)&gt;=200,"高","中")&amp;"）",""))))</f>
        <v/>
      </c>
      <c r="AA120" s="27" t="n"/>
      <c r="AB120" s="32" t="n"/>
      <c r="AC120" s="16" t="n"/>
      <c r="AD120" s="40">
        <f>IF(N(T120)&gt;=3,IF(T120=4,2,1)*100+T120*10+6,0)</f>
        <v>0</v>
      </c>
      <c r="AE120" s="40">
        <f>IF(N(U120)&gt;=3,1*100+U120*10+1,0)</f>
        <v>0</v>
      </c>
      <c r="AF120" s="40">
        <f>IF(N(V120)&gt;=3,IF(V120=4,2,1)*100+V120*10+2,0)</f>
        <v>0</v>
      </c>
      <c r="AG120" s="40">
        <f>IF(N(W120)&gt;=3,1*100+W120*10+3,0)</f>
        <v>0</v>
      </c>
      <c r="AH120" s="40">
        <f>IF(N(X120)&gt;=3,1*100+X120*10+4,0)</f>
        <v>0</v>
      </c>
      <c r="AI120" s="40">
        <f>IF(N(Y120)&gt;=3,IF(AND(N(T120)&gt;=3,OR(N(T120)=4,N(Y120)&lt;=N(T120))),0,IF(Y120=4,2,1)*100+Y120*10+5),0)</f>
        <v>0</v>
      </c>
    </row>
    <row r="121">
      <c r="A121" s="31" t="n"/>
      <c r="B121" s="36" t="str">
        <f>IF(ISNUMBER(A121),"周"&amp;CHOOSE(WEEKDAY(A121,2),"一","二","三","四","五","六","日"),"")</f>
        <v/>
      </c>
      <c r="C121" s="37" t="n"/>
      <c r="D121" s="37" t="n"/>
      <c r="E121" s="37" t="n"/>
      <c r="F121" s="17" t="n"/>
      <c r="G121" s="38" t="str">
        <f>IF(AND(ISNUMBER(F121),ISNUMBER(F120)),IF(F120=0,"",F121/F120-1),"")</f>
        <v/>
      </c>
      <c r="H121" s="17" t="n"/>
      <c r="I121" s="17" t="n"/>
      <c r="J121" s="17" t="n"/>
      <c r="K121" s="17" t="n"/>
      <c r="L121" s="17" t="n"/>
      <c r="M121" s="17" t="n"/>
      <c r="N121" s="39" t="str">
        <f>IF(AND(ISNUMBER(L121),ISNUMBER(M121),N(L121)&gt;0),M121/L121,"")</f>
        <v/>
      </c>
      <c r="O121" s="17" t="n"/>
      <c r="P121" s="17" t="n"/>
      <c r="Q121" s="39" t="str">
        <f>IF(AND(ISNUMBER(O121),ISNUMBER(P121),N(O121)&gt;0),P121/O121,"")</f>
        <v/>
      </c>
      <c r="R121" s="17" t="n"/>
      <c r="S121" s="37" t="n"/>
      <c r="T121" s="40" t="str">
        <f>IF(AND(ISNUMBER(J121),ISNUMBER(K121)),IF(N(ISNUMBER('参数'!$E$31))+N(ISNUMBER('参数'!$G$31))+N(ISNUMBER('参数'!$I$31))+N(ISNUMBER('参数'!$K$31))=0,"",IF(ISNUMBER('参数'!$E$31),J121&lt;='参数'!$E$31,FALSE)+IF(ISNUMBER('参数'!$G$31),K121&gt;='参数'!$G$31,FALSE)+IF(AND(ISNUMBER('参数'!$I$31),ISNUMBER(N121)),N121&gt;='参数'!$I$31,FALSE)+IF(AND(ISNUMBER('参数'!$K$31),ISNUMBER(Q121)),Q121&lt;='参数'!$K$31,FALSE)),"")</f>
        <v/>
      </c>
      <c r="U121" s="40" t="str">
        <f>IF(AND(ISNUMBER(J121),ISNUMBER(K121)),IF(N(ISNUMBER('参数'!$G$32))+N(ISNUMBER('参数'!$I$32))+N(ISNUMBER('参数'!$K$32))=0,"",IF(AND(ISNUMBER(J120),ISNUMBER(J119)),AND(J121&gt;J120,J120&gt;J119),FALSE)+IF(ISNUMBER('参数'!$G$32),J121&lt;'参数'!$G$32,FALSE)+IF(AND(ISNUMBER('参数'!$I$32),ISNUMBER(Q121)),Q121&gt;='参数'!$I$32,FALSE)+IF(AND(ISNUMBER('参数'!$K$32),ISNUMBER(S121)),S121&gt;='参数'!$K$32,FALSE)),"")</f>
        <v/>
      </c>
      <c r="V121" s="40" t="str">
        <f>IF(AND(ISNUMBER(J121),ISNUMBER(K121)),IF(N(ISNUMBER('参数'!$E$33))+N(ISNUMBER('参数'!$G$33))+N(ISNUMBER('参数'!$I$33))+N(ISNUMBER('参数'!$K$33))=0,"",IF(AND(ISNUMBER('参数'!$E$33),ISNUMBER(J120)),AND(J121&gt;='参数'!$E$33,J121&gt;J120),FALSE)+IF(AND(ISNUMBER('参数'!$G$33),ISNUMBER(N121)),N121&lt;='参数'!$G$33,FALSE)+IF(AND(ISNUMBER('参数'!$I$33),ISNUMBER(Q121)),Q121&gt;='参数'!$I$33,FALSE)+IF(AND(ISNUMBER('参数'!$K$33),ISNUMBER(S121)),S121&gt;='参数'!$K$33,FALSE)),"")</f>
        <v/>
      </c>
      <c r="W121" s="40" t="str">
        <f>IF(AND(ISNUMBER(J121),ISNUMBER(K121)),IF(N(ISNUMBER('参数'!$E$34))+N(ISNUMBER('参数'!$G$34))+N(ISNUMBER('参数'!$I$34))+N(ISNUMBER('参数'!$K$34))=0,"",IF(ISNUMBER('参数'!$E$34),J121&gt;='参数'!$E$34,FALSE)+IF(AND(ISNUMBER('参数'!$G$34),ISNUMBER(N121)),N121&lt;='参数'!$G$34,FALSE)+IF(AND(ISNUMBER('参数'!$I$34),ISNUMBER(S121)),S121&gt;='参数'!$I$34,FALSE)+IF(AND(ISNUMBER('参数'!$K$34),ISNUMBER(R121)),R121&gt;='参数'!$K$34,FALSE)),"")</f>
        <v/>
      </c>
      <c r="X121" s="40" t="str">
        <f>IF(AND(ISNUMBER(J121),ISNUMBER(K121)),IF(N(ISNUMBER('参数'!$E$35))+N(ISNUMBER('参数'!$G$35))+N(ISNUMBER('参数'!$I$35))=0,"",IF(AND(ISNUMBER('参数'!$E$35),ISNUMBER(N121),ISNUMBER(N120)),ROUND(N121-N120,6)&gt;='参数'!$E$35,FALSE)+IF(AND(ISNUMBER('参数'!$G$35),ISNUMBER(Q121),ISNUMBER(Q120)),ROUND(Q120-Q121,6)&gt;='参数'!$G$35,FALSE)+IF(AND(ISNUMBER('参数'!$I$35),ISNUMBER(S121),ISNUMBER(S120)),ROUND(S120-S121,6)&gt;='参数'!$I$35,FALSE)+IF(ISNUMBER(J120),J121&lt;J120,FALSE)),"")</f>
        <v/>
      </c>
      <c r="Y121" s="40" t="str">
        <f>IF(AND(ISNUMBER(J121),ISNUMBER(K121)),IF(N(ISNUMBER('参数'!$E$36))+N(ISNUMBER('参数'!$G$36))+N(ISNUMBER('参数'!$I$36))=0,"",IF(AND(ISNUMBER('参数'!$E$36),ISNUMBER(J120)),AND(J121&lt;='参数'!$E$36,J121&lt;J120),FALSE)+IF(ISNUMBER('参数'!$G$36),K121&gt;='参数'!$G$36,FALSE)+IF(AND(ISNUMBER('参数'!$I$36),ISNUMBER(S121)),S121&lt;'参数'!$I$36,FALSE)+IF(AND(ISNUMBER(R121),ISNUMBER(R120)),R121&lt;R120,FALSE)),"")</f>
        <v/>
      </c>
      <c r="Z121" s="41" t="str">
        <f>IF(NOT(AND(ISNUMBER(J121),ISNUMBER(K121))),"",IF(COUNT(T121:Y121)=0,"先填阈值",IF(MAX(AD121:AI121)=0,"不写",INDEX($T$4:$Y$4,MATCH(MAX(AD121:AI121),AD121:AI121,0))&amp;"·"&amp;IF(MAX(AD121:AI121)&gt;=200,"高","中")&amp;IF(LARGE(AD121:AI121,2)&gt;0,"（也像"&amp;INDEX($T$4:$Y$4,MATCH(LARGE(AD121:AI121,2),AD121:AI121,0))&amp;"·"&amp;IF(LARGE(AD121:AI121,2)&gt;=200,"高","中")&amp;"）",""))))</f>
        <v/>
      </c>
      <c r="AA121" s="27" t="n"/>
      <c r="AB121" s="32" t="n"/>
      <c r="AC121" s="16" t="n"/>
      <c r="AD121" s="40">
        <f>IF(N(T121)&gt;=3,IF(T121=4,2,1)*100+T121*10+6,0)</f>
        <v>0</v>
      </c>
      <c r="AE121" s="40">
        <f>IF(N(U121)&gt;=3,1*100+U121*10+1,0)</f>
        <v>0</v>
      </c>
      <c r="AF121" s="40">
        <f>IF(N(V121)&gt;=3,IF(V121=4,2,1)*100+V121*10+2,0)</f>
        <v>0</v>
      </c>
      <c r="AG121" s="40">
        <f>IF(N(W121)&gt;=3,1*100+W121*10+3,0)</f>
        <v>0</v>
      </c>
      <c r="AH121" s="40">
        <f>IF(N(X121)&gt;=3,1*100+X121*10+4,0)</f>
        <v>0</v>
      </c>
      <c r="AI121" s="40">
        <f>IF(N(Y121)&gt;=3,IF(AND(N(T121)&gt;=3,OR(N(T121)=4,N(Y121)&lt;=N(T121))),0,IF(Y121=4,2,1)*100+Y121*10+5),0)</f>
        <v>0</v>
      </c>
    </row>
    <row r="122">
      <c r="A122" s="31" t="n"/>
      <c r="B122" s="36" t="str">
        <f>IF(ISNUMBER(A122),"周"&amp;CHOOSE(WEEKDAY(A122,2),"一","二","三","四","五","六","日"),"")</f>
        <v/>
      </c>
      <c r="C122" s="37" t="n"/>
      <c r="D122" s="37" t="n"/>
      <c r="E122" s="37" t="n"/>
      <c r="F122" s="17" t="n"/>
      <c r="G122" s="38" t="str">
        <f>IF(AND(ISNUMBER(F122),ISNUMBER(F121)),IF(F121=0,"",F122/F121-1),"")</f>
        <v/>
      </c>
      <c r="H122" s="17" t="n"/>
      <c r="I122" s="17" t="n"/>
      <c r="J122" s="17" t="n"/>
      <c r="K122" s="17" t="n"/>
      <c r="L122" s="17" t="n"/>
      <c r="M122" s="17" t="n"/>
      <c r="N122" s="39" t="str">
        <f>IF(AND(ISNUMBER(L122),ISNUMBER(M122),N(L122)&gt;0),M122/L122,"")</f>
        <v/>
      </c>
      <c r="O122" s="17" t="n"/>
      <c r="P122" s="17" t="n"/>
      <c r="Q122" s="39" t="str">
        <f>IF(AND(ISNUMBER(O122),ISNUMBER(P122),N(O122)&gt;0),P122/O122,"")</f>
        <v/>
      </c>
      <c r="R122" s="17" t="n"/>
      <c r="S122" s="37" t="n"/>
      <c r="T122" s="40" t="str">
        <f>IF(AND(ISNUMBER(J122),ISNUMBER(K122)),IF(N(ISNUMBER('参数'!$E$31))+N(ISNUMBER('参数'!$G$31))+N(ISNUMBER('参数'!$I$31))+N(ISNUMBER('参数'!$K$31))=0,"",IF(ISNUMBER('参数'!$E$31),J122&lt;='参数'!$E$31,FALSE)+IF(ISNUMBER('参数'!$G$31),K122&gt;='参数'!$G$31,FALSE)+IF(AND(ISNUMBER('参数'!$I$31),ISNUMBER(N122)),N122&gt;='参数'!$I$31,FALSE)+IF(AND(ISNUMBER('参数'!$K$31),ISNUMBER(Q122)),Q122&lt;='参数'!$K$31,FALSE)),"")</f>
        <v/>
      </c>
      <c r="U122" s="40" t="str">
        <f>IF(AND(ISNUMBER(J122),ISNUMBER(K122)),IF(N(ISNUMBER('参数'!$G$32))+N(ISNUMBER('参数'!$I$32))+N(ISNUMBER('参数'!$K$32))=0,"",IF(AND(ISNUMBER(J121),ISNUMBER(J120)),AND(J122&gt;J121,J121&gt;J120),FALSE)+IF(ISNUMBER('参数'!$G$32),J122&lt;'参数'!$G$32,FALSE)+IF(AND(ISNUMBER('参数'!$I$32),ISNUMBER(Q122)),Q122&gt;='参数'!$I$32,FALSE)+IF(AND(ISNUMBER('参数'!$K$32),ISNUMBER(S122)),S122&gt;='参数'!$K$32,FALSE)),"")</f>
        <v/>
      </c>
      <c r="V122" s="40" t="str">
        <f>IF(AND(ISNUMBER(J122),ISNUMBER(K122)),IF(N(ISNUMBER('参数'!$E$33))+N(ISNUMBER('参数'!$G$33))+N(ISNUMBER('参数'!$I$33))+N(ISNUMBER('参数'!$K$33))=0,"",IF(AND(ISNUMBER('参数'!$E$33),ISNUMBER(J121)),AND(J122&gt;='参数'!$E$33,J122&gt;J121),FALSE)+IF(AND(ISNUMBER('参数'!$G$33),ISNUMBER(N122)),N122&lt;='参数'!$G$33,FALSE)+IF(AND(ISNUMBER('参数'!$I$33),ISNUMBER(Q122)),Q122&gt;='参数'!$I$33,FALSE)+IF(AND(ISNUMBER('参数'!$K$33),ISNUMBER(S122)),S122&gt;='参数'!$K$33,FALSE)),"")</f>
        <v/>
      </c>
      <c r="W122" s="40" t="str">
        <f>IF(AND(ISNUMBER(J122),ISNUMBER(K122)),IF(N(ISNUMBER('参数'!$E$34))+N(ISNUMBER('参数'!$G$34))+N(ISNUMBER('参数'!$I$34))+N(ISNUMBER('参数'!$K$34))=0,"",IF(ISNUMBER('参数'!$E$34),J122&gt;='参数'!$E$34,FALSE)+IF(AND(ISNUMBER('参数'!$G$34),ISNUMBER(N122)),N122&lt;='参数'!$G$34,FALSE)+IF(AND(ISNUMBER('参数'!$I$34),ISNUMBER(S122)),S122&gt;='参数'!$I$34,FALSE)+IF(AND(ISNUMBER('参数'!$K$34),ISNUMBER(R122)),R122&gt;='参数'!$K$34,FALSE)),"")</f>
        <v/>
      </c>
      <c r="X122" s="40" t="str">
        <f>IF(AND(ISNUMBER(J122),ISNUMBER(K122)),IF(N(ISNUMBER('参数'!$E$35))+N(ISNUMBER('参数'!$G$35))+N(ISNUMBER('参数'!$I$35))=0,"",IF(AND(ISNUMBER('参数'!$E$35),ISNUMBER(N122),ISNUMBER(N121)),ROUND(N122-N121,6)&gt;='参数'!$E$35,FALSE)+IF(AND(ISNUMBER('参数'!$G$35),ISNUMBER(Q122),ISNUMBER(Q121)),ROUND(Q121-Q122,6)&gt;='参数'!$G$35,FALSE)+IF(AND(ISNUMBER('参数'!$I$35),ISNUMBER(S122),ISNUMBER(S121)),ROUND(S121-S122,6)&gt;='参数'!$I$35,FALSE)+IF(ISNUMBER(J121),J122&lt;J121,FALSE)),"")</f>
        <v/>
      </c>
      <c r="Y122" s="40" t="str">
        <f>IF(AND(ISNUMBER(J122),ISNUMBER(K122)),IF(N(ISNUMBER('参数'!$E$36))+N(ISNUMBER('参数'!$G$36))+N(ISNUMBER('参数'!$I$36))=0,"",IF(AND(ISNUMBER('参数'!$E$36),ISNUMBER(J121)),AND(J122&lt;='参数'!$E$36,J122&lt;J121),FALSE)+IF(ISNUMBER('参数'!$G$36),K122&gt;='参数'!$G$36,FALSE)+IF(AND(ISNUMBER('参数'!$I$36),ISNUMBER(S122)),S122&lt;'参数'!$I$36,FALSE)+IF(AND(ISNUMBER(R122),ISNUMBER(R121)),R122&lt;R121,FALSE)),"")</f>
        <v/>
      </c>
      <c r="Z122" s="41" t="str">
        <f>IF(NOT(AND(ISNUMBER(J122),ISNUMBER(K122))),"",IF(COUNT(T122:Y122)=0,"先填阈值",IF(MAX(AD122:AI122)=0,"不写",INDEX($T$4:$Y$4,MATCH(MAX(AD122:AI122),AD122:AI122,0))&amp;"·"&amp;IF(MAX(AD122:AI122)&gt;=200,"高","中")&amp;IF(LARGE(AD122:AI122,2)&gt;0,"（也像"&amp;INDEX($T$4:$Y$4,MATCH(LARGE(AD122:AI122,2),AD122:AI122,0))&amp;"·"&amp;IF(LARGE(AD122:AI122,2)&gt;=200,"高","中")&amp;"）",""))))</f>
        <v/>
      </c>
      <c r="AA122" s="27" t="n"/>
      <c r="AB122" s="32" t="n"/>
      <c r="AC122" s="16" t="n"/>
      <c r="AD122" s="40">
        <f>IF(N(T122)&gt;=3,IF(T122=4,2,1)*100+T122*10+6,0)</f>
        <v>0</v>
      </c>
      <c r="AE122" s="40">
        <f>IF(N(U122)&gt;=3,1*100+U122*10+1,0)</f>
        <v>0</v>
      </c>
      <c r="AF122" s="40">
        <f>IF(N(V122)&gt;=3,IF(V122=4,2,1)*100+V122*10+2,0)</f>
        <v>0</v>
      </c>
      <c r="AG122" s="40">
        <f>IF(N(W122)&gt;=3,1*100+W122*10+3,0)</f>
        <v>0</v>
      </c>
      <c r="AH122" s="40">
        <f>IF(N(X122)&gt;=3,1*100+X122*10+4,0)</f>
        <v>0</v>
      </c>
      <c r="AI122" s="40">
        <f>IF(N(Y122)&gt;=3,IF(AND(N(T122)&gt;=3,OR(N(T122)=4,N(Y122)&lt;=N(T122))),0,IF(Y122=4,2,1)*100+Y122*10+5),0)</f>
        <v>0</v>
      </c>
    </row>
    <row r="123">
      <c r="A123" s="31" t="n"/>
      <c r="B123" s="36" t="str">
        <f>IF(ISNUMBER(A123),"周"&amp;CHOOSE(WEEKDAY(A123,2),"一","二","三","四","五","六","日"),"")</f>
        <v/>
      </c>
      <c r="C123" s="37" t="n"/>
      <c r="D123" s="37" t="n"/>
      <c r="E123" s="37" t="n"/>
      <c r="F123" s="17" t="n"/>
      <c r="G123" s="38" t="str">
        <f>IF(AND(ISNUMBER(F123),ISNUMBER(F122)),IF(F122=0,"",F123/F122-1),"")</f>
        <v/>
      </c>
      <c r="H123" s="17" t="n"/>
      <c r="I123" s="17" t="n"/>
      <c r="J123" s="17" t="n"/>
      <c r="K123" s="17" t="n"/>
      <c r="L123" s="17" t="n"/>
      <c r="M123" s="17" t="n"/>
      <c r="N123" s="39" t="str">
        <f>IF(AND(ISNUMBER(L123),ISNUMBER(M123),N(L123)&gt;0),M123/L123,"")</f>
        <v/>
      </c>
      <c r="O123" s="17" t="n"/>
      <c r="P123" s="17" t="n"/>
      <c r="Q123" s="39" t="str">
        <f>IF(AND(ISNUMBER(O123),ISNUMBER(P123),N(O123)&gt;0),P123/O123,"")</f>
        <v/>
      </c>
      <c r="R123" s="17" t="n"/>
      <c r="S123" s="37" t="n"/>
      <c r="T123" s="40" t="str">
        <f>IF(AND(ISNUMBER(J123),ISNUMBER(K123)),IF(N(ISNUMBER('参数'!$E$31))+N(ISNUMBER('参数'!$G$31))+N(ISNUMBER('参数'!$I$31))+N(ISNUMBER('参数'!$K$31))=0,"",IF(ISNUMBER('参数'!$E$31),J123&lt;='参数'!$E$31,FALSE)+IF(ISNUMBER('参数'!$G$31),K123&gt;='参数'!$G$31,FALSE)+IF(AND(ISNUMBER('参数'!$I$31),ISNUMBER(N123)),N123&gt;='参数'!$I$31,FALSE)+IF(AND(ISNUMBER('参数'!$K$31),ISNUMBER(Q123)),Q123&lt;='参数'!$K$31,FALSE)),"")</f>
        <v/>
      </c>
      <c r="U123" s="40" t="str">
        <f>IF(AND(ISNUMBER(J123),ISNUMBER(K123)),IF(N(ISNUMBER('参数'!$G$32))+N(ISNUMBER('参数'!$I$32))+N(ISNUMBER('参数'!$K$32))=0,"",IF(AND(ISNUMBER(J122),ISNUMBER(J121)),AND(J123&gt;J122,J122&gt;J121),FALSE)+IF(ISNUMBER('参数'!$G$32),J123&lt;'参数'!$G$32,FALSE)+IF(AND(ISNUMBER('参数'!$I$32),ISNUMBER(Q123)),Q123&gt;='参数'!$I$32,FALSE)+IF(AND(ISNUMBER('参数'!$K$32),ISNUMBER(S123)),S123&gt;='参数'!$K$32,FALSE)),"")</f>
        <v/>
      </c>
      <c r="V123" s="40" t="str">
        <f>IF(AND(ISNUMBER(J123),ISNUMBER(K123)),IF(N(ISNUMBER('参数'!$E$33))+N(ISNUMBER('参数'!$G$33))+N(ISNUMBER('参数'!$I$33))+N(ISNUMBER('参数'!$K$33))=0,"",IF(AND(ISNUMBER('参数'!$E$33),ISNUMBER(J122)),AND(J123&gt;='参数'!$E$33,J123&gt;J122),FALSE)+IF(AND(ISNUMBER('参数'!$G$33),ISNUMBER(N123)),N123&lt;='参数'!$G$33,FALSE)+IF(AND(ISNUMBER('参数'!$I$33),ISNUMBER(Q123)),Q123&gt;='参数'!$I$33,FALSE)+IF(AND(ISNUMBER('参数'!$K$33),ISNUMBER(S123)),S123&gt;='参数'!$K$33,FALSE)),"")</f>
        <v/>
      </c>
      <c r="W123" s="40" t="str">
        <f>IF(AND(ISNUMBER(J123),ISNUMBER(K123)),IF(N(ISNUMBER('参数'!$E$34))+N(ISNUMBER('参数'!$G$34))+N(ISNUMBER('参数'!$I$34))+N(ISNUMBER('参数'!$K$34))=0,"",IF(ISNUMBER('参数'!$E$34),J123&gt;='参数'!$E$34,FALSE)+IF(AND(ISNUMBER('参数'!$G$34),ISNUMBER(N123)),N123&lt;='参数'!$G$34,FALSE)+IF(AND(ISNUMBER('参数'!$I$34),ISNUMBER(S123)),S123&gt;='参数'!$I$34,FALSE)+IF(AND(ISNUMBER('参数'!$K$34),ISNUMBER(R123)),R123&gt;='参数'!$K$34,FALSE)),"")</f>
        <v/>
      </c>
      <c r="X123" s="40" t="str">
        <f>IF(AND(ISNUMBER(J123),ISNUMBER(K123)),IF(N(ISNUMBER('参数'!$E$35))+N(ISNUMBER('参数'!$G$35))+N(ISNUMBER('参数'!$I$35))=0,"",IF(AND(ISNUMBER('参数'!$E$35),ISNUMBER(N123),ISNUMBER(N122)),ROUND(N123-N122,6)&gt;='参数'!$E$35,FALSE)+IF(AND(ISNUMBER('参数'!$G$35),ISNUMBER(Q123),ISNUMBER(Q122)),ROUND(Q122-Q123,6)&gt;='参数'!$G$35,FALSE)+IF(AND(ISNUMBER('参数'!$I$35),ISNUMBER(S123),ISNUMBER(S122)),ROUND(S122-S123,6)&gt;='参数'!$I$35,FALSE)+IF(ISNUMBER(J122),J123&lt;J122,FALSE)),"")</f>
        <v/>
      </c>
      <c r="Y123" s="40" t="str">
        <f>IF(AND(ISNUMBER(J123),ISNUMBER(K123)),IF(N(ISNUMBER('参数'!$E$36))+N(ISNUMBER('参数'!$G$36))+N(ISNUMBER('参数'!$I$36))=0,"",IF(AND(ISNUMBER('参数'!$E$36),ISNUMBER(J122)),AND(J123&lt;='参数'!$E$36,J123&lt;J122),FALSE)+IF(ISNUMBER('参数'!$G$36),K123&gt;='参数'!$G$36,FALSE)+IF(AND(ISNUMBER('参数'!$I$36),ISNUMBER(S123)),S123&lt;'参数'!$I$36,FALSE)+IF(AND(ISNUMBER(R123),ISNUMBER(R122)),R123&lt;R122,FALSE)),"")</f>
        <v/>
      </c>
      <c r="Z123" s="41" t="str">
        <f>IF(NOT(AND(ISNUMBER(J123),ISNUMBER(K123))),"",IF(COUNT(T123:Y123)=0,"先填阈值",IF(MAX(AD123:AI123)=0,"不写",INDEX($T$4:$Y$4,MATCH(MAX(AD123:AI123),AD123:AI123,0))&amp;"·"&amp;IF(MAX(AD123:AI123)&gt;=200,"高","中")&amp;IF(LARGE(AD123:AI123,2)&gt;0,"（也像"&amp;INDEX($T$4:$Y$4,MATCH(LARGE(AD123:AI123,2),AD123:AI123,0))&amp;"·"&amp;IF(LARGE(AD123:AI123,2)&gt;=200,"高","中")&amp;"）",""))))</f>
        <v/>
      </c>
      <c r="AA123" s="27" t="n"/>
      <c r="AB123" s="32" t="n"/>
      <c r="AC123" s="16" t="n"/>
      <c r="AD123" s="40">
        <f>IF(N(T123)&gt;=3,IF(T123=4,2,1)*100+T123*10+6,0)</f>
        <v>0</v>
      </c>
      <c r="AE123" s="40">
        <f>IF(N(U123)&gt;=3,1*100+U123*10+1,0)</f>
        <v>0</v>
      </c>
      <c r="AF123" s="40">
        <f>IF(N(V123)&gt;=3,IF(V123=4,2,1)*100+V123*10+2,0)</f>
        <v>0</v>
      </c>
      <c r="AG123" s="40">
        <f>IF(N(W123)&gt;=3,1*100+W123*10+3,0)</f>
        <v>0</v>
      </c>
      <c r="AH123" s="40">
        <f>IF(N(X123)&gt;=3,1*100+X123*10+4,0)</f>
        <v>0</v>
      </c>
      <c r="AI123" s="40">
        <f>IF(N(Y123)&gt;=3,IF(AND(N(T123)&gt;=3,OR(N(T123)=4,N(Y123)&lt;=N(T123))),0,IF(Y123=4,2,1)*100+Y123*10+5),0)</f>
        <v>0</v>
      </c>
    </row>
    <row r="124">
      <c r="A124" s="31" t="n"/>
      <c r="B124" s="36" t="str">
        <f>IF(ISNUMBER(A124),"周"&amp;CHOOSE(WEEKDAY(A124,2),"一","二","三","四","五","六","日"),"")</f>
        <v/>
      </c>
      <c r="C124" s="37" t="n"/>
      <c r="D124" s="37" t="n"/>
      <c r="E124" s="37" t="n"/>
      <c r="F124" s="17" t="n"/>
      <c r="G124" s="38" t="str">
        <f>IF(AND(ISNUMBER(F124),ISNUMBER(F123)),IF(F123=0,"",F124/F123-1),"")</f>
        <v/>
      </c>
      <c r="H124" s="17" t="n"/>
      <c r="I124" s="17" t="n"/>
      <c r="J124" s="17" t="n"/>
      <c r="K124" s="17" t="n"/>
      <c r="L124" s="17" t="n"/>
      <c r="M124" s="17" t="n"/>
      <c r="N124" s="39" t="str">
        <f>IF(AND(ISNUMBER(L124),ISNUMBER(M124),N(L124)&gt;0),M124/L124,"")</f>
        <v/>
      </c>
      <c r="O124" s="17" t="n"/>
      <c r="P124" s="17" t="n"/>
      <c r="Q124" s="39" t="str">
        <f>IF(AND(ISNUMBER(O124),ISNUMBER(P124),N(O124)&gt;0),P124/O124,"")</f>
        <v/>
      </c>
      <c r="R124" s="17" t="n"/>
      <c r="S124" s="37" t="n"/>
      <c r="T124" s="40" t="str">
        <f>IF(AND(ISNUMBER(J124),ISNUMBER(K124)),IF(N(ISNUMBER('参数'!$E$31))+N(ISNUMBER('参数'!$G$31))+N(ISNUMBER('参数'!$I$31))+N(ISNUMBER('参数'!$K$31))=0,"",IF(ISNUMBER('参数'!$E$31),J124&lt;='参数'!$E$31,FALSE)+IF(ISNUMBER('参数'!$G$31),K124&gt;='参数'!$G$31,FALSE)+IF(AND(ISNUMBER('参数'!$I$31),ISNUMBER(N124)),N124&gt;='参数'!$I$31,FALSE)+IF(AND(ISNUMBER('参数'!$K$31),ISNUMBER(Q124)),Q124&lt;='参数'!$K$31,FALSE)),"")</f>
        <v/>
      </c>
      <c r="U124" s="40" t="str">
        <f>IF(AND(ISNUMBER(J124),ISNUMBER(K124)),IF(N(ISNUMBER('参数'!$G$32))+N(ISNUMBER('参数'!$I$32))+N(ISNUMBER('参数'!$K$32))=0,"",IF(AND(ISNUMBER(J123),ISNUMBER(J122)),AND(J124&gt;J123,J123&gt;J122),FALSE)+IF(ISNUMBER('参数'!$G$32),J124&lt;'参数'!$G$32,FALSE)+IF(AND(ISNUMBER('参数'!$I$32),ISNUMBER(Q124)),Q124&gt;='参数'!$I$32,FALSE)+IF(AND(ISNUMBER('参数'!$K$32),ISNUMBER(S124)),S124&gt;='参数'!$K$32,FALSE)),"")</f>
        <v/>
      </c>
      <c r="V124" s="40" t="str">
        <f>IF(AND(ISNUMBER(J124),ISNUMBER(K124)),IF(N(ISNUMBER('参数'!$E$33))+N(ISNUMBER('参数'!$G$33))+N(ISNUMBER('参数'!$I$33))+N(ISNUMBER('参数'!$K$33))=0,"",IF(AND(ISNUMBER('参数'!$E$33),ISNUMBER(J123)),AND(J124&gt;='参数'!$E$33,J124&gt;J123),FALSE)+IF(AND(ISNUMBER('参数'!$G$33),ISNUMBER(N124)),N124&lt;='参数'!$G$33,FALSE)+IF(AND(ISNUMBER('参数'!$I$33),ISNUMBER(Q124)),Q124&gt;='参数'!$I$33,FALSE)+IF(AND(ISNUMBER('参数'!$K$33),ISNUMBER(S124)),S124&gt;='参数'!$K$33,FALSE)),"")</f>
        <v/>
      </c>
      <c r="W124" s="40" t="str">
        <f>IF(AND(ISNUMBER(J124),ISNUMBER(K124)),IF(N(ISNUMBER('参数'!$E$34))+N(ISNUMBER('参数'!$G$34))+N(ISNUMBER('参数'!$I$34))+N(ISNUMBER('参数'!$K$34))=0,"",IF(ISNUMBER('参数'!$E$34),J124&gt;='参数'!$E$34,FALSE)+IF(AND(ISNUMBER('参数'!$G$34),ISNUMBER(N124)),N124&lt;='参数'!$G$34,FALSE)+IF(AND(ISNUMBER('参数'!$I$34),ISNUMBER(S124)),S124&gt;='参数'!$I$34,FALSE)+IF(AND(ISNUMBER('参数'!$K$34),ISNUMBER(R124)),R124&gt;='参数'!$K$34,FALSE)),"")</f>
        <v/>
      </c>
      <c r="X124" s="40" t="str">
        <f>IF(AND(ISNUMBER(J124),ISNUMBER(K124)),IF(N(ISNUMBER('参数'!$E$35))+N(ISNUMBER('参数'!$G$35))+N(ISNUMBER('参数'!$I$35))=0,"",IF(AND(ISNUMBER('参数'!$E$35),ISNUMBER(N124),ISNUMBER(N123)),ROUND(N124-N123,6)&gt;='参数'!$E$35,FALSE)+IF(AND(ISNUMBER('参数'!$G$35),ISNUMBER(Q124),ISNUMBER(Q123)),ROUND(Q123-Q124,6)&gt;='参数'!$G$35,FALSE)+IF(AND(ISNUMBER('参数'!$I$35),ISNUMBER(S124),ISNUMBER(S123)),ROUND(S123-S124,6)&gt;='参数'!$I$35,FALSE)+IF(ISNUMBER(J123),J124&lt;J123,FALSE)),"")</f>
        <v/>
      </c>
      <c r="Y124" s="40" t="str">
        <f>IF(AND(ISNUMBER(J124),ISNUMBER(K124)),IF(N(ISNUMBER('参数'!$E$36))+N(ISNUMBER('参数'!$G$36))+N(ISNUMBER('参数'!$I$36))=0,"",IF(AND(ISNUMBER('参数'!$E$36),ISNUMBER(J123)),AND(J124&lt;='参数'!$E$36,J124&lt;J123),FALSE)+IF(ISNUMBER('参数'!$G$36),K124&gt;='参数'!$G$36,FALSE)+IF(AND(ISNUMBER('参数'!$I$36),ISNUMBER(S124)),S124&lt;'参数'!$I$36,FALSE)+IF(AND(ISNUMBER(R124),ISNUMBER(R123)),R124&lt;R123,FALSE)),"")</f>
        <v/>
      </c>
      <c r="Z124" s="41" t="str">
        <f>IF(NOT(AND(ISNUMBER(J124),ISNUMBER(K124))),"",IF(COUNT(T124:Y124)=0,"先填阈值",IF(MAX(AD124:AI124)=0,"不写",INDEX($T$4:$Y$4,MATCH(MAX(AD124:AI124),AD124:AI124,0))&amp;"·"&amp;IF(MAX(AD124:AI124)&gt;=200,"高","中")&amp;IF(LARGE(AD124:AI124,2)&gt;0,"（也像"&amp;INDEX($T$4:$Y$4,MATCH(LARGE(AD124:AI124,2),AD124:AI124,0))&amp;"·"&amp;IF(LARGE(AD124:AI124,2)&gt;=200,"高","中")&amp;"）",""))))</f>
        <v/>
      </c>
      <c r="AA124" s="27" t="n"/>
      <c r="AB124" s="32" t="n"/>
      <c r="AC124" s="16" t="n"/>
      <c r="AD124" s="40">
        <f>IF(N(T124)&gt;=3,IF(T124=4,2,1)*100+T124*10+6,0)</f>
        <v>0</v>
      </c>
      <c r="AE124" s="40">
        <f>IF(N(U124)&gt;=3,1*100+U124*10+1,0)</f>
        <v>0</v>
      </c>
      <c r="AF124" s="40">
        <f>IF(N(V124)&gt;=3,IF(V124=4,2,1)*100+V124*10+2,0)</f>
        <v>0</v>
      </c>
      <c r="AG124" s="40">
        <f>IF(N(W124)&gt;=3,1*100+W124*10+3,0)</f>
        <v>0</v>
      </c>
      <c r="AH124" s="40">
        <f>IF(N(X124)&gt;=3,1*100+X124*10+4,0)</f>
        <v>0</v>
      </c>
      <c r="AI124" s="40">
        <f>IF(N(Y124)&gt;=3,IF(AND(N(T124)&gt;=3,OR(N(T124)=4,N(Y124)&lt;=N(T124))),0,IF(Y124=4,2,1)*100+Y124*10+5),0)</f>
        <v>0</v>
      </c>
    </row>
    <row r="125">
      <c r="A125" s="31" t="n"/>
      <c r="B125" s="36" t="str">
        <f>IF(ISNUMBER(A125),"周"&amp;CHOOSE(WEEKDAY(A125,2),"一","二","三","四","五","六","日"),"")</f>
        <v/>
      </c>
      <c r="C125" s="37" t="n"/>
      <c r="D125" s="37" t="n"/>
      <c r="E125" s="37" t="n"/>
      <c r="F125" s="17" t="n"/>
      <c r="G125" s="38" t="str">
        <f>IF(AND(ISNUMBER(F125),ISNUMBER(F124)),IF(F124=0,"",F125/F124-1),"")</f>
        <v/>
      </c>
      <c r="H125" s="17" t="n"/>
      <c r="I125" s="17" t="n"/>
      <c r="J125" s="17" t="n"/>
      <c r="K125" s="17" t="n"/>
      <c r="L125" s="17" t="n"/>
      <c r="M125" s="17" t="n"/>
      <c r="N125" s="39" t="str">
        <f>IF(AND(ISNUMBER(L125),ISNUMBER(M125),N(L125)&gt;0),M125/L125,"")</f>
        <v/>
      </c>
      <c r="O125" s="17" t="n"/>
      <c r="P125" s="17" t="n"/>
      <c r="Q125" s="39" t="str">
        <f>IF(AND(ISNUMBER(O125),ISNUMBER(P125),N(O125)&gt;0),P125/O125,"")</f>
        <v/>
      </c>
      <c r="R125" s="17" t="n"/>
      <c r="S125" s="37" t="n"/>
      <c r="T125" s="40" t="str">
        <f>IF(AND(ISNUMBER(J125),ISNUMBER(K125)),IF(N(ISNUMBER('参数'!$E$31))+N(ISNUMBER('参数'!$G$31))+N(ISNUMBER('参数'!$I$31))+N(ISNUMBER('参数'!$K$31))=0,"",IF(ISNUMBER('参数'!$E$31),J125&lt;='参数'!$E$31,FALSE)+IF(ISNUMBER('参数'!$G$31),K125&gt;='参数'!$G$31,FALSE)+IF(AND(ISNUMBER('参数'!$I$31),ISNUMBER(N125)),N125&gt;='参数'!$I$31,FALSE)+IF(AND(ISNUMBER('参数'!$K$31),ISNUMBER(Q125)),Q125&lt;='参数'!$K$31,FALSE)),"")</f>
        <v/>
      </c>
      <c r="U125" s="40" t="str">
        <f>IF(AND(ISNUMBER(J125),ISNUMBER(K125)),IF(N(ISNUMBER('参数'!$G$32))+N(ISNUMBER('参数'!$I$32))+N(ISNUMBER('参数'!$K$32))=0,"",IF(AND(ISNUMBER(J124),ISNUMBER(J123)),AND(J125&gt;J124,J124&gt;J123),FALSE)+IF(ISNUMBER('参数'!$G$32),J125&lt;'参数'!$G$32,FALSE)+IF(AND(ISNUMBER('参数'!$I$32),ISNUMBER(Q125)),Q125&gt;='参数'!$I$32,FALSE)+IF(AND(ISNUMBER('参数'!$K$32),ISNUMBER(S125)),S125&gt;='参数'!$K$32,FALSE)),"")</f>
        <v/>
      </c>
      <c r="V125" s="40" t="str">
        <f>IF(AND(ISNUMBER(J125),ISNUMBER(K125)),IF(N(ISNUMBER('参数'!$E$33))+N(ISNUMBER('参数'!$G$33))+N(ISNUMBER('参数'!$I$33))+N(ISNUMBER('参数'!$K$33))=0,"",IF(AND(ISNUMBER('参数'!$E$33),ISNUMBER(J124)),AND(J125&gt;='参数'!$E$33,J125&gt;J124),FALSE)+IF(AND(ISNUMBER('参数'!$G$33),ISNUMBER(N125)),N125&lt;='参数'!$G$33,FALSE)+IF(AND(ISNUMBER('参数'!$I$33),ISNUMBER(Q125)),Q125&gt;='参数'!$I$33,FALSE)+IF(AND(ISNUMBER('参数'!$K$33),ISNUMBER(S125)),S125&gt;='参数'!$K$33,FALSE)),"")</f>
        <v/>
      </c>
      <c r="W125" s="40" t="str">
        <f>IF(AND(ISNUMBER(J125),ISNUMBER(K125)),IF(N(ISNUMBER('参数'!$E$34))+N(ISNUMBER('参数'!$G$34))+N(ISNUMBER('参数'!$I$34))+N(ISNUMBER('参数'!$K$34))=0,"",IF(ISNUMBER('参数'!$E$34),J125&gt;='参数'!$E$34,FALSE)+IF(AND(ISNUMBER('参数'!$G$34),ISNUMBER(N125)),N125&lt;='参数'!$G$34,FALSE)+IF(AND(ISNUMBER('参数'!$I$34),ISNUMBER(S125)),S125&gt;='参数'!$I$34,FALSE)+IF(AND(ISNUMBER('参数'!$K$34),ISNUMBER(R125)),R125&gt;='参数'!$K$34,FALSE)),"")</f>
        <v/>
      </c>
      <c r="X125" s="40" t="str">
        <f>IF(AND(ISNUMBER(J125),ISNUMBER(K125)),IF(N(ISNUMBER('参数'!$E$35))+N(ISNUMBER('参数'!$G$35))+N(ISNUMBER('参数'!$I$35))=0,"",IF(AND(ISNUMBER('参数'!$E$35),ISNUMBER(N125),ISNUMBER(N124)),ROUND(N125-N124,6)&gt;='参数'!$E$35,FALSE)+IF(AND(ISNUMBER('参数'!$G$35),ISNUMBER(Q125),ISNUMBER(Q124)),ROUND(Q124-Q125,6)&gt;='参数'!$G$35,FALSE)+IF(AND(ISNUMBER('参数'!$I$35),ISNUMBER(S125),ISNUMBER(S124)),ROUND(S124-S125,6)&gt;='参数'!$I$35,FALSE)+IF(ISNUMBER(J124),J125&lt;J124,FALSE)),"")</f>
        <v/>
      </c>
      <c r="Y125" s="40" t="str">
        <f>IF(AND(ISNUMBER(J125),ISNUMBER(K125)),IF(N(ISNUMBER('参数'!$E$36))+N(ISNUMBER('参数'!$G$36))+N(ISNUMBER('参数'!$I$36))=0,"",IF(AND(ISNUMBER('参数'!$E$36),ISNUMBER(J124)),AND(J125&lt;='参数'!$E$36,J125&lt;J124),FALSE)+IF(ISNUMBER('参数'!$G$36),K125&gt;='参数'!$G$36,FALSE)+IF(AND(ISNUMBER('参数'!$I$36),ISNUMBER(S125)),S125&lt;'参数'!$I$36,FALSE)+IF(AND(ISNUMBER(R125),ISNUMBER(R124)),R125&lt;R124,FALSE)),"")</f>
        <v/>
      </c>
      <c r="Z125" s="41" t="str">
        <f>IF(NOT(AND(ISNUMBER(J125),ISNUMBER(K125))),"",IF(COUNT(T125:Y125)=0,"先填阈值",IF(MAX(AD125:AI125)=0,"不写",INDEX($T$4:$Y$4,MATCH(MAX(AD125:AI125),AD125:AI125,0))&amp;"·"&amp;IF(MAX(AD125:AI125)&gt;=200,"高","中")&amp;IF(LARGE(AD125:AI125,2)&gt;0,"（也像"&amp;INDEX($T$4:$Y$4,MATCH(LARGE(AD125:AI125,2),AD125:AI125,0))&amp;"·"&amp;IF(LARGE(AD125:AI125,2)&gt;=200,"高","中")&amp;"）",""))))</f>
        <v/>
      </c>
      <c r="AA125" s="27" t="n"/>
      <c r="AB125" s="32" t="n"/>
      <c r="AC125" s="16" t="n"/>
      <c r="AD125" s="40">
        <f>IF(N(T125)&gt;=3,IF(T125=4,2,1)*100+T125*10+6,0)</f>
        <v>0</v>
      </c>
      <c r="AE125" s="40">
        <f>IF(N(U125)&gt;=3,1*100+U125*10+1,0)</f>
        <v>0</v>
      </c>
      <c r="AF125" s="40">
        <f>IF(N(V125)&gt;=3,IF(V125=4,2,1)*100+V125*10+2,0)</f>
        <v>0</v>
      </c>
      <c r="AG125" s="40">
        <f>IF(N(W125)&gt;=3,1*100+W125*10+3,0)</f>
        <v>0</v>
      </c>
      <c r="AH125" s="40">
        <f>IF(N(X125)&gt;=3,1*100+X125*10+4,0)</f>
        <v>0</v>
      </c>
      <c r="AI125" s="40">
        <f>IF(N(Y125)&gt;=3,IF(AND(N(T125)&gt;=3,OR(N(T125)=4,N(Y125)&lt;=N(T125))),0,IF(Y125=4,2,1)*100+Y125*10+5),0)</f>
        <v>0</v>
      </c>
    </row>
    <row r="126">
      <c r="A126" s="31" t="n"/>
      <c r="B126" s="36" t="str">
        <f>IF(ISNUMBER(A126),"周"&amp;CHOOSE(WEEKDAY(A126,2),"一","二","三","四","五","六","日"),"")</f>
        <v/>
      </c>
      <c r="C126" s="37" t="n"/>
      <c r="D126" s="37" t="n"/>
      <c r="E126" s="37" t="n"/>
      <c r="F126" s="17" t="n"/>
      <c r="G126" s="38" t="str">
        <f>IF(AND(ISNUMBER(F126),ISNUMBER(F125)),IF(F125=0,"",F126/F125-1),"")</f>
        <v/>
      </c>
      <c r="H126" s="17" t="n"/>
      <c r="I126" s="17" t="n"/>
      <c r="J126" s="17" t="n"/>
      <c r="K126" s="17" t="n"/>
      <c r="L126" s="17" t="n"/>
      <c r="M126" s="17" t="n"/>
      <c r="N126" s="39" t="str">
        <f>IF(AND(ISNUMBER(L126),ISNUMBER(M126),N(L126)&gt;0),M126/L126,"")</f>
        <v/>
      </c>
      <c r="O126" s="17" t="n"/>
      <c r="P126" s="17" t="n"/>
      <c r="Q126" s="39" t="str">
        <f>IF(AND(ISNUMBER(O126),ISNUMBER(P126),N(O126)&gt;0),P126/O126,"")</f>
        <v/>
      </c>
      <c r="R126" s="17" t="n"/>
      <c r="S126" s="37" t="n"/>
      <c r="T126" s="40" t="str">
        <f>IF(AND(ISNUMBER(J126),ISNUMBER(K126)),IF(N(ISNUMBER('参数'!$E$31))+N(ISNUMBER('参数'!$G$31))+N(ISNUMBER('参数'!$I$31))+N(ISNUMBER('参数'!$K$31))=0,"",IF(ISNUMBER('参数'!$E$31),J126&lt;='参数'!$E$31,FALSE)+IF(ISNUMBER('参数'!$G$31),K126&gt;='参数'!$G$31,FALSE)+IF(AND(ISNUMBER('参数'!$I$31),ISNUMBER(N126)),N126&gt;='参数'!$I$31,FALSE)+IF(AND(ISNUMBER('参数'!$K$31),ISNUMBER(Q126)),Q126&lt;='参数'!$K$31,FALSE)),"")</f>
        <v/>
      </c>
      <c r="U126" s="40" t="str">
        <f>IF(AND(ISNUMBER(J126),ISNUMBER(K126)),IF(N(ISNUMBER('参数'!$G$32))+N(ISNUMBER('参数'!$I$32))+N(ISNUMBER('参数'!$K$32))=0,"",IF(AND(ISNUMBER(J125),ISNUMBER(J124)),AND(J126&gt;J125,J125&gt;J124),FALSE)+IF(ISNUMBER('参数'!$G$32),J126&lt;'参数'!$G$32,FALSE)+IF(AND(ISNUMBER('参数'!$I$32),ISNUMBER(Q126)),Q126&gt;='参数'!$I$32,FALSE)+IF(AND(ISNUMBER('参数'!$K$32),ISNUMBER(S126)),S126&gt;='参数'!$K$32,FALSE)),"")</f>
        <v/>
      </c>
      <c r="V126" s="40" t="str">
        <f>IF(AND(ISNUMBER(J126),ISNUMBER(K126)),IF(N(ISNUMBER('参数'!$E$33))+N(ISNUMBER('参数'!$G$33))+N(ISNUMBER('参数'!$I$33))+N(ISNUMBER('参数'!$K$33))=0,"",IF(AND(ISNUMBER('参数'!$E$33),ISNUMBER(J125)),AND(J126&gt;='参数'!$E$33,J126&gt;J125),FALSE)+IF(AND(ISNUMBER('参数'!$G$33),ISNUMBER(N126)),N126&lt;='参数'!$G$33,FALSE)+IF(AND(ISNUMBER('参数'!$I$33),ISNUMBER(Q126)),Q126&gt;='参数'!$I$33,FALSE)+IF(AND(ISNUMBER('参数'!$K$33),ISNUMBER(S126)),S126&gt;='参数'!$K$33,FALSE)),"")</f>
        <v/>
      </c>
      <c r="W126" s="40" t="str">
        <f>IF(AND(ISNUMBER(J126),ISNUMBER(K126)),IF(N(ISNUMBER('参数'!$E$34))+N(ISNUMBER('参数'!$G$34))+N(ISNUMBER('参数'!$I$34))+N(ISNUMBER('参数'!$K$34))=0,"",IF(ISNUMBER('参数'!$E$34),J126&gt;='参数'!$E$34,FALSE)+IF(AND(ISNUMBER('参数'!$G$34),ISNUMBER(N126)),N126&lt;='参数'!$G$34,FALSE)+IF(AND(ISNUMBER('参数'!$I$34),ISNUMBER(S126)),S126&gt;='参数'!$I$34,FALSE)+IF(AND(ISNUMBER('参数'!$K$34),ISNUMBER(R126)),R126&gt;='参数'!$K$34,FALSE)),"")</f>
        <v/>
      </c>
      <c r="X126" s="40" t="str">
        <f>IF(AND(ISNUMBER(J126),ISNUMBER(K126)),IF(N(ISNUMBER('参数'!$E$35))+N(ISNUMBER('参数'!$G$35))+N(ISNUMBER('参数'!$I$35))=0,"",IF(AND(ISNUMBER('参数'!$E$35),ISNUMBER(N126),ISNUMBER(N125)),ROUND(N126-N125,6)&gt;='参数'!$E$35,FALSE)+IF(AND(ISNUMBER('参数'!$G$35),ISNUMBER(Q126),ISNUMBER(Q125)),ROUND(Q125-Q126,6)&gt;='参数'!$G$35,FALSE)+IF(AND(ISNUMBER('参数'!$I$35),ISNUMBER(S126),ISNUMBER(S125)),ROUND(S125-S126,6)&gt;='参数'!$I$35,FALSE)+IF(ISNUMBER(J125),J126&lt;J125,FALSE)),"")</f>
        <v/>
      </c>
      <c r="Y126" s="40" t="str">
        <f>IF(AND(ISNUMBER(J126),ISNUMBER(K126)),IF(N(ISNUMBER('参数'!$E$36))+N(ISNUMBER('参数'!$G$36))+N(ISNUMBER('参数'!$I$36))=0,"",IF(AND(ISNUMBER('参数'!$E$36),ISNUMBER(J125)),AND(J126&lt;='参数'!$E$36,J126&lt;J125),FALSE)+IF(ISNUMBER('参数'!$G$36),K126&gt;='参数'!$G$36,FALSE)+IF(AND(ISNUMBER('参数'!$I$36),ISNUMBER(S126)),S126&lt;'参数'!$I$36,FALSE)+IF(AND(ISNUMBER(R126),ISNUMBER(R125)),R126&lt;R125,FALSE)),"")</f>
        <v/>
      </c>
      <c r="Z126" s="41" t="str">
        <f>IF(NOT(AND(ISNUMBER(J126),ISNUMBER(K126))),"",IF(COUNT(T126:Y126)=0,"先填阈值",IF(MAX(AD126:AI126)=0,"不写",INDEX($T$4:$Y$4,MATCH(MAX(AD126:AI126),AD126:AI126,0))&amp;"·"&amp;IF(MAX(AD126:AI126)&gt;=200,"高","中")&amp;IF(LARGE(AD126:AI126,2)&gt;0,"（也像"&amp;INDEX($T$4:$Y$4,MATCH(LARGE(AD126:AI126,2),AD126:AI126,0))&amp;"·"&amp;IF(LARGE(AD126:AI126,2)&gt;=200,"高","中")&amp;"）",""))))</f>
        <v/>
      </c>
      <c r="AA126" s="27" t="n"/>
      <c r="AB126" s="32" t="n"/>
      <c r="AC126" s="16" t="n"/>
      <c r="AD126" s="40">
        <f>IF(N(T126)&gt;=3,IF(T126=4,2,1)*100+T126*10+6,0)</f>
        <v>0</v>
      </c>
      <c r="AE126" s="40">
        <f>IF(N(U126)&gt;=3,1*100+U126*10+1,0)</f>
        <v>0</v>
      </c>
      <c r="AF126" s="40">
        <f>IF(N(V126)&gt;=3,IF(V126=4,2,1)*100+V126*10+2,0)</f>
        <v>0</v>
      </c>
      <c r="AG126" s="40">
        <f>IF(N(W126)&gt;=3,1*100+W126*10+3,0)</f>
        <v>0</v>
      </c>
      <c r="AH126" s="40">
        <f>IF(N(X126)&gt;=3,1*100+X126*10+4,0)</f>
        <v>0</v>
      </c>
      <c r="AI126" s="40">
        <f>IF(N(Y126)&gt;=3,IF(AND(N(T126)&gt;=3,OR(N(T126)=4,N(Y126)&lt;=N(T126))),0,IF(Y126=4,2,1)*100+Y126*10+5),0)</f>
        <v>0</v>
      </c>
    </row>
    <row r="127">
      <c r="A127" s="31" t="n"/>
      <c r="B127" s="36" t="str">
        <f>IF(ISNUMBER(A127),"周"&amp;CHOOSE(WEEKDAY(A127,2),"一","二","三","四","五","六","日"),"")</f>
        <v/>
      </c>
      <c r="C127" s="37" t="n"/>
      <c r="D127" s="37" t="n"/>
      <c r="E127" s="37" t="n"/>
      <c r="F127" s="17" t="n"/>
      <c r="G127" s="38" t="str">
        <f>IF(AND(ISNUMBER(F127),ISNUMBER(F126)),IF(F126=0,"",F127/F126-1),"")</f>
        <v/>
      </c>
      <c r="H127" s="17" t="n"/>
      <c r="I127" s="17" t="n"/>
      <c r="J127" s="17" t="n"/>
      <c r="K127" s="17" t="n"/>
      <c r="L127" s="17" t="n"/>
      <c r="M127" s="17" t="n"/>
      <c r="N127" s="39" t="str">
        <f>IF(AND(ISNUMBER(L127),ISNUMBER(M127),N(L127)&gt;0),M127/L127,"")</f>
        <v/>
      </c>
      <c r="O127" s="17" t="n"/>
      <c r="P127" s="17" t="n"/>
      <c r="Q127" s="39" t="str">
        <f>IF(AND(ISNUMBER(O127),ISNUMBER(P127),N(O127)&gt;0),P127/O127,"")</f>
        <v/>
      </c>
      <c r="R127" s="17" t="n"/>
      <c r="S127" s="37" t="n"/>
      <c r="T127" s="40" t="str">
        <f>IF(AND(ISNUMBER(J127),ISNUMBER(K127)),IF(N(ISNUMBER('参数'!$E$31))+N(ISNUMBER('参数'!$G$31))+N(ISNUMBER('参数'!$I$31))+N(ISNUMBER('参数'!$K$31))=0,"",IF(ISNUMBER('参数'!$E$31),J127&lt;='参数'!$E$31,FALSE)+IF(ISNUMBER('参数'!$G$31),K127&gt;='参数'!$G$31,FALSE)+IF(AND(ISNUMBER('参数'!$I$31),ISNUMBER(N127)),N127&gt;='参数'!$I$31,FALSE)+IF(AND(ISNUMBER('参数'!$K$31),ISNUMBER(Q127)),Q127&lt;='参数'!$K$31,FALSE)),"")</f>
        <v/>
      </c>
      <c r="U127" s="40" t="str">
        <f>IF(AND(ISNUMBER(J127),ISNUMBER(K127)),IF(N(ISNUMBER('参数'!$G$32))+N(ISNUMBER('参数'!$I$32))+N(ISNUMBER('参数'!$K$32))=0,"",IF(AND(ISNUMBER(J126),ISNUMBER(J125)),AND(J127&gt;J126,J126&gt;J125),FALSE)+IF(ISNUMBER('参数'!$G$32),J127&lt;'参数'!$G$32,FALSE)+IF(AND(ISNUMBER('参数'!$I$32),ISNUMBER(Q127)),Q127&gt;='参数'!$I$32,FALSE)+IF(AND(ISNUMBER('参数'!$K$32),ISNUMBER(S127)),S127&gt;='参数'!$K$32,FALSE)),"")</f>
        <v/>
      </c>
      <c r="V127" s="40" t="str">
        <f>IF(AND(ISNUMBER(J127),ISNUMBER(K127)),IF(N(ISNUMBER('参数'!$E$33))+N(ISNUMBER('参数'!$G$33))+N(ISNUMBER('参数'!$I$33))+N(ISNUMBER('参数'!$K$33))=0,"",IF(AND(ISNUMBER('参数'!$E$33),ISNUMBER(J126)),AND(J127&gt;='参数'!$E$33,J127&gt;J126),FALSE)+IF(AND(ISNUMBER('参数'!$G$33),ISNUMBER(N127)),N127&lt;='参数'!$G$33,FALSE)+IF(AND(ISNUMBER('参数'!$I$33),ISNUMBER(Q127)),Q127&gt;='参数'!$I$33,FALSE)+IF(AND(ISNUMBER('参数'!$K$33),ISNUMBER(S127)),S127&gt;='参数'!$K$33,FALSE)),"")</f>
        <v/>
      </c>
      <c r="W127" s="40" t="str">
        <f>IF(AND(ISNUMBER(J127),ISNUMBER(K127)),IF(N(ISNUMBER('参数'!$E$34))+N(ISNUMBER('参数'!$G$34))+N(ISNUMBER('参数'!$I$34))+N(ISNUMBER('参数'!$K$34))=0,"",IF(ISNUMBER('参数'!$E$34),J127&gt;='参数'!$E$34,FALSE)+IF(AND(ISNUMBER('参数'!$G$34),ISNUMBER(N127)),N127&lt;='参数'!$G$34,FALSE)+IF(AND(ISNUMBER('参数'!$I$34),ISNUMBER(S127)),S127&gt;='参数'!$I$34,FALSE)+IF(AND(ISNUMBER('参数'!$K$34),ISNUMBER(R127)),R127&gt;='参数'!$K$34,FALSE)),"")</f>
        <v/>
      </c>
      <c r="X127" s="40" t="str">
        <f>IF(AND(ISNUMBER(J127),ISNUMBER(K127)),IF(N(ISNUMBER('参数'!$E$35))+N(ISNUMBER('参数'!$G$35))+N(ISNUMBER('参数'!$I$35))=0,"",IF(AND(ISNUMBER('参数'!$E$35),ISNUMBER(N127),ISNUMBER(N126)),ROUND(N127-N126,6)&gt;='参数'!$E$35,FALSE)+IF(AND(ISNUMBER('参数'!$G$35),ISNUMBER(Q127),ISNUMBER(Q126)),ROUND(Q126-Q127,6)&gt;='参数'!$G$35,FALSE)+IF(AND(ISNUMBER('参数'!$I$35),ISNUMBER(S127),ISNUMBER(S126)),ROUND(S126-S127,6)&gt;='参数'!$I$35,FALSE)+IF(ISNUMBER(J126),J127&lt;J126,FALSE)),"")</f>
        <v/>
      </c>
      <c r="Y127" s="40" t="str">
        <f>IF(AND(ISNUMBER(J127),ISNUMBER(K127)),IF(N(ISNUMBER('参数'!$E$36))+N(ISNUMBER('参数'!$G$36))+N(ISNUMBER('参数'!$I$36))=0,"",IF(AND(ISNUMBER('参数'!$E$36),ISNUMBER(J126)),AND(J127&lt;='参数'!$E$36,J127&lt;J126),FALSE)+IF(ISNUMBER('参数'!$G$36),K127&gt;='参数'!$G$36,FALSE)+IF(AND(ISNUMBER('参数'!$I$36),ISNUMBER(S127)),S127&lt;'参数'!$I$36,FALSE)+IF(AND(ISNUMBER(R127),ISNUMBER(R126)),R127&lt;R126,FALSE)),"")</f>
        <v/>
      </c>
      <c r="Z127" s="41" t="str">
        <f>IF(NOT(AND(ISNUMBER(J127),ISNUMBER(K127))),"",IF(COUNT(T127:Y127)=0,"先填阈值",IF(MAX(AD127:AI127)=0,"不写",INDEX($T$4:$Y$4,MATCH(MAX(AD127:AI127),AD127:AI127,0))&amp;"·"&amp;IF(MAX(AD127:AI127)&gt;=200,"高","中")&amp;IF(LARGE(AD127:AI127,2)&gt;0,"（也像"&amp;INDEX($T$4:$Y$4,MATCH(LARGE(AD127:AI127,2),AD127:AI127,0))&amp;"·"&amp;IF(LARGE(AD127:AI127,2)&gt;=200,"高","中")&amp;"）",""))))</f>
        <v/>
      </c>
      <c r="AA127" s="27" t="n"/>
      <c r="AB127" s="32" t="n"/>
      <c r="AC127" s="16" t="n"/>
      <c r="AD127" s="40">
        <f>IF(N(T127)&gt;=3,IF(T127=4,2,1)*100+T127*10+6,0)</f>
        <v>0</v>
      </c>
      <c r="AE127" s="40">
        <f>IF(N(U127)&gt;=3,1*100+U127*10+1,0)</f>
        <v>0</v>
      </c>
      <c r="AF127" s="40">
        <f>IF(N(V127)&gt;=3,IF(V127=4,2,1)*100+V127*10+2,0)</f>
        <v>0</v>
      </c>
      <c r="AG127" s="40">
        <f>IF(N(W127)&gt;=3,1*100+W127*10+3,0)</f>
        <v>0</v>
      </c>
      <c r="AH127" s="40">
        <f>IF(N(X127)&gt;=3,1*100+X127*10+4,0)</f>
        <v>0</v>
      </c>
      <c r="AI127" s="40">
        <f>IF(N(Y127)&gt;=3,IF(AND(N(T127)&gt;=3,OR(N(T127)=4,N(Y127)&lt;=N(T127))),0,IF(Y127=4,2,1)*100+Y127*10+5),0)</f>
        <v>0</v>
      </c>
    </row>
    <row r="128">
      <c r="A128" s="31" t="n"/>
      <c r="B128" s="36" t="str">
        <f>IF(ISNUMBER(A128),"周"&amp;CHOOSE(WEEKDAY(A128,2),"一","二","三","四","五","六","日"),"")</f>
        <v/>
      </c>
      <c r="C128" s="37" t="n"/>
      <c r="D128" s="37" t="n"/>
      <c r="E128" s="37" t="n"/>
      <c r="F128" s="17" t="n"/>
      <c r="G128" s="38" t="str">
        <f>IF(AND(ISNUMBER(F128),ISNUMBER(F127)),IF(F127=0,"",F128/F127-1),"")</f>
        <v/>
      </c>
      <c r="H128" s="17" t="n"/>
      <c r="I128" s="17" t="n"/>
      <c r="J128" s="17" t="n"/>
      <c r="K128" s="17" t="n"/>
      <c r="L128" s="17" t="n"/>
      <c r="M128" s="17" t="n"/>
      <c r="N128" s="39" t="str">
        <f>IF(AND(ISNUMBER(L128),ISNUMBER(M128),N(L128)&gt;0),M128/L128,"")</f>
        <v/>
      </c>
      <c r="O128" s="17" t="n"/>
      <c r="P128" s="17" t="n"/>
      <c r="Q128" s="39" t="str">
        <f>IF(AND(ISNUMBER(O128),ISNUMBER(P128),N(O128)&gt;0),P128/O128,"")</f>
        <v/>
      </c>
      <c r="R128" s="17" t="n"/>
      <c r="S128" s="37" t="n"/>
      <c r="T128" s="40" t="str">
        <f>IF(AND(ISNUMBER(J128),ISNUMBER(K128)),IF(N(ISNUMBER('参数'!$E$31))+N(ISNUMBER('参数'!$G$31))+N(ISNUMBER('参数'!$I$31))+N(ISNUMBER('参数'!$K$31))=0,"",IF(ISNUMBER('参数'!$E$31),J128&lt;='参数'!$E$31,FALSE)+IF(ISNUMBER('参数'!$G$31),K128&gt;='参数'!$G$31,FALSE)+IF(AND(ISNUMBER('参数'!$I$31),ISNUMBER(N128)),N128&gt;='参数'!$I$31,FALSE)+IF(AND(ISNUMBER('参数'!$K$31),ISNUMBER(Q128)),Q128&lt;='参数'!$K$31,FALSE)),"")</f>
        <v/>
      </c>
      <c r="U128" s="40" t="str">
        <f>IF(AND(ISNUMBER(J128),ISNUMBER(K128)),IF(N(ISNUMBER('参数'!$G$32))+N(ISNUMBER('参数'!$I$32))+N(ISNUMBER('参数'!$K$32))=0,"",IF(AND(ISNUMBER(J127),ISNUMBER(J126)),AND(J128&gt;J127,J127&gt;J126),FALSE)+IF(ISNUMBER('参数'!$G$32),J128&lt;'参数'!$G$32,FALSE)+IF(AND(ISNUMBER('参数'!$I$32),ISNUMBER(Q128)),Q128&gt;='参数'!$I$32,FALSE)+IF(AND(ISNUMBER('参数'!$K$32),ISNUMBER(S128)),S128&gt;='参数'!$K$32,FALSE)),"")</f>
        <v/>
      </c>
      <c r="V128" s="40" t="str">
        <f>IF(AND(ISNUMBER(J128),ISNUMBER(K128)),IF(N(ISNUMBER('参数'!$E$33))+N(ISNUMBER('参数'!$G$33))+N(ISNUMBER('参数'!$I$33))+N(ISNUMBER('参数'!$K$33))=0,"",IF(AND(ISNUMBER('参数'!$E$33),ISNUMBER(J127)),AND(J128&gt;='参数'!$E$33,J128&gt;J127),FALSE)+IF(AND(ISNUMBER('参数'!$G$33),ISNUMBER(N128)),N128&lt;='参数'!$G$33,FALSE)+IF(AND(ISNUMBER('参数'!$I$33),ISNUMBER(Q128)),Q128&gt;='参数'!$I$33,FALSE)+IF(AND(ISNUMBER('参数'!$K$33),ISNUMBER(S128)),S128&gt;='参数'!$K$33,FALSE)),"")</f>
        <v/>
      </c>
      <c r="W128" s="40" t="str">
        <f>IF(AND(ISNUMBER(J128),ISNUMBER(K128)),IF(N(ISNUMBER('参数'!$E$34))+N(ISNUMBER('参数'!$G$34))+N(ISNUMBER('参数'!$I$34))+N(ISNUMBER('参数'!$K$34))=0,"",IF(ISNUMBER('参数'!$E$34),J128&gt;='参数'!$E$34,FALSE)+IF(AND(ISNUMBER('参数'!$G$34),ISNUMBER(N128)),N128&lt;='参数'!$G$34,FALSE)+IF(AND(ISNUMBER('参数'!$I$34),ISNUMBER(S128)),S128&gt;='参数'!$I$34,FALSE)+IF(AND(ISNUMBER('参数'!$K$34),ISNUMBER(R128)),R128&gt;='参数'!$K$34,FALSE)),"")</f>
        <v/>
      </c>
      <c r="X128" s="40" t="str">
        <f>IF(AND(ISNUMBER(J128),ISNUMBER(K128)),IF(N(ISNUMBER('参数'!$E$35))+N(ISNUMBER('参数'!$G$35))+N(ISNUMBER('参数'!$I$35))=0,"",IF(AND(ISNUMBER('参数'!$E$35),ISNUMBER(N128),ISNUMBER(N127)),ROUND(N128-N127,6)&gt;='参数'!$E$35,FALSE)+IF(AND(ISNUMBER('参数'!$G$35),ISNUMBER(Q128),ISNUMBER(Q127)),ROUND(Q127-Q128,6)&gt;='参数'!$G$35,FALSE)+IF(AND(ISNUMBER('参数'!$I$35),ISNUMBER(S128),ISNUMBER(S127)),ROUND(S127-S128,6)&gt;='参数'!$I$35,FALSE)+IF(ISNUMBER(J127),J128&lt;J127,FALSE)),"")</f>
        <v/>
      </c>
      <c r="Y128" s="40" t="str">
        <f>IF(AND(ISNUMBER(J128),ISNUMBER(K128)),IF(N(ISNUMBER('参数'!$E$36))+N(ISNUMBER('参数'!$G$36))+N(ISNUMBER('参数'!$I$36))=0,"",IF(AND(ISNUMBER('参数'!$E$36),ISNUMBER(J127)),AND(J128&lt;='参数'!$E$36,J128&lt;J127),FALSE)+IF(ISNUMBER('参数'!$G$36),K128&gt;='参数'!$G$36,FALSE)+IF(AND(ISNUMBER('参数'!$I$36),ISNUMBER(S128)),S128&lt;'参数'!$I$36,FALSE)+IF(AND(ISNUMBER(R128),ISNUMBER(R127)),R128&lt;R127,FALSE)),"")</f>
        <v/>
      </c>
      <c r="Z128" s="41" t="str">
        <f>IF(NOT(AND(ISNUMBER(J128),ISNUMBER(K128))),"",IF(COUNT(T128:Y128)=0,"先填阈值",IF(MAX(AD128:AI128)=0,"不写",INDEX($T$4:$Y$4,MATCH(MAX(AD128:AI128),AD128:AI128,0))&amp;"·"&amp;IF(MAX(AD128:AI128)&gt;=200,"高","中")&amp;IF(LARGE(AD128:AI128,2)&gt;0,"（也像"&amp;INDEX($T$4:$Y$4,MATCH(LARGE(AD128:AI128,2),AD128:AI128,0))&amp;"·"&amp;IF(LARGE(AD128:AI128,2)&gt;=200,"高","中")&amp;"）",""))))</f>
        <v/>
      </c>
      <c r="AA128" s="27" t="n"/>
      <c r="AB128" s="32" t="n"/>
      <c r="AC128" s="16" t="n"/>
      <c r="AD128" s="40">
        <f>IF(N(T128)&gt;=3,IF(T128=4,2,1)*100+T128*10+6,0)</f>
        <v>0</v>
      </c>
      <c r="AE128" s="40">
        <f>IF(N(U128)&gt;=3,1*100+U128*10+1,0)</f>
        <v>0</v>
      </c>
      <c r="AF128" s="40">
        <f>IF(N(V128)&gt;=3,IF(V128=4,2,1)*100+V128*10+2,0)</f>
        <v>0</v>
      </c>
      <c r="AG128" s="40">
        <f>IF(N(W128)&gt;=3,1*100+W128*10+3,0)</f>
        <v>0</v>
      </c>
      <c r="AH128" s="40">
        <f>IF(N(X128)&gt;=3,1*100+X128*10+4,0)</f>
        <v>0</v>
      </c>
      <c r="AI128" s="40">
        <f>IF(N(Y128)&gt;=3,IF(AND(N(T128)&gt;=3,OR(N(T128)=4,N(Y128)&lt;=N(T128))),0,IF(Y128=4,2,1)*100+Y128*10+5),0)</f>
        <v>0</v>
      </c>
    </row>
    <row r="129">
      <c r="A129" s="31" t="n"/>
      <c r="B129" s="36" t="str">
        <f>IF(ISNUMBER(A129),"周"&amp;CHOOSE(WEEKDAY(A129,2),"一","二","三","四","五","六","日"),"")</f>
        <v/>
      </c>
      <c r="C129" s="37" t="n"/>
      <c r="D129" s="37" t="n"/>
      <c r="E129" s="37" t="n"/>
      <c r="F129" s="17" t="n"/>
      <c r="G129" s="38" t="str">
        <f>IF(AND(ISNUMBER(F129),ISNUMBER(F128)),IF(F128=0,"",F129/F128-1),"")</f>
        <v/>
      </c>
      <c r="H129" s="17" t="n"/>
      <c r="I129" s="17" t="n"/>
      <c r="J129" s="17" t="n"/>
      <c r="K129" s="17" t="n"/>
      <c r="L129" s="17" t="n"/>
      <c r="M129" s="17" t="n"/>
      <c r="N129" s="39" t="str">
        <f>IF(AND(ISNUMBER(L129),ISNUMBER(M129),N(L129)&gt;0),M129/L129,"")</f>
        <v/>
      </c>
      <c r="O129" s="17" t="n"/>
      <c r="P129" s="17" t="n"/>
      <c r="Q129" s="39" t="str">
        <f>IF(AND(ISNUMBER(O129),ISNUMBER(P129),N(O129)&gt;0),P129/O129,"")</f>
        <v/>
      </c>
      <c r="R129" s="17" t="n"/>
      <c r="S129" s="37" t="n"/>
      <c r="T129" s="40" t="str">
        <f>IF(AND(ISNUMBER(J129),ISNUMBER(K129)),IF(N(ISNUMBER('参数'!$E$31))+N(ISNUMBER('参数'!$G$31))+N(ISNUMBER('参数'!$I$31))+N(ISNUMBER('参数'!$K$31))=0,"",IF(ISNUMBER('参数'!$E$31),J129&lt;='参数'!$E$31,FALSE)+IF(ISNUMBER('参数'!$G$31),K129&gt;='参数'!$G$31,FALSE)+IF(AND(ISNUMBER('参数'!$I$31),ISNUMBER(N129)),N129&gt;='参数'!$I$31,FALSE)+IF(AND(ISNUMBER('参数'!$K$31),ISNUMBER(Q129)),Q129&lt;='参数'!$K$31,FALSE)),"")</f>
        <v/>
      </c>
      <c r="U129" s="40" t="str">
        <f>IF(AND(ISNUMBER(J129),ISNUMBER(K129)),IF(N(ISNUMBER('参数'!$G$32))+N(ISNUMBER('参数'!$I$32))+N(ISNUMBER('参数'!$K$32))=0,"",IF(AND(ISNUMBER(J128),ISNUMBER(J127)),AND(J129&gt;J128,J128&gt;J127),FALSE)+IF(ISNUMBER('参数'!$G$32),J129&lt;'参数'!$G$32,FALSE)+IF(AND(ISNUMBER('参数'!$I$32),ISNUMBER(Q129)),Q129&gt;='参数'!$I$32,FALSE)+IF(AND(ISNUMBER('参数'!$K$32),ISNUMBER(S129)),S129&gt;='参数'!$K$32,FALSE)),"")</f>
        <v/>
      </c>
      <c r="V129" s="40" t="str">
        <f>IF(AND(ISNUMBER(J129),ISNUMBER(K129)),IF(N(ISNUMBER('参数'!$E$33))+N(ISNUMBER('参数'!$G$33))+N(ISNUMBER('参数'!$I$33))+N(ISNUMBER('参数'!$K$33))=0,"",IF(AND(ISNUMBER('参数'!$E$33),ISNUMBER(J128)),AND(J129&gt;='参数'!$E$33,J129&gt;J128),FALSE)+IF(AND(ISNUMBER('参数'!$G$33),ISNUMBER(N129)),N129&lt;='参数'!$G$33,FALSE)+IF(AND(ISNUMBER('参数'!$I$33),ISNUMBER(Q129)),Q129&gt;='参数'!$I$33,FALSE)+IF(AND(ISNUMBER('参数'!$K$33),ISNUMBER(S129)),S129&gt;='参数'!$K$33,FALSE)),"")</f>
        <v/>
      </c>
      <c r="W129" s="40" t="str">
        <f>IF(AND(ISNUMBER(J129),ISNUMBER(K129)),IF(N(ISNUMBER('参数'!$E$34))+N(ISNUMBER('参数'!$G$34))+N(ISNUMBER('参数'!$I$34))+N(ISNUMBER('参数'!$K$34))=0,"",IF(ISNUMBER('参数'!$E$34),J129&gt;='参数'!$E$34,FALSE)+IF(AND(ISNUMBER('参数'!$G$34),ISNUMBER(N129)),N129&lt;='参数'!$G$34,FALSE)+IF(AND(ISNUMBER('参数'!$I$34),ISNUMBER(S129)),S129&gt;='参数'!$I$34,FALSE)+IF(AND(ISNUMBER('参数'!$K$34),ISNUMBER(R129)),R129&gt;='参数'!$K$34,FALSE)),"")</f>
        <v/>
      </c>
      <c r="X129" s="40" t="str">
        <f>IF(AND(ISNUMBER(J129),ISNUMBER(K129)),IF(N(ISNUMBER('参数'!$E$35))+N(ISNUMBER('参数'!$G$35))+N(ISNUMBER('参数'!$I$35))=0,"",IF(AND(ISNUMBER('参数'!$E$35),ISNUMBER(N129),ISNUMBER(N128)),ROUND(N129-N128,6)&gt;='参数'!$E$35,FALSE)+IF(AND(ISNUMBER('参数'!$G$35),ISNUMBER(Q129),ISNUMBER(Q128)),ROUND(Q128-Q129,6)&gt;='参数'!$G$35,FALSE)+IF(AND(ISNUMBER('参数'!$I$35),ISNUMBER(S129),ISNUMBER(S128)),ROUND(S128-S129,6)&gt;='参数'!$I$35,FALSE)+IF(ISNUMBER(J128),J129&lt;J128,FALSE)),"")</f>
        <v/>
      </c>
      <c r="Y129" s="40" t="str">
        <f>IF(AND(ISNUMBER(J129),ISNUMBER(K129)),IF(N(ISNUMBER('参数'!$E$36))+N(ISNUMBER('参数'!$G$36))+N(ISNUMBER('参数'!$I$36))=0,"",IF(AND(ISNUMBER('参数'!$E$36),ISNUMBER(J128)),AND(J129&lt;='参数'!$E$36,J129&lt;J128),FALSE)+IF(ISNUMBER('参数'!$G$36),K129&gt;='参数'!$G$36,FALSE)+IF(AND(ISNUMBER('参数'!$I$36),ISNUMBER(S129)),S129&lt;'参数'!$I$36,FALSE)+IF(AND(ISNUMBER(R129),ISNUMBER(R128)),R129&lt;R128,FALSE)),"")</f>
        <v/>
      </c>
      <c r="Z129" s="41" t="str">
        <f>IF(NOT(AND(ISNUMBER(J129),ISNUMBER(K129))),"",IF(COUNT(T129:Y129)=0,"先填阈值",IF(MAX(AD129:AI129)=0,"不写",INDEX($T$4:$Y$4,MATCH(MAX(AD129:AI129),AD129:AI129,0))&amp;"·"&amp;IF(MAX(AD129:AI129)&gt;=200,"高","中")&amp;IF(LARGE(AD129:AI129,2)&gt;0,"（也像"&amp;INDEX($T$4:$Y$4,MATCH(LARGE(AD129:AI129,2),AD129:AI129,0))&amp;"·"&amp;IF(LARGE(AD129:AI129,2)&gt;=200,"高","中")&amp;"）",""))))</f>
        <v/>
      </c>
      <c r="AA129" s="27" t="n"/>
      <c r="AB129" s="32" t="n"/>
      <c r="AC129" s="16" t="n"/>
      <c r="AD129" s="40">
        <f>IF(N(T129)&gt;=3,IF(T129=4,2,1)*100+T129*10+6,0)</f>
        <v>0</v>
      </c>
      <c r="AE129" s="40">
        <f>IF(N(U129)&gt;=3,1*100+U129*10+1,0)</f>
        <v>0</v>
      </c>
      <c r="AF129" s="40">
        <f>IF(N(V129)&gt;=3,IF(V129=4,2,1)*100+V129*10+2,0)</f>
        <v>0</v>
      </c>
      <c r="AG129" s="40">
        <f>IF(N(W129)&gt;=3,1*100+W129*10+3,0)</f>
        <v>0</v>
      </c>
      <c r="AH129" s="40">
        <f>IF(N(X129)&gt;=3,1*100+X129*10+4,0)</f>
        <v>0</v>
      </c>
      <c r="AI129" s="40">
        <f>IF(N(Y129)&gt;=3,IF(AND(N(T129)&gt;=3,OR(N(T129)=4,N(Y129)&lt;=N(T129))),0,IF(Y129=4,2,1)*100+Y129*10+5),0)</f>
        <v>0</v>
      </c>
    </row>
    <row r="130">
      <c r="A130" s="31" t="n"/>
      <c r="B130" s="36" t="str">
        <f>IF(ISNUMBER(A130),"周"&amp;CHOOSE(WEEKDAY(A130,2),"一","二","三","四","五","六","日"),"")</f>
        <v/>
      </c>
      <c r="C130" s="37" t="n"/>
      <c r="D130" s="37" t="n"/>
      <c r="E130" s="37" t="n"/>
      <c r="F130" s="17" t="n"/>
      <c r="G130" s="38" t="str">
        <f>IF(AND(ISNUMBER(F130),ISNUMBER(F129)),IF(F129=0,"",F130/F129-1),"")</f>
        <v/>
      </c>
      <c r="H130" s="17" t="n"/>
      <c r="I130" s="17" t="n"/>
      <c r="J130" s="17" t="n"/>
      <c r="K130" s="17" t="n"/>
      <c r="L130" s="17" t="n"/>
      <c r="M130" s="17" t="n"/>
      <c r="N130" s="39" t="str">
        <f>IF(AND(ISNUMBER(L130),ISNUMBER(M130),N(L130)&gt;0),M130/L130,"")</f>
        <v/>
      </c>
      <c r="O130" s="17" t="n"/>
      <c r="P130" s="17" t="n"/>
      <c r="Q130" s="39" t="str">
        <f>IF(AND(ISNUMBER(O130),ISNUMBER(P130),N(O130)&gt;0),P130/O130,"")</f>
        <v/>
      </c>
      <c r="R130" s="17" t="n"/>
      <c r="S130" s="37" t="n"/>
      <c r="T130" s="40" t="str">
        <f>IF(AND(ISNUMBER(J130),ISNUMBER(K130)),IF(N(ISNUMBER('参数'!$E$31))+N(ISNUMBER('参数'!$G$31))+N(ISNUMBER('参数'!$I$31))+N(ISNUMBER('参数'!$K$31))=0,"",IF(ISNUMBER('参数'!$E$31),J130&lt;='参数'!$E$31,FALSE)+IF(ISNUMBER('参数'!$G$31),K130&gt;='参数'!$G$31,FALSE)+IF(AND(ISNUMBER('参数'!$I$31),ISNUMBER(N130)),N130&gt;='参数'!$I$31,FALSE)+IF(AND(ISNUMBER('参数'!$K$31),ISNUMBER(Q130)),Q130&lt;='参数'!$K$31,FALSE)),"")</f>
        <v/>
      </c>
      <c r="U130" s="40" t="str">
        <f>IF(AND(ISNUMBER(J130),ISNUMBER(K130)),IF(N(ISNUMBER('参数'!$G$32))+N(ISNUMBER('参数'!$I$32))+N(ISNUMBER('参数'!$K$32))=0,"",IF(AND(ISNUMBER(J129),ISNUMBER(J128)),AND(J130&gt;J129,J129&gt;J128),FALSE)+IF(ISNUMBER('参数'!$G$32),J130&lt;'参数'!$G$32,FALSE)+IF(AND(ISNUMBER('参数'!$I$32),ISNUMBER(Q130)),Q130&gt;='参数'!$I$32,FALSE)+IF(AND(ISNUMBER('参数'!$K$32),ISNUMBER(S130)),S130&gt;='参数'!$K$32,FALSE)),"")</f>
        <v/>
      </c>
      <c r="V130" s="40" t="str">
        <f>IF(AND(ISNUMBER(J130),ISNUMBER(K130)),IF(N(ISNUMBER('参数'!$E$33))+N(ISNUMBER('参数'!$G$33))+N(ISNUMBER('参数'!$I$33))+N(ISNUMBER('参数'!$K$33))=0,"",IF(AND(ISNUMBER('参数'!$E$33),ISNUMBER(J129)),AND(J130&gt;='参数'!$E$33,J130&gt;J129),FALSE)+IF(AND(ISNUMBER('参数'!$G$33),ISNUMBER(N130)),N130&lt;='参数'!$G$33,FALSE)+IF(AND(ISNUMBER('参数'!$I$33),ISNUMBER(Q130)),Q130&gt;='参数'!$I$33,FALSE)+IF(AND(ISNUMBER('参数'!$K$33),ISNUMBER(S130)),S130&gt;='参数'!$K$33,FALSE)),"")</f>
        <v/>
      </c>
      <c r="W130" s="40" t="str">
        <f>IF(AND(ISNUMBER(J130),ISNUMBER(K130)),IF(N(ISNUMBER('参数'!$E$34))+N(ISNUMBER('参数'!$G$34))+N(ISNUMBER('参数'!$I$34))+N(ISNUMBER('参数'!$K$34))=0,"",IF(ISNUMBER('参数'!$E$34),J130&gt;='参数'!$E$34,FALSE)+IF(AND(ISNUMBER('参数'!$G$34),ISNUMBER(N130)),N130&lt;='参数'!$G$34,FALSE)+IF(AND(ISNUMBER('参数'!$I$34),ISNUMBER(S130)),S130&gt;='参数'!$I$34,FALSE)+IF(AND(ISNUMBER('参数'!$K$34),ISNUMBER(R130)),R130&gt;='参数'!$K$34,FALSE)),"")</f>
        <v/>
      </c>
      <c r="X130" s="40" t="str">
        <f>IF(AND(ISNUMBER(J130),ISNUMBER(K130)),IF(N(ISNUMBER('参数'!$E$35))+N(ISNUMBER('参数'!$G$35))+N(ISNUMBER('参数'!$I$35))=0,"",IF(AND(ISNUMBER('参数'!$E$35),ISNUMBER(N130),ISNUMBER(N129)),ROUND(N130-N129,6)&gt;='参数'!$E$35,FALSE)+IF(AND(ISNUMBER('参数'!$G$35),ISNUMBER(Q130),ISNUMBER(Q129)),ROUND(Q129-Q130,6)&gt;='参数'!$G$35,FALSE)+IF(AND(ISNUMBER('参数'!$I$35),ISNUMBER(S130),ISNUMBER(S129)),ROUND(S129-S130,6)&gt;='参数'!$I$35,FALSE)+IF(ISNUMBER(J129),J130&lt;J129,FALSE)),"")</f>
        <v/>
      </c>
      <c r="Y130" s="40" t="str">
        <f>IF(AND(ISNUMBER(J130),ISNUMBER(K130)),IF(N(ISNUMBER('参数'!$E$36))+N(ISNUMBER('参数'!$G$36))+N(ISNUMBER('参数'!$I$36))=0,"",IF(AND(ISNUMBER('参数'!$E$36),ISNUMBER(J129)),AND(J130&lt;='参数'!$E$36,J130&lt;J129),FALSE)+IF(ISNUMBER('参数'!$G$36),K130&gt;='参数'!$G$36,FALSE)+IF(AND(ISNUMBER('参数'!$I$36),ISNUMBER(S130)),S130&lt;'参数'!$I$36,FALSE)+IF(AND(ISNUMBER(R130),ISNUMBER(R129)),R130&lt;R129,FALSE)),"")</f>
        <v/>
      </c>
      <c r="Z130" s="41" t="str">
        <f>IF(NOT(AND(ISNUMBER(J130),ISNUMBER(K130))),"",IF(COUNT(T130:Y130)=0,"先填阈值",IF(MAX(AD130:AI130)=0,"不写",INDEX($T$4:$Y$4,MATCH(MAX(AD130:AI130),AD130:AI130,0))&amp;"·"&amp;IF(MAX(AD130:AI130)&gt;=200,"高","中")&amp;IF(LARGE(AD130:AI130,2)&gt;0,"（也像"&amp;INDEX($T$4:$Y$4,MATCH(LARGE(AD130:AI130,2),AD130:AI130,0))&amp;"·"&amp;IF(LARGE(AD130:AI130,2)&gt;=200,"高","中")&amp;"）",""))))</f>
        <v/>
      </c>
      <c r="AA130" s="27" t="n"/>
      <c r="AB130" s="32" t="n"/>
      <c r="AC130" s="16" t="n"/>
      <c r="AD130" s="40">
        <f>IF(N(T130)&gt;=3,IF(T130=4,2,1)*100+T130*10+6,0)</f>
        <v>0</v>
      </c>
      <c r="AE130" s="40">
        <f>IF(N(U130)&gt;=3,1*100+U130*10+1,0)</f>
        <v>0</v>
      </c>
      <c r="AF130" s="40">
        <f>IF(N(V130)&gt;=3,IF(V130=4,2,1)*100+V130*10+2,0)</f>
        <v>0</v>
      </c>
      <c r="AG130" s="40">
        <f>IF(N(W130)&gt;=3,1*100+W130*10+3,0)</f>
        <v>0</v>
      </c>
      <c r="AH130" s="40">
        <f>IF(N(X130)&gt;=3,1*100+X130*10+4,0)</f>
        <v>0</v>
      </c>
      <c r="AI130" s="40">
        <f>IF(N(Y130)&gt;=3,IF(AND(N(T130)&gt;=3,OR(N(T130)=4,N(Y130)&lt;=N(T130))),0,IF(Y130=4,2,1)*100+Y130*10+5),0)</f>
        <v>0</v>
      </c>
    </row>
    <row r="131">
      <c r="A131" s="31" t="n"/>
      <c r="B131" s="36" t="str">
        <f>IF(ISNUMBER(A131),"周"&amp;CHOOSE(WEEKDAY(A131,2),"一","二","三","四","五","六","日"),"")</f>
        <v/>
      </c>
      <c r="C131" s="37" t="n"/>
      <c r="D131" s="37" t="n"/>
      <c r="E131" s="37" t="n"/>
      <c r="F131" s="17" t="n"/>
      <c r="G131" s="38" t="str">
        <f>IF(AND(ISNUMBER(F131),ISNUMBER(F130)),IF(F130=0,"",F131/F130-1),"")</f>
        <v/>
      </c>
      <c r="H131" s="17" t="n"/>
      <c r="I131" s="17" t="n"/>
      <c r="J131" s="17" t="n"/>
      <c r="K131" s="17" t="n"/>
      <c r="L131" s="17" t="n"/>
      <c r="M131" s="17" t="n"/>
      <c r="N131" s="39" t="str">
        <f>IF(AND(ISNUMBER(L131),ISNUMBER(M131),N(L131)&gt;0),M131/L131,"")</f>
        <v/>
      </c>
      <c r="O131" s="17" t="n"/>
      <c r="P131" s="17" t="n"/>
      <c r="Q131" s="39" t="str">
        <f>IF(AND(ISNUMBER(O131),ISNUMBER(P131),N(O131)&gt;0),P131/O131,"")</f>
        <v/>
      </c>
      <c r="R131" s="17" t="n"/>
      <c r="S131" s="37" t="n"/>
      <c r="T131" s="40" t="str">
        <f>IF(AND(ISNUMBER(J131),ISNUMBER(K131)),IF(N(ISNUMBER('参数'!$E$31))+N(ISNUMBER('参数'!$G$31))+N(ISNUMBER('参数'!$I$31))+N(ISNUMBER('参数'!$K$31))=0,"",IF(ISNUMBER('参数'!$E$31),J131&lt;='参数'!$E$31,FALSE)+IF(ISNUMBER('参数'!$G$31),K131&gt;='参数'!$G$31,FALSE)+IF(AND(ISNUMBER('参数'!$I$31),ISNUMBER(N131)),N131&gt;='参数'!$I$31,FALSE)+IF(AND(ISNUMBER('参数'!$K$31),ISNUMBER(Q131)),Q131&lt;='参数'!$K$31,FALSE)),"")</f>
        <v/>
      </c>
      <c r="U131" s="40" t="str">
        <f>IF(AND(ISNUMBER(J131),ISNUMBER(K131)),IF(N(ISNUMBER('参数'!$G$32))+N(ISNUMBER('参数'!$I$32))+N(ISNUMBER('参数'!$K$32))=0,"",IF(AND(ISNUMBER(J130),ISNUMBER(J129)),AND(J131&gt;J130,J130&gt;J129),FALSE)+IF(ISNUMBER('参数'!$G$32),J131&lt;'参数'!$G$32,FALSE)+IF(AND(ISNUMBER('参数'!$I$32),ISNUMBER(Q131)),Q131&gt;='参数'!$I$32,FALSE)+IF(AND(ISNUMBER('参数'!$K$32),ISNUMBER(S131)),S131&gt;='参数'!$K$32,FALSE)),"")</f>
        <v/>
      </c>
      <c r="V131" s="40" t="str">
        <f>IF(AND(ISNUMBER(J131),ISNUMBER(K131)),IF(N(ISNUMBER('参数'!$E$33))+N(ISNUMBER('参数'!$G$33))+N(ISNUMBER('参数'!$I$33))+N(ISNUMBER('参数'!$K$33))=0,"",IF(AND(ISNUMBER('参数'!$E$33),ISNUMBER(J130)),AND(J131&gt;='参数'!$E$33,J131&gt;J130),FALSE)+IF(AND(ISNUMBER('参数'!$G$33),ISNUMBER(N131)),N131&lt;='参数'!$G$33,FALSE)+IF(AND(ISNUMBER('参数'!$I$33),ISNUMBER(Q131)),Q131&gt;='参数'!$I$33,FALSE)+IF(AND(ISNUMBER('参数'!$K$33),ISNUMBER(S131)),S131&gt;='参数'!$K$33,FALSE)),"")</f>
        <v/>
      </c>
      <c r="W131" s="40" t="str">
        <f>IF(AND(ISNUMBER(J131),ISNUMBER(K131)),IF(N(ISNUMBER('参数'!$E$34))+N(ISNUMBER('参数'!$G$34))+N(ISNUMBER('参数'!$I$34))+N(ISNUMBER('参数'!$K$34))=0,"",IF(ISNUMBER('参数'!$E$34),J131&gt;='参数'!$E$34,FALSE)+IF(AND(ISNUMBER('参数'!$G$34),ISNUMBER(N131)),N131&lt;='参数'!$G$34,FALSE)+IF(AND(ISNUMBER('参数'!$I$34),ISNUMBER(S131)),S131&gt;='参数'!$I$34,FALSE)+IF(AND(ISNUMBER('参数'!$K$34),ISNUMBER(R131)),R131&gt;='参数'!$K$34,FALSE)),"")</f>
        <v/>
      </c>
      <c r="X131" s="40" t="str">
        <f>IF(AND(ISNUMBER(J131),ISNUMBER(K131)),IF(N(ISNUMBER('参数'!$E$35))+N(ISNUMBER('参数'!$G$35))+N(ISNUMBER('参数'!$I$35))=0,"",IF(AND(ISNUMBER('参数'!$E$35),ISNUMBER(N131),ISNUMBER(N130)),ROUND(N131-N130,6)&gt;='参数'!$E$35,FALSE)+IF(AND(ISNUMBER('参数'!$G$35),ISNUMBER(Q131),ISNUMBER(Q130)),ROUND(Q130-Q131,6)&gt;='参数'!$G$35,FALSE)+IF(AND(ISNUMBER('参数'!$I$35),ISNUMBER(S131),ISNUMBER(S130)),ROUND(S130-S131,6)&gt;='参数'!$I$35,FALSE)+IF(ISNUMBER(J130),J131&lt;J130,FALSE)),"")</f>
        <v/>
      </c>
      <c r="Y131" s="40" t="str">
        <f>IF(AND(ISNUMBER(J131),ISNUMBER(K131)),IF(N(ISNUMBER('参数'!$E$36))+N(ISNUMBER('参数'!$G$36))+N(ISNUMBER('参数'!$I$36))=0,"",IF(AND(ISNUMBER('参数'!$E$36),ISNUMBER(J130)),AND(J131&lt;='参数'!$E$36,J131&lt;J130),FALSE)+IF(ISNUMBER('参数'!$G$36),K131&gt;='参数'!$G$36,FALSE)+IF(AND(ISNUMBER('参数'!$I$36),ISNUMBER(S131)),S131&lt;'参数'!$I$36,FALSE)+IF(AND(ISNUMBER(R131),ISNUMBER(R130)),R131&lt;R130,FALSE)),"")</f>
        <v/>
      </c>
      <c r="Z131" s="41" t="str">
        <f>IF(NOT(AND(ISNUMBER(J131),ISNUMBER(K131))),"",IF(COUNT(T131:Y131)=0,"先填阈值",IF(MAX(AD131:AI131)=0,"不写",INDEX($T$4:$Y$4,MATCH(MAX(AD131:AI131),AD131:AI131,0))&amp;"·"&amp;IF(MAX(AD131:AI131)&gt;=200,"高","中")&amp;IF(LARGE(AD131:AI131,2)&gt;0,"（也像"&amp;INDEX($T$4:$Y$4,MATCH(LARGE(AD131:AI131,2),AD131:AI131,0))&amp;"·"&amp;IF(LARGE(AD131:AI131,2)&gt;=200,"高","中")&amp;"）",""))))</f>
        <v/>
      </c>
      <c r="AA131" s="27" t="n"/>
      <c r="AB131" s="32" t="n"/>
      <c r="AC131" s="16" t="n"/>
      <c r="AD131" s="40">
        <f>IF(N(T131)&gt;=3,IF(T131=4,2,1)*100+T131*10+6,0)</f>
        <v>0</v>
      </c>
      <c r="AE131" s="40">
        <f>IF(N(U131)&gt;=3,1*100+U131*10+1,0)</f>
        <v>0</v>
      </c>
      <c r="AF131" s="40">
        <f>IF(N(V131)&gt;=3,IF(V131=4,2,1)*100+V131*10+2,0)</f>
        <v>0</v>
      </c>
      <c r="AG131" s="40">
        <f>IF(N(W131)&gt;=3,1*100+W131*10+3,0)</f>
        <v>0</v>
      </c>
      <c r="AH131" s="40">
        <f>IF(N(X131)&gt;=3,1*100+X131*10+4,0)</f>
        <v>0</v>
      </c>
      <c r="AI131" s="40">
        <f>IF(N(Y131)&gt;=3,IF(AND(N(T131)&gt;=3,OR(N(T131)=4,N(Y131)&lt;=N(T131))),0,IF(Y131=4,2,1)*100+Y131*10+5),0)</f>
        <v>0</v>
      </c>
    </row>
    <row r="132">
      <c r="A132" s="31" t="n"/>
      <c r="B132" s="36" t="str">
        <f>IF(ISNUMBER(A132),"周"&amp;CHOOSE(WEEKDAY(A132,2),"一","二","三","四","五","六","日"),"")</f>
        <v/>
      </c>
      <c r="C132" s="37" t="n"/>
      <c r="D132" s="37" t="n"/>
      <c r="E132" s="37" t="n"/>
      <c r="F132" s="17" t="n"/>
      <c r="G132" s="38" t="str">
        <f>IF(AND(ISNUMBER(F132),ISNUMBER(F131)),IF(F131=0,"",F132/F131-1),"")</f>
        <v/>
      </c>
      <c r="H132" s="17" t="n"/>
      <c r="I132" s="17" t="n"/>
      <c r="J132" s="17" t="n"/>
      <c r="K132" s="17" t="n"/>
      <c r="L132" s="17" t="n"/>
      <c r="M132" s="17" t="n"/>
      <c r="N132" s="39" t="str">
        <f>IF(AND(ISNUMBER(L132),ISNUMBER(M132),N(L132)&gt;0),M132/L132,"")</f>
        <v/>
      </c>
      <c r="O132" s="17" t="n"/>
      <c r="P132" s="17" t="n"/>
      <c r="Q132" s="39" t="str">
        <f>IF(AND(ISNUMBER(O132),ISNUMBER(P132),N(O132)&gt;0),P132/O132,"")</f>
        <v/>
      </c>
      <c r="R132" s="17" t="n"/>
      <c r="S132" s="37" t="n"/>
      <c r="T132" s="40" t="str">
        <f>IF(AND(ISNUMBER(J132),ISNUMBER(K132)),IF(N(ISNUMBER('参数'!$E$31))+N(ISNUMBER('参数'!$G$31))+N(ISNUMBER('参数'!$I$31))+N(ISNUMBER('参数'!$K$31))=0,"",IF(ISNUMBER('参数'!$E$31),J132&lt;='参数'!$E$31,FALSE)+IF(ISNUMBER('参数'!$G$31),K132&gt;='参数'!$G$31,FALSE)+IF(AND(ISNUMBER('参数'!$I$31),ISNUMBER(N132)),N132&gt;='参数'!$I$31,FALSE)+IF(AND(ISNUMBER('参数'!$K$31),ISNUMBER(Q132)),Q132&lt;='参数'!$K$31,FALSE)),"")</f>
        <v/>
      </c>
      <c r="U132" s="40" t="str">
        <f>IF(AND(ISNUMBER(J132),ISNUMBER(K132)),IF(N(ISNUMBER('参数'!$G$32))+N(ISNUMBER('参数'!$I$32))+N(ISNUMBER('参数'!$K$32))=0,"",IF(AND(ISNUMBER(J131),ISNUMBER(J130)),AND(J132&gt;J131,J131&gt;J130),FALSE)+IF(ISNUMBER('参数'!$G$32),J132&lt;'参数'!$G$32,FALSE)+IF(AND(ISNUMBER('参数'!$I$32),ISNUMBER(Q132)),Q132&gt;='参数'!$I$32,FALSE)+IF(AND(ISNUMBER('参数'!$K$32),ISNUMBER(S132)),S132&gt;='参数'!$K$32,FALSE)),"")</f>
        <v/>
      </c>
      <c r="V132" s="40" t="str">
        <f>IF(AND(ISNUMBER(J132),ISNUMBER(K132)),IF(N(ISNUMBER('参数'!$E$33))+N(ISNUMBER('参数'!$G$33))+N(ISNUMBER('参数'!$I$33))+N(ISNUMBER('参数'!$K$33))=0,"",IF(AND(ISNUMBER('参数'!$E$33),ISNUMBER(J131)),AND(J132&gt;='参数'!$E$33,J132&gt;J131),FALSE)+IF(AND(ISNUMBER('参数'!$G$33),ISNUMBER(N132)),N132&lt;='参数'!$G$33,FALSE)+IF(AND(ISNUMBER('参数'!$I$33),ISNUMBER(Q132)),Q132&gt;='参数'!$I$33,FALSE)+IF(AND(ISNUMBER('参数'!$K$33),ISNUMBER(S132)),S132&gt;='参数'!$K$33,FALSE)),"")</f>
        <v/>
      </c>
      <c r="W132" s="40" t="str">
        <f>IF(AND(ISNUMBER(J132),ISNUMBER(K132)),IF(N(ISNUMBER('参数'!$E$34))+N(ISNUMBER('参数'!$G$34))+N(ISNUMBER('参数'!$I$34))+N(ISNUMBER('参数'!$K$34))=0,"",IF(ISNUMBER('参数'!$E$34),J132&gt;='参数'!$E$34,FALSE)+IF(AND(ISNUMBER('参数'!$G$34),ISNUMBER(N132)),N132&lt;='参数'!$G$34,FALSE)+IF(AND(ISNUMBER('参数'!$I$34),ISNUMBER(S132)),S132&gt;='参数'!$I$34,FALSE)+IF(AND(ISNUMBER('参数'!$K$34),ISNUMBER(R132)),R132&gt;='参数'!$K$34,FALSE)),"")</f>
        <v/>
      </c>
      <c r="X132" s="40" t="str">
        <f>IF(AND(ISNUMBER(J132),ISNUMBER(K132)),IF(N(ISNUMBER('参数'!$E$35))+N(ISNUMBER('参数'!$G$35))+N(ISNUMBER('参数'!$I$35))=0,"",IF(AND(ISNUMBER('参数'!$E$35),ISNUMBER(N132),ISNUMBER(N131)),ROUND(N132-N131,6)&gt;='参数'!$E$35,FALSE)+IF(AND(ISNUMBER('参数'!$G$35),ISNUMBER(Q132),ISNUMBER(Q131)),ROUND(Q131-Q132,6)&gt;='参数'!$G$35,FALSE)+IF(AND(ISNUMBER('参数'!$I$35),ISNUMBER(S132),ISNUMBER(S131)),ROUND(S131-S132,6)&gt;='参数'!$I$35,FALSE)+IF(ISNUMBER(J131),J132&lt;J131,FALSE)),"")</f>
        <v/>
      </c>
      <c r="Y132" s="40" t="str">
        <f>IF(AND(ISNUMBER(J132),ISNUMBER(K132)),IF(N(ISNUMBER('参数'!$E$36))+N(ISNUMBER('参数'!$G$36))+N(ISNUMBER('参数'!$I$36))=0,"",IF(AND(ISNUMBER('参数'!$E$36),ISNUMBER(J131)),AND(J132&lt;='参数'!$E$36,J132&lt;J131),FALSE)+IF(ISNUMBER('参数'!$G$36),K132&gt;='参数'!$G$36,FALSE)+IF(AND(ISNUMBER('参数'!$I$36),ISNUMBER(S132)),S132&lt;'参数'!$I$36,FALSE)+IF(AND(ISNUMBER(R132),ISNUMBER(R131)),R132&lt;R131,FALSE)),"")</f>
        <v/>
      </c>
      <c r="Z132" s="41" t="str">
        <f>IF(NOT(AND(ISNUMBER(J132),ISNUMBER(K132))),"",IF(COUNT(T132:Y132)=0,"先填阈值",IF(MAX(AD132:AI132)=0,"不写",INDEX($T$4:$Y$4,MATCH(MAX(AD132:AI132),AD132:AI132,0))&amp;"·"&amp;IF(MAX(AD132:AI132)&gt;=200,"高","中")&amp;IF(LARGE(AD132:AI132,2)&gt;0,"（也像"&amp;INDEX($T$4:$Y$4,MATCH(LARGE(AD132:AI132,2),AD132:AI132,0))&amp;"·"&amp;IF(LARGE(AD132:AI132,2)&gt;=200,"高","中")&amp;"）",""))))</f>
        <v/>
      </c>
      <c r="AA132" s="27" t="n"/>
      <c r="AB132" s="32" t="n"/>
      <c r="AC132" s="16" t="n"/>
      <c r="AD132" s="40">
        <f>IF(N(T132)&gt;=3,IF(T132=4,2,1)*100+T132*10+6,0)</f>
        <v>0</v>
      </c>
      <c r="AE132" s="40">
        <f>IF(N(U132)&gt;=3,1*100+U132*10+1,0)</f>
        <v>0</v>
      </c>
      <c r="AF132" s="40">
        <f>IF(N(V132)&gt;=3,IF(V132=4,2,1)*100+V132*10+2,0)</f>
        <v>0</v>
      </c>
      <c r="AG132" s="40">
        <f>IF(N(W132)&gt;=3,1*100+W132*10+3,0)</f>
        <v>0</v>
      </c>
      <c r="AH132" s="40">
        <f>IF(N(X132)&gt;=3,1*100+X132*10+4,0)</f>
        <v>0</v>
      </c>
      <c r="AI132" s="40">
        <f>IF(N(Y132)&gt;=3,IF(AND(N(T132)&gt;=3,OR(N(T132)=4,N(Y132)&lt;=N(T132))),0,IF(Y132=4,2,1)*100+Y132*10+5),0)</f>
        <v>0</v>
      </c>
    </row>
    <row r="133">
      <c r="A133" s="31" t="n"/>
      <c r="B133" s="36" t="str">
        <f>IF(ISNUMBER(A133),"周"&amp;CHOOSE(WEEKDAY(A133,2),"一","二","三","四","五","六","日"),"")</f>
        <v/>
      </c>
      <c r="C133" s="37" t="n"/>
      <c r="D133" s="37" t="n"/>
      <c r="E133" s="37" t="n"/>
      <c r="F133" s="17" t="n"/>
      <c r="G133" s="38" t="str">
        <f>IF(AND(ISNUMBER(F133),ISNUMBER(F132)),IF(F132=0,"",F133/F132-1),"")</f>
        <v/>
      </c>
      <c r="H133" s="17" t="n"/>
      <c r="I133" s="17" t="n"/>
      <c r="J133" s="17" t="n"/>
      <c r="K133" s="17" t="n"/>
      <c r="L133" s="17" t="n"/>
      <c r="M133" s="17" t="n"/>
      <c r="N133" s="39" t="str">
        <f>IF(AND(ISNUMBER(L133),ISNUMBER(M133),N(L133)&gt;0),M133/L133,"")</f>
        <v/>
      </c>
      <c r="O133" s="17" t="n"/>
      <c r="P133" s="17" t="n"/>
      <c r="Q133" s="39" t="str">
        <f>IF(AND(ISNUMBER(O133),ISNUMBER(P133),N(O133)&gt;0),P133/O133,"")</f>
        <v/>
      </c>
      <c r="R133" s="17" t="n"/>
      <c r="S133" s="37" t="n"/>
      <c r="T133" s="40" t="str">
        <f>IF(AND(ISNUMBER(J133),ISNUMBER(K133)),IF(N(ISNUMBER('参数'!$E$31))+N(ISNUMBER('参数'!$G$31))+N(ISNUMBER('参数'!$I$31))+N(ISNUMBER('参数'!$K$31))=0,"",IF(ISNUMBER('参数'!$E$31),J133&lt;='参数'!$E$31,FALSE)+IF(ISNUMBER('参数'!$G$31),K133&gt;='参数'!$G$31,FALSE)+IF(AND(ISNUMBER('参数'!$I$31),ISNUMBER(N133)),N133&gt;='参数'!$I$31,FALSE)+IF(AND(ISNUMBER('参数'!$K$31),ISNUMBER(Q133)),Q133&lt;='参数'!$K$31,FALSE)),"")</f>
        <v/>
      </c>
      <c r="U133" s="40" t="str">
        <f>IF(AND(ISNUMBER(J133),ISNUMBER(K133)),IF(N(ISNUMBER('参数'!$G$32))+N(ISNUMBER('参数'!$I$32))+N(ISNUMBER('参数'!$K$32))=0,"",IF(AND(ISNUMBER(J132),ISNUMBER(J131)),AND(J133&gt;J132,J132&gt;J131),FALSE)+IF(ISNUMBER('参数'!$G$32),J133&lt;'参数'!$G$32,FALSE)+IF(AND(ISNUMBER('参数'!$I$32),ISNUMBER(Q133)),Q133&gt;='参数'!$I$32,FALSE)+IF(AND(ISNUMBER('参数'!$K$32),ISNUMBER(S133)),S133&gt;='参数'!$K$32,FALSE)),"")</f>
        <v/>
      </c>
      <c r="V133" s="40" t="str">
        <f>IF(AND(ISNUMBER(J133),ISNUMBER(K133)),IF(N(ISNUMBER('参数'!$E$33))+N(ISNUMBER('参数'!$G$33))+N(ISNUMBER('参数'!$I$33))+N(ISNUMBER('参数'!$K$33))=0,"",IF(AND(ISNUMBER('参数'!$E$33),ISNUMBER(J132)),AND(J133&gt;='参数'!$E$33,J133&gt;J132),FALSE)+IF(AND(ISNUMBER('参数'!$G$33),ISNUMBER(N133)),N133&lt;='参数'!$G$33,FALSE)+IF(AND(ISNUMBER('参数'!$I$33),ISNUMBER(Q133)),Q133&gt;='参数'!$I$33,FALSE)+IF(AND(ISNUMBER('参数'!$K$33),ISNUMBER(S133)),S133&gt;='参数'!$K$33,FALSE)),"")</f>
        <v/>
      </c>
      <c r="W133" s="40" t="str">
        <f>IF(AND(ISNUMBER(J133),ISNUMBER(K133)),IF(N(ISNUMBER('参数'!$E$34))+N(ISNUMBER('参数'!$G$34))+N(ISNUMBER('参数'!$I$34))+N(ISNUMBER('参数'!$K$34))=0,"",IF(ISNUMBER('参数'!$E$34),J133&gt;='参数'!$E$34,FALSE)+IF(AND(ISNUMBER('参数'!$G$34),ISNUMBER(N133)),N133&lt;='参数'!$G$34,FALSE)+IF(AND(ISNUMBER('参数'!$I$34),ISNUMBER(S133)),S133&gt;='参数'!$I$34,FALSE)+IF(AND(ISNUMBER('参数'!$K$34),ISNUMBER(R133)),R133&gt;='参数'!$K$34,FALSE)),"")</f>
        <v/>
      </c>
      <c r="X133" s="40" t="str">
        <f>IF(AND(ISNUMBER(J133),ISNUMBER(K133)),IF(N(ISNUMBER('参数'!$E$35))+N(ISNUMBER('参数'!$G$35))+N(ISNUMBER('参数'!$I$35))=0,"",IF(AND(ISNUMBER('参数'!$E$35),ISNUMBER(N133),ISNUMBER(N132)),ROUND(N133-N132,6)&gt;='参数'!$E$35,FALSE)+IF(AND(ISNUMBER('参数'!$G$35),ISNUMBER(Q133),ISNUMBER(Q132)),ROUND(Q132-Q133,6)&gt;='参数'!$G$35,FALSE)+IF(AND(ISNUMBER('参数'!$I$35),ISNUMBER(S133),ISNUMBER(S132)),ROUND(S132-S133,6)&gt;='参数'!$I$35,FALSE)+IF(ISNUMBER(J132),J133&lt;J132,FALSE)),"")</f>
        <v/>
      </c>
      <c r="Y133" s="40" t="str">
        <f>IF(AND(ISNUMBER(J133),ISNUMBER(K133)),IF(N(ISNUMBER('参数'!$E$36))+N(ISNUMBER('参数'!$G$36))+N(ISNUMBER('参数'!$I$36))=0,"",IF(AND(ISNUMBER('参数'!$E$36),ISNUMBER(J132)),AND(J133&lt;='参数'!$E$36,J133&lt;J132),FALSE)+IF(ISNUMBER('参数'!$G$36),K133&gt;='参数'!$G$36,FALSE)+IF(AND(ISNUMBER('参数'!$I$36),ISNUMBER(S133)),S133&lt;'参数'!$I$36,FALSE)+IF(AND(ISNUMBER(R133),ISNUMBER(R132)),R133&lt;R132,FALSE)),"")</f>
        <v/>
      </c>
      <c r="Z133" s="41" t="str">
        <f>IF(NOT(AND(ISNUMBER(J133),ISNUMBER(K133))),"",IF(COUNT(T133:Y133)=0,"先填阈值",IF(MAX(AD133:AI133)=0,"不写",INDEX($T$4:$Y$4,MATCH(MAX(AD133:AI133),AD133:AI133,0))&amp;"·"&amp;IF(MAX(AD133:AI133)&gt;=200,"高","中")&amp;IF(LARGE(AD133:AI133,2)&gt;0,"（也像"&amp;INDEX($T$4:$Y$4,MATCH(LARGE(AD133:AI133,2),AD133:AI133,0))&amp;"·"&amp;IF(LARGE(AD133:AI133,2)&gt;=200,"高","中")&amp;"）",""))))</f>
        <v/>
      </c>
      <c r="AA133" s="27" t="n"/>
      <c r="AB133" s="32" t="n"/>
      <c r="AC133" s="16" t="n"/>
      <c r="AD133" s="40">
        <f>IF(N(T133)&gt;=3,IF(T133=4,2,1)*100+T133*10+6,0)</f>
        <v>0</v>
      </c>
      <c r="AE133" s="40">
        <f>IF(N(U133)&gt;=3,1*100+U133*10+1,0)</f>
        <v>0</v>
      </c>
      <c r="AF133" s="40">
        <f>IF(N(V133)&gt;=3,IF(V133=4,2,1)*100+V133*10+2,0)</f>
        <v>0</v>
      </c>
      <c r="AG133" s="40">
        <f>IF(N(W133)&gt;=3,1*100+W133*10+3,0)</f>
        <v>0</v>
      </c>
      <c r="AH133" s="40">
        <f>IF(N(X133)&gt;=3,1*100+X133*10+4,0)</f>
        <v>0</v>
      </c>
      <c r="AI133" s="40">
        <f>IF(N(Y133)&gt;=3,IF(AND(N(T133)&gt;=3,OR(N(T133)=4,N(Y133)&lt;=N(T133))),0,IF(Y133=4,2,1)*100+Y133*10+5),0)</f>
        <v>0</v>
      </c>
    </row>
    <row r="134">
      <c r="A134" s="31" t="n"/>
      <c r="B134" s="36" t="str">
        <f>IF(ISNUMBER(A134),"周"&amp;CHOOSE(WEEKDAY(A134,2),"一","二","三","四","五","六","日"),"")</f>
        <v/>
      </c>
      <c r="C134" s="37" t="n"/>
      <c r="D134" s="37" t="n"/>
      <c r="E134" s="37" t="n"/>
      <c r="F134" s="17" t="n"/>
      <c r="G134" s="38" t="str">
        <f>IF(AND(ISNUMBER(F134),ISNUMBER(F133)),IF(F133=0,"",F134/F133-1),"")</f>
        <v/>
      </c>
      <c r="H134" s="17" t="n"/>
      <c r="I134" s="17" t="n"/>
      <c r="J134" s="17" t="n"/>
      <c r="K134" s="17" t="n"/>
      <c r="L134" s="17" t="n"/>
      <c r="M134" s="17" t="n"/>
      <c r="N134" s="39" t="str">
        <f>IF(AND(ISNUMBER(L134),ISNUMBER(M134),N(L134)&gt;0),M134/L134,"")</f>
        <v/>
      </c>
      <c r="O134" s="17" t="n"/>
      <c r="P134" s="17" t="n"/>
      <c r="Q134" s="39" t="str">
        <f>IF(AND(ISNUMBER(O134),ISNUMBER(P134),N(O134)&gt;0),P134/O134,"")</f>
        <v/>
      </c>
      <c r="R134" s="17" t="n"/>
      <c r="S134" s="37" t="n"/>
      <c r="T134" s="40" t="str">
        <f>IF(AND(ISNUMBER(J134),ISNUMBER(K134)),IF(N(ISNUMBER('参数'!$E$31))+N(ISNUMBER('参数'!$G$31))+N(ISNUMBER('参数'!$I$31))+N(ISNUMBER('参数'!$K$31))=0,"",IF(ISNUMBER('参数'!$E$31),J134&lt;='参数'!$E$31,FALSE)+IF(ISNUMBER('参数'!$G$31),K134&gt;='参数'!$G$31,FALSE)+IF(AND(ISNUMBER('参数'!$I$31),ISNUMBER(N134)),N134&gt;='参数'!$I$31,FALSE)+IF(AND(ISNUMBER('参数'!$K$31),ISNUMBER(Q134)),Q134&lt;='参数'!$K$31,FALSE)),"")</f>
        <v/>
      </c>
      <c r="U134" s="40" t="str">
        <f>IF(AND(ISNUMBER(J134),ISNUMBER(K134)),IF(N(ISNUMBER('参数'!$G$32))+N(ISNUMBER('参数'!$I$32))+N(ISNUMBER('参数'!$K$32))=0,"",IF(AND(ISNUMBER(J133),ISNUMBER(J132)),AND(J134&gt;J133,J133&gt;J132),FALSE)+IF(ISNUMBER('参数'!$G$32),J134&lt;'参数'!$G$32,FALSE)+IF(AND(ISNUMBER('参数'!$I$32),ISNUMBER(Q134)),Q134&gt;='参数'!$I$32,FALSE)+IF(AND(ISNUMBER('参数'!$K$32),ISNUMBER(S134)),S134&gt;='参数'!$K$32,FALSE)),"")</f>
        <v/>
      </c>
      <c r="V134" s="40" t="str">
        <f>IF(AND(ISNUMBER(J134),ISNUMBER(K134)),IF(N(ISNUMBER('参数'!$E$33))+N(ISNUMBER('参数'!$G$33))+N(ISNUMBER('参数'!$I$33))+N(ISNUMBER('参数'!$K$33))=0,"",IF(AND(ISNUMBER('参数'!$E$33),ISNUMBER(J133)),AND(J134&gt;='参数'!$E$33,J134&gt;J133),FALSE)+IF(AND(ISNUMBER('参数'!$G$33),ISNUMBER(N134)),N134&lt;='参数'!$G$33,FALSE)+IF(AND(ISNUMBER('参数'!$I$33),ISNUMBER(Q134)),Q134&gt;='参数'!$I$33,FALSE)+IF(AND(ISNUMBER('参数'!$K$33),ISNUMBER(S134)),S134&gt;='参数'!$K$33,FALSE)),"")</f>
        <v/>
      </c>
      <c r="W134" s="40" t="str">
        <f>IF(AND(ISNUMBER(J134),ISNUMBER(K134)),IF(N(ISNUMBER('参数'!$E$34))+N(ISNUMBER('参数'!$G$34))+N(ISNUMBER('参数'!$I$34))+N(ISNUMBER('参数'!$K$34))=0,"",IF(ISNUMBER('参数'!$E$34),J134&gt;='参数'!$E$34,FALSE)+IF(AND(ISNUMBER('参数'!$G$34),ISNUMBER(N134)),N134&lt;='参数'!$G$34,FALSE)+IF(AND(ISNUMBER('参数'!$I$34),ISNUMBER(S134)),S134&gt;='参数'!$I$34,FALSE)+IF(AND(ISNUMBER('参数'!$K$34),ISNUMBER(R134)),R134&gt;='参数'!$K$34,FALSE)),"")</f>
        <v/>
      </c>
      <c r="X134" s="40" t="str">
        <f>IF(AND(ISNUMBER(J134),ISNUMBER(K134)),IF(N(ISNUMBER('参数'!$E$35))+N(ISNUMBER('参数'!$G$35))+N(ISNUMBER('参数'!$I$35))=0,"",IF(AND(ISNUMBER('参数'!$E$35),ISNUMBER(N134),ISNUMBER(N133)),ROUND(N134-N133,6)&gt;='参数'!$E$35,FALSE)+IF(AND(ISNUMBER('参数'!$G$35),ISNUMBER(Q134),ISNUMBER(Q133)),ROUND(Q133-Q134,6)&gt;='参数'!$G$35,FALSE)+IF(AND(ISNUMBER('参数'!$I$35),ISNUMBER(S134),ISNUMBER(S133)),ROUND(S133-S134,6)&gt;='参数'!$I$35,FALSE)+IF(ISNUMBER(J133),J134&lt;J133,FALSE)),"")</f>
        <v/>
      </c>
      <c r="Y134" s="40" t="str">
        <f>IF(AND(ISNUMBER(J134),ISNUMBER(K134)),IF(N(ISNUMBER('参数'!$E$36))+N(ISNUMBER('参数'!$G$36))+N(ISNUMBER('参数'!$I$36))=0,"",IF(AND(ISNUMBER('参数'!$E$36),ISNUMBER(J133)),AND(J134&lt;='参数'!$E$36,J134&lt;J133),FALSE)+IF(ISNUMBER('参数'!$G$36),K134&gt;='参数'!$G$36,FALSE)+IF(AND(ISNUMBER('参数'!$I$36),ISNUMBER(S134)),S134&lt;'参数'!$I$36,FALSE)+IF(AND(ISNUMBER(R134),ISNUMBER(R133)),R134&lt;R133,FALSE)),"")</f>
        <v/>
      </c>
      <c r="Z134" s="41" t="str">
        <f>IF(NOT(AND(ISNUMBER(J134),ISNUMBER(K134))),"",IF(COUNT(T134:Y134)=0,"先填阈值",IF(MAX(AD134:AI134)=0,"不写",INDEX($T$4:$Y$4,MATCH(MAX(AD134:AI134),AD134:AI134,0))&amp;"·"&amp;IF(MAX(AD134:AI134)&gt;=200,"高","中")&amp;IF(LARGE(AD134:AI134,2)&gt;0,"（也像"&amp;INDEX($T$4:$Y$4,MATCH(LARGE(AD134:AI134,2),AD134:AI134,0))&amp;"·"&amp;IF(LARGE(AD134:AI134,2)&gt;=200,"高","中")&amp;"）",""))))</f>
        <v/>
      </c>
      <c r="AA134" s="27" t="n"/>
      <c r="AB134" s="32" t="n"/>
      <c r="AC134" s="16" t="n"/>
      <c r="AD134" s="40">
        <f>IF(N(T134)&gt;=3,IF(T134=4,2,1)*100+T134*10+6,0)</f>
        <v>0</v>
      </c>
      <c r="AE134" s="40">
        <f>IF(N(U134)&gt;=3,1*100+U134*10+1,0)</f>
        <v>0</v>
      </c>
      <c r="AF134" s="40">
        <f>IF(N(V134)&gt;=3,IF(V134=4,2,1)*100+V134*10+2,0)</f>
        <v>0</v>
      </c>
      <c r="AG134" s="40">
        <f>IF(N(W134)&gt;=3,1*100+W134*10+3,0)</f>
        <v>0</v>
      </c>
      <c r="AH134" s="40">
        <f>IF(N(X134)&gt;=3,1*100+X134*10+4,0)</f>
        <v>0</v>
      </c>
      <c r="AI134" s="40">
        <f>IF(N(Y134)&gt;=3,IF(AND(N(T134)&gt;=3,OR(N(T134)=4,N(Y134)&lt;=N(T134))),0,IF(Y134=4,2,1)*100+Y134*10+5),0)</f>
        <v>0</v>
      </c>
    </row>
    <row r="135">
      <c r="A135" s="31" t="n"/>
      <c r="B135" s="36" t="str">
        <f>IF(ISNUMBER(A135),"周"&amp;CHOOSE(WEEKDAY(A135,2),"一","二","三","四","五","六","日"),"")</f>
        <v/>
      </c>
      <c r="C135" s="37" t="n"/>
      <c r="D135" s="37" t="n"/>
      <c r="E135" s="37" t="n"/>
      <c r="F135" s="17" t="n"/>
      <c r="G135" s="38" t="str">
        <f>IF(AND(ISNUMBER(F135),ISNUMBER(F134)),IF(F134=0,"",F135/F134-1),"")</f>
        <v/>
      </c>
      <c r="H135" s="17" t="n"/>
      <c r="I135" s="17" t="n"/>
      <c r="J135" s="17" t="n"/>
      <c r="K135" s="17" t="n"/>
      <c r="L135" s="17" t="n"/>
      <c r="M135" s="17" t="n"/>
      <c r="N135" s="39" t="str">
        <f>IF(AND(ISNUMBER(L135),ISNUMBER(M135),N(L135)&gt;0),M135/L135,"")</f>
        <v/>
      </c>
      <c r="O135" s="17" t="n"/>
      <c r="P135" s="17" t="n"/>
      <c r="Q135" s="39" t="str">
        <f>IF(AND(ISNUMBER(O135),ISNUMBER(P135),N(O135)&gt;0),P135/O135,"")</f>
        <v/>
      </c>
      <c r="R135" s="17" t="n"/>
      <c r="S135" s="37" t="n"/>
      <c r="T135" s="40" t="str">
        <f>IF(AND(ISNUMBER(J135),ISNUMBER(K135)),IF(N(ISNUMBER('参数'!$E$31))+N(ISNUMBER('参数'!$G$31))+N(ISNUMBER('参数'!$I$31))+N(ISNUMBER('参数'!$K$31))=0,"",IF(ISNUMBER('参数'!$E$31),J135&lt;='参数'!$E$31,FALSE)+IF(ISNUMBER('参数'!$G$31),K135&gt;='参数'!$G$31,FALSE)+IF(AND(ISNUMBER('参数'!$I$31),ISNUMBER(N135)),N135&gt;='参数'!$I$31,FALSE)+IF(AND(ISNUMBER('参数'!$K$31),ISNUMBER(Q135)),Q135&lt;='参数'!$K$31,FALSE)),"")</f>
        <v/>
      </c>
      <c r="U135" s="40" t="str">
        <f>IF(AND(ISNUMBER(J135),ISNUMBER(K135)),IF(N(ISNUMBER('参数'!$G$32))+N(ISNUMBER('参数'!$I$32))+N(ISNUMBER('参数'!$K$32))=0,"",IF(AND(ISNUMBER(J134),ISNUMBER(J133)),AND(J135&gt;J134,J134&gt;J133),FALSE)+IF(ISNUMBER('参数'!$G$32),J135&lt;'参数'!$G$32,FALSE)+IF(AND(ISNUMBER('参数'!$I$32),ISNUMBER(Q135)),Q135&gt;='参数'!$I$32,FALSE)+IF(AND(ISNUMBER('参数'!$K$32),ISNUMBER(S135)),S135&gt;='参数'!$K$32,FALSE)),"")</f>
        <v/>
      </c>
      <c r="V135" s="40" t="str">
        <f>IF(AND(ISNUMBER(J135),ISNUMBER(K135)),IF(N(ISNUMBER('参数'!$E$33))+N(ISNUMBER('参数'!$G$33))+N(ISNUMBER('参数'!$I$33))+N(ISNUMBER('参数'!$K$33))=0,"",IF(AND(ISNUMBER('参数'!$E$33),ISNUMBER(J134)),AND(J135&gt;='参数'!$E$33,J135&gt;J134),FALSE)+IF(AND(ISNUMBER('参数'!$G$33),ISNUMBER(N135)),N135&lt;='参数'!$G$33,FALSE)+IF(AND(ISNUMBER('参数'!$I$33),ISNUMBER(Q135)),Q135&gt;='参数'!$I$33,FALSE)+IF(AND(ISNUMBER('参数'!$K$33),ISNUMBER(S135)),S135&gt;='参数'!$K$33,FALSE)),"")</f>
        <v/>
      </c>
      <c r="W135" s="40" t="str">
        <f>IF(AND(ISNUMBER(J135),ISNUMBER(K135)),IF(N(ISNUMBER('参数'!$E$34))+N(ISNUMBER('参数'!$G$34))+N(ISNUMBER('参数'!$I$34))+N(ISNUMBER('参数'!$K$34))=0,"",IF(ISNUMBER('参数'!$E$34),J135&gt;='参数'!$E$34,FALSE)+IF(AND(ISNUMBER('参数'!$G$34),ISNUMBER(N135)),N135&lt;='参数'!$G$34,FALSE)+IF(AND(ISNUMBER('参数'!$I$34),ISNUMBER(S135)),S135&gt;='参数'!$I$34,FALSE)+IF(AND(ISNUMBER('参数'!$K$34),ISNUMBER(R135)),R135&gt;='参数'!$K$34,FALSE)),"")</f>
        <v/>
      </c>
      <c r="X135" s="40" t="str">
        <f>IF(AND(ISNUMBER(J135),ISNUMBER(K135)),IF(N(ISNUMBER('参数'!$E$35))+N(ISNUMBER('参数'!$G$35))+N(ISNUMBER('参数'!$I$35))=0,"",IF(AND(ISNUMBER('参数'!$E$35),ISNUMBER(N135),ISNUMBER(N134)),ROUND(N135-N134,6)&gt;='参数'!$E$35,FALSE)+IF(AND(ISNUMBER('参数'!$G$35),ISNUMBER(Q135),ISNUMBER(Q134)),ROUND(Q134-Q135,6)&gt;='参数'!$G$35,FALSE)+IF(AND(ISNUMBER('参数'!$I$35),ISNUMBER(S135),ISNUMBER(S134)),ROUND(S134-S135,6)&gt;='参数'!$I$35,FALSE)+IF(ISNUMBER(J134),J135&lt;J134,FALSE)),"")</f>
        <v/>
      </c>
      <c r="Y135" s="40" t="str">
        <f>IF(AND(ISNUMBER(J135),ISNUMBER(K135)),IF(N(ISNUMBER('参数'!$E$36))+N(ISNUMBER('参数'!$G$36))+N(ISNUMBER('参数'!$I$36))=0,"",IF(AND(ISNUMBER('参数'!$E$36),ISNUMBER(J134)),AND(J135&lt;='参数'!$E$36,J135&lt;J134),FALSE)+IF(ISNUMBER('参数'!$G$36),K135&gt;='参数'!$G$36,FALSE)+IF(AND(ISNUMBER('参数'!$I$36),ISNUMBER(S135)),S135&lt;'参数'!$I$36,FALSE)+IF(AND(ISNUMBER(R135),ISNUMBER(R134)),R135&lt;R134,FALSE)),"")</f>
        <v/>
      </c>
      <c r="Z135" s="41" t="str">
        <f>IF(NOT(AND(ISNUMBER(J135),ISNUMBER(K135))),"",IF(COUNT(T135:Y135)=0,"先填阈值",IF(MAX(AD135:AI135)=0,"不写",INDEX($T$4:$Y$4,MATCH(MAX(AD135:AI135),AD135:AI135,0))&amp;"·"&amp;IF(MAX(AD135:AI135)&gt;=200,"高","中")&amp;IF(LARGE(AD135:AI135,2)&gt;0,"（也像"&amp;INDEX($T$4:$Y$4,MATCH(LARGE(AD135:AI135,2),AD135:AI135,0))&amp;"·"&amp;IF(LARGE(AD135:AI135,2)&gt;=200,"高","中")&amp;"）",""))))</f>
        <v/>
      </c>
      <c r="AA135" s="27" t="n"/>
      <c r="AB135" s="32" t="n"/>
      <c r="AC135" s="16" t="n"/>
      <c r="AD135" s="40">
        <f>IF(N(T135)&gt;=3,IF(T135=4,2,1)*100+T135*10+6,0)</f>
        <v>0</v>
      </c>
      <c r="AE135" s="40">
        <f>IF(N(U135)&gt;=3,1*100+U135*10+1,0)</f>
        <v>0</v>
      </c>
      <c r="AF135" s="40">
        <f>IF(N(V135)&gt;=3,IF(V135=4,2,1)*100+V135*10+2,0)</f>
        <v>0</v>
      </c>
      <c r="AG135" s="40">
        <f>IF(N(W135)&gt;=3,1*100+W135*10+3,0)</f>
        <v>0</v>
      </c>
      <c r="AH135" s="40">
        <f>IF(N(X135)&gt;=3,1*100+X135*10+4,0)</f>
        <v>0</v>
      </c>
      <c r="AI135" s="40">
        <f>IF(N(Y135)&gt;=3,IF(AND(N(T135)&gt;=3,OR(N(T135)=4,N(Y135)&lt;=N(T135))),0,IF(Y135=4,2,1)*100+Y135*10+5),0)</f>
        <v>0</v>
      </c>
    </row>
    <row r="136">
      <c r="A136" s="31" t="n"/>
      <c r="B136" s="36" t="str">
        <f>IF(ISNUMBER(A136),"周"&amp;CHOOSE(WEEKDAY(A136,2),"一","二","三","四","五","六","日"),"")</f>
        <v/>
      </c>
      <c r="C136" s="37" t="n"/>
      <c r="D136" s="37" t="n"/>
      <c r="E136" s="37" t="n"/>
      <c r="F136" s="17" t="n"/>
      <c r="G136" s="38" t="str">
        <f>IF(AND(ISNUMBER(F136),ISNUMBER(F135)),IF(F135=0,"",F136/F135-1),"")</f>
        <v/>
      </c>
      <c r="H136" s="17" t="n"/>
      <c r="I136" s="17" t="n"/>
      <c r="J136" s="17" t="n"/>
      <c r="K136" s="17" t="n"/>
      <c r="L136" s="17" t="n"/>
      <c r="M136" s="17" t="n"/>
      <c r="N136" s="39" t="str">
        <f>IF(AND(ISNUMBER(L136),ISNUMBER(M136),N(L136)&gt;0),M136/L136,"")</f>
        <v/>
      </c>
      <c r="O136" s="17" t="n"/>
      <c r="P136" s="17" t="n"/>
      <c r="Q136" s="39" t="str">
        <f>IF(AND(ISNUMBER(O136),ISNUMBER(P136),N(O136)&gt;0),P136/O136,"")</f>
        <v/>
      </c>
      <c r="R136" s="17" t="n"/>
      <c r="S136" s="37" t="n"/>
      <c r="T136" s="40" t="str">
        <f>IF(AND(ISNUMBER(J136),ISNUMBER(K136)),IF(N(ISNUMBER('参数'!$E$31))+N(ISNUMBER('参数'!$G$31))+N(ISNUMBER('参数'!$I$31))+N(ISNUMBER('参数'!$K$31))=0,"",IF(ISNUMBER('参数'!$E$31),J136&lt;='参数'!$E$31,FALSE)+IF(ISNUMBER('参数'!$G$31),K136&gt;='参数'!$G$31,FALSE)+IF(AND(ISNUMBER('参数'!$I$31),ISNUMBER(N136)),N136&gt;='参数'!$I$31,FALSE)+IF(AND(ISNUMBER('参数'!$K$31),ISNUMBER(Q136)),Q136&lt;='参数'!$K$31,FALSE)),"")</f>
        <v/>
      </c>
      <c r="U136" s="40" t="str">
        <f>IF(AND(ISNUMBER(J136),ISNUMBER(K136)),IF(N(ISNUMBER('参数'!$G$32))+N(ISNUMBER('参数'!$I$32))+N(ISNUMBER('参数'!$K$32))=0,"",IF(AND(ISNUMBER(J135),ISNUMBER(J134)),AND(J136&gt;J135,J135&gt;J134),FALSE)+IF(ISNUMBER('参数'!$G$32),J136&lt;'参数'!$G$32,FALSE)+IF(AND(ISNUMBER('参数'!$I$32),ISNUMBER(Q136)),Q136&gt;='参数'!$I$32,FALSE)+IF(AND(ISNUMBER('参数'!$K$32),ISNUMBER(S136)),S136&gt;='参数'!$K$32,FALSE)),"")</f>
        <v/>
      </c>
      <c r="V136" s="40" t="str">
        <f>IF(AND(ISNUMBER(J136),ISNUMBER(K136)),IF(N(ISNUMBER('参数'!$E$33))+N(ISNUMBER('参数'!$G$33))+N(ISNUMBER('参数'!$I$33))+N(ISNUMBER('参数'!$K$33))=0,"",IF(AND(ISNUMBER('参数'!$E$33),ISNUMBER(J135)),AND(J136&gt;='参数'!$E$33,J136&gt;J135),FALSE)+IF(AND(ISNUMBER('参数'!$G$33),ISNUMBER(N136)),N136&lt;='参数'!$G$33,FALSE)+IF(AND(ISNUMBER('参数'!$I$33),ISNUMBER(Q136)),Q136&gt;='参数'!$I$33,FALSE)+IF(AND(ISNUMBER('参数'!$K$33),ISNUMBER(S136)),S136&gt;='参数'!$K$33,FALSE)),"")</f>
        <v/>
      </c>
      <c r="W136" s="40" t="str">
        <f>IF(AND(ISNUMBER(J136),ISNUMBER(K136)),IF(N(ISNUMBER('参数'!$E$34))+N(ISNUMBER('参数'!$G$34))+N(ISNUMBER('参数'!$I$34))+N(ISNUMBER('参数'!$K$34))=0,"",IF(ISNUMBER('参数'!$E$34),J136&gt;='参数'!$E$34,FALSE)+IF(AND(ISNUMBER('参数'!$G$34),ISNUMBER(N136)),N136&lt;='参数'!$G$34,FALSE)+IF(AND(ISNUMBER('参数'!$I$34),ISNUMBER(S136)),S136&gt;='参数'!$I$34,FALSE)+IF(AND(ISNUMBER('参数'!$K$34),ISNUMBER(R136)),R136&gt;='参数'!$K$34,FALSE)),"")</f>
        <v/>
      </c>
      <c r="X136" s="40" t="str">
        <f>IF(AND(ISNUMBER(J136),ISNUMBER(K136)),IF(N(ISNUMBER('参数'!$E$35))+N(ISNUMBER('参数'!$G$35))+N(ISNUMBER('参数'!$I$35))=0,"",IF(AND(ISNUMBER('参数'!$E$35),ISNUMBER(N136),ISNUMBER(N135)),ROUND(N136-N135,6)&gt;='参数'!$E$35,FALSE)+IF(AND(ISNUMBER('参数'!$G$35),ISNUMBER(Q136),ISNUMBER(Q135)),ROUND(Q135-Q136,6)&gt;='参数'!$G$35,FALSE)+IF(AND(ISNUMBER('参数'!$I$35),ISNUMBER(S136),ISNUMBER(S135)),ROUND(S135-S136,6)&gt;='参数'!$I$35,FALSE)+IF(ISNUMBER(J135),J136&lt;J135,FALSE)),"")</f>
        <v/>
      </c>
      <c r="Y136" s="40" t="str">
        <f>IF(AND(ISNUMBER(J136),ISNUMBER(K136)),IF(N(ISNUMBER('参数'!$E$36))+N(ISNUMBER('参数'!$G$36))+N(ISNUMBER('参数'!$I$36))=0,"",IF(AND(ISNUMBER('参数'!$E$36),ISNUMBER(J135)),AND(J136&lt;='参数'!$E$36,J136&lt;J135),FALSE)+IF(ISNUMBER('参数'!$G$36),K136&gt;='参数'!$G$36,FALSE)+IF(AND(ISNUMBER('参数'!$I$36),ISNUMBER(S136)),S136&lt;'参数'!$I$36,FALSE)+IF(AND(ISNUMBER(R136),ISNUMBER(R135)),R136&lt;R135,FALSE)),"")</f>
        <v/>
      </c>
      <c r="Z136" s="41" t="str">
        <f>IF(NOT(AND(ISNUMBER(J136),ISNUMBER(K136))),"",IF(COUNT(T136:Y136)=0,"先填阈值",IF(MAX(AD136:AI136)=0,"不写",INDEX($T$4:$Y$4,MATCH(MAX(AD136:AI136),AD136:AI136,0))&amp;"·"&amp;IF(MAX(AD136:AI136)&gt;=200,"高","中")&amp;IF(LARGE(AD136:AI136,2)&gt;0,"（也像"&amp;INDEX($T$4:$Y$4,MATCH(LARGE(AD136:AI136,2),AD136:AI136,0))&amp;"·"&amp;IF(LARGE(AD136:AI136,2)&gt;=200,"高","中")&amp;"）",""))))</f>
        <v/>
      </c>
      <c r="AA136" s="27" t="n"/>
      <c r="AB136" s="32" t="n"/>
      <c r="AC136" s="16" t="n"/>
      <c r="AD136" s="40">
        <f>IF(N(T136)&gt;=3,IF(T136=4,2,1)*100+T136*10+6,0)</f>
        <v>0</v>
      </c>
      <c r="AE136" s="40">
        <f>IF(N(U136)&gt;=3,1*100+U136*10+1,0)</f>
        <v>0</v>
      </c>
      <c r="AF136" s="40">
        <f>IF(N(V136)&gt;=3,IF(V136=4,2,1)*100+V136*10+2,0)</f>
        <v>0</v>
      </c>
      <c r="AG136" s="40">
        <f>IF(N(W136)&gt;=3,1*100+W136*10+3,0)</f>
        <v>0</v>
      </c>
      <c r="AH136" s="40">
        <f>IF(N(X136)&gt;=3,1*100+X136*10+4,0)</f>
        <v>0</v>
      </c>
      <c r="AI136" s="40">
        <f>IF(N(Y136)&gt;=3,IF(AND(N(T136)&gt;=3,OR(N(T136)=4,N(Y136)&lt;=N(T136))),0,IF(Y136=4,2,1)*100+Y136*10+5),0)</f>
        <v>0</v>
      </c>
    </row>
    <row r="137">
      <c r="A137" s="31" t="n"/>
      <c r="B137" s="36" t="str">
        <f>IF(ISNUMBER(A137),"周"&amp;CHOOSE(WEEKDAY(A137,2),"一","二","三","四","五","六","日"),"")</f>
        <v/>
      </c>
      <c r="C137" s="37" t="n"/>
      <c r="D137" s="37" t="n"/>
      <c r="E137" s="37" t="n"/>
      <c r="F137" s="17" t="n"/>
      <c r="G137" s="38" t="str">
        <f>IF(AND(ISNUMBER(F137),ISNUMBER(F136)),IF(F136=0,"",F137/F136-1),"")</f>
        <v/>
      </c>
      <c r="H137" s="17" t="n"/>
      <c r="I137" s="17" t="n"/>
      <c r="J137" s="17" t="n"/>
      <c r="K137" s="17" t="n"/>
      <c r="L137" s="17" t="n"/>
      <c r="M137" s="17" t="n"/>
      <c r="N137" s="39" t="str">
        <f>IF(AND(ISNUMBER(L137),ISNUMBER(M137),N(L137)&gt;0),M137/L137,"")</f>
        <v/>
      </c>
      <c r="O137" s="17" t="n"/>
      <c r="P137" s="17" t="n"/>
      <c r="Q137" s="39" t="str">
        <f>IF(AND(ISNUMBER(O137),ISNUMBER(P137),N(O137)&gt;0),P137/O137,"")</f>
        <v/>
      </c>
      <c r="R137" s="17" t="n"/>
      <c r="S137" s="37" t="n"/>
      <c r="T137" s="40" t="str">
        <f>IF(AND(ISNUMBER(J137),ISNUMBER(K137)),IF(N(ISNUMBER('参数'!$E$31))+N(ISNUMBER('参数'!$G$31))+N(ISNUMBER('参数'!$I$31))+N(ISNUMBER('参数'!$K$31))=0,"",IF(ISNUMBER('参数'!$E$31),J137&lt;='参数'!$E$31,FALSE)+IF(ISNUMBER('参数'!$G$31),K137&gt;='参数'!$G$31,FALSE)+IF(AND(ISNUMBER('参数'!$I$31),ISNUMBER(N137)),N137&gt;='参数'!$I$31,FALSE)+IF(AND(ISNUMBER('参数'!$K$31),ISNUMBER(Q137)),Q137&lt;='参数'!$K$31,FALSE)),"")</f>
        <v/>
      </c>
      <c r="U137" s="40" t="str">
        <f>IF(AND(ISNUMBER(J137),ISNUMBER(K137)),IF(N(ISNUMBER('参数'!$G$32))+N(ISNUMBER('参数'!$I$32))+N(ISNUMBER('参数'!$K$32))=0,"",IF(AND(ISNUMBER(J136),ISNUMBER(J135)),AND(J137&gt;J136,J136&gt;J135),FALSE)+IF(ISNUMBER('参数'!$G$32),J137&lt;'参数'!$G$32,FALSE)+IF(AND(ISNUMBER('参数'!$I$32),ISNUMBER(Q137)),Q137&gt;='参数'!$I$32,FALSE)+IF(AND(ISNUMBER('参数'!$K$32),ISNUMBER(S137)),S137&gt;='参数'!$K$32,FALSE)),"")</f>
        <v/>
      </c>
      <c r="V137" s="40" t="str">
        <f>IF(AND(ISNUMBER(J137),ISNUMBER(K137)),IF(N(ISNUMBER('参数'!$E$33))+N(ISNUMBER('参数'!$G$33))+N(ISNUMBER('参数'!$I$33))+N(ISNUMBER('参数'!$K$33))=0,"",IF(AND(ISNUMBER('参数'!$E$33),ISNUMBER(J136)),AND(J137&gt;='参数'!$E$33,J137&gt;J136),FALSE)+IF(AND(ISNUMBER('参数'!$G$33),ISNUMBER(N137)),N137&lt;='参数'!$G$33,FALSE)+IF(AND(ISNUMBER('参数'!$I$33),ISNUMBER(Q137)),Q137&gt;='参数'!$I$33,FALSE)+IF(AND(ISNUMBER('参数'!$K$33),ISNUMBER(S137)),S137&gt;='参数'!$K$33,FALSE)),"")</f>
        <v/>
      </c>
      <c r="W137" s="40" t="str">
        <f>IF(AND(ISNUMBER(J137),ISNUMBER(K137)),IF(N(ISNUMBER('参数'!$E$34))+N(ISNUMBER('参数'!$G$34))+N(ISNUMBER('参数'!$I$34))+N(ISNUMBER('参数'!$K$34))=0,"",IF(ISNUMBER('参数'!$E$34),J137&gt;='参数'!$E$34,FALSE)+IF(AND(ISNUMBER('参数'!$G$34),ISNUMBER(N137)),N137&lt;='参数'!$G$34,FALSE)+IF(AND(ISNUMBER('参数'!$I$34),ISNUMBER(S137)),S137&gt;='参数'!$I$34,FALSE)+IF(AND(ISNUMBER('参数'!$K$34),ISNUMBER(R137)),R137&gt;='参数'!$K$34,FALSE)),"")</f>
        <v/>
      </c>
      <c r="X137" s="40" t="str">
        <f>IF(AND(ISNUMBER(J137),ISNUMBER(K137)),IF(N(ISNUMBER('参数'!$E$35))+N(ISNUMBER('参数'!$G$35))+N(ISNUMBER('参数'!$I$35))=0,"",IF(AND(ISNUMBER('参数'!$E$35),ISNUMBER(N137),ISNUMBER(N136)),ROUND(N137-N136,6)&gt;='参数'!$E$35,FALSE)+IF(AND(ISNUMBER('参数'!$G$35),ISNUMBER(Q137),ISNUMBER(Q136)),ROUND(Q136-Q137,6)&gt;='参数'!$G$35,FALSE)+IF(AND(ISNUMBER('参数'!$I$35),ISNUMBER(S137),ISNUMBER(S136)),ROUND(S136-S137,6)&gt;='参数'!$I$35,FALSE)+IF(ISNUMBER(J136),J137&lt;J136,FALSE)),"")</f>
        <v/>
      </c>
      <c r="Y137" s="40" t="str">
        <f>IF(AND(ISNUMBER(J137),ISNUMBER(K137)),IF(N(ISNUMBER('参数'!$E$36))+N(ISNUMBER('参数'!$G$36))+N(ISNUMBER('参数'!$I$36))=0,"",IF(AND(ISNUMBER('参数'!$E$36),ISNUMBER(J136)),AND(J137&lt;='参数'!$E$36,J137&lt;J136),FALSE)+IF(ISNUMBER('参数'!$G$36),K137&gt;='参数'!$G$36,FALSE)+IF(AND(ISNUMBER('参数'!$I$36),ISNUMBER(S137)),S137&lt;'参数'!$I$36,FALSE)+IF(AND(ISNUMBER(R137),ISNUMBER(R136)),R137&lt;R136,FALSE)),"")</f>
        <v/>
      </c>
      <c r="Z137" s="41" t="str">
        <f>IF(NOT(AND(ISNUMBER(J137),ISNUMBER(K137))),"",IF(COUNT(T137:Y137)=0,"先填阈值",IF(MAX(AD137:AI137)=0,"不写",INDEX($T$4:$Y$4,MATCH(MAX(AD137:AI137),AD137:AI137,0))&amp;"·"&amp;IF(MAX(AD137:AI137)&gt;=200,"高","中")&amp;IF(LARGE(AD137:AI137,2)&gt;0,"（也像"&amp;INDEX($T$4:$Y$4,MATCH(LARGE(AD137:AI137,2),AD137:AI137,0))&amp;"·"&amp;IF(LARGE(AD137:AI137,2)&gt;=200,"高","中")&amp;"）",""))))</f>
        <v/>
      </c>
      <c r="AA137" s="27" t="n"/>
      <c r="AB137" s="32" t="n"/>
      <c r="AC137" s="16" t="n"/>
      <c r="AD137" s="40">
        <f>IF(N(T137)&gt;=3,IF(T137=4,2,1)*100+T137*10+6,0)</f>
        <v>0</v>
      </c>
      <c r="AE137" s="40">
        <f>IF(N(U137)&gt;=3,1*100+U137*10+1,0)</f>
        <v>0</v>
      </c>
      <c r="AF137" s="40">
        <f>IF(N(V137)&gt;=3,IF(V137=4,2,1)*100+V137*10+2,0)</f>
        <v>0</v>
      </c>
      <c r="AG137" s="40">
        <f>IF(N(W137)&gt;=3,1*100+W137*10+3,0)</f>
        <v>0</v>
      </c>
      <c r="AH137" s="40">
        <f>IF(N(X137)&gt;=3,1*100+X137*10+4,0)</f>
        <v>0</v>
      </c>
      <c r="AI137" s="40">
        <f>IF(N(Y137)&gt;=3,IF(AND(N(T137)&gt;=3,OR(N(T137)=4,N(Y137)&lt;=N(T137))),0,IF(Y137=4,2,1)*100+Y137*10+5),0)</f>
        <v>0</v>
      </c>
    </row>
    <row r="138">
      <c r="A138" s="31" t="n"/>
      <c r="B138" s="36" t="str">
        <f>IF(ISNUMBER(A138),"周"&amp;CHOOSE(WEEKDAY(A138,2),"一","二","三","四","五","六","日"),"")</f>
        <v/>
      </c>
      <c r="C138" s="37" t="n"/>
      <c r="D138" s="37" t="n"/>
      <c r="E138" s="37" t="n"/>
      <c r="F138" s="17" t="n"/>
      <c r="G138" s="38" t="str">
        <f>IF(AND(ISNUMBER(F138),ISNUMBER(F137)),IF(F137=0,"",F138/F137-1),"")</f>
        <v/>
      </c>
      <c r="H138" s="17" t="n"/>
      <c r="I138" s="17" t="n"/>
      <c r="J138" s="17" t="n"/>
      <c r="K138" s="17" t="n"/>
      <c r="L138" s="17" t="n"/>
      <c r="M138" s="17" t="n"/>
      <c r="N138" s="39" t="str">
        <f>IF(AND(ISNUMBER(L138),ISNUMBER(M138),N(L138)&gt;0),M138/L138,"")</f>
        <v/>
      </c>
      <c r="O138" s="17" t="n"/>
      <c r="P138" s="17" t="n"/>
      <c r="Q138" s="39" t="str">
        <f>IF(AND(ISNUMBER(O138),ISNUMBER(P138),N(O138)&gt;0),P138/O138,"")</f>
        <v/>
      </c>
      <c r="R138" s="17" t="n"/>
      <c r="S138" s="37" t="n"/>
      <c r="T138" s="40" t="str">
        <f>IF(AND(ISNUMBER(J138),ISNUMBER(K138)),IF(N(ISNUMBER('参数'!$E$31))+N(ISNUMBER('参数'!$G$31))+N(ISNUMBER('参数'!$I$31))+N(ISNUMBER('参数'!$K$31))=0,"",IF(ISNUMBER('参数'!$E$31),J138&lt;='参数'!$E$31,FALSE)+IF(ISNUMBER('参数'!$G$31),K138&gt;='参数'!$G$31,FALSE)+IF(AND(ISNUMBER('参数'!$I$31),ISNUMBER(N138)),N138&gt;='参数'!$I$31,FALSE)+IF(AND(ISNUMBER('参数'!$K$31),ISNUMBER(Q138)),Q138&lt;='参数'!$K$31,FALSE)),"")</f>
        <v/>
      </c>
      <c r="U138" s="40" t="str">
        <f>IF(AND(ISNUMBER(J138),ISNUMBER(K138)),IF(N(ISNUMBER('参数'!$G$32))+N(ISNUMBER('参数'!$I$32))+N(ISNUMBER('参数'!$K$32))=0,"",IF(AND(ISNUMBER(J137),ISNUMBER(J136)),AND(J138&gt;J137,J137&gt;J136),FALSE)+IF(ISNUMBER('参数'!$G$32),J138&lt;'参数'!$G$32,FALSE)+IF(AND(ISNUMBER('参数'!$I$32),ISNUMBER(Q138)),Q138&gt;='参数'!$I$32,FALSE)+IF(AND(ISNUMBER('参数'!$K$32),ISNUMBER(S138)),S138&gt;='参数'!$K$32,FALSE)),"")</f>
        <v/>
      </c>
      <c r="V138" s="40" t="str">
        <f>IF(AND(ISNUMBER(J138),ISNUMBER(K138)),IF(N(ISNUMBER('参数'!$E$33))+N(ISNUMBER('参数'!$G$33))+N(ISNUMBER('参数'!$I$33))+N(ISNUMBER('参数'!$K$33))=0,"",IF(AND(ISNUMBER('参数'!$E$33),ISNUMBER(J137)),AND(J138&gt;='参数'!$E$33,J138&gt;J137),FALSE)+IF(AND(ISNUMBER('参数'!$G$33),ISNUMBER(N138)),N138&lt;='参数'!$G$33,FALSE)+IF(AND(ISNUMBER('参数'!$I$33),ISNUMBER(Q138)),Q138&gt;='参数'!$I$33,FALSE)+IF(AND(ISNUMBER('参数'!$K$33),ISNUMBER(S138)),S138&gt;='参数'!$K$33,FALSE)),"")</f>
        <v/>
      </c>
      <c r="W138" s="40" t="str">
        <f>IF(AND(ISNUMBER(J138),ISNUMBER(K138)),IF(N(ISNUMBER('参数'!$E$34))+N(ISNUMBER('参数'!$G$34))+N(ISNUMBER('参数'!$I$34))+N(ISNUMBER('参数'!$K$34))=0,"",IF(ISNUMBER('参数'!$E$34),J138&gt;='参数'!$E$34,FALSE)+IF(AND(ISNUMBER('参数'!$G$34),ISNUMBER(N138)),N138&lt;='参数'!$G$34,FALSE)+IF(AND(ISNUMBER('参数'!$I$34),ISNUMBER(S138)),S138&gt;='参数'!$I$34,FALSE)+IF(AND(ISNUMBER('参数'!$K$34),ISNUMBER(R138)),R138&gt;='参数'!$K$34,FALSE)),"")</f>
        <v/>
      </c>
      <c r="X138" s="40" t="str">
        <f>IF(AND(ISNUMBER(J138),ISNUMBER(K138)),IF(N(ISNUMBER('参数'!$E$35))+N(ISNUMBER('参数'!$G$35))+N(ISNUMBER('参数'!$I$35))=0,"",IF(AND(ISNUMBER('参数'!$E$35),ISNUMBER(N138),ISNUMBER(N137)),ROUND(N138-N137,6)&gt;='参数'!$E$35,FALSE)+IF(AND(ISNUMBER('参数'!$G$35),ISNUMBER(Q138),ISNUMBER(Q137)),ROUND(Q137-Q138,6)&gt;='参数'!$G$35,FALSE)+IF(AND(ISNUMBER('参数'!$I$35),ISNUMBER(S138),ISNUMBER(S137)),ROUND(S137-S138,6)&gt;='参数'!$I$35,FALSE)+IF(ISNUMBER(J137),J138&lt;J137,FALSE)),"")</f>
        <v/>
      </c>
      <c r="Y138" s="40" t="str">
        <f>IF(AND(ISNUMBER(J138),ISNUMBER(K138)),IF(N(ISNUMBER('参数'!$E$36))+N(ISNUMBER('参数'!$G$36))+N(ISNUMBER('参数'!$I$36))=0,"",IF(AND(ISNUMBER('参数'!$E$36),ISNUMBER(J137)),AND(J138&lt;='参数'!$E$36,J138&lt;J137),FALSE)+IF(ISNUMBER('参数'!$G$36),K138&gt;='参数'!$G$36,FALSE)+IF(AND(ISNUMBER('参数'!$I$36),ISNUMBER(S138)),S138&lt;'参数'!$I$36,FALSE)+IF(AND(ISNUMBER(R138),ISNUMBER(R137)),R138&lt;R137,FALSE)),"")</f>
        <v/>
      </c>
      <c r="Z138" s="41" t="str">
        <f>IF(NOT(AND(ISNUMBER(J138),ISNUMBER(K138))),"",IF(COUNT(T138:Y138)=0,"先填阈值",IF(MAX(AD138:AI138)=0,"不写",INDEX($T$4:$Y$4,MATCH(MAX(AD138:AI138),AD138:AI138,0))&amp;"·"&amp;IF(MAX(AD138:AI138)&gt;=200,"高","中")&amp;IF(LARGE(AD138:AI138,2)&gt;0,"（也像"&amp;INDEX($T$4:$Y$4,MATCH(LARGE(AD138:AI138,2),AD138:AI138,0))&amp;"·"&amp;IF(LARGE(AD138:AI138,2)&gt;=200,"高","中")&amp;"）",""))))</f>
        <v/>
      </c>
      <c r="AA138" s="27" t="n"/>
      <c r="AB138" s="32" t="n"/>
      <c r="AC138" s="16" t="n"/>
      <c r="AD138" s="40">
        <f>IF(N(T138)&gt;=3,IF(T138=4,2,1)*100+T138*10+6,0)</f>
        <v>0</v>
      </c>
      <c r="AE138" s="40">
        <f>IF(N(U138)&gt;=3,1*100+U138*10+1,0)</f>
        <v>0</v>
      </c>
      <c r="AF138" s="40">
        <f>IF(N(V138)&gt;=3,IF(V138=4,2,1)*100+V138*10+2,0)</f>
        <v>0</v>
      </c>
      <c r="AG138" s="40">
        <f>IF(N(W138)&gt;=3,1*100+W138*10+3,0)</f>
        <v>0</v>
      </c>
      <c r="AH138" s="40">
        <f>IF(N(X138)&gt;=3,1*100+X138*10+4,0)</f>
        <v>0</v>
      </c>
      <c r="AI138" s="40">
        <f>IF(N(Y138)&gt;=3,IF(AND(N(T138)&gt;=3,OR(N(T138)=4,N(Y138)&lt;=N(T138))),0,IF(Y138=4,2,1)*100+Y138*10+5),0)</f>
        <v>0</v>
      </c>
    </row>
    <row r="139">
      <c r="A139" s="31" t="n"/>
      <c r="B139" s="36" t="str">
        <f>IF(ISNUMBER(A139),"周"&amp;CHOOSE(WEEKDAY(A139,2),"一","二","三","四","五","六","日"),"")</f>
        <v/>
      </c>
      <c r="C139" s="37" t="n"/>
      <c r="D139" s="37" t="n"/>
      <c r="E139" s="37" t="n"/>
      <c r="F139" s="17" t="n"/>
      <c r="G139" s="38" t="str">
        <f>IF(AND(ISNUMBER(F139),ISNUMBER(F138)),IF(F138=0,"",F139/F138-1),"")</f>
        <v/>
      </c>
      <c r="H139" s="17" t="n"/>
      <c r="I139" s="17" t="n"/>
      <c r="J139" s="17" t="n"/>
      <c r="K139" s="17" t="n"/>
      <c r="L139" s="17" t="n"/>
      <c r="M139" s="17" t="n"/>
      <c r="N139" s="39" t="str">
        <f>IF(AND(ISNUMBER(L139),ISNUMBER(M139),N(L139)&gt;0),M139/L139,"")</f>
        <v/>
      </c>
      <c r="O139" s="17" t="n"/>
      <c r="P139" s="17" t="n"/>
      <c r="Q139" s="39" t="str">
        <f>IF(AND(ISNUMBER(O139),ISNUMBER(P139),N(O139)&gt;0),P139/O139,"")</f>
        <v/>
      </c>
      <c r="R139" s="17" t="n"/>
      <c r="S139" s="37" t="n"/>
      <c r="T139" s="40" t="str">
        <f>IF(AND(ISNUMBER(J139),ISNUMBER(K139)),IF(N(ISNUMBER('参数'!$E$31))+N(ISNUMBER('参数'!$G$31))+N(ISNUMBER('参数'!$I$31))+N(ISNUMBER('参数'!$K$31))=0,"",IF(ISNUMBER('参数'!$E$31),J139&lt;='参数'!$E$31,FALSE)+IF(ISNUMBER('参数'!$G$31),K139&gt;='参数'!$G$31,FALSE)+IF(AND(ISNUMBER('参数'!$I$31),ISNUMBER(N139)),N139&gt;='参数'!$I$31,FALSE)+IF(AND(ISNUMBER('参数'!$K$31),ISNUMBER(Q139)),Q139&lt;='参数'!$K$31,FALSE)),"")</f>
        <v/>
      </c>
      <c r="U139" s="40" t="str">
        <f>IF(AND(ISNUMBER(J139),ISNUMBER(K139)),IF(N(ISNUMBER('参数'!$G$32))+N(ISNUMBER('参数'!$I$32))+N(ISNUMBER('参数'!$K$32))=0,"",IF(AND(ISNUMBER(J138),ISNUMBER(J137)),AND(J139&gt;J138,J138&gt;J137),FALSE)+IF(ISNUMBER('参数'!$G$32),J139&lt;'参数'!$G$32,FALSE)+IF(AND(ISNUMBER('参数'!$I$32),ISNUMBER(Q139)),Q139&gt;='参数'!$I$32,FALSE)+IF(AND(ISNUMBER('参数'!$K$32),ISNUMBER(S139)),S139&gt;='参数'!$K$32,FALSE)),"")</f>
        <v/>
      </c>
      <c r="V139" s="40" t="str">
        <f>IF(AND(ISNUMBER(J139),ISNUMBER(K139)),IF(N(ISNUMBER('参数'!$E$33))+N(ISNUMBER('参数'!$G$33))+N(ISNUMBER('参数'!$I$33))+N(ISNUMBER('参数'!$K$33))=0,"",IF(AND(ISNUMBER('参数'!$E$33),ISNUMBER(J138)),AND(J139&gt;='参数'!$E$33,J139&gt;J138),FALSE)+IF(AND(ISNUMBER('参数'!$G$33),ISNUMBER(N139)),N139&lt;='参数'!$G$33,FALSE)+IF(AND(ISNUMBER('参数'!$I$33),ISNUMBER(Q139)),Q139&gt;='参数'!$I$33,FALSE)+IF(AND(ISNUMBER('参数'!$K$33),ISNUMBER(S139)),S139&gt;='参数'!$K$33,FALSE)),"")</f>
        <v/>
      </c>
      <c r="W139" s="40" t="str">
        <f>IF(AND(ISNUMBER(J139),ISNUMBER(K139)),IF(N(ISNUMBER('参数'!$E$34))+N(ISNUMBER('参数'!$G$34))+N(ISNUMBER('参数'!$I$34))+N(ISNUMBER('参数'!$K$34))=0,"",IF(ISNUMBER('参数'!$E$34),J139&gt;='参数'!$E$34,FALSE)+IF(AND(ISNUMBER('参数'!$G$34),ISNUMBER(N139)),N139&lt;='参数'!$G$34,FALSE)+IF(AND(ISNUMBER('参数'!$I$34),ISNUMBER(S139)),S139&gt;='参数'!$I$34,FALSE)+IF(AND(ISNUMBER('参数'!$K$34),ISNUMBER(R139)),R139&gt;='参数'!$K$34,FALSE)),"")</f>
        <v/>
      </c>
      <c r="X139" s="40" t="str">
        <f>IF(AND(ISNUMBER(J139),ISNUMBER(K139)),IF(N(ISNUMBER('参数'!$E$35))+N(ISNUMBER('参数'!$G$35))+N(ISNUMBER('参数'!$I$35))=0,"",IF(AND(ISNUMBER('参数'!$E$35),ISNUMBER(N139),ISNUMBER(N138)),ROUND(N139-N138,6)&gt;='参数'!$E$35,FALSE)+IF(AND(ISNUMBER('参数'!$G$35),ISNUMBER(Q139),ISNUMBER(Q138)),ROUND(Q138-Q139,6)&gt;='参数'!$G$35,FALSE)+IF(AND(ISNUMBER('参数'!$I$35),ISNUMBER(S139),ISNUMBER(S138)),ROUND(S138-S139,6)&gt;='参数'!$I$35,FALSE)+IF(ISNUMBER(J138),J139&lt;J138,FALSE)),"")</f>
        <v/>
      </c>
      <c r="Y139" s="40" t="str">
        <f>IF(AND(ISNUMBER(J139),ISNUMBER(K139)),IF(N(ISNUMBER('参数'!$E$36))+N(ISNUMBER('参数'!$G$36))+N(ISNUMBER('参数'!$I$36))=0,"",IF(AND(ISNUMBER('参数'!$E$36),ISNUMBER(J138)),AND(J139&lt;='参数'!$E$36,J139&lt;J138),FALSE)+IF(ISNUMBER('参数'!$G$36),K139&gt;='参数'!$G$36,FALSE)+IF(AND(ISNUMBER('参数'!$I$36),ISNUMBER(S139)),S139&lt;'参数'!$I$36,FALSE)+IF(AND(ISNUMBER(R139),ISNUMBER(R138)),R139&lt;R138,FALSE)),"")</f>
        <v/>
      </c>
      <c r="Z139" s="41" t="str">
        <f>IF(NOT(AND(ISNUMBER(J139),ISNUMBER(K139))),"",IF(COUNT(T139:Y139)=0,"先填阈值",IF(MAX(AD139:AI139)=0,"不写",INDEX($T$4:$Y$4,MATCH(MAX(AD139:AI139),AD139:AI139,0))&amp;"·"&amp;IF(MAX(AD139:AI139)&gt;=200,"高","中")&amp;IF(LARGE(AD139:AI139,2)&gt;0,"（也像"&amp;INDEX($T$4:$Y$4,MATCH(LARGE(AD139:AI139,2),AD139:AI139,0))&amp;"·"&amp;IF(LARGE(AD139:AI139,2)&gt;=200,"高","中")&amp;"）",""))))</f>
        <v/>
      </c>
      <c r="AA139" s="27" t="n"/>
      <c r="AB139" s="32" t="n"/>
      <c r="AC139" s="16" t="n"/>
      <c r="AD139" s="40">
        <f>IF(N(T139)&gt;=3,IF(T139=4,2,1)*100+T139*10+6,0)</f>
        <v>0</v>
      </c>
      <c r="AE139" s="40">
        <f>IF(N(U139)&gt;=3,1*100+U139*10+1,0)</f>
        <v>0</v>
      </c>
      <c r="AF139" s="40">
        <f>IF(N(V139)&gt;=3,IF(V139=4,2,1)*100+V139*10+2,0)</f>
        <v>0</v>
      </c>
      <c r="AG139" s="40">
        <f>IF(N(W139)&gt;=3,1*100+W139*10+3,0)</f>
        <v>0</v>
      </c>
      <c r="AH139" s="40">
        <f>IF(N(X139)&gt;=3,1*100+X139*10+4,0)</f>
        <v>0</v>
      </c>
      <c r="AI139" s="40">
        <f>IF(N(Y139)&gt;=3,IF(AND(N(T139)&gt;=3,OR(N(T139)=4,N(Y139)&lt;=N(T139))),0,IF(Y139=4,2,1)*100+Y139*10+5),0)</f>
        <v>0</v>
      </c>
    </row>
    <row r="140">
      <c r="A140" s="31" t="n"/>
      <c r="B140" s="36" t="str">
        <f>IF(ISNUMBER(A140),"周"&amp;CHOOSE(WEEKDAY(A140,2),"一","二","三","四","五","六","日"),"")</f>
        <v/>
      </c>
      <c r="C140" s="37" t="n"/>
      <c r="D140" s="37" t="n"/>
      <c r="E140" s="37" t="n"/>
      <c r="F140" s="17" t="n"/>
      <c r="G140" s="38" t="str">
        <f>IF(AND(ISNUMBER(F140),ISNUMBER(F139)),IF(F139=0,"",F140/F139-1),"")</f>
        <v/>
      </c>
      <c r="H140" s="17" t="n"/>
      <c r="I140" s="17" t="n"/>
      <c r="J140" s="17" t="n"/>
      <c r="K140" s="17" t="n"/>
      <c r="L140" s="17" t="n"/>
      <c r="M140" s="17" t="n"/>
      <c r="N140" s="39" t="str">
        <f>IF(AND(ISNUMBER(L140),ISNUMBER(M140),N(L140)&gt;0),M140/L140,"")</f>
        <v/>
      </c>
      <c r="O140" s="17" t="n"/>
      <c r="P140" s="17" t="n"/>
      <c r="Q140" s="39" t="str">
        <f>IF(AND(ISNUMBER(O140),ISNUMBER(P140),N(O140)&gt;0),P140/O140,"")</f>
        <v/>
      </c>
      <c r="R140" s="17" t="n"/>
      <c r="S140" s="37" t="n"/>
      <c r="T140" s="40" t="str">
        <f>IF(AND(ISNUMBER(J140),ISNUMBER(K140)),IF(N(ISNUMBER('参数'!$E$31))+N(ISNUMBER('参数'!$G$31))+N(ISNUMBER('参数'!$I$31))+N(ISNUMBER('参数'!$K$31))=0,"",IF(ISNUMBER('参数'!$E$31),J140&lt;='参数'!$E$31,FALSE)+IF(ISNUMBER('参数'!$G$31),K140&gt;='参数'!$G$31,FALSE)+IF(AND(ISNUMBER('参数'!$I$31),ISNUMBER(N140)),N140&gt;='参数'!$I$31,FALSE)+IF(AND(ISNUMBER('参数'!$K$31),ISNUMBER(Q140)),Q140&lt;='参数'!$K$31,FALSE)),"")</f>
        <v/>
      </c>
      <c r="U140" s="40" t="str">
        <f>IF(AND(ISNUMBER(J140),ISNUMBER(K140)),IF(N(ISNUMBER('参数'!$G$32))+N(ISNUMBER('参数'!$I$32))+N(ISNUMBER('参数'!$K$32))=0,"",IF(AND(ISNUMBER(J139),ISNUMBER(J138)),AND(J140&gt;J139,J139&gt;J138),FALSE)+IF(ISNUMBER('参数'!$G$32),J140&lt;'参数'!$G$32,FALSE)+IF(AND(ISNUMBER('参数'!$I$32),ISNUMBER(Q140)),Q140&gt;='参数'!$I$32,FALSE)+IF(AND(ISNUMBER('参数'!$K$32),ISNUMBER(S140)),S140&gt;='参数'!$K$32,FALSE)),"")</f>
        <v/>
      </c>
      <c r="V140" s="40" t="str">
        <f>IF(AND(ISNUMBER(J140),ISNUMBER(K140)),IF(N(ISNUMBER('参数'!$E$33))+N(ISNUMBER('参数'!$G$33))+N(ISNUMBER('参数'!$I$33))+N(ISNUMBER('参数'!$K$33))=0,"",IF(AND(ISNUMBER('参数'!$E$33),ISNUMBER(J139)),AND(J140&gt;='参数'!$E$33,J140&gt;J139),FALSE)+IF(AND(ISNUMBER('参数'!$G$33),ISNUMBER(N140)),N140&lt;='参数'!$G$33,FALSE)+IF(AND(ISNUMBER('参数'!$I$33),ISNUMBER(Q140)),Q140&gt;='参数'!$I$33,FALSE)+IF(AND(ISNUMBER('参数'!$K$33),ISNUMBER(S140)),S140&gt;='参数'!$K$33,FALSE)),"")</f>
        <v/>
      </c>
      <c r="W140" s="40" t="str">
        <f>IF(AND(ISNUMBER(J140),ISNUMBER(K140)),IF(N(ISNUMBER('参数'!$E$34))+N(ISNUMBER('参数'!$G$34))+N(ISNUMBER('参数'!$I$34))+N(ISNUMBER('参数'!$K$34))=0,"",IF(ISNUMBER('参数'!$E$34),J140&gt;='参数'!$E$34,FALSE)+IF(AND(ISNUMBER('参数'!$G$34),ISNUMBER(N140)),N140&lt;='参数'!$G$34,FALSE)+IF(AND(ISNUMBER('参数'!$I$34),ISNUMBER(S140)),S140&gt;='参数'!$I$34,FALSE)+IF(AND(ISNUMBER('参数'!$K$34),ISNUMBER(R140)),R140&gt;='参数'!$K$34,FALSE)),"")</f>
        <v/>
      </c>
      <c r="X140" s="40" t="str">
        <f>IF(AND(ISNUMBER(J140),ISNUMBER(K140)),IF(N(ISNUMBER('参数'!$E$35))+N(ISNUMBER('参数'!$G$35))+N(ISNUMBER('参数'!$I$35))=0,"",IF(AND(ISNUMBER('参数'!$E$35),ISNUMBER(N140),ISNUMBER(N139)),ROUND(N140-N139,6)&gt;='参数'!$E$35,FALSE)+IF(AND(ISNUMBER('参数'!$G$35),ISNUMBER(Q140),ISNUMBER(Q139)),ROUND(Q139-Q140,6)&gt;='参数'!$G$35,FALSE)+IF(AND(ISNUMBER('参数'!$I$35),ISNUMBER(S140),ISNUMBER(S139)),ROUND(S139-S140,6)&gt;='参数'!$I$35,FALSE)+IF(ISNUMBER(J139),J140&lt;J139,FALSE)),"")</f>
        <v/>
      </c>
      <c r="Y140" s="40" t="str">
        <f>IF(AND(ISNUMBER(J140),ISNUMBER(K140)),IF(N(ISNUMBER('参数'!$E$36))+N(ISNUMBER('参数'!$G$36))+N(ISNUMBER('参数'!$I$36))=0,"",IF(AND(ISNUMBER('参数'!$E$36),ISNUMBER(J139)),AND(J140&lt;='参数'!$E$36,J140&lt;J139),FALSE)+IF(ISNUMBER('参数'!$G$36),K140&gt;='参数'!$G$36,FALSE)+IF(AND(ISNUMBER('参数'!$I$36),ISNUMBER(S140)),S140&lt;'参数'!$I$36,FALSE)+IF(AND(ISNUMBER(R140),ISNUMBER(R139)),R140&lt;R139,FALSE)),"")</f>
        <v/>
      </c>
      <c r="Z140" s="41" t="str">
        <f>IF(NOT(AND(ISNUMBER(J140),ISNUMBER(K140))),"",IF(COUNT(T140:Y140)=0,"先填阈值",IF(MAX(AD140:AI140)=0,"不写",INDEX($T$4:$Y$4,MATCH(MAX(AD140:AI140),AD140:AI140,0))&amp;"·"&amp;IF(MAX(AD140:AI140)&gt;=200,"高","中")&amp;IF(LARGE(AD140:AI140,2)&gt;0,"（也像"&amp;INDEX($T$4:$Y$4,MATCH(LARGE(AD140:AI140,2),AD140:AI140,0))&amp;"·"&amp;IF(LARGE(AD140:AI140,2)&gt;=200,"高","中")&amp;"）",""))))</f>
        <v/>
      </c>
      <c r="AA140" s="27" t="n"/>
      <c r="AB140" s="32" t="n"/>
      <c r="AC140" s="16" t="n"/>
      <c r="AD140" s="40">
        <f>IF(N(T140)&gt;=3,IF(T140=4,2,1)*100+T140*10+6,0)</f>
        <v>0</v>
      </c>
      <c r="AE140" s="40">
        <f>IF(N(U140)&gt;=3,1*100+U140*10+1,0)</f>
        <v>0</v>
      </c>
      <c r="AF140" s="40">
        <f>IF(N(V140)&gt;=3,IF(V140=4,2,1)*100+V140*10+2,0)</f>
        <v>0</v>
      </c>
      <c r="AG140" s="40">
        <f>IF(N(W140)&gt;=3,1*100+W140*10+3,0)</f>
        <v>0</v>
      </c>
      <c r="AH140" s="40">
        <f>IF(N(X140)&gt;=3,1*100+X140*10+4,0)</f>
        <v>0</v>
      </c>
      <c r="AI140" s="40">
        <f>IF(N(Y140)&gt;=3,IF(AND(N(T140)&gt;=3,OR(N(T140)=4,N(Y140)&lt;=N(T140))),0,IF(Y140=4,2,1)*100+Y140*10+5),0)</f>
        <v>0</v>
      </c>
    </row>
    <row r="141">
      <c r="A141" s="31" t="n"/>
      <c r="B141" s="36" t="str">
        <f>IF(ISNUMBER(A141),"周"&amp;CHOOSE(WEEKDAY(A141,2),"一","二","三","四","五","六","日"),"")</f>
        <v/>
      </c>
      <c r="C141" s="37" t="n"/>
      <c r="D141" s="37" t="n"/>
      <c r="E141" s="37" t="n"/>
      <c r="F141" s="17" t="n"/>
      <c r="G141" s="38" t="str">
        <f>IF(AND(ISNUMBER(F141),ISNUMBER(F140)),IF(F140=0,"",F141/F140-1),"")</f>
        <v/>
      </c>
      <c r="H141" s="17" t="n"/>
      <c r="I141" s="17" t="n"/>
      <c r="J141" s="17" t="n"/>
      <c r="K141" s="17" t="n"/>
      <c r="L141" s="17" t="n"/>
      <c r="M141" s="17" t="n"/>
      <c r="N141" s="39" t="str">
        <f>IF(AND(ISNUMBER(L141),ISNUMBER(M141),N(L141)&gt;0),M141/L141,"")</f>
        <v/>
      </c>
      <c r="O141" s="17" t="n"/>
      <c r="P141" s="17" t="n"/>
      <c r="Q141" s="39" t="str">
        <f>IF(AND(ISNUMBER(O141),ISNUMBER(P141),N(O141)&gt;0),P141/O141,"")</f>
        <v/>
      </c>
      <c r="R141" s="17" t="n"/>
      <c r="S141" s="37" t="n"/>
      <c r="T141" s="40" t="str">
        <f>IF(AND(ISNUMBER(J141),ISNUMBER(K141)),IF(N(ISNUMBER('参数'!$E$31))+N(ISNUMBER('参数'!$G$31))+N(ISNUMBER('参数'!$I$31))+N(ISNUMBER('参数'!$K$31))=0,"",IF(ISNUMBER('参数'!$E$31),J141&lt;='参数'!$E$31,FALSE)+IF(ISNUMBER('参数'!$G$31),K141&gt;='参数'!$G$31,FALSE)+IF(AND(ISNUMBER('参数'!$I$31),ISNUMBER(N141)),N141&gt;='参数'!$I$31,FALSE)+IF(AND(ISNUMBER('参数'!$K$31),ISNUMBER(Q141)),Q141&lt;='参数'!$K$31,FALSE)),"")</f>
        <v/>
      </c>
      <c r="U141" s="40" t="str">
        <f>IF(AND(ISNUMBER(J141),ISNUMBER(K141)),IF(N(ISNUMBER('参数'!$G$32))+N(ISNUMBER('参数'!$I$32))+N(ISNUMBER('参数'!$K$32))=0,"",IF(AND(ISNUMBER(J140),ISNUMBER(J139)),AND(J141&gt;J140,J140&gt;J139),FALSE)+IF(ISNUMBER('参数'!$G$32),J141&lt;'参数'!$G$32,FALSE)+IF(AND(ISNUMBER('参数'!$I$32),ISNUMBER(Q141)),Q141&gt;='参数'!$I$32,FALSE)+IF(AND(ISNUMBER('参数'!$K$32),ISNUMBER(S141)),S141&gt;='参数'!$K$32,FALSE)),"")</f>
        <v/>
      </c>
      <c r="V141" s="40" t="str">
        <f>IF(AND(ISNUMBER(J141),ISNUMBER(K141)),IF(N(ISNUMBER('参数'!$E$33))+N(ISNUMBER('参数'!$G$33))+N(ISNUMBER('参数'!$I$33))+N(ISNUMBER('参数'!$K$33))=0,"",IF(AND(ISNUMBER('参数'!$E$33),ISNUMBER(J140)),AND(J141&gt;='参数'!$E$33,J141&gt;J140),FALSE)+IF(AND(ISNUMBER('参数'!$G$33),ISNUMBER(N141)),N141&lt;='参数'!$G$33,FALSE)+IF(AND(ISNUMBER('参数'!$I$33),ISNUMBER(Q141)),Q141&gt;='参数'!$I$33,FALSE)+IF(AND(ISNUMBER('参数'!$K$33),ISNUMBER(S141)),S141&gt;='参数'!$K$33,FALSE)),"")</f>
        <v/>
      </c>
      <c r="W141" s="40" t="str">
        <f>IF(AND(ISNUMBER(J141),ISNUMBER(K141)),IF(N(ISNUMBER('参数'!$E$34))+N(ISNUMBER('参数'!$G$34))+N(ISNUMBER('参数'!$I$34))+N(ISNUMBER('参数'!$K$34))=0,"",IF(ISNUMBER('参数'!$E$34),J141&gt;='参数'!$E$34,FALSE)+IF(AND(ISNUMBER('参数'!$G$34),ISNUMBER(N141)),N141&lt;='参数'!$G$34,FALSE)+IF(AND(ISNUMBER('参数'!$I$34),ISNUMBER(S141)),S141&gt;='参数'!$I$34,FALSE)+IF(AND(ISNUMBER('参数'!$K$34),ISNUMBER(R141)),R141&gt;='参数'!$K$34,FALSE)),"")</f>
        <v/>
      </c>
      <c r="X141" s="40" t="str">
        <f>IF(AND(ISNUMBER(J141),ISNUMBER(K141)),IF(N(ISNUMBER('参数'!$E$35))+N(ISNUMBER('参数'!$G$35))+N(ISNUMBER('参数'!$I$35))=0,"",IF(AND(ISNUMBER('参数'!$E$35),ISNUMBER(N141),ISNUMBER(N140)),ROUND(N141-N140,6)&gt;='参数'!$E$35,FALSE)+IF(AND(ISNUMBER('参数'!$G$35),ISNUMBER(Q141),ISNUMBER(Q140)),ROUND(Q140-Q141,6)&gt;='参数'!$G$35,FALSE)+IF(AND(ISNUMBER('参数'!$I$35),ISNUMBER(S141),ISNUMBER(S140)),ROUND(S140-S141,6)&gt;='参数'!$I$35,FALSE)+IF(ISNUMBER(J140),J141&lt;J140,FALSE)),"")</f>
        <v/>
      </c>
      <c r="Y141" s="40" t="str">
        <f>IF(AND(ISNUMBER(J141),ISNUMBER(K141)),IF(N(ISNUMBER('参数'!$E$36))+N(ISNUMBER('参数'!$G$36))+N(ISNUMBER('参数'!$I$36))=0,"",IF(AND(ISNUMBER('参数'!$E$36),ISNUMBER(J140)),AND(J141&lt;='参数'!$E$36,J141&lt;J140),FALSE)+IF(ISNUMBER('参数'!$G$36),K141&gt;='参数'!$G$36,FALSE)+IF(AND(ISNUMBER('参数'!$I$36),ISNUMBER(S141)),S141&lt;'参数'!$I$36,FALSE)+IF(AND(ISNUMBER(R141),ISNUMBER(R140)),R141&lt;R140,FALSE)),"")</f>
        <v/>
      </c>
      <c r="Z141" s="41" t="str">
        <f>IF(NOT(AND(ISNUMBER(J141),ISNUMBER(K141))),"",IF(COUNT(T141:Y141)=0,"先填阈值",IF(MAX(AD141:AI141)=0,"不写",INDEX($T$4:$Y$4,MATCH(MAX(AD141:AI141),AD141:AI141,0))&amp;"·"&amp;IF(MAX(AD141:AI141)&gt;=200,"高","中")&amp;IF(LARGE(AD141:AI141,2)&gt;0,"（也像"&amp;INDEX($T$4:$Y$4,MATCH(LARGE(AD141:AI141,2),AD141:AI141,0))&amp;"·"&amp;IF(LARGE(AD141:AI141,2)&gt;=200,"高","中")&amp;"）",""))))</f>
        <v/>
      </c>
      <c r="AA141" s="27" t="n"/>
      <c r="AB141" s="32" t="n"/>
      <c r="AC141" s="16" t="n"/>
      <c r="AD141" s="40">
        <f>IF(N(T141)&gt;=3,IF(T141=4,2,1)*100+T141*10+6,0)</f>
        <v>0</v>
      </c>
      <c r="AE141" s="40">
        <f>IF(N(U141)&gt;=3,1*100+U141*10+1,0)</f>
        <v>0</v>
      </c>
      <c r="AF141" s="40">
        <f>IF(N(V141)&gt;=3,IF(V141=4,2,1)*100+V141*10+2,0)</f>
        <v>0</v>
      </c>
      <c r="AG141" s="40">
        <f>IF(N(W141)&gt;=3,1*100+W141*10+3,0)</f>
        <v>0</v>
      </c>
      <c r="AH141" s="40">
        <f>IF(N(X141)&gt;=3,1*100+X141*10+4,0)</f>
        <v>0</v>
      </c>
      <c r="AI141" s="40">
        <f>IF(N(Y141)&gt;=3,IF(AND(N(T141)&gt;=3,OR(N(T141)=4,N(Y141)&lt;=N(T141))),0,IF(Y141=4,2,1)*100+Y141*10+5),0)</f>
        <v>0</v>
      </c>
    </row>
    <row r="142">
      <c r="A142" s="31" t="n"/>
      <c r="B142" s="36" t="str">
        <f>IF(ISNUMBER(A142),"周"&amp;CHOOSE(WEEKDAY(A142,2),"一","二","三","四","五","六","日"),"")</f>
        <v/>
      </c>
      <c r="C142" s="37" t="n"/>
      <c r="D142" s="37" t="n"/>
      <c r="E142" s="37" t="n"/>
      <c r="F142" s="17" t="n"/>
      <c r="G142" s="38" t="str">
        <f>IF(AND(ISNUMBER(F142),ISNUMBER(F141)),IF(F141=0,"",F142/F141-1),"")</f>
        <v/>
      </c>
      <c r="H142" s="17" t="n"/>
      <c r="I142" s="17" t="n"/>
      <c r="J142" s="17" t="n"/>
      <c r="K142" s="17" t="n"/>
      <c r="L142" s="17" t="n"/>
      <c r="M142" s="17" t="n"/>
      <c r="N142" s="39" t="str">
        <f>IF(AND(ISNUMBER(L142),ISNUMBER(M142),N(L142)&gt;0),M142/L142,"")</f>
        <v/>
      </c>
      <c r="O142" s="17" t="n"/>
      <c r="P142" s="17" t="n"/>
      <c r="Q142" s="39" t="str">
        <f>IF(AND(ISNUMBER(O142),ISNUMBER(P142),N(O142)&gt;0),P142/O142,"")</f>
        <v/>
      </c>
      <c r="R142" s="17" t="n"/>
      <c r="S142" s="37" t="n"/>
      <c r="T142" s="40" t="str">
        <f>IF(AND(ISNUMBER(J142),ISNUMBER(K142)),IF(N(ISNUMBER('参数'!$E$31))+N(ISNUMBER('参数'!$G$31))+N(ISNUMBER('参数'!$I$31))+N(ISNUMBER('参数'!$K$31))=0,"",IF(ISNUMBER('参数'!$E$31),J142&lt;='参数'!$E$31,FALSE)+IF(ISNUMBER('参数'!$G$31),K142&gt;='参数'!$G$31,FALSE)+IF(AND(ISNUMBER('参数'!$I$31),ISNUMBER(N142)),N142&gt;='参数'!$I$31,FALSE)+IF(AND(ISNUMBER('参数'!$K$31),ISNUMBER(Q142)),Q142&lt;='参数'!$K$31,FALSE)),"")</f>
        <v/>
      </c>
      <c r="U142" s="40" t="str">
        <f>IF(AND(ISNUMBER(J142),ISNUMBER(K142)),IF(N(ISNUMBER('参数'!$G$32))+N(ISNUMBER('参数'!$I$32))+N(ISNUMBER('参数'!$K$32))=0,"",IF(AND(ISNUMBER(J141),ISNUMBER(J140)),AND(J142&gt;J141,J141&gt;J140),FALSE)+IF(ISNUMBER('参数'!$G$32),J142&lt;'参数'!$G$32,FALSE)+IF(AND(ISNUMBER('参数'!$I$32),ISNUMBER(Q142)),Q142&gt;='参数'!$I$32,FALSE)+IF(AND(ISNUMBER('参数'!$K$32),ISNUMBER(S142)),S142&gt;='参数'!$K$32,FALSE)),"")</f>
        <v/>
      </c>
      <c r="V142" s="40" t="str">
        <f>IF(AND(ISNUMBER(J142),ISNUMBER(K142)),IF(N(ISNUMBER('参数'!$E$33))+N(ISNUMBER('参数'!$G$33))+N(ISNUMBER('参数'!$I$33))+N(ISNUMBER('参数'!$K$33))=0,"",IF(AND(ISNUMBER('参数'!$E$33),ISNUMBER(J141)),AND(J142&gt;='参数'!$E$33,J142&gt;J141),FALSE)+IF(AND(ISNUMBER('参数'!$G$33),ISNUMBER(N142)),N142&lt;='参数'!$G$33,FALSE)+IF(AND(ISNUMBER('参数'!$I$33),ISNUMBER(Q142)),Q142&gt;='参数'!$I$33,FALSE)+IF(AND(ISNUMBER('参数'!$K$33),ISNUMBER(S142)),S142&gt;='参数'!$K$33,FALSE)),"")</f>
        <v/>
      </c>
      <c r="W142" s="40" t="str">
        <f>IF(AND(ISNUMBER(J142),ISNUMBER(K142)),IF(N(ISNUMBER('参数'!$E$34))+N(ISNUMBER('参数'!$G$34))+N(ISNUMBER('参数'!$I$34))+N(ISNUMBER('参数'!$K$34))=0,"",IF(ISNUMBER('参数'!$E$34),J142&gt;='参数'!$E$34,FALSE)+IF(AND(ISNUMBER('参数'!$G$34),ISNUMBER(N142)),N142&lt;='参数'!$G$34,FALSE)+IF(AND(ISNUMBER('参数'!$I$34),ISNUMBER(S142)),S142&gt;='参数'!$I$34,FALSE)+IF(AND(ISNUMBER('参数'!$K$34),ISNUMBER(R142)),R142&gt;='参数'!$K$34,FALSE)),"")</f>
        <v/>
      </c>
      <c r="X142" s="40" t="str">
        <f>IF(AND(ISNUMBER(J142),ISNUMBER(K142)),IF(N(ISNUMBER('参数'!$E$35))+N(ISNUMBER('参数'!$G$35))+N(ISNUMBER('参数'!$I$35))=0,"",IF(AND(ISNUMBER('参数'!$E$35),ISNUMBER(N142),ISNUMBER(N141)),ROUND(N142-N141,6)&gt;='参数'!$E$35,FALSE)+IF(AND(ISNUMBER('参数'!$G$35),ISNUMBER(Q142),ISNUMBER(Q141)),ROUND(Q141-Q142,6)&gt;='参数'!$G$35,FALSE)+IF(AND(ISNUMBER('参数'!$I$35),ISNUMBER(S142),ISNUMBER(S141)),ROUND(S141-S142,6)&gt;='参数'!$I$35,FALSE)+IF(ISNUMBER(J141),J142&lt;J141,FALSE)),"")</f>
        <v/>
      </c>
      <c r="Y142" s="40" t="str">
        <f>IF(AND(ISNUMBER(J142),ISNUMBER(K142)),IF(N(ISNUMBER('参数'!$E$36))+N(ISNUMBER('参数'!$G$36))+N(ISNUMBER('参数'!$I$36))=0,"",IF(AND(ISNUMBER('参数'!$E$36),ISNUMBER(J141)),AND(J142&lt;='参数'!$E$36,J142&lt;J141),FALSE)+IF(ISNUMBER('参数'!$G$36),K142&gt;='参数'!$G$36,FALSE)+IF(AND(ISNUMBER('参数'!$I$36),ISNUMBER(S142)),S142&lt;'参数'!$I$36,FALSE)+IF(AND(ISNUMBER(R142),ISNUMBER(R141)),R142&lt;R141,FALSE)),"")</f>
        <v/>
      </c>
      <c r="Z142" s="41" t="str">
        <f>IF(NOT(AND(ISNUMBER(J142),ISNUMBER(K142))),"",IF(COUNT(T142:Y142)=0,"先填阈值",IF(MAX(AD142:AI142)=0,"不写",INDEX($T$4:$Y$4,MATCH(MAX(AD142:AI142),AD142:AI142,0))&amp;"·"&amp;IF(MAX(AD142:AI142)&gt;=200,"高","中")&amp;IF(LARGE(AD142:AI142,2)&gt;0,"（也像"&amp;INDEX($T$4:$Y$4,MATCH(LARGE(AD142:AI142,2),AD142:AI142,0))&amp;"·"&amp;IF(LARGE(AD142:AI142,2)&gt;=200,"高","中")&amp;"）",""))))</f>
        <v/>
      </c>
      <c r="AA142" s="27" t="n"/>
      <c r="AB142" s="32" t="n"/>
      <c r="AC142" s="16" t="n"/>
      <c r="AD142" s="40">
        <f>IF(N(T142)&gt;=3,IF(T142=4,2,1)*100+T142*10+6,0)</f>
        <v>0</v>
      </c>
      <c r="AE142" s="40">
        <f>IF(N(U142)&gt;=3,1*100+U142*10+1,0)</f>
        <v>0</v>
      </c>
      <c r="AF142" s="40">
        <f>IF(N(V142)&gt;=3,IF(V142=4,2,1)*100+V142*10+2,0)</f>
        <v>0</v>
      </c>
      <c r="AG142" s="40">
        <f>IF(N(W142)&gt;=3,1*100+W142*10+3,0)</f>
        <v>0</v>
      </c>
      <c r="AH142" s="40">
        <f>IF(N(X142)&gt;=3,1*100+X142*10+4,0)</f>
        <v>0</v>
      </c>
      <c r="AI142" s="40">
        <f>IF(N(Y142)&gt;=3,IF(AND(N(T142)&gt;=3,OR(N(T142)=4,N(Y142)&lt;=N(T142))),0,IF(Y142=4,2,1)*100+Y142*10+5),0)</f>
        <v>0</v>
      </c>
    </row>
    <row r="143">
      <c r="A143" s="31" t="n"/>
      <c r="B143" s="36" t="str">
        <f>IF(ISNUMBER(A143),"周"&amp;CHOOSE(WEEKDAY(A143,2),"一","二","三","四","五","六","日"),"")</f>
        <v/>
      </c>
      <c r="C143" s="37" t="n"/>
      <c r="D143" s="37" t="n"/>
      <c r="E143" s="37" t="n"/>
      <c r="F143" s="17" t="n"/>
      <c r="G143" s="38" t="str">
        <f>IF(AND(ISNUMBER(F143),ISNUMBER(F142)),IF(F142=0,"",F143/F142-1),"")</f>
        <v/>
      </c>
      <c r="H143" s="17" t="n"/>
      <c r="I143" s="17" t="n"/>
      <c r="J143" s="17" t="n"/>
      <c r="K143" s="17" t="n"/>
      <c r="L143" s="17" t="n"/>
      <c r="M143" s="17" t="n"/>
      <c r="N143" s="39" t="str">
        <f>IF(AND(ISNUMBER(L143),ISNUMBER(M143),N(L143)&gt;0),M143/L143,"")</f>
        <v/>
      </c>
      <c r="O143" s="17" t="n"/>
      <c r="P143" s="17" t="n"/>
      <c r="Q143" s="39" t="str">
        <f>IF(AND(ISNUMBER(O143),ISNUMBER(P143),N(O143)&gt;0),P143/O143,"")</f>
        <v/>
      </c>
      <c r="R143" s="17" t="n"/>
      <c r="S143" s="37" t="n"/>
      <c r="T143" s="40" t="str">
        <f>IF(AND(ISNUMBER(J143),ISNUMBER(K143)),IF(N(ISNUMBER('参数'!$E$31))+N(ISNUMBER('参数'!$G$31))+N(ISNUMBER('参数'!$I$31))+N(ISNUMBER('参数'!$K$31))=0,"",IF(ISNUMBER('参数'!$E$31),J143&lt;='参数'!$E$31,FALSE)+IF(ISNUMBER('参数'!$G$31),K143&gt;='参数'!$G$31,FALSE)+IF(AND(ISNUMBER('参数'!$I$31),ISNUMBER(N143)),N143&gt;='参数'!$I$31,FALSE)+IF(AND(ISNUMBER('参数'!$K$31),ISNUMBER(Q143)),Q143&lt;='参数'!$K$31,FALSE)),"")</f>
        <v/>
      </c>
      <c r="U143" s="40" t="str">
        <f>IF(AND(ISNUMBER(J143),ISNUMBER(K143)),IF(N(ISNUMBER('参数'!$G$32))+N(ISNUMBER('参数'!$I$32))+N(ISNUMBER('参数'!$K$32))=0,"",IF(AND(ISNUMBER(J142),ISNUMBER(J141)),AND(J143&gt;J142,J142&gt;J141),FALSE)+IF(ISNUMBER('参数'!$G$32),J143&lt;'参数'!$G$32,FALSE)+IF(AND(ISNUMBER('参数'!$I$32),ISNUMBER(Q143)),Q143&gt;='参数'!$I$32,FALSE)+IF(AND(ISNUMBER('参数'!$K$32),ISNUMBER(S143)),S143&gt;='参数'!$K$32,FALSE)),"")</f>
        <v/>
      </c>
      <c r="V143" s="40" t="str">
        <f>IF(AND(ISNUMBER(J143),ISNUMBER(K143)),IF(N(ISNUMBER('参数'!$E$33))+N(ISNUMBER('参数'!$G$33))+N(ISNUMBER('参数'!$I$33))+N(ISNUMBER('参数'!$K$33))=0,"",IF(AND(ISNUMBER('参数'!$E$33),ISNUMBER(J142)),AND(J143&gt;='参数'!$E$33,J143&gt;J142),FALSE)+IF(AND(ISNUMBER('参数'!$G$33),ISNUMBER(N143)),N143&lt;='参数'!$G$33,FALSE)+IF(AND(ISNUMBER('参数'!$I$33),ISNUMBER(Q143)),Q143&gt;='参数'!$I$33,FALSE)+IF(AND(ISNUMBER('参数'!$K$33),ISNUMBER(S143)),S143&gt;='参数'!$K$33,FALSE)),"")</f>
        <v/>
      </c>
      <c r="W143" s="40" t="str">
        <f>IF(AND(ISNUMBER(J143),ISNUMBER(K143)),IF(N(ISNUMBER('参数'!$E$34))+N(ISNUMBER('参数'!$G$34))+N(ISNUMBER('参数'!$I$34))+N(ISNUMBER('参数'!$K$34))=0,"",IF(ISNUMBER('参数'!$E$34),J143&gt;='参数'!$E$34,FALSE)+IF(AND(ISNUMBER('参数'!$G$34),ISNUMBER(N143)),N143&lt;='参数'!$G$34,FALSE)+IF(AND(ISNUMBER('参数'!$I$34),ISNUMBER(S143)),S143&gt;='参数'!$I$34,FALSE)+IF(AND(ISNUMBER('参数'!$K$34),ISNUMBER(R143)),R143&gt;='参数'!$K$34,FALSE)),"")</f>
        <v/>
      </c>
      <c r="X143" s="40" t="str">
        <f>IF(AND(ISNUMBER(J143),ISNUMBER(K143)),IF(N(ISNUMBER('参数'!$E$35))+N(ISNUMBER('参数'!$G$35))+N(ISNUMBER('参数'!$I$35))=0,"",IF(AND(ISNUMBER('参数'!$E$35),ISNUMBER(N143),ISNUMBER(N142)),ROUND(N143-N142,6)&gt;='参数'!$E$35,FALSE)+IF(AND(ISNUMBER('参数'!$G$35),ISNUMBER(Q143),ISNUMBER(Q142)),ROUND(Q142-Q143,6)&gt;='参数'!$G$35,FALSE)+IF(AND(ISNUMBER('参数'!$I$35),ISNUMBER(S143),ISNUMBER(S142)),ROUND(S142-S143,6)&gt;='参数'!$I$35,FALSE)+IF(ISNUMBER(J142),J143&lt;J142,FALSE)),"")</f>
        <v/>
      </c>
      <c r="Y143" s="40" t="str">
        <f>IF(AND(ISNUMBER(J143),ISNUMBER(K143)),IF(N(ISNUMBER('参数'!$E$36))+N(ISNUMBER('参数'!$G$36))+N(ISNUMBER('参数'!$I$36))=0,"",IF(AND(ISNUMBER('参数'!$E$36),ISNUMBER(J142)),AND(J143&lt;='参数'!$E$36,J143&lt;J142),FALSE)+IF(ISNUMBER('参数'!$G$36),K143&gt;='参数'!$G$36,FALSE)+IF(AND(ISNUMBER('参数'!$I$36),ISNUMBER(S143)),S143&lt;'参数'!$I$36,FALSE)+IF(AND(ISNUMBER(R143),ISNUMBER(R142)),R143&lt;R142,FALSE)),"")</f>
        <v/>
      </c>
      <c r="Z143" s="41" t="str">
        <f>IF(NOT(AND(ISNUMBER(J143),ISNUMBER(K143))),"",IF(COUNT(T143:Y143)=0,"先填阈值",IF(MAX(AD143:AI143)=0,"不写",INDEX($T$4:$Y$4,MATCH(MAX(AD143:AI143),AD143:AI143,0))&amp;"·"&amp;IF(MAX(AD143:AI143)&gt;=200,"高","中")&amp;IF(LARGE(AD143:AI143,2)&gt;0,"（也像"&amp;INDEX($T$4:$Y$4,MATCH(LARGE(AD143:AI143,2),AD143:AI143,0))&amp;"·"&amp;IF(LARGE(AD143:AI143,2)&gt;=200,"高","中")&amp;"）",""))))</f>
        <v/>
      </c>
      <c r="AA143" s="27" t="n"/>
      <c r="AB143" s="32" t="n"/>
      <c r="AC143" s="16" t="n"/>
      <c r="AD143" s="40">
        <f>IF(N(T143)&gt;=3,IF(T143=4,2,1)*100+T143*10+6,0)</f>
        <v>0</v>
      </c>
      <c r="AE143" s="40">
        <f>IF(N(U143)&gt;=3,1*100+U143*10+1,0)</f>
        <v>0</v>
      </c>
      <c r="AF143" s="40">
        <f>IF(N(V143)&gt;=3,IF(V143=4,2,1)*100+V143*10+2,0)</f>
        <v>0</v>
      </c>
      <c r="AG143" s="40">
        <f>IF(N(W143)&gt;=3,1*100+W143*10+3,0)</f>
        <v>0</v>
      </c>
      <c r="AH143" s="40">
        <f>IF(N(X143)&gt;=3,1*100+X143*10+4,0)</f>
        <v>0</v>
      </c>
      <c r="AI143" s="40">
        <f>IF(N(Y143)&gt;=3,IF(AND(N(T143)&gt;=3,OR(N(T143)=4,N(Y143)&lt;=N(T143))),0,IF(Y143=4,2,1)*100+Y143*10+5),0)</f>
        <v>0</v>
      </c>
    </row>
    <row r="144">
      <c r="A144" s="31" t="n"/>
      <c r="B144" s="36" t="str">
        <f>IF(ISNUMBER(A144),"周"&amp;CHOOSE(WEEKDAY(A144,2),"一","二","三","四","五","六","日"),"")</f>
        <v/>
      </c>
      <c r="C144" s="37" t="n"/>
      <c r="D144" s="37" t="n"/>
      <c r="E144" s="37" t="n"/>
      <c r="F144" s="17" t="n"/>
      <c r="G144" s="38" t="str">
        <f>IF(AND(ISNUMBER(F144),ISNUMBER(F143)),IF(F143=0,"",F144/F143-1),"")</f>
        <v/>
      </c>
      <c r="H144" s="17" t="n"/>
      <c r="I144" s="17" t="n"/>
      <c r="J144" s="17" t="n"/>
      <c r="K144" s="17" t="n"/>
      <c r="L144" s="17" t="n"/>
      <c r="M144" s="17" t="n"/>
      <c r="N144" s="39" t="str">
        <f>IF(AND(ISNUMBER(L144),ISNUMBER(M144),N(L144)&gt;0),M144/L144,"")</f>
        <v/>
      </c>
      <c r="O144" s="17" t="n"/>
      <c r="P144" s="17" t="n"/>
      <c r="Q144" s="39" t="str">
        <f>IF(AND(ISNUMBER(O144),ISNUMBER(P144),N(O144)&gt;0),P144/O144,"")</f>
        <v/>
      </c>
      <c r="R144" s="17" t="n"/>
      <c r="S144" s="37" t="n"/>
      <c r="T144" s="40" t="str">
        <f>IF(AND(ISNUMBER(J144),ISNUMBER(K144)),IF(N(ISNUMBER('参数'!$E$31))+N(ISNUMBER('参数'!$G$31))+N(ISNUMBER('参数'!$I$31))+N(ISNUMBER('参数'!$K$31))=0,"",IF(ISNUMBER('参数'!$E$31),J144&lt;='参数'!$E$31,FALSE)+IF(ISNUMBER('参数'!$G$31),K144&gt;='参数'!$G$31,FALSE)+IF(AND(ISNUMBER('参数'!$I$31),ISNUMBER(N144)),N144&gt;='参数'!$I$31,FALSE)+IF(AND(ISNUMBER('参数'!$K$31),ISNUMBER(Q144)),Q144&lt;='参数'!$K$31,FALSE)),"")</f>
        <v/>
      </c>
      <c r="U144" s="40" t="str">
        <f>IF(AND(ISNUMBER(J144),ISNUMBER(K144)),IF(N(ISNUMBER('参数'!$G$32))+N(ISNUMBER('参数'!$I$32))+N(ISNUMBER('参数'!$K$32))=0,"",IF(AND(ISNUMBER(J143),ISNUMBER(J142)),AND(J144&gt;J143,J143&gt;J142),FALSE)+IF(ISNUMBER('参数'!$G$32),J144&lt;'参数'!$G$32,FALSE)+IF(AND(ISNUMBER('参数'!$I$32),ISNUMBER(Q144)),Q144&gt;='参数'!$I$32,FALSE)+IF(AND(ISNUMBER('参数'!$K$32),ISNUMBER(S144)),S144&gt;='参数'!$K$32,FALSE)),"")</f>
        <v/>
      </c>
      <c r="V144" s="40" t="str">
        <f>IF(AND(ISNUMBER(J144),ISNUMBER(K144)),IF(N(ISNUMBER('参数'!$E$33))+N(ISNUMBER('参数'!$G$33))+N(ISNUMBER('参数'!$I$33))+N(ISNUMBER('参数'!$K$33))=0,"",IF(AND(ISNUMBER('参数'!$E$33),ISNUMBER(J143)),AND(J144&gt;='参数'!$E$33,J144&gt;J143),FALSE)+IF(AND(ISNUMBER('参数'!$G$33),ISNUMBER(N144)),N144&lt;='参数'!$G$33,FALSE)+IF(AND(ISNUMBER('参数'!$I$33),ISNUMBER(Q144)),Q144&gt;='参数'!$I$33,FALSE)+IF(AND(ISNUMBER('参数'!$K$33),ISNUMBER(S144)),S144&gt;='参数'!$K$33,FALSE)),"")</f>
        <v/>
      </c>
      <c r="W144" s="40" t="str">
        <f>IF(AND(ISNUMBER(J144),ISNUMBER(K144)),IF(N(ISNUMBER('参数'!$E$34))+N(ISNUMBER('参数'!$G$34))+N(ISNUMBER('参数'!$I$34))+N(ISNUMBER('参数'!$K$34))=0,"",IF(ISNUMBER('参数'!$E$34),J144&gt;='参数'!$E$34,FALSE)+IF(AND(ISNUMBER('参数'!$G$34),ISNUMBER(N144)),N144&lt;='参数'!$G$34,FALSE)+IF(AND(ISNUMBER('参数'!$I$34),ISNUMBER(S144)),S144&gt;='参数'!$I$34,FALSE)+IF(AND(ISNUMBER('参数'!$K$34),ISNUMBER(R144)),R144&gt;='参数'!$K$34,FALSE)),"")</f>
        <v/>
      </c>
      <c r="X144" s="40" t="str">
        <f>IF(AND(ISNUMBER(J144),ISNUMBER(K144)),IF(N(ISNUMBER('参数'!$E$35))+N(ISNUMBER('参数'!$G$35))+N(ISNUMBER('参数'!$I$35))=0,"",IF(AND(ISNUMBER('参数'!$E$35),ISNUMBER(N144),ISNUMBER(N143)),ROUND(N144-N143,6)&gt;='参数'!$E$35,FALSE)+IF(AND(ISNUMBER('参数'!$G$35),ISNUMBER(Q144),ISNUMBER(Q143)),ROUND(Q143-Q144,6)&gt;='参数'!$G$35,FALSE)+IF(AND(ISNUMBER('参数'!$I$35),ISNUMBER(S144),ISNUMBER(S143)),ROUND(S143-S144,6)&gt;='参数'!$I$35,FALSE)+IF(ISNUMBER(J143),J144&lt;J143,FALSE)),"")</f>
        <v/>
      </c>
      <c r="Y144" s="40" t="str">
        <f>IF(AND(ISNUMBER(J144),ISNUMBER(K144)),IF(N(ISNUMBER('参数'!$E$36))+N(ISNUMBER('参数'!$G$36))+N(ISNUMBER('参数'!$I$36))=0,"",IF(AND(ISNUMBER('参数'!$E$36),ISNUMBER(J143)),AND(J144&lt;='参数'!$E$36,J144&lt;J143),FALSE)+IF(ISNUMBER('参数'!$G$36),K144&gt;='参数'!$G$36,FALSE)+IF(AND(ISNUMBER('参数'!$I$36),ISNUMBER(S144)),S144&lt;'参数'!$I$36,FALSE)+IF(AND(ISNUMBER(R144),ISNUMBER(R143)),R144&lt;R143,FALSE)),"")</f>
        <v/>
      </c>
      <c r="Z144" s="41" t="str">
        <f>IF(NOT(AND(ISNUMBER(J144),ISNUMBER(K144))),"",IF(COUNT(T144:Y144)=0,"先填阈值",IF(MAX(AD144:AI144)=0,"不写",INDEX($T$4:$Y$4,MATCH(MAX(AD144:AI144),AD144:AI144,0))&amp;"·"&amp;IF(MAX(AD144:AI144)&gt;=200,"高","中")&amp;IF(LARGE(AD144:AI144,2)&gt;0,"（也像"&amp;INDEX($T$4:$Y$4,MATCH(LARGE(AD144:AI144,2),AD144:AI144,0))&amp;"·"&amp;IF(LARGE(AD144:AI144,2)&gt;=200,"高","中")&amp;"）",""))))</f>
        <v/>
      </c>
      <c r="AA144" s="27" t="n"/>
      <c r="AB144" s="32" t="n"/>
      <c r="AC144" s="16" t="n"/>
      <c r="AD144" s="40">
        <f>IF(N(T144)&gt;=3,IF(T144=4,2,1)*100+T144*10+6,0)</f>
        <v>0</v>
      </c>
      <c r="AE144" s="40">
        <f>IF(N(U144)&gt;=3,1*100+U144*10+1,0)</f>
        <v>0</v>
      </c>
      <c r="AF144" s="40">
        <f>IF(N(V144)&gt;=3,IF(V144=4,2,1)*100+V144*10+2,0)</f>
        <v>0</v>
      </c>
      <c r="AG144" s="40">
        <f>IF(N(W144)&gt;=3,1*100+W144*10+3,0)</f>
        <v>0</v>
      </c>
      <c r="AH144" s="40">
        <f>IF(N(X144)&gt;=3,1*100+X144*10+4,0)</f>
        <v>0</v>
      </c>
      <c r="AI144" s="40">
        <f>IF(N(Y144)&gt;=3,IF(AND(N(T144)&gt;=3,OR(N(T144)=4,N(Y144)&lt;=N(T144))),0,IF(Y144=4,2,1)*100+Y144*10+5),0)</f>
        <v>0</v>
      </c>
    </row>
    <row r="145">
      <c r="A145" s="31" t="n"/>
      <c r="B145" s="36" t="str">
        <f>IF(ISNUMBER(A145),"周"&amp;CHOOSE(WEEKDAY(A145,2),"一","二","三","四","五","六","日"),"")</f>
        <v/>
      </c>
      <c r="C145" s="37" t="n"/>
      <c r="D145" s="37" t="n"/>
      <c r="E145" s="37" t="n"/>
      <c r="F145" s="17" t="n"/>
      <c r="G145" s="38" t="str">
        <f>IF(AND(ISNUMBER(F145),ISNUMBER(F144)),IF(F144=0,"",F145/F144-1),"")</f>
        <v/>
      </c>
      <c r="H145" s="17" t="n"/>
      <c r="I145" s="17" t="n"/>
      <c r="J145" s="17" t="n"/>
      <c r="K145" s="17" t="n"/>
      <c r="L145" s="17" t="n"/>
      <c r="M145" s="17" t="n"/>
      <c r="N145" s="39" t="str">
        <f>IF(AND(ISNUMBER(L145),ISNUMBER(M145),N(L145)&gt;0),M145/L145,"")</f>
        <v/>
      </c>
      <c r="O145" s="17" t="n"/>
      <c r="P145" s="17" t="n"/>
      <c r="Q145" s="39" t="str">
        <f>IF(AND(ISNUMBER(O145),ISNUMBER(P145),N(O145)&gt;0),P145/O145,"")</f>
        <v/>
      </c>
      <c r="R145" s="17" t="n"/>
      <c r="S145" s="37" t="n"/>
      <c r="T145" s="40" t="str">
        <f>IF(AND(ISNUMBER(J145),ISNUMBER(K145)),IF(N(ISNUMBER('参数'!$E$31))+N(ISNUMBER('参数'!$G$31))+N(ISNUMBER('参数'!$I$31))+N(ISNUMBER('参数'!$K$31))=0,"",IF(ISNUMBER('参数'!$E$31),J145&lt;='参数'!$E$31,FALSE)+IF(ISNUMBER('参数'!$G$31),K145&gt;='参数'!$G$31,FALSE)+IF(AND(ISNUMBER('参数'!$I$31),ISNUMBER(N145)),N145&gt;='参数'!$I$31,FALSE)+IF(AND(ISNUMBER('参数'!$K$31),ISNUMBER(Q145)),Q145&lt;='参数'!$K$31,FALSE)),"")</f>
        <v/>
      </c>
      <c r="U145" s="40" t="str">
        <f>IF(AND(ISNUMBER(J145),ISNUMBER(K145)),IF(N(ISNUMBER('参数'!$G$32))+N(ISNUMBER('参数'!$I$32))+N(ISNUMBER('参数'!$K$32))=0,"",IF(AND(ISNUMBER(J144),ISNUMBER(J143)),AND(J145&gt;J144,J144&gt;J143),FALSE)+IF(ISNUMBER('参数'!$G$32),J145&lt;'参数'!$G$32,FALSE)+IF(AND(ISNUMBER('参数'!$I$32),ISNUMBER(Q145)),Q145&gt;='参数'!$I$32,FALSE)+IF(AND(ISNUMBER('参数'!$K$32),ISNUMBER(S145)),S145&gt;='参数'!$K$32,FALSE)),"")</f>
        <v/>
      </c>
      <c r="V145" s="40" t="str">
        <f>IF(AND(ISNUMBER(J145),ISNUMBER(K145)),IF(N(ISNUMBER('参数'!$E$33))+N(ISNUMBER('参数'!$G$33))+N(ISNUMBER('参数'!$I$33))+N(ISNUMBER('参数'!$K$33))=0,"",IF(AND(ISNUMBER('参数'!$E$33),ISNUMBER(J144)),AND(J145&gt;='参数'!$E$33,J145&gt;J144),FALSE)+IF(AND(ISNUMBER('参数'!$G$33),ISNUMBER(N145)),N145&lt;='参数'!$G$33,FALSE)+IF(AND(ISNUMBER('参数'!$I$33),ISNUMBER(Q145)),Q145&gt;='参数'!$I$33,FALSE)+IF(AND(ISNUMBER('参数'!$K$33),ISNUMBER(S145)),S145&gt;='参数'!$K$33,FALSE)),"")</f>
        <v/>
      </c>
      <c r="W145" s="40" t="str">
        <f>IF(AND(ISNUMBER(J145),ISNUMBER(K145)),IF(N(ISNUMBER('参数'!$E$34))+N(ISNUMBER('参数'!$G$34))+N(ISNUMBER('参数'!$I$34))+N(ISNUMBER('参数'!$K$34))=0,"",IF(ISNUMBER('参数'!$E$34),J145&gt;='参数'!$E$34,FALSE)+IF(AND(ISNUMBER('参数'!$G$34),ISNUMBER(N145)),N145&lt;='参数'!$G$34,FALSE)+IF(AND(ISNUMBER('参数'!$I$34),ISNUMBER(S145)),S145&gt;='参数'!$I$34,FALSE)+IF(AND(ISNUMBER('参数'!$K$34),ISNUMBER(R145)),R145&gt;='参数'!$K$34,FALSE)),"")</f>
        <v/>
      </c>
      <c r="X145" s="40" t="str">
        <f>IF(AND(ISNUMBER(J145),ISNUMBER(K145)),IF(N(ISNUMBER('参数'!$E$35))+N(ISNUMBER('参数'!$G$35))+N(ISNUMBER('参数'!$I$35))=0,"",IF(AND(ISNUMBER('参数'!$E$35),ISNUMBER(N145),ISNUMBER(N144)),ROUND(N145-N144,6)&gt;='参数'!$E$35,FALSE)+IF(AND(ISNUMBER('参数'!$G$35),ISNUMBER(Q145),ISNUMBER(Q144)),ROUND(Q144-Q145,6)&gt;='参数'!$G$35,FALSE)+IF(AND(ISNUMBER('参数'!$I$35),ISNUMBER(S145),ISNUMBER(S144)),ROUND(S144-S145,6)&gt;='参数'!$I$35,FALSE)+IF(ISNUMBER(J144),J145&lt;J144,FALSE)),"")</f>
        <v/>
      </c>
      <c r="Y145" s="40" t="str">
        <f>IF(AND(ISNUMBER(J145),ISNUMBER(K145)),IF(N(ISNUMBER('参数'!$E$36))+N(ISNUMBER('参数'!$G$36))+N(ISNUMBER('参数'!$I$36))=0,"",IF(AND(ISNUMBER('参数'!$E$36),ISNUMBER(J144)),AND(J145&lt;='参数'!$E$36,J145&lt;J144),FALSE)+IF(ISNUMBER('参数'!$G$36),K145&gt;='参数'!$G$36,FALSE)+IF(AND(ISNUMBER('参数'!$I$36),ISNUMBER(S145)),S145&lt;'参数'!$I$36,FALSE)+IF(AND(ISNUMBER(R145),ISNUMBER(R144)),R145&lt;R144,FALSE)),"")</f>
        <v/>
      </c>
      <c r="Z145" s="41" t="str">
        <f>IF(NOT(AND(ISNUMBER(J145),ISNUMBER(K145))),"",IF(COUNT(T145:Y145)=0,"先填阈值",IF(MAX(AD145:AI145)=0,"不写",INDEX($T$4:$Y$4,MATCH(MAX(AD145:AI145),AD145:AI145,0))&amp;"·"&amp;IF(MAX(AD145:AI145)&gt;=200,"高","中")&amp;IF(LARGE(AD145:AI145,2)&gt;0,"（也像"&amp;INDEX($T$4:$Y$4,MATCH(LARGE(AD145:AI145,2),AD145:AI145,0))&amp;"·"&amp;IF(LARGE(AD145:AI145,2)&gt;=200,"高","中")&amp;"）",""))))</f>
        <v/>
      </c>
      <c r="AA145" s="27" t="n"/>
      <c r="AB145" s="32" t="n"/>
      <c r="AC145" s="16" t="n"/>
      <c r="AD145" s="40">
        <f>IF(N(T145)&gt;=3,IF(T145=4,2,1)*100+T145*10+6,0)</f>
        <v>0</v>
      </c>
      <c r="AE145" s="40">
        <f>IF(N(U145)&gt;=3,1*100+U145*10+1,0)</f>
        <v>0</v>
      </c>
      <c r="AF145" s="40">
        <f>IF(N(V145)&gt;=3,IF(V145=4,2,1)*100+V145*10+2,0)</f>
        <v>0</v>
      </c>
      <c r="AG145" s="40">
        <f>IF(N(W145)&gt;=3,1*100+W145*10+3,0)</f>
        <v>0</v>
      </c>
      <c r="AH145" s="40">
        <f>IF(N(X145)&gt;=3,1*100+X145*10+4,0)</f>
        <v>0</v>
      </c>
      <c r="AI145" s="40">
        <f>IF(N(Y145)&gt;=3,IF(AND(N(T145)&gt;=3,OR(N(T145)=4,N(Y145)&lt;=N(T145))),0,IF(Y145=4,2,1)*100+Y145*10+5),0)</f>
        <v>0</v>
      </c>
    </row>
    <row r="146">
      <c r="A146" s="31" t="n"/>
      <c r="B146" s="36" t="str">
        <f>IF(ISNUMBER(A146),"周"&amp;CHOOSE(WEEKDAY(A146,2),"一","二","三","四","五","六","日"),"")</f>
        <v/>
      </c>
      <c r="C146" s="37" t="n"/>
      <c r="D146" s="37" t="n"/>
      <c r="E146" s="37" t="n"/>
      <c r="F146" s="17" t="n"/>
      <c r="G146" s="38" t="str">
        <f>IF(AND(ISNUMBER(F146),ISNUMBER(F145)),IF(F145=0,"",F146/F145-1),"")</f>
        <v/>
      </c>
      <c r="H146" s="17" t="n"/>
      <c r="I146" s="17" t="n"/>
      <c r="J146" s="17" t="n"/>
      <c r="K146" s="17" t="n"/>
      <c r="L146" s="17" t="n"/>
      <c r="M146" s="17" t="n"/>
      <c r="N146" s="39" t="str">
        <f>IF(AND(ISNUMBER(L146),ISNUMBER(M146),N(L146)&gt;0),M146/L146,"")</f>
        <v/>
      </c>
      <c r="O146" s="17" t="n"/>
      <c r="P146" s="17" t="n"/>
      <c r="Q146" s="39" t="str">
        <f>IF(AND(ISNUMBER(O146),ISNUMBER(P146),N(O146)&gt;0),P146/O146,"")</f>
        <v/>
      </c>
      <c r="R146" s="17" t="n"/>
      <c r="S146" s="37" t="n"/>
      <c r="T146" s="40" t="str">
        <f>IF(AND(ISNUMBER(J146),ISNUMBER(K146)),IF(N(ISNUMBER('参数'!$E$31))+N(ISNUMBER('参数'!$G$31))+N(ISNUMBER('参数'!$I$31))+N(ISNUMBER('参数'!$K$31))=0,"",IF(ISNUMBER('参数'!$E$31),J146&lt;='参数'!$E$31,FALSE)+IF(ISNUMBER('参数'!$G$31),K146&gt;='参数'!$G$31,FALSE)+IF(AND(ISNUMBER('参数'!$I$31),ISNUMBER(N146)),N146&gt;='参数'!$I$31,FALSE)+IF(AND(ISNUMBER('参数'!$K$31),ISNUMBER(Q146)),Q146&lt;='参数'!$K$31,FALSE)),"")</f>
        <v/>
      </c>
      <c r="U146" s="40" t="str">
        <f>IF(AND(ISNUMBER(J146),ISNUMBER(K146)),IF(N(ISNUMBER('参数'!$G$32))+N(ISNUMBER('参数'!$I$32))+N(ISNUMBER('参数'!$K$32))=0,"",IF(AND(ISNUMBER(J145),ISNUMBER(J144)),AND(J146&gt;J145,J145&gt;J144),FALSE)+IF(ISNUMBER('参数'!$G$32),J146&lt;'参数'!$G$32,FALSE)+IF(AND(ISNUMBER('参数'!$I$32),ISNUMBER(Q146)),Q146&gt;='参数'!$I$32,FALSE)+IF(AND(ISNUMBER('参数'!$K$32),ISNUMBER(S146)),S146&gt;='参数'!$K$32,FALSE)),"")</f>
        <v/>
      </c>
      <c r="V146" s="40" t="str">
        <f>IF(AND(ISNUMBER(J146),ISNUMBER(K146)),IF(N(ISNUMBER('参数'!$E$33))+N(ISNUMBER('参数'!$G$33))+N(ISNUMBER('参数'!$I$33))+N(ISNUMBER('参数'!$K$33))=0,"",IF(AND(ISNUMBER('参数'!$E$33),ISNUMBER(J145)),AND(J146&gt;='参数'!$E$33,J146&gt;J145),FALSE)+IF(AND(ISNUMBER('参数'!$G$33),ISNUMBER(N146)),N146&lt;='参数'!$G$33,FALSE)+IF(AND(ISNUMBER('参数'!$I$33),ISNUMBER(Q146)),Q146&gt;='参数'!$I$33,FALSE)+IF(AND(ISNUMBER('参数'!$K$33),ISNUMBER(S146)),S146&gt;='参数'!$K$33,FALSE)),"")</f>
        <v/>
      </c>
      <c r="W146" s="40" t="str">
        <f>IF(AND(ISNUMBER(J146),ISNUMBER(K146)),IF(N(ISNUMBER('参数'!$E$34))+N(ISNUMBER('参数'!$G$34))+N(ISNUMBER('参数'!$I$34))+N(ISNUMBER('参数'!$K$34))=0,"",IF(ISNUMBER('参数'!$E$34),J146&gt;='参数'!$E$34,FALSE)+IF(AND(ISNUMBER('参数'!$G$34),ISNUMBER(N146)),N146&lt;='参数'!$G$34,FALSE)+IF(AND(ISNUMBER('参数'!$I$34),ISNUMBER(S146)),S146&gt;='参数'!$I$34,FALSE)+IF(AND(ISNUMBER('参数'!$K$34),ISNUMBER(R146)),R146&gt;='参数'!$K$34,FALSE)),"")</f>
        <v/>
      </c>
      <c r="X146" s="40" t="str">
        <f>IF(AND(ISNUMBER(J146),ISNUMBER(K146)),IF(N(ISNUMBER('参数'!$E$35))+N(ISNUMBER('参数'!$G$35))+N(ISNUMBER('参数'!$I$35))=0,"",IF(AND(ISNUMBER('参数'!$E$35),ISNUMBER(N146),ISNUMBER(N145)),ROUND(N146-N145,6)&gt;='参数'!$E$35,FALSE)+IF(AND(ISNUMBER('参数'!$G$35),ISNUMBER(Q146),ISNUMBER(Q145)),ROUND(Q145-Q146,6)&gt;='参数'!$G$35,FALSE)+IF(AND(ISNUMBER('参数'!$I$35),ISNUMBER(S146),ISNUMBER(S145)),ROUND(S145-S146,6)&gt;='参数'!$I$35,FALSE)+IF(ISNUMBER(J145),J146&lt;J145,FALSE)),"")</f>
        <v/>
      </c>
      <c r="Y146" s="40" t="str">
        <f>IF(AND(ISNUMBER(J146),ISNUMBER(K146)),IF(N(ISNUMBER('参数'!$E$36))+N(ISNUMBER('参数'!$G$36))+N(ISNUMBER('参数'!$I$36))=0,"",IF(AND(ISNUMBER('参数'!$E$36),ISNUMBER(J145)),AND(J146&lt;='参数'!$E$36,J146&lt;J145),FALSE)+IF(ISNUMBER('参数'!$G$36),K146&gt;='参数'!$G$36,FALSE)+IF(AND(ISNUMBER('参数'!$I$36),ISNUMBER(S146)),S146&lt;'参数'!$I$36,FALSE)+IF(AND(ISNUMBER(R146),ISNUMBER(R145)),R146&lt;R145,FALSE)),"")</f>
        <v/>
      </c>
      <c r="Z146" s="41" t="str">
        <f>IF(NOT(AND(ISNUMBER(J146),ISNUMBER(K146))),"",IF(COUNT(T146:Y146)=0,"先填阈值",IF(MAX(AD146:AI146)=0,"不写",INDEX($T$4:$Y$4,MATCH(MAX(AD146:AI146),AD146:AI146,0))&amp;"·"&amp;IF(MAX(AD146:AI146)&gt;=200,"高","中")&amp;IF(LARGE(AD146:AI146,2)&gt;0,"（也像"&amp;INDEX($T$4:$Y$4,MATCH(LARGE(AD146:AI146,2),AD146:AI146,0))&amp;"·"&amp;IF(LARGE(AD146:AI146,2)&gt;=200,"高","中")&amp;"）",""))))</f>
        <v/>
      </c>
      <c r="AA146" s="27" t="n"/>
      <c r="AB146" s="32" t="n"/>
      <c r="AC146" s="16" t="n"/>
      <c r="AD146" s="40">
        <f>IF(N(T146)&gt;=3,IF(T146=4,2,1)*100+T146*10+6,0)</f>
        <v>0</v>
      </c>
      <c r="AE146" s="40">
        <f>IF(N(U146)&gt;=3,1*100+U146*10+1,0)</f>
        <v>0</v>
      </c>
      <c r="AF146" s="40">
        <f>IF(N(V146)&gt;=3,IF(V146=4,2,1)*100+V146*10+2,0)</f>
        <v>0</v>
      </c>
      <c r="AG146" s="40">
        <f>IF(N(W146)&gt;=3,1*100+W146*10+3,0)</f>
        <v>0</v>
      </c>
      <c r="AH146" s="40">
        <f>IF(N(X146)&gt;=3,1*100+X146*10+4,0)</f>
        <v>0</v>
      </c>
      <c r="AI146" s="40">
        <f>IF(N(Y146)&gt;=3,IF(AND(N(T146)&gt;=3,OR(N(T146)=4,N(Y146)&lt;=N(T146))),0,IF(Y146=4,2,1)*100+Y146*10+5),0)</f>
        <v>0</v>
      </c>
    </row>
    <row r="147">
      <c r="A147" s="31" t="n"/>
      <c r="B147" s="36" t="str">
        <f>IF(ISNUMBER(A147),"周"&amp;CHOOSE(WEEKDAY(A147,2),"一","二","三","四","五","六","日"),"")</f>
        <v/>
      </c>
      <c r="C147" s="37" t="n"/>
      <c r="D147" s="37" t="n"/>
      <c r="E147" s="37" t="n"/>
      <c r="F147" s="17" t="n"/>
      <c r="G147" s="38" t="str">
        <f>IF(AND(ISNUMBER(F147),ISNUMBER(F146)),IF(F146=0,"",F147/F146-1),"")</f>
        <v/>
      </c>
      <c r="H147" s="17" t="n"/>
      <c r="I147" s="17" t="n"/>
      <c r="J147" s="17" t="n"/>
      <c r="K147" s="17" t="n"/>
      <c r="L147" s="17" t="n"/>
      <c r="M147" s="17" t="n"/>
      <c r="N147" s="39" t="str">
        <f>IF(AND(ISNUMBER(L147),ISNUMBER(M147),N(L147)&gt;0),M147/L147,"")</f>
        <v/>
      </c>
      <c r="O147" s="17" t="n"/>
      <c r="P147" s="17" t="n"/>
      <c r="Q147" s="39" t="str">
        <f>IF(AND(ISNUMBER(O147),ISNUMBER(P147),N(O147)&gt;0),P147/O147,"")</f>
        <v/>
      </c>
      <c r="R147" s="17" t="n"/>
      <c r="S147" s="37" t="n"/>
      <c r="T147" s="40" t="str">
        <f>IF(AND(ISNUMBER(J147),ISNUMBER(K147)),IF(N(ISNUMBER('参数'!$E$31))+N(ISNUMBER('参数'!$G$31))+N(ISNUMBER('参数'!$I$31))+N(ISNUMBER('参数'!$K$31))=0,"",IF(ISNUMBER('参数'!$E$31),J147&lt;='参数'!$E$31,FALSE)+IF(ISNUMBER('参数'!$G$31),K147&gt;='参数'!$G$31,FALSE)+IF(AND(ISNUMBER('参数'!$I$31),ISNUMBER(N147)),N147&gt;='参数'!$I$31,FALSE)+IF(AND(ISNUMBER('参数'!$K$31),ISNUMBER(Q147)),Q147&lt;='参数'!$K$31,FALSE)),"")</f>
        <v/>
      </c>
      <c r="U147" s="40" t="str">
        <f>IF(AND(ISNUMBER(J147),ISNUMBER(K147)),IF(N(ISNUMBER('参数'!$G$32))+N(ISNUMBER('参数'!$I$32))+N(ISNUMBER('参数'!$K$32))=0,"",IF(AND(ISNUMBER(J146),ISNUMBER(J145)),AND(J147&gt;J146,J146&gt;J145),FALSE)+IF(ISNUMBER('参数'!$G$32),J147&lt;'参数'!$G$32,FALSE)+IF(AND(ISNUMBER('参数'!$I$32),ISNUMBER(Q147)),Q147&gt;='参数'!$I$32,FALSE)+IF(AND(ISNUMBER('参数'!$K$32),ISNUMBER(S147)),S147&gt;='参数'!$K$32,FALSE)),"")</f>
        <v/>
      </c>
      <c r="V147" s="40" t="str">
        <f>IF(AND(ISNUMBER(J147),ISNUMBER(K147)),IF(N(ISNUMBER('参数'!$E$33))+N(ISNUMBER('参数'!$G$33))+N(ISNUMBER('参数'!$I$33))+N(ISNUMBER('参数'!$K$33))=0,"",IF(AND(ISNUMBER('参数'!$E$33),ISNUMBER(J146)),AND(J147&gt;='参数'!$E$33,J147&gt;J146),FALSE)+IF(AND(ISNUMBER('参数'!$G$33),ISNUMBER(N147)),N147&lt;='参数'!$G$33,FALSE)+IF(AND(ISNUMBER('参数'!$I$33),ISNUMBER(Q147)),Q147&gt;='参数'!$I$33,FALSE)+IF(AND(ISNUMBER('参数'!$K$33),ISNUMBER(S147)),S147&gt;='参数'!$K$33,FALSE)),"")</f>
        <v/>
      </c>
      <c r="W147" s="40" t="str">
        <f>IF(AND(ISNUMBER(J147),ISNUMBER(K147)),IF(N(ISNUMBER('参数'!$E$34))+N(ISNUMBER('参数'!$G$34))+N(ISNUMBER('参数'!$I$34))+N(ISNUMBER('参数'!$K$34))=0,"",IF(ISNUMBER('参数'!$E$34),J147&gt;='参数'!$E$34,FALSE)+IF(AND(ISNUMBER('参数'!$G$34),ISNUMBER(N147)),N147&lt;='参数'!$G$34,FALSE)+IF(AND(ISNUMBER('参数'!$I$34),ISNUMBER(S147)),S147&gt;='参数'!$I$34,FALSE)+IF(AND(ISNUMBER('参数'!$K$34),ISNUMBER(R147)),R147&gt;='参数'!$K$34,FALSE)),"")</f>
        <v/>
      </c>
      <c r="X147" s="40" t="str">
        <f>IF(AND(ISNUMBER(J147),ISNUMBER(K147)),IF(N(ISNUMBER('参数'!$E$35))+N(ISNUMBER('参数'!$G$35))+N(ISNUMBER('参数'!$I$35))=0,"",IF(AND(ISNUMBER('参数'!$E$35),ISNUMBER(N147),ISNUMBER(N146)),ROUND(N147-N146,6)&gt;='参数'!$E$35,FALSE)+IF(AND(ISNUMBER('参数'!$G$35),ISNUMBER(Q147),ISNUMBER(Q146)),ROUND(Q146-Q147,6)&gt;='参数'!$G$35,FALSE)+IF(AND(ISNUMBER('参数'!$I$35),ISNUMBER(S147),ISNUMBER(S146)),ROUND(S146-S147,6)&gt;='参数'!$I$35,FALSE)+IF(ISNUMBER(J146),J147&lt;J146,FALSE)),"")</f>
        <v/>
      </c>
      <c r="Y147" s="40" t="str">
        <f>IF(AND(ISNUMBER(J147),ISNUMBER(K147)),IF(N(ISNUMBER('参数'!$E$36))+N(ISNUMBER('参数'!$G$36))+N(ISNUMBER('参数'!$I$36))=0,"",IF(AND(ISNUMBER('参数'!$E$36),ISNUMBER(J146)),AND(J147&lt;='参数'!$E$36,J147&lt;J146),FALSE)+IF(ISNUMBER('参数'!$G$36),K147&gt;='参数'!$G$36,FALSE)+IF(AND(ISNUMBER('参数'!$I$36),ISNUMBER(S147)),S147&lt;'参数'!$I$36,FALSE)+IF(AND(ISNUMBER(R147),ISNUMBER(R146)),R147&lt;R146,FALSE)),"")</f>
        <v/>
      </c>
      <c r="Z147" s="41" t="str">
        <f>IF(NOT(AND(ISNUMBER(J147),ISNUMBER(K147))),"",IF(COUNT(T147:Y147)=0,"先填阈值",IF(MAX(AD147:AI147)=0,"不写",INDEX($T$4:$Y$4,MATCH(MAX(AD147:AI147),AD147:AI147,0))&amp;"·"&amp;IF(MAX(AD147:AI147)&gt;=200,"高","中")&amp;IF(LARGE(AD147:AI147,2)&gt;0,"（也像"&amp;INDEX($T$4:$Y$4,MATCH(LARGE(AD147:AI147,2),AD147:AI147,0))&amp;"·"&amp;IF(LARGE(AD147:AI147,2)&gt;=200,"高","中")&amp;"）",""))))</f>
        <v/>
      </c>
      <c r="AA147" s="27" t="n"/>
      <c r="AB147" s="32" t="n"/>
      <c r="AC147" s="16" t="n"/>
      <c r="AD147" s="40">
        <f>IF(N(T147)&gt;=3,IF(T147=4,2,1)*100+T147*10+6,0)</f>
        <v>0</v>
      </c>
      <c r="AE147" s="40">
        <f>IF(N(U147)&gt;=3,1*100+U147*10+1,0)</f>
        <v>0</v>
      </c>
      <c r="AF147" s="40">
        <f>IF(N(V147)&gt;=3,IF(V147=4,2,1)*100+V147*10+2,0)</f>
        <v>0</v>
      </c>
      <c r="AG147" s="40">
        <f>IF(N(W147)&gt;=3,1*100+W147*10+3,0)</f>
        <v>0</v>
      </c>
      <c r="AH147" s="40">
        <f>IF(N(X147)&gt;=3,1*100+X147*10+4,0)</f>
        <v>0</v>
      </c>
      <c r="AI147" s="40">
        <f>IF(N(Y147)&gt;=3,IF(AND(N(T147)&gt;=3,OR(N(T147)=4,N(Y147)&lt;=N(T147))),0,IF(Y147=4,2,1)*100+Y147*10+5),0)</f>
        <v>0</v>
      </c>
    </row>
    <row r="148">
      <c r="A148" s="31" t="n"/>
      <c r="B148" s="36" t="str">
        <f>IF(ISNUMBER(A148),"周"&amp;CHOOSE(WEEKDAY(A148,2),"一","二","三","四","五","六","日"),"")</f>
        <v/>
      </c>
      <c r="C148" s="37" t="n"/>
      <c r="D148" s="37" t="n"/>
      <c r="E148" s="37" t="n"/>
      <c r="F148" s="17" t="n"/>
      <c r="G148" s="38" t="str">
        <f>IF(AND(ISNUMBER(F148),ISNUMBER(F147)),IF(F147=0,"",F148/F147-1),"")</f>
        <v/>
      </c>
      <c r="H148" s="17" t="n"/>
      <c r="I148" s="17" t="n"/>
      <c r="J148" s="17" t="n"/>
      <c r="K148" s="17" t="n"/>
      <c r="L148" s="17" t="n"/>
      <c r="M148" s="17" t="n"/>
      <c r="N148" s="39" t="str">
        <f>IF(AND(ISNUMBER(L148),ISNUMBER(M148),N(L148)&gt;0),M148/L148,"")</f>
        <v/>
      </c>
      <c r="O148" s="17" t="n"/>
      <c r="P148" s="17" t="n"/>
      <c r="Q148" s="39" t="str">
        <f>IF(AND(ISNUMBER(O148),ISNUMBER(P148),N(O148)&gt;0),P148/O148,"")</f>
        <v/>
      </c>
      <c r="R148" s="17" t="n"/>
      <c r="S148" s="37" t="n"/>
      <c r="T148" s="40" t="str">
        <f>IF(AND(ISNUMBER(J148),ISNUMBER(K148)),IF(N(ISNUMBER('参数'!$E$31))+N(ISNUMBER('参数'!$G$31))+N(ISNUMBER('参数'!$I$31))+N(ISNUMBER('参数'!$K$31))=0,"",IF(ISNUMBER('参数'!$E$31),J148&lt;='参数'!$E$31,FALSE)+IF(ISNUMBER('参数'!$G$31),K148&gt;='参数'!$G$31,FALSE)+IF(AND(ISNUMBER('参数'!$I$31),ISNUMBER(N148)),N148&gt;='参数'!$I$31,FALSE)+IF(AND(ISNUMBER('参数'!$K$31),ISNUMBER(Q148)),Q148&lt;='参数'!$K$31,FALSE)),"")</f>
        <v/>
      </c>
      <c r="U148" s="40" t="str">
        <f>IF(AND(ISNUMBER(J148),ISNUMBER(K148)),IF(N(ISNUMBER('参数'!$G$32))+N(ISNUMBER('参数'!$I$32))+N(ISNUMBER('参数'!$K$32))=0,"",IF(AND(ISNUMBER(J147),ISNUMBER(J146)),AND(J148&gt;J147,J147&gt;J146),FALSE)+IF(ISNUMBER('参数'!$G$32),J148&lt;'参数'!$G$32,FALSE)+IF(AND(ISNUMBER('参数'!$I$32),ISNUMBER(Q148)),Q148&gt;='参数'!$I$32,FALSE)+IF(AND(ISNUMBER('参数'!$K$32),ISNUMBER(S148)),S148&gt;='参数'!$K$32,FALSE)),"")</f>
        <v/>
      </c>
      <c r="V148" s="40" t="str">
        <f>IF(AND(ISNUMBER(J148),ISNUMBER(K148)),IF(N(ISNUMBER('参数'!$E$33))+N(ISNUMBER('参数'!$G$33))+N(ISNUMBER('参数'!$I$33))+N(ISNUMBER('参数'!$K$33))=0,"",IF(AND(ISNUMBER('参数'!$E$33),ISNUMBER(J147)),AND(J148&gt;='参数'!$E$33,J148&gt;J147),FALSE)+IF(AND(ISNUMBER('参数'!$G$33),ISNUMBER(N148)),N148&lt;='参数'!$G$33,FALSE)+IF(AND(ISNUMBER('参数'!$I$33),ISNUMBER(Q148)),Q148&gt;='参数'!$I$33,FALSE)+IF(AND(ISNUMBER('参数'!$K$33),ISNUMBER(S148)),S148&gt;='参数'!$K$33,FALSE)),"")</f>
        <v/>
      </c>
      <c r="W148" s="40" t="str">
        <f>IF(AND(ISNUMBER(J148),ISNUMBER(K148)),IF(N(ISNUMBER('参数'!$E$34))+N(ISNUMBER('参数'!$G$34))+N(ISNUMBER('参数'!$I$34))+N(ISNUMBER('参数'!$K$34))=0,"",IF(ISNUMBER('参数'!$E$34),J148&gt;='参数'!$E$34,FALSE)+IF(AND(ISNUMBER('参数'!$G$34),ISNUMBER(N148)),N148&lt;='参数'!$G$34,FALSE)+IF(AND(ISNUMBER('参数'!$I$34),ISNUMBER(S148)),S148&gt;='参数'!$I$34,FALSE)+IF(AND(ISNUMBER('参数'!$K$34),ISNUMBER(R148)),R148&gt;='参数'!$K$34,FALSE)),"")</f>
        <v/>
      </c>
      <c r="X148" s="40" t="str">
        <f>IF(AND(ISNUMBER(J148),ISNUMBER(K148)),IF(N(ISNUMBER('参数'!$E$35))+N(ISNUMBER('参数'!$G$35))+N(ISNUMBER('参数'!$I$35))=0,"",IF(AND(ISNUMBER('参数'!$E$35),ISNUMBER(N148),ISNUMBER(N147)),ROUND(N148-N147,6)&gt;='参数'!$E$35,FALSE)+IF(AND(ISNUMBER('参数'!$G$35),ISNUMBER(Q148),ISNUMBER(Q147)),ROUND(Q147-Q148,6)&gt;='参数'!$G$35,FALSE)+IF(AND(ISNUMBER('参数'!$I$35),ISNUMBER(S148),ISNUMBER(S147)),ROUND(S147-S148,6)&gt;='参数'!$I$35,FALSE)+IF(ISNUMBER(J147),J148&lt;J147,FALSE)),"")</f>
        <v/>
      </c>
      <c r="Y148" s="40" t="str">
        <f>IF(AND(ISNUMBER(J148),ISNUMBER(K148)),IF(N(ISNUMBER('参数'!$E$36))+N(ISNUMBER('参数'!$G$36))+N(ISNUMBER('参数'!$I$36))=0,"",IF(AND(ISNUMBER('参数'!$E$36),ISNUMBER(J147)),AND(J148&lt;='参数'!$E$36,J148&lt;J147),FALSE)+IF(ISNUMBER('参数'!$G$36),K148&gt;='参数'!$G$36,FALSE)+IF(AND(ISNUMBER('参数'!$I$36),ISNUMBER(S148)),S148&lt;'参数'!$I$36,FALSE)+IF(AND(ISNUMBER(R148),ISNUMBER(R147)),R148&lt;R147,FALSE)),"")</f>
        <v/>
      </c>
      <c r="Z148" s="41" t="str">
        <f>IF(NOT(AND(ISNUMBER(J148),ISNUMBER(K148))),"",IF(COUNT(T148:Y148)=0,"先填阈值",IF(MAX(AD148:AI148)=0,"不写",INDEX($T$4:$Y$4,MATCH(MAX(AD148:AI148),AD148:AI148,0))&amp;"·"&amp;IF(MAX(AD148:AI148)&gt;=200,"高","中")&amp;IF(LARGE(AD148:AI148,2)&gt;0,"（也像"&amp;INDEX($T$4:$Y$4,MATCH(LARGE(AD148:AI148,2),AD148:AI148,0))&amp;"·"&amp;IF(LARGE(AD148:AI148,2)&gt;=200,"高","中")&amp;"）",""))))</f>
        <v/>
      </c>
      <c r="AA148" s="27" t="n"/>
      <c r="AB148" s="32" t="n"/>
      <c r="AC148" s="16" t="n"/>
      <c r="AD148" s="40">
        <f>IF(N(T148)&gt;=3,IF(T148=4,2,1)*100+T148*10+6,0)</f>
        <v>0</v>
      </c>
      <c r="AE148" s="40">
        <f>IF(N(U148)&gt;=3,1*100+U148*10+1,0)</f>
        <v>0</v>
      </c>
      <c r="AF148" s="40">
        <f>IF(N(V148)&gt;=3,IF(V148=4,2,1)*100+V148*10+2,0)</f>
        <v>0</v>
      </c>
      <c r="AG148" s="40">
        <f>IF(N(W148)&gt;=3,1*100+W148*10+3,0)</f>
        <v>0</v>
      </c>
      <c r="AH148" s="40">
        <f>IF(N(X148)&gt;=3,1*100+X148*10+4,0)</f>
        <v>0</v>
      </c>
      <c r="AI148" s="40">
        <f>IF(N(Y148)&gt;=3,IF(AND(N(T148)&gt;=3,OR(N(T148)=4,N(Y148)&lt;=N(T148))),0,IF(Y148=4,2,1)*100+Y148*10+5),0)</f>
        <v>0</v>
      </c>
    </row>
    <row r="149">
      <c r="A149" s="31" t="n"/>
      <c r="B149" s="36" t="str">
        <f>IF(ISNUMBER(A149),"周"&amp;CHOOSE(WEEKDAY(A149,2),"一","二","三","四","五","六","日"),"")</f>
        <v/>
      </c>
      <c r="C149" s="37" t="n"/>
      <c r="D149" s="37" t="n"/>
      <c r="E149" s="37" t="n"/>
      <c r="F149" s="17" t="n"/>
      <c r="G149" s="38" t="str">
        <f>IF(AND(ISNUMBER(F149),ISNUMBER(F148)),IF(F148=0,"",F149/F148-1),"")</f>
        <v/>
      </c>
      <c r="H149" s="17" t="n"/>
      <c r="I149" s="17" t="n"/>
      <c r="J149" s="17" t="n"/>
      <c r="K149" s="17" t="n"/>
      <c r="L149" s="17" t="n"/>
      <c r="M149" s="17" t="n"/>
      <c r="N149" s="39" t="str">
        <f>IF(AND(ISNUMBER(L149),ISNUMBER(M149),N(L149)&gt;0),M149/L149,"")</f>
        <v/>
      </c>
      <c r="O149" s="17" t="n"/>
      <c r="P149" s="17" t="n"/>
      <c r="Q149" s="39" t="str">
        <f>IF(AND(ISNUMBER(O149),ISNUMBER(P149),N(O149)&gt;0),P149/O149,"")</f>
        <v/>
      </c>
      <c r="R149" s="17" t="n"/>
      <c r="S149" s="37" t="n"/>
      <c r="T149" s="40" t="str">
        <f>IF(AND(ISNUMBER(J149),ISNUMBER(K149)),IF(N(ISNUMBER('参数'!$E$31))+N(ISNUMBER('参数'!$G$31))+N(ISNUMBER('参数'!$I$31))+N(ISNUMBER('参数'!$K$31))=0,"",IF(ISNUMBER('参数'!$E$31),J149&lt;='参数'!$E$31,FALSE)+IF(ISNUMBER('参数'!$G$31),K149&gt;='参数'!$G$31,FALSE)+IF(AND(ISNUMBER('参数'!$I$31),ISNUMBER(N149)),N149&gt;='参数'!$I$31,FALSE)+IF(AND(ISNUMBER('参数'!$K$31),ISNUMBER(Q149)),Q149&lt;='参数'!$K$31,FALSE)),"")</f>
        <v/>
      </c>
      <c r="U149" s="40" t="str">
        <f>IF(AND(ISNUMBER(J149),ISNUMBER(K149)),IF(N(ISNUMBER('参数'!$G$32))+N(ISNUMBER('参数'!$I$32))+N(ISNUMBER('参数'!$K$32))=0,"",IF(AND(ISNUMBER(J148),ISNUMBER(J147)),AND(J149&gt;J148,J148&gt;J147),FALSE)+IF(ISNUMBER('参数'!$G$32),J149&lt;'参数'!$G$32,FALSE)+IF(AND(ISNUMBER('参数'!$I$32),ISNUMBER(Q149)),Q149&gt;='参数'!$I$32,FALSE)+IF(AND(ISNUMBER('参数'!$K$32),ISNUMBER(S149)),S149&gt;='参数'!$K$32,FALSE)),"")</f>
        <v/>
      </c>
      <c r="V149" s="40" t="str">
        <f>IF(AND(ISNUMBER(J149),ISNUMBER(K149)),IF(N(ISNUMBER('参数'!$E$33))+N(ISNUMBER('参数'!$G$33))+N(ISNUMBER('参数'!$I$33))+N(ISNUMBER('参数'!$K$33))=0,"",IF(AND(ISNUMBER('参数'!$E$33),ISNUMBER(J148)),AND(J149&gt;='参数'!$E$33,J149&gt;J148),FALSE)+IF(AND(ISNUMBER('参数'!$G$33),ISNUMBER(N149)),N149&lt;='参数'!$G$33,FALSE)+IF(AND(ISNUMBER('参数'!$I$33),ISNUMBER(Q149)),Q149&gt;='参数'!$I$33,FALSE)+IF(AND(ISNUMBER('参数'!$K$33),ISNUMBER(S149)),S149&gt;='参数'!$K$33,FALSE)),"")</f>
        <v/>
      </c>
      <c r="W149" s="40" t="str">
        <f>IF(AND(ISNUMBER(J149),ISNUMBER(K149)),IF(N(ISNUMBER('参数'!$E$34))+N(ISNUMBER('参数'!$G$34))+N(ISNUMBER('参数'!$I$34))+N(ISNUMBER('参数'!$K$34))=0,"",IF(ISNUMBER('参数'!$E$34),J149&gt;='参数'!$E$34,FALSE)+IF(AND(ISNUMBER('参数'!$G$34),ISNUMBER(N149)),N149&lt;='参数'!$G$34,FALSE)+IF(AND(ISNUMBER('参数'!$I$34),ISNUMBER(S149)),S149&gt;='参数'!$I$34,FALSE)+IF(AND(ISNUMBER('参数'!$K$34),ISNUMBER(R149)),R149&gt;='参数'!$K$34,FALSE)),"")</f>
        <v/>
      </c>
      <c r="X149" s="40" t="str">
        <f>IF(AND(ISNUMBER(J149),ISNUMBER(K149)),IF(N(ISNUMBER('参数'!$E$35))+N(ISNUMBER('参数'!$G$35))+N(ISNUMBER('参数'!$I$35))=0,"",IF(AND(ISNUMBER('参数'!$E$35),ISNUMBER(N149),ISNUMBER(N148)),ROUND(N149-N148,6)&gt;='参数'!$E$35,FALSE)+IF(AND(ISNUMBER('参数'!$G$35),ISNUMBER(Q149),ISNUMBER(Q148)),ROUND(Q148-Q149,6)&gt;='参数'!$G$35,FALSE)+IF(AND(ISNUMBER('参数'!$I$35),ISNUMBER(S149),ISNUMBER(S148)),ROUND(S148-S149,6)&gt;='参数'!$I$35,FALSE)+IF(ISNUMBER(J148),J149&lt;J148,FALSE)),"")</f>
        <v/>
      </c>
      <c r="Y149" s="40" t="str">
        <f>IF(AND(ISNUMBER(J149),ISNUMBER(K149)),IF(N(ISNUMBER('参数'!$E$36))+N(ISNUMBER('参数'!$G$36))+N(ISNUMBER('参数'!$I$36))=0,"",IF(AND(ISNUMBER('参数'!$E$36),ISNUMBER(J148)),AND(J149&lt;='参数'!$E$36,J149&lt;J148),FALSE)+IF(ISNUMBER('参数'!$G$36),K149&gt;='参数'!$G$36,FALSE)+IF(AND(ISNUMBER('参数'!$I$36),ISNUMBER(S149)),S149&lt;'参数'!$I$36,FALSE)+IF(AND(ISNUMBER(R149),ISNUMBER(R148)),R149&lt;R148,FALSE)),"")</f>
        <v/>
      </c>
      <c r="Z149" s="41" t="str">
        <f>IF(NOT(AND(ISNUMBER(J149),ISNUMBER(K149))),"",IF(COUNT(T149:Y149)=0,"先填阈值",IF(MAX(AD149:AI149)=0,"不写",INDEX($T$4:$Y$4,MATCH(MAX(AD149:AI149),AD149:AI149,0))&amp;"·"&amp;IF(MAX(AD149:AI149)&gt;=200,"高","中")&amp;IF(LARGE(AD149:AI149,2)&gt;0,"（也像"&amp;INDEX($T$4:$Y$4,MATCH(LARGE(AD149:AI149,2),AD149:AI149,0))&amp;"·"&amp;IF(LARGE(AD149:AI149,2)&gt;=200,"高","中")&amp;"）",""))))</f>
        <v/>
      </c>
      <c r="AA149" s="27" t="n"/>
      <c r="AB149" s="32" t="n"/>
      <c r="AC149" s="16" t="n"/>
      <c r="AD149" s="40">
        <f>IF(N(T149)&gt;=3,IF(T149=4,2,1)*100+T149*10+6,0)</f>
        <v>0</v>
      </c>
      <c r="AE149" s="40">
        <f>IF(N(U149)&gt;=3,1*100+U149*10+1,0)</f>
        <v>0</v>
      </c>
      <c r="AF149" s="40">
        <f>IF(N(V149)&gt;=3,IF(V149=4,2,1)*100+V149*10+2,0)</f>
        <v>0</v>
      </c>
      <c r="AG149" s="40">
        <f>IF(N(W149)&gt;=3,1*100+W149*10+3,0)</f>
        <v>0</v>
      </c>
      <c r="AH149" s="40">
        <f>IF(N(X149)&gt;=3,1*100+X149*10+4,0)</f>
        <v>0</v>
      </c>
      <c r="AI149" s="40">
        <f>IF(N(Y149)&gt;=3,IF(AND(N(T149)&gt;=3,OR(N(T149)=4,N(Y149)&lt;=N(T149))),0,IF(Y149=4,2,1)*100+Y149*10+5),0)</f>
        <v>0</v>
      </c>
    </row>
    <row r="150">
      <c r="A150" s="31" t="n"/>
      <c r="B150" s="36" t="str">
        <f>IF(ISNUMBER(A150),"周"&amp;CHOOSE(WEEKDAY(A150,2),"一","二","三","四","五","六","日"),"")</f>
        <v/>
      </c>
      <c r="C150" s="37" t="n"/>
      <c r="D150" s="37" t="n"/>
      <c r="E150" s="37" t="n"/>
      <c r="F150" s="17" t="n"/>
      <c r="G150" s="38" t="str">
        <f>IF(AND(ISNUMBER(F150),ISNUMBER(F149)),IF(F149=0,"",F150/F149-1),"")</f>
        <v/>
      </c>
      <c r="H150" s="17" t="n"/>
      <c r="I150" s="17" t="n"/>
      <c r="J150" s="17" t="n"/>
      <c r="K150" s="17" t="n"/>
      <c r="L150" s="17" t="n"/>
      <c r="M150" s="17" t="n"/>
      <c r="N150" s="39" t="str">
        <f>IF(AND(ISNUMBER(L150),ISNUMBER(M150),N(L150)&gt;0),M150/L150,"")</f>
        <v/>
      </c>
      <c r="O150" s="17" t="n"/>
      <c r="P150" s="17" t="n"/>
      <c r="Q150" s="39" t="str">
        <f>IF(AND(ISNUMBER(O150),ISNUMBER(P150),N(O150)&gt;0),P150/O150,"")</f>
        <v/>
      </c>
      <c r="R150" s="17" t="n"/>
      <c r="S150" s="37" t="n"/>
      <c r="T150" s="40" t="str">
        <f>IF(AND(ISNUMBER(J150),ISNUMBER(K150)),IF(N(ISNUMBER('参数'!$E$31))+N(ISNUMBER('参数'!$G$31))+N(ISNUMBER('参数'!$I$31))+N(ISNUMBER('参数'!$K$31))=0,"",IF(ISNUMBER('参数'!$E$31),J150&lt;='参数'!$E$31,FALSE)+IF(ISNUMBER('参数'!$G$31),K150&gt;='参数'!$G$31,FALSE)+IF(AND(ISNUMBER('参数'!$I$31),ISNUMBER(N150)),N150&gt;='参数'!$I$31,FALSE)+IF(AND(ISNUMBER('参数'!$K$31),ISNUMBER(Q150)),Q150&lt;='参数'!$K$31,FALSE)),"")</f>
        <v/>
      </c>
      <c r="U150" s="40" t="str">
        <f>IF(AND(ISNUMBER(J150),ISNUMBER(K150)),IF(N(ISNUMBER('参数'!$G$32))+N(ISNUMBER('参数'!$I$32))+N(ISNUMBER('参数'!$K$32))=0,"",IF(AND(ISNUMBER(J149),ISNUMBER(J148)),AND(J150&gt;J149,J149&gt;J148),FALSE)+IF(ISNUMBER('参数'!$G$32),J150&lt;'参数'!$G$32,FALSE)+IF(AND(ISNUMBER('参数'!$I$32),ISNUMBER(Q150)),Q150&gt;='参数'!$I$32,FALSE)+IF(AND(ISNUMBER('参数'!$K$32),ISNUMBER(S150)),S150&gt;='参数'!$K$32,FALSE)),"")</f>
        <v/>
      </c>
      <c r="V150" s="40" t="str">
        <f>IF(AND(ISNUMBER(J150),ISNUMBER(K150)),IF(N(ISNUMBER('参数'!$E$33))+N(ISNUMBER('参数'!$G$33))+N(ISNUMBER('参数'!$I$33))+N(ISNUMBER('参数'!$K$33))=0,"",IF(AND(ISNUMBER('参数'!$E$33),ISNUMBER(J149)),AND(J150&gt;='参数'!$E$33,J150&gt;J149),FALSE)+IF(AND(ISNUMBER('参数'!$G$33),ISNUMBER(N150)),N150&lt;='参数'!$G$33,FALSE)+IF(AND(ISNUMBER('参数'!$I$33),ISNUMBER(Q150)),Q150&gt;='参数'!$I$33,FALSE)+IF(AND(ISNUMBER('参数'!$K$33),ISNUMBER(S150)),S150&gt;='参数'!$K$33,FALSE)),"")</f>
        <v/>
      </c>
      <c r="W150" s="40" t="str">
        <f>IF(AND(ISNUMBER(J150),ISNUMBER(K150)),IF(N(ISNUMBER('参数'!$E$34))+N(ISNUMBER('参数'!$G$34))+N(ISNUMBER('参数'!$I$34))+N(ISNUMBER('参数'!$K$34))=0,"",IF(ISNUMBER('参数'!$E$34),J150&gt;='参数'!$E$34,FALSE)+IF(AND(ISNUMBER('参数'!$G$34),ISNUMBER(N150)),N150&lt;='参数'!$G$34,FALSE)+IF(AND(ISNUMBER('参数'!$I$34),ISNUMBER(S150)),S150&gt;='参数'!$I$34,FALSE)+IF(AND(ISNUMBER('参数'!$K$34),ISNUMBER(R150)),R150&gt;='参数'!$K$34,FALSE)),"")</f>
        <v/>
      </c>
      <c r="X150" s="40" t="str">
        <f>IF(AND(ISNUMBER(J150),ISNUMBER(K150)),IF(N(ISNUMBER('参数'!$E$35))+N(ISNUMBER('参数'!$G$35))+N(ISNUMBER('参数'!$I$35))=0,"",IF(AND(ISNUMBER('参数'!$E$35),ISNUMBER(N150),ISNUMBER(N149)),ROUND(N150-N149,6)&gt;='参数'!$E$35,FALSE)+IF(AND(ISNUMBER('参数'!$G$35),ISNUMBER(Q150),ISNUMBER(Q149)),ROUND(Q149-Q150,6)&gt;='参数'!$G$35,FALSE)+IF(AND(ISNUMBER('参数'!$I$35),ISNUMBER(S150),ISNUMBER(S149)),ROUND(S149-S150,6)&gt;='参数'!$I$35,FALSE)+IF(ISNUMBER(J149),J150&lt;J149,FALSE)),"")</f>
        <v/>
      </c>
      <c r="Y150" s="40" t="str">
        <f>IF(AND(ISNUMBER(J150),ISNUMBER(K150)),IF(N(ISNUMBER('参数'!$E$36))+N(ISNUMBER('参数'!$G$36))+N(ISNUMBER('参数'!$I$36))=0,"",IF(AND(ISNUMBER('参数'!$E$36),ISNUMBER(J149)),AND(J150&lt;='参数'!$E$36,J150&lt;J149),FALSE)+IF(ISNUMBER('参数'!$G$36),K150&gt;='参数'!$G$36,FALSE)+IF(AND(ISNUMBER('参数'!$I$36),ISNUMBER(S150)),S150&lt;'参数'!$I$36,FALSE)+IF(AND(ISNUMBER(R150),ISNUMBER(R149)),R150&lt;R149,FALSE)),"")</f>
        <v/>
      </c>
      <c r="Z150" s="41" t="str">
        <f>IF(NOT(AND(ISNUMBER(J150),ISNUMBER(K150))),"",IF(COUNT(T150:Y150)=0,"先填阈值",IF(MAX(AD150:AI150)=0,"不写",INDEX($T$4:$Y$4,MATCH(MAX(AD150:AI150),AD150:AI150,0))&amp;"·"&amp;IF(MAX(AD150:AI150)&gt;=200,"高","中")&amp;IF(LARGE(AD150:AI150,2)&gt;0,"（也像"&amp;INDEX($T$4:$Y$4,MATCH(LARGE(AD150:AI150,2),AD150:AI150,0))&amp;"·"&amp;IF(LARGE(AD150:AI150,2)&gt;=200,"高","中")&amp;"）",""))))</f>
        <v/>
      </c>
      <c r="AA150" s="27" t="n"/>
      <c r="AB150" s="32" t="n"/>
      <c r="AC150" s="16" t="n"/>
      <c r="AD150" s="40">
        <f>IF(N(T150)&gt;=3,IF(T150=4,2,1)*100+T150*10+6,0)</f>
        <v>0</v>
      </c>
      <c r="AE150" s="40">
        <f>IF(N(U150)&gt;=3,1*100+U150*10+1,0)</f>
        <v>0</v>
      </c>
      <c r="AF150" s="40">
        <f>IF(N(V150)&gt;=3,IF(V150=4,2,1)*100+V150*10+2,0)</f>
        <v>0</v>
      </c>
      <c r="AG150" s="40">
        <f>IF(N(W150)&gt;=3,1*100+W150*10+3,0)</f>
        <v>0</v>
      </c>
      <c r="AH150" s="40">
        <f>IF(N(X150)&gt;=3,1*100+X150*10+4,0)</f>
        <v>0</v>
      </c>
      <c r="AI150" s="40">
        <f>IF(N(Y150)&gt;=3,IF(AND(N(T150)&gt;=3,OR(N(T150)=4,N(Y150)&lt;=N(T150))),0,IF(Y150=4,2,1)*100+Y150*10+5),0)</f>
        <v>0</v>
      </c>
    </row>
    <row r="151">
      <c r="A151" s="31" t="n"/>
      <c r="B151" s="36" t="str">
        <f>IF(ISNUMBER(A151),"周"&amp;CHOOSE(WEEKDAY(A151,2),"一","二","三","四","五","六","日"),"")</f>
        <v/>
      </c>
      <c r="C151" s="37" t="n"/>
      <c r="D151" s="37" t="n"/>
      <c r="E151" s="37" t="n"/>
      <c r="F151" s="17" t="n"/>
      <c r="G151" s="38" t="str">
        <f>IF(AND(ISNUMBER(F151),ISNUMBER(F150)),IF(F150=0,"",F151/F150-1),"")</f>
        <v/>
      </c>
      <c r="H151" s="17" t="n"/>
      <c r="I151" s="17" t="n"/>
      <c r="J151" s="17" t="n"/>
      <c r="K151" s="17" t="n"/>
      <c r="L151" s="17" t="n"/>
      <c r="M151" s="17" t="n"/>
      <c r="N151" s="39" t="str">
        <f>IF(AND(ISNUMBER(L151),ISNUMBER(M151),N(L151)&gt;0),M151/L151,"")</f>
        <v/>
      </c>
      <c r="O151" s="17" t="n"/>
      <c r="P151" s="17" t="n"/>
      <c r="Q151" s="39" t="str">
        <f>IF(AND(ISNUMBER(O151),ISNUMBER(P151),N(O151)&gt;0),P151/O151,"")</f>
        <v/>
      </c>
      <c r="R151" s="17" t="n"/>
      <c r="S151" s="37" t="n"/>
      <c r="T151" s="40" t="str">
        <f>IF(AND(ISNUMBER(J151),ISNUMBER(K151)),IF(N(ISNUMBER('参数'!$E$31))+N(ISNUMBER('参数'!$G$31))+N(ISNUMBER('参数'!$I$31))+N(ISNUMBER('参数'!$K$31))=0,"",IF(ISNUMBER('参数'!$E$31),J151&lt;='参数'!$E$31,FALSE)+IF(ISNUMBER('参数'!$G$31),K151&gt;='参数'!$G$31,FALSE)+IF(AND(ISNUMBER('参数'!$I$31),ISNUMBER(N151)),N151&gt;='参数'!$I$31,FALSE)+IF(AND(ISNUMBER('参数'!$K$31),ISNUMBER(Q151)),Q151&lt;='参数'!$K$31,FALSE)),"")</f>
        <v/>
      </c>
      <c r="U151" s="40" t="str">
        <f>IF(AND(ISNUMBER(J151),ISNUMBER(K151)),IF(N(ISNUMBER('参数'!$G$32))+N(ISNUMBER('参数'!$I$32))+N(ISNUMBER('参数'!$K$32))=0,"",IF(AND(ISNUMBER(J150),ISNUMBER(J149)),AND(J151&gt;J150,J150&gt;J149),FALSE)+IF(ISNUMBER('参数'!$G$32),J151&lt;'参数'!$G$32,FALSE)+IF(AND(ISNUMBER('参数'!$I$32),ISNUMBER(Q151)),Q151&gt;='参数'!$I$32,FALSE)+IF(AND(ISNUMBER('参数'!$K$32),ISNUMBER(S151)),S151&gt;='参数'!$K$32,FALSE)),"")</f>
        <v/>
      </c>
      <c r="V151" s="40" t="str">
        <f>IF(AND(ISNUMBER(J151),ISNUMBER(K151)),IF(N(ISNUMBER('参数'!$E$33))+N(ISNUMBER('参数'!$G$33))+N(ISNUMBER('参数'!$I$33))+N(ISNUMBER('参数'!$K$33))=0,"",IF(AND(ISNUMBER('参数'!$E$33),ISNUMBER(J150)),AND(J151&gt;='参数'!$E$33,J151&gt;J150),FALSE)+IF(AND(ISNUMBER('参数'!$G$33),ISNUMBER(N151)),N151&lt;='参数'!$G$33,FALSE)+IF(AND(ISNUMBER('参数'!$I$33),ISNUMBER(Q151)),Q151&gt;='参数'!$I$33,FALSE)+IF(AND(ISNUMBER('参数'!$K$33),ISNUMBER(S151)),S151&gt;='参数'!$K$33,FALSE)),"")</f>
        <v/>
      </c>
      <c r="W151" s="40" t="str">
        <f>IF(AND(ISNUMBER(J151),ISNUMBER(K151)),IF(N(ISNUMBER('参数'!$E$34))+N(ISNUMBER('参数'!$G$34))+N(ISNUMBER('参数'!$I$34))+N(ISNUMBER('参数'!$K$34))=0,"",IF(ISNUMBER('参数'!$E$34),J151&gt;='参数'!$E$34,FALSE)+IF(AND(ISNUMBER('参数'!$G$34),ISNUMBER(N151)),N151&lt;='参数'!$G$34,FALSE)+IF(AND(ISNUMBER('参数'!$I$34),ISNUMBER(S151)),S151&gt;='参数'!$I$34,FALSE)+IF(AND(ISNUMBER('参数'!$K$34),ISNUMBER(R151)),R151&gt;='参数'!$K$34,FALSE)),"")</f>
        <v/>
      </c>
      <c r="X151" s="40" t="str">
        <f>IF(AND(ISNUMBER(J151),ISNUMBER(K151)),IF(N(ISNUMBER('参数'!$E$35))+N(ISNUMBER('参数'!$G$35))+N(ISNUMBER('参数'!$I$35))=0,"",IF(AND(ISNUMBER('参数'!$E$35),ISNUMBER(N151),ISNUMBER(N150)),ROUND(N151-N150,6)&gt;='参数'!$E$35,FALSE)+IF(AND(ISNUMBER('参数'!$G$35),ISNUMBER(Q151),ISNUMBER(Q150)),ROUND(Q150-Q151,6)&gt;='参数'!$G$35,FALSE)+IF(AND(ISNUMBER('参数'!$I$35),ISNUMBER(S151),ISNUMBER(S150)),ROUND(S150-S151,6)&gt;='参数'!$I$35,FALSE)+IF(ISNUMBER(J150),J151&lt;J150,FALSE)),"")</f>
        <v/>
      </c>
      <c r="Y151" s="40" t="str">
        <f>IF(AND(ISNUMBER(J151),ISNUMBER(K151)),IF(N(ISNUMBER('参数'!$E$36))+N(ISNUMBER('参数'!$G$36))+N(ISNUMBER('参数'!$I$36))=0,"",IF(AND(ISNUMBER('参数'!$E$36),ISNUMBER(J150)),AND(J151&lt;='参数'!$E$36,J151&lt;J150),FALSE)+IF(ISNUMBER('参数'!$G$36),K151&gt;='参数'!$G$36,FALSE)+IF(AND(ISNUMBER('参数'!$I$36),ISNUMBER(S151)),S151&lt;'参数'!$I$36,FALSE)+IF(AND(ISNUMBER(R151),ISNUMBER(R150)),R151&lt;R150,FALSE)),"")</f>
        <v/>
      </c>
      <c r="Z151" s="41" t="str">
        <f>IF(NOT(AND(ISNUMBER(J151),ISNUMBER(K151))),"",IF(COUNT(T151:Y151)=0,"先填阈值",IF(MAX(AD151:AI151)=0,"不写",INDEX($T$4:$Y$4,MATCH(MAX(AD151:AI151),AD151:AI151,0))&amp;"·"&amp;IF(MAX(AD151:AI151)&gt;=200,"高","中")&amp;IF(LARGE(AD151:AI151,2)&gt;0,"（也像"&amp;INDEX($T$4:$Y$4,MATCH(LARGE(AD151:AI151,2),AD151:AI151,0))&amp;"·"&amp;IF(LARGE(AD151:AI151,2)&gt;=200,"高","中")&amp;"）",""))))</f>
        <v/>
      </c>
      <c r="AA151" s="27" t="n"/>
      <c r="AB151" s="32" t="n"/>
      <c r="AC151" s="16" t="n"/>
      <c r="AD151" s="40">
        <f>IF(N(T151)&gt;=3,IF(T151=4,2,1)*100+T151*10+6,0)</f>
        <v>0</v>
      </c>
      <c r="AE151" s="40">
        <f>IF(N(U151)&gt;=3,1*100+U151*10+1,0)</f>
        <v>0</v>
      </c>
      <c r="AF151" s="40">
        <f>IF(N(V151)&gt;=3,IF(V151=4,2,1)*100+V151*10+2,0)</f>
        <v>0</v>
      </c>
      <c r="AG151" s="40">
        <f>IF(N(W151)&gt;=3,1*100+W151*10+3,0)</f>
        <v>0</v>
      </c>
      <c r="AH151" s="40">
        <f>IF(N(X151)&gt;=3,1*100+X151*10+4,0)</f>
        <v>0</v>
      </c>
      <c r="AI151" s="40">
        <f>IF(N(Y151)&gt;=3,IF(AND(N(T151)&gt;=3,OR(N(T151)=4,N(Y151)&lt;=N(T151))),0,IF(Y151=4,2,1)*100+Y151*10+5),0)</f>
        <v>0</v>
      </c>
    </row>
    <row r="152">
      <c r="A152" s="31" t="n"/>
      <c r="B152" s="36" t="str">
        <f>IF(ISNUMBER(A152),"周"&amp;CHOOSE(WEEKDAY(A152,2),"一","二","三","四","五","六","日"),"")</f>
        <v/>
      </c>
      <c r="C152" s="37" t="n"/>
      <c r="D152" s="37" t="n"/>
      <c r="E152" s="37" t="n"/>
      <c r="F152" s="17" t="n"/>
      <c r="G152" s="38" t="str">
        <f>IF(AND(ISNUMBER(F152),ISNUMBER(F151)),IF(F151=0,"",F152/F151-1),"")</f>
        <v/>
      </c>
      <c r="H152" s="17" t="n"/>
      <c r="I152" s="17" t="n"/>
      <c r="J152" s="17" t="n"/>
      <c r="K152" s="17" t="n"/>
      <c r="L152" s="17" t="n"/>
      <c r="M152" s="17" t="n"/>
      <c r="N152" s="39" t="str">
        <f>IF(AND(ISNUMBER(L152),ISNUMBER(M152),N(L152)&gt;0),M152/L152,"")</f>
        <v/>
      </c>
      <c r="O152" s="17" t="n"/>
      <c r="P152" s="17" t="n"/>
      <c r="Q152" s="39" t="str">
        <f>IF(AND(ISNUMBER(O152),ISNUMBER(P152),N(O152)&gt;0),P152/O152,"")</f>
        <v/>
      </c>
      <c r="R152" s="17" t="n"/>
      <c r="S152" s="37" t="n"/>
      <c r="T152" s="40" t="str">
        <f>IF(AND(ISNUMBER(J152),ISNUMBER(K152)),IF(N(ISNUMBER('参数'!$E$31))+N(ISNUMBER('参数'!$G$31))+N(ISNUMBER('参数'!$I$31))+N(ISNUMBER('参数'!$K$31))=0,"",IF(ISNUMBER('参数'!$E$31),J152&lt;='参数'!$E$31,FALSE)+IF(ISNUMBER('参数'!$G$31),K152&gt;='参数'!$G$31,FALSE)+IF(AND(ISNUMBER('参数'!$I$31),ISNUMBER(N152)),N152&gt;='参数'!$I$31,FALSE)+IF(AND(ISNUMBER('参数'!$K$31),ISNUMBER(Q152)),Q152&lt;='参数'!$K$31,FALSE)),"")</f>
        <v/>
      </c>
      <c r="U152" s="40" t="str">
        <f>IF(AND(ISNUMBER(J152),ISNUMBER(K152)),IF(N(ISNUMBER('参数'!$G$32))+N(ISNUMBER('参数'!$I$32))+N(ISNUMBER('参数'!$K$32))=0,"",IF(AND(ISNUMBER(J151),ISNUMBER(J150)),AND(J152&gt;J151,J151&gt;J150),FALSE)+IF(ISNUMBER('参数'!$G$32),J152&lt;'参数'!$G$32,FALSE)+IF(AND(ISNUMBER('参数'!$I$32),ISNUMBER(Q152)),Q152&gt;='参数'!$I$32,FALSE)+IF(AND(ISNUMBER('参数'!$K$32),ISNUMBER(S152)),S152&gt;='参数'!$K$32,FALSE)),"")</f>
        <v/>
      </c>
      <c r="V152" s="40" t="str">
        <f>IF(AND(ISNUMBER(J152),ISNUMBER(K152)),IF(N(ISNUMBER('参数'!$E$33))+N(ISNUMBER('参数'!$G$33))+N(ISNUMBER('参数'!$I$33))+N(ISNUMBER('参数'!$K$33))=0,"",IF(AND(ISNUMBER('参数'!$E$33),ISNUMBER(J151)),AND(J152&gt;='参数'!$E$33,J152&gt;J151),FALSE)+IF(AND(ISNUMBER('参数'!$G$33),ISNUMBER(N152)),N152&lt;='参数'!$G$33,FALSE)+IF(AND(ISNUMBER('参数'!$I$33),ISNUMBER(Q152)),Q152&gt;='参数'!$I$33,FALSE)+IF(AND(ISNUMBER('参数'!$K$33),ISNUMBER(S152)),S152&gt;='参数'!$K$33,FALSE)),"")</f>
        <v/>
      </c>
      <c r="W152" s="40" t="str">
        <f>IF(AND(ISNUMBER(J152),ISNUMBER(K152)),IF(N(ISNUMBER('参数'!$E$34))+N(ISNUMBER('参数'!$G$34))+N(ISNUMBER('参数'!$I$34))+N(ISNUMBER('参数'!$K$34))=0,"",IF(ISNUMBER('参数'!$E$34),J152&gt;='参数'!$E$34,FALSE)+IF(AND(ISNUMBER('参数'!$G$34),ISNUMBER(N152)),N152&lt;='参数'!$G$34,FALSE)+IF(AND(ISNUMBER('参数'!$I$34),ISNUMBER(S152)),S152&gt;='参数'!$I$34,FALSE)+IF(AND(ISNUMBER('参数'!$K$34),ISNUMBER(R152)),R152&gt;='参数'!$K$34,FALSE)),"")</f>
        <v/>
      </c>
      <c r="X152" s="40" t="str">
        <f>IF(AND(ISNUMBER(J152),ISNUMBER(K152)),IF(N(ISNUMBER('参数'!$E$35))+N(ISNUMBER('参数'!$G$35))+N(ISNUMBER('参数'!$I$35))=0,"",IF(AND(ISNUMBER('参数'!$E$35),ISNUMBER(N152),ISNUMBER(N151)),ROUND(N152-N151,6)&gt;='参数'!$E$35,FALSE)+IF(AND(ISNUMBER('参数'!$G$35),ISNUMBER(Q152),ISNUMBER(Q151)),ROUND(Q151-Q152,6)&gt;='参数'!$G$35,FALSE)+IF(AND(ISNUMBER('参数'!$I$35),ISNUMBER(S152),ISNUMBER(S151)),ROUND(S151-S152,6)&gt;='参数'!$I$35,FALSE)+IF(ISNUMBER(J151),J152&lt;J151,FALSE)),"")</f>
        <v/>
      </c>
      <c r="Y152" s="40" t="str">
        <f>IF(AND(ISNUMBER(J152),ISNUMBER(K152)),IF(N(ISNUMBER('参数'!$E$36))+N(ISNUMBER('参数'!$G$36))+N(ISNUMBER('参数'!$I$36))=0,"",IF(AND(ISNUMBER('参数'!$E$36),ISNUMBER(J151)),AND(J152&lt;='参数'!$E$36,J152&lt;J151),FALSE)+IF(ISNUMBER('参数'!$G$36),K152&gt;='参数'!$G$36,FALSE)+IF(AND(ISNUMBER('参数'!$I$36),ISNUMBER(S152)),S152&lt;'参数'!$I$36,FALSE)+IF(AND(ISNUMBER(R152),ISNUMBER(R151)),R152&lt;R151,FALSE)),"")</f>
        <v/>
      </c>
      <c r="Z152" s="41" t="str">
        <f>IF(NOT(AND(ISNUMBER(J152),ISNUMBER(K152))),"",IF(COUNT(T152:Y152)=0,"先填阈值",IF(MAX(AD152:AI152)=0,"不写",INDEX($T$4:$Y$4,MATCH(MAX(AD152:AI152),AD152:AI152,0))&amp;"·"&amp;IF(MAX(AD152:AI152)&gt;=200,"高","中")&amp;IF(LARGE(AD152:AI152,2)&gt;0,"（也像"&amp;INDEX($T$4:$Y$4,MATCH(LARGE(AD152:AI152,2),AD152:AI152,0))&amp;"·"&amp;IF(LARGE(AD152:AI152,2)&gt;=200,"高","中")&amp;"）",""))))</f>
        <v/>
      </c>
      <c r="AA152" s="27" t="n"/>
      <c r="AB152" s="32" t="n"/>
      <c r="AC152" s="16" t="n"/>
      <c r="AD152" s="40">
        <f>IF(N(T152)&gt;=3,IF(T152=4,2,1)*100+T152*10+6,0)</f>
        <v>0</v>
      </c>
      <c r="AE152" s="40">
        <f>IF(N(U152)&gt;=3,1*100+U152*10+1,0)</f>
        <v>0</v>
      </c>
      <c r="AF152" s="40">
        <f>IF(N(V152)&gt;=3,IF(V152=4,2,1)*100+V152*10+2,0)</f>
        <v>0</v>
      </c>
      <c r="AG152" s="40">
        <f>IF(N(W152)&gt;=3,1*100+W152*10+3,0)</f>
        <v>0</v>
      </c>
      <c r="AH152" s="40">
        <f>IF(N(X152)&gt;=3,1*100+X152*10+4,0)</f>
        <v>0</v>
      </c>
      <c r="AI152" s="40">
        <f>IF(N(Y152)&gt;=3,IF(AND(N(T152)&gt;=3,OR(N(T152)=4,N(Y152)&lt;=N(T152))),0,IF(Y152=4,2,1)*100+Y152*10+5),0)</f>
        <v>0</v>
      </c>
    </row>
    <row r="153">
      <c r="A153" s="31" t="n"/>
      <c r="B153" s="36" t="str">
        <f>IF(ISNUMBER(A153),"周"&amp;CHOOSE(WEEKDAY(A153,2),"一","二","三","四","五","六","日"),"")</f>
        <v/>
      </c>
      <c r="C153" s="37" t="n"/>
      <c r="D153" s="37" t="n"/>
      <c r="E153" s="37" t="n"/>
      <c r="F153" s="17" t="n"/>
      <c r="G153" s="38" t="str">
        <f>IF(AND(ISNUMBER(F153),ISNUMBER(F152)),IF(F152=0,"",F153/F152-1),"")</f>
        <v/>
      </c>
      <c r="H153" s="17" t="n"/>
      <c r="I153" s="17" t="n"/>
      <c r="J153" s="17" t="n"/>
      <c r="K153" s="17" t="n"/>
      <c r="L153" s="17" t="n"/>
      <c r="M153" s="17" t="n"/>
      <c r="N153" s="39" t="str">
        <f>IF(AND(ISNUMBER(L153),ISNUMBER(M153),N(L153)&gt;0),M153/L153,"")</f>
        <v/>
      </c>
      <c r="O153" s="17" t="n"/>
      <c r="P153" s="17" t="n"/>
      <c r="Q153" s="39" t="str">
        <f>IF(AND(ISNUMBER(O153),ISNUMBER(P153),N(O153)&gt;0),P153/O153,"")</f>
        <v/>
      </c>
      <c r="R153" s="17" t="n"/>
      <c r="S153" s="37" t="n"/>
      <c r="T153" s="40" t="str">
        <f>IF(AND(ISNUMBER(J153),ISNUMBER(K153)),IF(N(ISNUMBER('参数'!$E$31))+N(ISNUMBER('参数'!$G$31))+N(ISNUMBER('参数'!$I$31))+N(ISNUMBER('参数'!$K$31))=0,"",IF(ISNUMBER('参数'!$E$31),J153&lt;='参数'!$E$31,FALSE)+IF(ISNUMBER('参数'!$G$31),K153&gt;='参数'!$G$31,FALSE)+IF(AND(ISNUMBER('参数'!$I$31),ISNUMBER(N153)),N153&gt;='参数'!$I$31,FALSE)+IF(AND(ISNUMBER('参数'!$K$31),ISNUMBER(Q153)),Q153&lt;='参数'!$K$31,FALSE)),"")</f>
        <v/>
      </c>
      <c r="U153" s="40" t="str">
        <f>IF(AND(ISNUMBER(J153),ISNUMBER(K153)),IF(N(ISNUMBER('参数'!$G$32))+N(ISNUMBER('参数'!$I$32))+N(ISNUMBER('参数'!$K$32))=0,"",IF(AND(ISNUMBER(J152),ISNUMBER(J151)),AND(J153&gt;J152,J152&gt;J151),FALSE)+IF(ISNUMBER('参数'!$G$32),J153&lt;'参数'!$G$32,FALSE)+IF(AND(ISNUMBER('参数'!$I$32),ISNUMBER(Q153)),Q153&gt;='参数'!$I$32,FALSE)+IF(AND(ISNUMBER('参数'!$K$32),ISNUMBER(S153)),S153&gt;='参数'!$K$32,FALSE)),"")</f>
        <v/>
      </c>
      <c r="V153" s="40" t="str">
        <f>IF(AND(ISNUMBER(J153),ISNUMBER(K153)),IF(N(ISNUMBER('参数'!$E$33))+N(ISNUMBER('参数'!$G$33))+N(ISNUMBER('参数'!$I$33))+N(ISNUMBER('参数'!$K$33))=0,"",IF(AND(ISNUMBER('参数'!$E$33),ISNUMBER(J152)),AND(J153&gt;='参数'!$E$33,J153&gt;J152),FALSE)+IF(AND(ISNUMBER('参数'!$G$33),ISNUMBER(N153)),N153&lt;='参数'!$G$33,FALSE)+IF(AND(ISNUMBER('参数'!$I$33),ISNUMBER(Q153)),Q153&gt;='参数'!$I$33,FALSE)+IF(AND(ISNUMBER('参数'!$K$33),ISNUMBER(S153)),S153&gt;='参数'!$K$33,FALSE)),"")</f>
        <v/>
      </c>
      <c r="W153" s="40" t="str">
        <f>IF(AND(ISNUMBER(J153),ISNUMBER(K153)),IF(N(ISNUMBER('参数'!$E$34))+N(ISNUMBER('参数'!$G$34))+N(ISNUMBER('参数'!$I$34))+N(ISNUMBER('参数'!$K$34))=0,"",IF(ISNUMBER('参数'!$E$34),J153&gt;='参数'!$E$34,FALSE)+IF(AND(ISNUMBER('参数'!$G$34),ISNUMBER(N153)),N153&lt;='参数'!$G$34,FALSE)+IF(AND(ISNUMBER('参数'!$I$34),ISNUMBER(S153)),S153&gt;='参数'!$I$34,FALSE)+IF(AND(ISNUMBER('参数'!$K$34),ISNUMBER(R153)),R153&gt;='参数'!$K$34,FALSE)),"")</f>
        <v/>
      </c>
      <c r="X153" s="40" t="str">
        <f>IF(AND(ISNUMBER(J153),ISNUMBER(K153)),IF(N(ISNUMBER('参数'!$E$35))+N(ISNUMBER('参数'!$G$35))+N(ISNUMBER('参数'!$I$35))=0,"",IF(AND(ISNUMBER('参数'!$E$35),ISNUMBER(N153),ISNUMBER(N152)),ROUND(N153-N152,6)&gt;='参数'!$E$35,FALSE)+IF(AND(ISNUMBER('参数'!$G$35),ISNUMBER(Q153),ISNUMBER(Q152)),ROUND(Q152-Q153,6)&gt;='参数'!$G$35,FALSE)+IF(AND(ISNUMBER('参数'!$I$35),ISNUMBER(S153),ISNUMBER(S152)),ROUND(S152-S153,6)&gt;='参数'!$I$35,FALSE)+IF(ISNUMBER(J152),J153&lt;J152,FALSE)),"")</f>
        <v/>
      </c>
      <c r="Y153" s="40" t="str">
        <f>IF(AND(ISNUMBER(J153),ISNUMBER(K153)),IF(N(ISNUMBER('参数'!$E$36))+N(ISNUMBER('参数'!$G$36))+N(ISNUMBER('参数'!$I$36))=0,"",IF(AND(ISNUMBER('参数'!$E$36),ISNUMBER(J152)),AND(J153&lt;='参数'!$E$36,J153&lt;J152),FALSE)+IF(ISNUMBER('参数'!$G$36),K153&gt;='参数'!$G$36,FALSE)+IF(AND(ISNUMBER('参数'!$I$36),ISNUMBER(S153)),S153&lt;'参数'!$I$36,FALSE)+IF(AND(ISNUMBER(R153),ISNUMBER(R152)),R153&lt;R152,FALSE)),"")</f>
        <v/>
      </c>
      <c r="Z153" s="41" t="str">
        <f>IF(NOT(AND(ISNUMBER(J153),ISNUMBER(K153))),"",IF(COUNT(T153:Y153)=0,"先填阈值",IF(MAX(AD153:AI153)=0,"不写",INDEX($T$4:$Y$4,MATCH(MAX(AD153:AI153),AD153:AI153,0))&amp;"·"&amp;IF(MAX(AD153:AI153)&gt;=200,"高","中")&amp;IF(LARGE(AD153:AI153,2)&gt;0,"（也像"&amp;INDEX($T$4:$Y$4,MATCH(LARGE(AD153:AI153,2),AD153:AI153,0))&amp;"·"&amp;IF(LARGE(AD153:AI153,2)&gt;=200,"高","中")&amp;"）",""))))</f>
        <v/>
      </c>
      <c r="AA153" s="27" t="n"/>
      <c r="AB153" s="32" t="n"/>
      <c r="AC153" s="16" t="n"/>
      <c r="AD153" s="40">
        <f>IF(N(T153)&gt;=3,IF(T153=4,2,1)*100+T153*10+6,0)</f>
        <v>0</v>
      </c>
      <c r="AE153" s="40">
        <f>IF(N(U153)&gt;=3,1*100+U153*10+1,0)</f>
        <v>0</v>
      </c>
      <c r="AF153" s="40">
        <f>IF(N(V153)&gt;=3,IF(V153=4,2,1)*100+V153*10+2,0)</f>
        <v>0</v>
      </c>
      <c r="AG153" s="40">
        <f>IF(N(W153)&gt;=3,1*100+W153*10+3,0)</f>
        <v>0</v>
      </c>
      <c r="AH153" s="40">
        <f>IF(N(X153)&gt;=3,1*100+X153*10+4,0)</f>
        <v>0</v>
      </c>
      <c r="AI153" s="40">
        <f>IF(N(Y153)&gt;=3,IF(AND(N(T153)&gt;=3,OR(N(T153)=4,N(Y153)&lt;=N(T153))),0,IF(Y153=4,2,1)*100+Y153*10+5),0)</f>
        <v>0</v>
      </c>
    </row>
    <row r="154">
      <c r="A154" s="31" t="n"/>
      <c r="B154" s="36" t="str">
        <f>IF(ISNUMBER(A154),"周"&amp;CHOOSE(WEEKDAY(A154,2),"一","二","三","四","五","六","日"),"")</f>
        <v/>
      </c>
      <c r="C154" s="37" t="n"/>
      <c r="D154" s="37" t="n"/>
      <c r="E154" s="37" t="n"/>
      <c r="F154" s="17" t="n"/>
      <c r="G154" s="38" t="str">
        <f>IF(AND(ISNUMBER(F154),ISNUMBER(F153)),IF(F153=0,"",F154/F153-1),"")</f>
        <v/>
      </c>
      <c r="H154" s="17" t="n"/>
      <c r="I154" s="17" t="n"/>
      <c r="J154" s="17" t="n"/>
      <c r="K154" s="17" t="n"/>
      <c r="L154" s="17" t="n"/>
      <c r="M154" s="17" t="n"/>
      <c r="N154" s="39" t="str">
        <f>IF(AND(ISNUMBER(L154),ISNUMBER(M154),N(L154)&gt;0),M154/L154,"")</f>
        <v/>
      </c>
      <c r="O154" s="17" t="n"/>
      <c r="P154" s="17" t="n"/>
      <c r="Q154" s="39" t="str">
        <f>IF(AND(ISNUMBER(O154),ISNUMBER(P154),N(O154)&gt;0),P154/O154,"")</f>
        <v/>
      </c>
      <c r="R154" s="17" t="n"/>
      <c r="S154" s="37" t="n"/>
      <c r="T154" s="40" t="str">
        <f>IF(AND(ISNUMBER(J154),ISNUMBER(K154)),IF(N(ISNUMBER('参数'!$E$31))+N(ISNUMBER('参数'!$G$31))+N(ISNUMBER('参数'!$I$31))+N(ISNUMBER('参数'!$K$31))=0,"",IF(ISNUMBER('参数'!$E$31),J154&lt;='参数'!$E$31,FALSE)+IF(ISNUMBER('参数'!$G$31),K154&gt;='参数'!$G$31,FALSE)+IF(AND(ISNUMBER('参数'!$I$31),ISNUMBER(N154)),N154&gt;='参数'!$I$31,FALSE)+IF(AND(ISNUMBER('参数'!$K$31),ISNUMBER(Q154)),Q154&lt;='参数'!$K$31,FALSE)),"")</f>
        <v/>
      </c>
      <c r="U154" s="40" t="str">
        <f>IF(AND(ISNUMBER(J154),ISNUMBER(K154)),IF(N(ISNUMBER('参数'!$G$32))+N(ISNUMBER('参数'!$I$32))+N(ISNUMBER('参数'!$K$32))=0,"",IF(AND(ISNUMBER(J153),ISNUMBER(J152)),AND(J154&gt;J153,J153&gt;J152),FALSE)+IF(ISNUMBER('参数'!$G$32),J154&lt;'参数'!$G$32,FALSE)+IF(AND(ISNUMBER('参数'!$I$32),ISNUMBER(Q154)),Q154&gt;='参数'!$I$32,FALSE)+IF(AND(ISNUMBER('参数'!$K$32),ISNUMBER(S154)),S154&gt;='参数'!$K$32,FALSE)),"")</f>
        <v/>
      </c>
      <c r="V154" s="40" t="str">
        <f>IF(AND(ISNUMBER(J154),ISNUMBER(K154)),IF(N(ISNUMBER('参数'!$E$33))+N(ISNUMBER('参数'!$G$33))+N(ISNUMBER('参数'!$I$33))+N(ISNUMBER('参数'!$K$33))=0,"",IF(AND(ISNUMBER('参数'!$E$33),ISNUMBER(J153)),AND(J154&gt;='参数'!$E$33,J154&gt;J153),FALSE)+IF(AND(ISNUMBER('参数'!$G$33),ISNUMBER(N154)),N154&lt;='参数'!$G$33,FALSE)+IF(AND(ISNUMBER('参数'!$I$33),ISNUMBER(Q154)),Q154&gt;='参数'!$I$33,FALSE)+IF(AND(ISNUMBER('参数'!$K$33),ISNUMBER(S154)),S154&gt;='参数'!$K$33,FALSE)),"")</f>
        <v/>
      </c>
      <c r="W154" s="40" t="str">
        <f>IF(AND(ISNUMBER(J154),ISNUMBER(K154)),IF(N(ISNUMBER('参数'!$E$34))+N(ISNUMBER('参数'!$G$34))+N(ISNUMBER('参数'!$I$34))+N(ISNUMBER('参数'!$K$34))=0,"",IF(ISNUMBER('参数'!$E$34),J154&gt;='参数'!$E$34,FALSE)+IF(AND(ISNUMBER('参数'!$G$34),ISNUMBER(N154)),N154&lt;='参数'!$G$34,FALSE)+IF(AND(ISNUMBER('参数'!$I$34),ISNUMBER(S154)),S154&gt;='参数'!$I$34,FALSE)+IF(AND(ISNUMBER('参数'!$K$34),ISNUMBER(R154)),R154&gt;='参数'!$K$34,FALSE)),"")</f>
        <v/>
      </c>
      <c r="X154" s="40" t="str">
        <f>IF(AND(ISNUMBER(J154),ISNUMBER(K154)),IF(N(ISNUMBER('参数'!$E$35))+N(ISNUMBER('参数'!$G$35))+N(ISNUMBER('参数'!$I$35))=0,"",IF(AND(ISNUMBER('参数'!$E$35),ISNUMBER(N154),ISNUMBER(N153)),ROUND(N154-N153,6)&gt;='参数'!$E$35,FALSE)+IF(AND(ISNUMBER('参数'!$G$35),ISNUMBER(Q154),ISNUMBER(Q153)),ROUND(Q153-Q154,6)&gt;='参数'!$G$35,FALSE)+IF(AND(ISNUMBER('参数'!$I$35),ISNUMBER(S154),ISNUMBER(S153)),ROUND(S153-S154,6)&gt;='参数'!$I$35,FALSE)+IF(ISNUMBER(J153),J154&lt;J153,FALSE)),"")</f>
        <v/>
      </c>
      <c r="Y154" s="40" t="str">
        <f>IF(AND(ISNUMBER(J154),ISNUMBER(K154)),IF(N(ISNUMBER('参数'!$E$36))+N(ISNUMBER('参数'!$G$36))+N(ISNUMBER('参数'!$I$36))=0,"",IF(AND(ISNUMBER('参数'!$E$36),ISNUMBER(J153)),AND(J154&lt;='参数'!$E$36,J154&lt;J153),FALSE)+IF(ISNUMBER('参数'!$G$36),K154&gt;='参数'!$G$36,FALSE)+IF(AND(ISNUMBER('参数'!$I$36),ISNUMBER(S154)),S154&lt;'参数'!$I$36,FALSE)+IF(AND(ISNUMBER(R154),ISNUMBER(R153)),R154&lt;R153,FALSE)),"")</f>
        <v/>
      </c>
      <c r="Z154" s="41" t="str">
        <f>IF(NOT(AND(ISNUMBER(J154),ISNUMBER(K154))),"",IF(COUNT(T154:Y154)=0,"先填阈值",IF(MAX(AD154:AI154)=0,"不写",INDEX($T$4:$Y$4,MATCH(MAX(AD154:AI154),AD154:AI154,0))&amp;"·"&amp;IF(MAX(AD154:AI154)&gt;=200,"高","中")&amp;IF(LARGE(AD154:AI154,2)&gt;0,"（也像"&amp;INDEX($T$4:$Y$4,MATCH(LARGE(AD154:AI154,2),AD154:AI154,0))&amp;"·"&amp;IF(LARGE(AD154:AI154,2)&gt;=200,"高","中")&amp;"）",""))))</f>
        <v/>
      </c>
      <c r="AA154" s="27" t="n"/>
      <c r="AB154" s="32" t="n"/>
      <c r="AC154" s="16" t="n"/>
      <c r="AD154" s="40">
        <f>IF(N(T154)&gt;=3,IF(T154=4,2,1)*100+T154*10+6,0)</f>
        <v>0</v>
      </c>
      <c r="AE154" s="40">
        <f>IF(N(U154)&gt;=3,1*100+U154*10+1,0)</f>
        <v>0</v>
      </c>
      <c r="AF154" s="40">
        <f>IF(N(V154)&gt;=3,IF(V154=4,2,1)*100+V154*10+2,0)</f>
        <v>0</v>
      </c>
      <c r="AG154" s="40">
        <f>IF(N(W154)&gt;=3,1*100+W154*10+3,0)</f>
        <v>0</v>
      </c>
      <c r="AH154" s="40">
        <f>IF(N(X154)&gt;=3,1*100+X154*10+4,0)</f>
        <v>0</v>
      </c>
      <c r="AI154" s="40">
        <f>IF(N(Y154)&gt;=3,IF(AND(N(T154)&gt;=3,OR(N(T154)=4,N(Y154)&lt;=N(T154))),0,IF(Y154=4,2,1)*100+Y154*10+5),0)</f>
        <v>0</v>
      </c>
    </row>
    <row r="155">
      <c r="A155" s="31" t="n"/>
      <c r="B155" s="36" t="str">
        <f>IF(ISNUMBER(A155),"周"&amp;CHOOSE(WEEKDAY(A155,2),"一","二","三","四","五","六","日"),"")</f>
        <v/>
      </c>
      <c r="C155" s="37" t="n"/>
      <c r="D155" s="37" t="n"/>
      <c r="E155" s="37" t="n"/>
      <c r="F155" s="17" t="n"/>
      <c r="G155" s="38" t="str">
        <f>IF(AND(ISNUMBER(F155),ISNUMBER(F154)),IF(F154=0,"",F155/F154-1),"")</f>
        <v/>
      </c>
      <c r="H155" s="17" t="n"/>
      <c r="I155" s="17" t="n"/>
      <c r="J155" s="17" t="n"/>
      <c r="K155" s="17" t="n"/>
      <c r="L155" s="17" t="n"/>
      <c r="M155" s="17" t="n"/>
      <c r="N155" s="39" t="str">
        <f>IF(AND(ISNUMBER(L155),ISNUMBER(M155),N(L155)&gt;0),M155/L155,"")</f>
        <v/>
      </c>
      <c r="O155" s="17" t="n"/>
      <c r="P155" s="17" t="n"/>
      <c r="Q155" s="39" t="str">
        <f>IF(AND(ISNUMBER(O155),ISNUMBER(P155),N(O155)&gt;0),P155/O155,"")</f>
        <v/>
      </c>
      <c r="R155" s="17" t="n"/>
      <c r="S155" s="37" t="n"/>
      <c r="T155" s="40" t="str">
        <f>IF(AND(ISNUMBER(J155),ISNUMBER(K155)),IF(N(ISNUMBER('参数'!$E$31))+N(ISNUMBER('参数'!$G$31))+N(ISNUMBER('参数'!$I$31))+N(ISNUMBER('参数'!$K$31))=0,"",IF(ISNUMBER('参数'!$E$31),J155&lt;='参数'!$E$31,FALSE)+IF(ISNUMBER('参数'!$G$31),K155&gt;='参数'!$G$31,FALSE)+IF(AND(ISNUMBER('参数'!$I$31),ISNUMBER(N155)),N155&gt;='参数'!$I$31,FALSE)+IF(AND(ISNUMBER('参数'!$K$31),ISNUMBER(Q155)),Q155&lt;='参数'!$K$31,FALSE)),"")</f>
        <v/>
      </c>
      <c r="U155" s="40" t="str">
        <f>IF(AND(ISNUMBER(J155),ISNUMBER(K155)),IF(N(ISNUMBER('参数'!$G$32))+N(ISNUMBER('参数'!$I$32))+N(ISNUMBER('参数'!$K$32))=0,"",IF(AND(ISNUMBER(J154),ISNUMBER(J153)),AND(J155&gt;J154,J154&gt;J153),FALSE)+IF(ISNUMBER('参数'!$G$32),J155&lt;'参数'!$G$32,FALSE)+IF(AND(ISNUMBER('参数'!$I$32),ISNUMBER(Q155)),Q155&gt;='参数'!$I$32,FALSE)+IF(AND(ISNUMBER('参数'!$K$32),ISNUMBER(S155)),S155&gt;='参数'!$K$32,FALSE)),"")</f>
        <v/>
      </c>
      <c r="V155" s="40" t="str">
        <f>IF(AND(ISNUMBER(J155),ISNUMBER(K155)),IF(N(ISNUMBER('参数'!$E$33))+N(ISNUMBER('参数'!$G$33))+N(ISNUMBER('参数'!$I$33))+N(ISNUMBER('参数'!$K$33))=0,"",IF(AND(ISNUMBER('参数'!$E$33),ISNUMBER(J154)),AND(J155&gt;='参数'!$E$33,J155&gt;J154),FALSE)+IF(AND(ISNUMBER('参数'!$G$33),ISNUMBER(N155)),N155&lt;='参数'!$G$33,FALSE)+IF(AND(ISNUMBER('参数'!$I$33),ISNUMBER(Q155)),Q155&gt;='参数'!$I$33,FALSE)+IF(AND(ISNUMBER('参数'!$K$33),ISNUMBER(S155)),S155&gt;='参数'!$K$33,FALSE)),"")</f>
        <v/>
      </c>
      <c r="W155" s="40" t="str">
        <f>IF(AND(ISNUMBER(J155),ISNUMBER(K155)),IF(N(ISNUMBER('参数'!$E$34))+N(ISNUMBER('参数'!$G$34))+N(ISNUMBER('参数'!$I$34))+N(ISNUMBER('参数'!$K$34))=0,"",IF(ISNUMBER('参数'!$E$34),J155&gt;='参数'!$E$34,FALSE)+IF(AND(ISNUMBER('参数'!$G$34),ISNUMBER(N155)),N155&lt;='参数'!$G$34,FALSE)+IF(AND(ISNUMBER('参数'!$I$34),ISNUMBER(S155)),S155&gt;='参数'!$I$34,FALSE)+IF(AND(ISNUMBER('参数'!$K$34),ISNUMBER(R155)),R155&gt;='参数'!$K$34,FALSE)),"")</f>
        <v/>
      </c>
      <c r="X155" s="40" t="str">
        <f>IF(AND(ISNUMBER(J155),ISNUMBER(K155)),IF(N(ISNUMBER('参数'!$E$35))+N(ISNUMBER('参数'!$G$35))+N(ISNUMBER('参数'!$I$35))=0,"",IF(AND(ISNUMBER('参数'!$E$35),ISNUMBER(N155),ISNUMBER(N154)),ROUND(N155-N154,6)&gt;='参数'!$E$35,FALSE)+IF(AND(ISNUMBER('参数'!$G$35),ISNUMBER(Q155),ISNUMBER(Q154)),ROUND(Q154-Q155,6)&gt;='参数'!$G$35,FALSE)+IF(AND(ISNUMBER('参数'!$I$35),ISNUMBER(S155),ISNUMBER(S154)),ROUND(S154-S155,6)&gt;='参数'!$I$35,FALSE)+IF(ISNUMBER(J154),J155&lt;J154,FALSE)),"")</f>
        <v/>
      </c>
      <c r="Y155" s="40" t="str">
        <f>IF(AND(ISNUMBER(J155),ISNUMBER(K155)),IF(N(ISNUMBER('参数'!$E$36))+N(ISNUMBER('参数'!$G$36))+N(ISNUMBER('参数'!$I$36))=0,"",IF(AND(ISNUMBER('参数'!$E$36),ISNUMBER(J154)),AND(J155&lt;='参数'!$E$36,J155&lt;J154),FALSE)+IF(ISNUMBER('参数'!$G$36),K155&gt;='参数'!$G$36,FALSE)+IF(AND(ISNUMBER('参数'!$I$36),ISNUMBER(S155)),S155&lt;'参数'!$I$36,FALSE)+IF(AND(ISNUMBER(R155),ISNUMBER(R154)),R155&lt;R154,FALSE)),"")</f>
        <v/>
      </c>
      <c r="Z155" s="41" t="str">
        <f>IF(NOT(AND(ISNUMBER(J155),ISNUMBER(K155))),"",IF(COUNT(T155:Y155)=0,"先填阈值",IF(MAX(AD155:AI155)=0,"不写",INDEX($T$4:$Y$4,MATCH(MAX(AD155:AI155),AD155:AI155,0))&amp;"·"&amp;IF(MAX(AD155:AI155)&gt;=200,"高","中")&amp;IF(LARGE(AD155:AI155,2)&gt;0,"（也像"&amp;INDEX($T$4:$Y$4,MATCH(LARGE(AD155:AI155,2),AD155:AI155,0))&amp;"·"&amp;IF(LARGE(AD155:AI155,2)&gt;=200,"高","中")&amp;"）",""))))</f>
        <v/>
      </c>
      <c r="AA155" s="27" t="n"/>
      <c r="AB155" s="32" t="n"/>
      <c r="AC155" s="16" t="n"/>
      <c r="AD155" s="40">
        <f>IF(N(T155)&gt;=3,IF(T155=4,2,1)*100+T155*10+6,0)</f>
        <v>0</v>
      </c>
      <c r="AE155" s="40">
        <f>IF(N(U155)&gt;=3,1*100+U155*10+1,0)</f>
        <v>0</v>
      </c>
      <c r="AF155" s="40">
        <f>IF(N(V155)&gt;=3,IF(V155=4,2,1)*100+V155*10+2,0)</f>
        <v>0</v>
      </c>
      <c r="AG155" s="40">
        <f>IF(N(W155)&gt;=3,1*100+W155*10+3,0)</f>
        <v>0</v>
      </c>
      <c r="AH155" s="40">
        <f>IF(N(X155)&gt;=3,1*100+X155*10+4,0)</f>
        <v>0</v>
      </c>
      <c r="AI155" s="40">
        <f>IF(N(Y155)&gt;=3,IF(AND(N(T155)&gt;=3,OR(N(T155)=4,N(Y155)&lt;=N(T155))),0,IF(Y155=4,2,1)*100+Y155*10+5),0)</f>
        <v>0</v>
      </c>
    </row>
    <row r="156">
      <c r="A156" s="31" t="n"/>
      <c r="B156" s="36" t="str">
        <f>IF(ISNUMBER(A156),"周"&amp;CHOOSE(WEEKDAY(A156,2),"一","二","三","四","五","六","日"),"")</f>
        <v/>
      </c>
      <c r="C156" s="37" t="n"/>
      <c r="D156" s="37" t="n"/>
      <c r="E156" s="37" t="n"/>
      <c r="F156" s="17" t="n"/>
      <c r="G156" s="38" t="str">
        <f>IF(AND(ISNUMBER(F156),ISNUMBER(F155)),IF(F155=0,"",F156/F155-1),"")</f>
        <v/>
      </c>
      <c r="H156" s="17" t="n"/>
      <c r="I156" s="17" t="n"/>
      <c r="J156" s="17" t="n"/>
      <c r="K156" s="17" t="n"/>
      <c r="L156" s="17" t="n"/>
      <c r="M156" s="17" t="n"/>
      <c r="N156" s="39" t="str">
        <f>IF(AND(ISNUMBER(L156),ISNUMBER(M156),N(L156)&gt;0),M156/L156,"")</f>
        <v/>
      </c>
      <c r="O156" s="17" t="n"/>
      <c r="P156" s="17" t="n"/>
      <c r="Q156" s="39" t="str">
        <f>IF(AND(ISNUMBER(O156),ISNUMBER(P156),N(O156)&gt;0),P156/O156,"")</f>
        <v/>
      </c>
      <c r="R156" s="17" t="n"/>
      <c r="S156" s="37" t="n"/>
      <c r="T156" s="40" t="str">
        <f>IF(AND(ISNUMBER(J156),ISNUMBER(K156)),IF(N(ISNUMBER('参数'!$E$31))+N(ISNUMBER('参数'!$G$31))+N(ISNUMBER('参数'!$I$31))+N(ISNUMBER('参数'!$K$31))=0,"",IF(ISNUMBER('参数'!$E$31),J156&lt;='参数'!$E$31,FALSE)+IF(ISNUMBER('参数'!$G$31),K156&gt;='参数'!$G$31,FALSE)+IF(AND(ISNUMBER('参数'!$I$31),ISNUMBER(N156)),N156&gt;='参数'!$I$31,FALSE)+IF(AND(ISNUMBER('参数'!$K$31),ISNUMBER(Q156)),Q156&lt;='参数'!$K$31,FALSE)),"")</f>
        <v/>
      </c>
      <c r="U156" s="40" t="str">
        <f>IF(AND(ISNUMBER(J156),ISNUMBER(K156)),IF(N(ISNUMBER('参数'!$G$32))+N(ISNUMBER('参数'!$I$32))+N(ISNUMBER('参数'!$K$32))=0,"",IF(AND(ISNUMBER(J155),ISNUMBER(J154)),AND(J156&gt;J155,J155&gt;J154),FALSE)+IF(ISNUMBER('参数'!$G$32),J156&lt;'参数'!$G$32,FALSE)+IF(AND(ISNUMBER('参数'!$I$32),ISNUMBER(Q156)),Q156&gt;='参数'!$I$32,FALSE)+IF(AND(ISNUMBER('参数'!$K$32),ISNUMBER(S156)),S156&gt;='参数'!$K$32,FALSE)),"")</f>
        <v/>
      </c>
      <c r="V156" s="40" t="str">
        <f>IF(AND(ISNUMBER(J156),ISNUMBER(K156)),IF(N(ISNUMBER('参数'!$E$33))+N(ISNUMBER('参数'!$G$33))+N(ISNUMBER('参数'!$I$33))+N(ISNUMBER('参数'!$K$33))=0,"",IF(AND(ISNUMBER('参数'!$E$33),ISNUMBER(J155)),AND(J156&gt;='参数'!$E$33,J156&gt;J155),FALSE)+IF(AND(ISNUMBER('参数'!$G$33),ISNUMBER(N156)),N156&lt;='参数'!$G$33,FALSE)+IF(AND(ISNUMBER('参数'!$I$33),ISNUMBER(Q156)),Q156&gt;='参数'!$I$33,FALSE)+IF(AND(ISNUMBER('参数'!$K$33),ISNUMBER(S156)),S156&gt;='参数'!$K$33,FALSE)),"")</f>
        <v/>
      </c>
      <c r="W156" s="40" t="str">
        <f>IF(AND(ISNUMBER(J156),ISNUMBER(K156)),IF(N(ISNUMBER('参数'!$E$34))+N(ISNUMBER('参数'!$G$34))+N(ISNUMBER('参数'!$I$34))+N(ISNUMBER('参数'!$K$34))=0,"",IF(ISNUMBER('参数'!$E$34),J156&gt;='参数'!$E$34,FALSE)+IF(AND(ISNUMBER('参数'!$G$34),ISNUMBER(N156)),N156&lt;='参数'!$G$34,FALSE)+IF(AND(ISNUMBER('参数'!$I$34),ISNUMBER(S156)),S156&gt;='参数'!$I$34,FALSE)+IF(AND(ISNUMBER('参数'!$K$34),ISNUMBER(R156)),R156&gt;='参数'!$K$34,FALSE)),"")</f>
        <v/>
      </c>
      <c r="X156" s="40" t="str">
        <f>IF(AND(ISNUMBER(J156),ISNUMBER(K156)),IF(N(ISNUMBER('参数'!$E$35))+N(ISNUMBER('参数'!$G$35))+N(ISNUMBER('参数'!$I$35))=0,"",IF(AND(ISNUMBER('参数'!$E$35),ISNUMBER(N156),ISNUMBER(N155)),ROUND(N156-N155,6)&gt;='参数'!$E$35,FALSE)+IF(AND(ISNUMBER('参数'!$G$35),ISNUMBER(Q156),ISNUMBER(Q155)),ROUND(Q155-Q156,6)&gt;='参数'!$G$35,FALSE)+IF(AND(ISNUMBER('参数'!$I$35),ISNUMBER(S156),ISNUMBER(S155)),ROUND(S155-S156,6)&gt;='参数'!$I$35,FALSE)+IF(ISNUMBER(J155),J156&lt;J155,FALSE)),"")</f>
        <v/>
      </c>
      <c r="Y156" s="40" t="str">
        <f>IF(AND(ISNUMBER(J156),ISNUMBER(K156)),IF(N(ISNUMBER('参数'!$E$36))+N(ISNUMBER('参数'!$G$36))+N(ISNUMBER('参数'!$I$36))=0,"",IF(AND(ISNUMBER('参数'!$E$36),ISNUMBER(J155)),AND(J156&lt;='参数'!$E$36,J156&lt;J155),FALSE)+IF(ISNUMBER('参数'!$G$36),K156&gt;='参数'!$G$36,FALSE)+IF(AND(ISNUMBER('参数'!$I$36),ISNUMBER(S156)),S156&lt;'参数'!$I$36,FALSE)+IF(AND(ISNUMBER(R156),ISNUMBER(R155)),R156&lt;R155,FALSE)),"")</f>
        <v/>
      </c>
      <c r="Z156" s="41" t="str">
        <f>IF(NOT(AND(ISNUMBER(J156),ISNUMBER(K156))),"",IF(COUNT(T156:Y156)=0,"先填阈值",IF(MAX(AD156:AI156)=0,"不写",INDEX($T$4:$Y$4,MATCH(MAX(AD156:AI156),AD156:AI156,0))&amp;"·"&amp;IF(MAX(AD156:AI156)&gt;=200,"高","中")&amp;IF(LARGE(AD156:AI156,2)&gt;0,"（也像"&amp;INDEX($T$4:$Y$4,MATCH(LARGE(AD156:AI156,2),AD156:AI156,0))&amp;"·"&amp;IF(LARGE(AD156:AI156,2)&gt;=200,"高","中")&amp;"）",""))))</f>
        <v/>
      </c>
      <c r="AA156" s="27" t="n"/>
      <c r="AB156" s="32" t="n"/>
      <c r="AC156" s="16" t="n"/>
      <c r="AD156" s="40">
        <f>IF(N(T156)&gt;=3,IF(T156=4,2,1)*100+T156*10+6,0)</f>
        <v>0</v>
      </c>
      <c r="AE156" s="40">
        <f>IF(N(U156)&gt;=3,1*100+U156*10+1,0)</f>
        <v>0</v>
      </c>
      <c r="AF156" s="40">
        <f>IF(N(V156)&gt;=3,IF(V156=4,2,1)*100+V156*10+2,0)</f>
        <v>0</v>
      </c>
      <c r="AG156" s="40">
        <f>IF(N(W156)&gt;=3,1*100+W156*10+3,0)</f>
        <v>0</v>
      </c>
      <c r="AH156" s="40">
        <f>IF(N(X156)&gt;=3,1*100+X156*10+4,0)</f>
        <v>0</v>
      </c>
      <c r="AI156" s="40">
        <f>IF(N(Y156)&gt;=3,IF(AND(N(T156)&gt;=3,OR(N(T156)=4,N(Y156)&lt;=N(T156))),0,IF(Y156=4,2,1)*100+Y156*10+5),0)</f>
        <v>0</v>
      </c>
    </row>
    <row r="157">
      <c r="A157" s="31" t="n"/>
      <c r="B157" s="36" t="str">
        <f>IF(ISNUMBER(A157),"周"&amp;CHOOSE(WEEKDAY(A157,2),"一","二","三","四","五","六","日"),"")</f>
        <v/>
      </c>
      <c r="C157" s="37" t="n"/>
      <c r="D157" s="37" t="n"/>
      <c r="E157" s="37" t="n"/>
      <c r="F157" s="17" t="n"/>
      <c r="G157" s="38" t="str">
        <f>IF(AND(ISNUMBER(F157),ISNUMBER(F156)),IF(F156=0,"",F157/F156-1),"")</f>
        <v/>
      </c>
      <c r="H157" s="17" t="n"/>
      <c r="I157" s="17" t="n"/>
      <c r="J157" s="17" t="n"/>
      <c r="K157" s="17" t="n"/>
      <c r="L157" s="17" t="n"/>
      <c r="M157" s="17" t="n"/>
      <c r="N157" s="39" t="str">
        <f>IF(AND(ISNUMBER(L157),ISNUMBER(M157),N(L157)&gt;0),M157/L157,"")</f>
        <v/>
      </c>
      <c r="O157" s="17" t="n"/>
      <c r="P157" s="17" t="n"/>
      <c r="Q157" s="39" t="str">
        <f>IF(AND(ISNUMBER(O157),ISNUMBER(P157),N(O157)&gt;0),P157/O157,"")</f>
        <v/>
      </c>
      <c r="R157" s="17" t="n"/>
      <c r="S157" s="37" t="n"/>
      <c r="T157" s="40" t="str">
        <f>IF(AND(ISNUMBER(J157),ISNUMBER(K157)),IF(N(ISNUMBER('参数'!$E$31))+N(ISNUMBER('参数'!$G$31))+N(ISNUMBER('参数'!$I$31))+N(ISNUMBER('参数'!$K$31))=0,"",IF(ISNUMBER('参数'!$E$31),J157&lt;='参数'!$E$31,FALSE)+IF(ISNUMBER('参数'!$G$31),K157&gt;='参数'!$G$31,FALSE)+IF(AND(ISNUMBER('参数'!$I$31),ISNUMBER(N157)),N157&gt;='参数'!$I$31,FALSE)+IF(AND(ISNUMBER('参数'!$K$31),ISNUMBER(Q157)),Q157&lt;='参数'!$K$31,FALSE)),"")</f>
        <v/>
      </c>
      <c r="U157" s="40" t="str">
        <f>IF(AND(ISNUMBER(J157),ISNUMBER(K157)),IF(N(ISNUMBER('参数'!$G$32))+N(ISNUMBER('参数'!$I$32))+N(ISNUMBER('参数'!$K$32))=0,"",IF(AND(ISNUMBER(J156),ISNUMBER(J155)),AND(J157&gt;J156,J156&gt;J155),FALSE)+IF(ISNUMBER('参数'!$G$32),J157&lt;'参数'!$G$32,FALSE)+IF(AND(ISNUMBER('参数'!$I$32),ISNUMBER(Q157)),Q157&gt;='参数'!$I$32,FALSE)+IF(AND(ISNUMBER('参数'!$K$32),ISNUMBER(S157)),S157&gt;='参数'!$K$32,FALSE)),"")</f>
        <v/>
      </c>
      <c r="V157" s="40" t="str">
        <f>IF(AND(ISNUMBER(J157),ISNUMBER(K157)),IF(N(ISNUMBER('参数'!$E$33))+N(ISNUMBER('参数'!$G$33))+N(ISNUMBER('参数'!$I$33))+N(ISNUMBER('参数'!$K$33))=0,"",IF(AND(ISNUMBER('参数'!$E$33),ISNUMBER(J156)),AND(J157&gt;='参数'!$E$33,J157&gt;J156),FALSE)+IF(AND(ISNUMBER('参数'!$G$33),ISNUMBER(N157)),N157&lt;='参数'!$G$33,FALSE)+IF(AND(ISNUMBER('参数'!$I$33),ISNUMBER(Q157)),Q157&gt;='参数'!$I$33,FALSE)+IF(AND(ISNUMBER('参数'!$K$33),ISNUMBER(S157)),S157&gt;='参数'!$K$33,FALSE)),"")</f>
        <v/>
      </c>
      <c r="W157" s="40" t="str">
        <f>IF(AND(ISNUMBER(J157),ISNUMBER(K157)),IF(N(ISNUMBER('参数'!$E$34))+N(ISNUMBER('参数'!$G$34))+N(ISNUMBER('参数'!$I$34))+N(ISNUMBER('参数'!$K$34))=0,"",IF(ISNUMBER('参数'!$E$34),J157&gt;='参数'!$E$34,FALSE)+IF(AND(ISNUMBER('参数'!$G$34),ISNUMBER(N157)),N157&lt;='参数'!$G$34,FALSE)+IF(AND(ISNUMBER('参数'!$I$34),ISNUMBER(S157)),S157&gt;='参数'!$I$34,FALSE)+IF(AND(ISNUMBER('参数'!$K$34),ISNUMBER(R157)),R157&gt;='参数'!$K$34,FALSE)),"")</f>
        <v/>
      </c>
      <c r="X157" s="40" t="str">
        <f>IF(AND(ISNUMBER(J157),ISNUMBER(K157)),IF(N(ISNUMBER('参数'!$E$35))+N(ISNUMBER('参数'!$G$35))+N(ISNUMBER('参数'!$I$35))=0,"",IF(AND(ISNUMBER('参数'!$E$35),ISNUMBER(N157),ISNUMBER(N156)),ROUND(N157-N156,6)&gt;='参数'!$E$35,FALSE)+IF(AND(ISNUMBER('参数'!$G$35),ISNUMBER(Q157),ISNUMBER(Q156)),ROUND(Q156-Q157,6)&gt;='参数'!$G$35,FALSE)+IF(AND(ISNUMBER('参数'!$I$35),ISNUMBER(S157),ISNUMBER(S156)),ROUND(S156-S157,6)&gt;='参数'!$I$35,FALSE)+IF(ISNUMBER(J156),J157&lt;J156,FALSE)),"")</f>
        <v/>
      </c>
      <c r="Y157" s="40" t="str">
        <f>IF(AND(ISNUMBER(J157),ISNUMBER(K157)),IF(N(ISNUMBER('参数'!$E$36))+N(ISNUMBER('参数'!$G$36))+N(ISNUMBER('参数'!$I$36))=0,"",IF(AND(ISNUMBER('参数'!$E$36),ISNUMBER(J156)),AND(J157&lt;='参数'!$E$36,J157&lt;J156),FALSE)+IF(ISNUMBER('参数'!$G$36),K157&gt;='参数'!$G$36,FALSE)+IF(AND(ISNUMBER('参数'!$I$36),ISNUMBER(S157)),S157&lt;'参数'!$I$36,FALSE)+IF(AND(ISNUMBER(R157),ISNUMBER(R156)),R157&lt;R156,FALSE)),"")</f>
        <v/>
      </c>
      <c r="Z157" s="41" t="str">
        <f>IF(NOT(AND(ISNUMBER(J157),ISNUMBER(K157))),"",IF(COUNT(T157:Y157)=0,"先填阈值",IF(MAX(AD157:AI157)=0,"不写",INDEX($T$4:$Y$4,MATCH(MAX(AD157:AI157),AD157:AI157,0))&amp;"·"&amp;IF(MAX(AD157:AI157)&gt;=200,"高","中")&amp;IF(LARGE(AD157:AI157,2)&gt;0,"（也像"&amp;INDEX($T$4:$Y$4,MATCH(LARGE(AD157:AI157,2),AD157:AI157,0))&amp;"·"&amp;IF(LARGE(AD157:AI157,2)&gt;=200,"高","中")&amp;"）",""))))</f>
        <v/>
      </c>
      <c r="AA157" s="27" t="n"/>
      <c r="AB157" s="32" t="n"/>
      <c r="AC157" s="16" t="n"/>
      <c r="AD157" s="40">
        <f>IF(N(T157)&gt;=3,IF(T157=4,2,1)*100+T157*10+6,0)</f>
        <v>0</v>
      </c>
      <c r="AE157" s="40">
        <f>IF(N(U157)&gt;=3,1*100+U157*10+1,0)</f>
        <v>0</v>
      </c>
      <c r="AF157" s="40">
        <f>IF(N(V157)&gt;=3,IF(V157=4,2,1)*100+V157*10+2,0)</f>
        <v>0</v>
      </c>
      <c r="AG157" s="40">
        <f>IF(N(W157)&gt;=3,1*100+W157*10+3,0)</f>
        <v>0</v>
      </c>
      <c r="AH157" s="40">
        <f>IF(N(X157)&gt;=3,1*100+X157*10+4,0)</f>
        <v>0</v>
      </c>
      <c r="AI157" s="40">
        <f>IF(N(Y157)&gt;=3,IF(AND(N(T157)&gt;=3,OR(N(T157)=4,N(Y157)&lt;=N(T157))),0,IF(Y157=4,2,1)*100+Y157*10+5),0)</f>
        <v>0</v>
      </c>
    </row>
    <row r="158">
      <c r="A158" s="31" t="n"/>
      <c r="B158" s="36" t="str">
        <f>IF(ISNUMBER(A158),"周"&amp;CHOOSE(WEEKDAY(A158,2),"一","二","三","四","五","六","日"),"")</f>
        <v/>
      </c>
      <c r="C158" s="37" t="n"/>
      <c r="D158" s="37" t="n"/>
      <c r="E158" s="37" t="n"/>
      <c r="F158" s="17" t="n"/>
      <c r="G158" s="38" t="str">
        <f>IF(AND(ISNUMBER(F158),ISNUMBER(F157)),IF(F157=0,"",F158/F157-1),"")</f>
        <v/>
      </c>
      <c r="H158" s="17" t="n"/>
      <c r="I158" s="17" t="n"/>
      <c r="J158" s="17" t="n"/>
      <c r="K158" s="17" t="n"/>
      <c r="L158" s="17" t="n"/>
      <c r="M158" s="17" t="n"/>
      <c r="N158" s="39" t="str">
        <f>IF(AND(ISNUMBER(L158),ISNUMBER(M158),N(L158)&gt;0),M158/L158,"")</f>
        <v/>
      </c>
      <c r="O158" s="17" t="n"/>
      <c r="P158" s="17" t="n"/>
      <c r="Q158" s="39" t="str">
        <f>IF(AND(ISNUMBER(O158),ISNUMBER(P158),N(O158)&gt;0),P158/O158,"")</f>
        <v/>
      </c>
      <c r="R158" s="17" t="n"/>
      <c r="S158" s="37" t="n"/>
      <c r="T158" s="40" t="str">
        <f>IF(AND(ISNUMBER(J158),ISNUMBER(K158)),IF(N(ISNUMBER('参数'!$E$31))+N(ISNUMBER('参数'!$G$31))+N(ISNUMBER('参数'!$I$31))+N(ISNUMBER('参数'!$K$31))=0,"",IF(ISNUMBER('参数'!$E$31),J158&lt;='参数'!$E$31,FALSE)+IF(ISNUMBER('参数'!$G$31),K158&gt;='参数'!$G$31,FALSE)+IF(AND(ISNUMBER('参数'!$I$31),ISNUMBER(N158)),N158&gt;='参数'!$I$31,FALSE)+IF(AND(ISNUMBER('参数'!$K$31),ISNUMBER(Q158)),Q158&lt;='参数'!$K$31,FALSE)),"")</f>
        <v/>
      </c>
      <c r="U158" s="40" t="str">
        <f>IF(AND(ISNUMBER(J158),ISNUMBER(K158)),IF(N(ISNUMBER('参数'!$G$32))+N(ISNUMBER('参数'!$I$32))+N(ISNUMBER('参数'!$K$32))=0,"",IF(AND(ISNUMBER(J157),ISNUMBER(J156)),AND(J158&gt;J157,J157&gt;J156),FALSE)+IF(ISNUMBER('参数'!$G$32),J158&lt;'参数'!$G$32,FALSE)+IF(AND(ISNUMBER('参数'!$I$32),ISNUMBER(Q158)),Q158&gt;='参数'!$I$32,FALSE)+IF(AND(ISNUMBER('参数'!$K$32),ISNUMBER(S158)),S158&gt;='参数'!$K$32,FALSE)),"")</f>
        <v/>
      </c>
      <c r="V158" s="40" t="str">
        <f>IF(AND(ISNUMBER(J158),ISNUMBER(K158)),IF(N(ISNUMBER('参数'!$E$33))+N(ISNUMBER('参数'!$G$33))+N(ISNUMBER('参数'!$I$33))+N(ISNUMBER('参数'!$K$33))=0,"",IF(AND(ISNUMBER('参数'!$E$33),ISNUMBER(J157)),AND(J158&gt;='参数'!$E$33,J158&gt;J157),FALSE)+IF(AND(ISNUMBER('参数'!$G$33),ISNUMBER(N158)),N158&lt;='参数'!$G$33,FALSE)+IF(AND(ISNUMBER('参数'!$I$33),ISNUMBER(Q158)),Q158&gt;='参数'!$I$33,FALSE)+IF(AND(ISNUMBER('参数'!$K$33),ISNUMBER(S158)),S158&gt;='参数'!$K$33,FALSE)),"")</f>
        <v/>
      </c>
      <c r="W158" s="40" t="str">
        <f>IF(AND(ISNUMBER(J158),ISNUMBER(K158)),IF(N(ISNUMBER('参数'!$E$34))+N(ISNUMBER('参数'!$G$34))+N(ISNUMBER('参数'!$I$34))+N(ISNUMBER('参数'!$K$34))=0,"",IF(ISNUMBER('参数'!$E$34),J158&gt;='参数'!$E$34,FALSE)+IF(AND(ISNUMBER('参数'!$G$34),ISNUMBER(N158)),N158&lt;='参数'!$G$34,FALSE)+IF(AND(ISNUMBER('参数'!$I$34),ISNUMBER(S158)),S158&gt;='参数'!$I$34,FALSE)+IF(AND(ISNUMBER('参数'!$K$34),ISNUMBER(R158)),R158&gt;='参数'!$K$34,FALSE)),"")</f>
        <v/>
      </c>
      <c r="X158" s="40" t="str">
        <f>IF(AND(ISNUMBER(J158),ISNUMBER(K158)),IF(N(ISNUMBER('参数'!$E$35))+N(ISNUMBER('参数'!$G$35))+N(ISNUMBER('参数'!$I$35))=0,"",IF(AND(ISNUMBER('参数'!$E$35),ISNUMBER(N158),ISNUMBER(N157)),ROUND(N158-N157,6)&gt;='参数'!$E$35,FALSE)+IF(AND(ISNUMBER('参数'!$G$35),ISNUMBER(Q158),ISNUMBER(Q157)),ROUND(Q157-Q158,6)&gt;='参数'!$G$35,FALSE)+IF(AND(ISNUMBER('参数'!$I$35),ISNUMBER(S158),ISNUMBER(S157)),ROUND(S157-S158,6)&gt;='参数'!$I$35,FALSE)+IF(ISNUMBER(J157),J158&lt;J157,FALSE)),"")</f>
        <v/>
      </c>
      <c r="Y158" s="40" t="str">
        <f>IF(AND(ISNUMBER(J158),ISNUMBER(K158)),IF(N(ISNUMBER('参数'!$E$36))+N(ISNUMBER('参数'!$G$36))+N(ISNUMBER('参数'!$I$36))=0,"",IF(AND(ISNUMBER('参数'!$E$36),ISNUMBER(J157)),AND(J158&lt;='参数'!$E$36,J158&lt;J157),FALSE)+IF(ISNUMBER('参数'!$G$36),K158&gt;='参数'!$G$36,FALSE)+IF(AND(ISNUMBER('参数'!$I$36),ISNUMBER(S158)),S158&lt;'参数'!$I$36,FALSE)+IF(AND(ISNUMBER(R158),ISNUMBER(R157)),R158&lt;R157,FALSE)),"")</f>
        <v/>
      </c>
      <c r="Z158" s="41" t="str">
        <f>IF(NOT(AND(ISNUMBER(J158),ISNUMBER(K158))),"",IF(COUNT(T158:Y158)=0,"先填阈值",IF(MAX(AD158:AI158)=0,"不写",INDEX($T$4:$Y$4,MATCH(MAX(AD158:AI158),AD158:AI158,0))&amp;"·"&amp;IF(MAX(AD158:AI158)&gt;=200,"高","中")&amp;IF(LARGE(AD158:AI158,2)&gt;0,"（也像"&amp;INDEX($T$4:$Y$4,MATCH(LARGE(AD158:AI158,2),AD158:AI158,0))&amp;"·"&amp;IF(LARGE(AD158:AI158,2)&gt;=200,"高","中")&amp;"）",""))))</f>
        <v/>
      </c>
      <c r="AA158" s="27" t="n"/>
      <c r="AB158" s="32" t="n"/>
      <c r="AC158" s="16" t="n"/>
      <c r="AD158" s="40">
        <f>IF(N(T158)&gt;=3,IF(T158=4,2,1)*100+T158*10+6,0)</f>
        <v>0</v>
      </c>
      <c r="AE158" s="40">
        <f>IF(N(U158)&gt;=3,1*100+U158*10+1,0)</f>
        <v>0</v>
      </c>
      <c r="AF158" s="40">
        <f>IF(N(V158)&gt;=3,IF(V158=4,2,1)*100+V158*10+2,0)</f>
        <v>0</v>
      </c>
      <c r="AG158" s="40">
        <f>IF(N(W158)&gt;=3,1*100+W158*10+3,0)</f>
        <v>0</v>
      </c>
      <c r="AH158" s="40">
        <f>IF(N(X158)&gt;=3,1*100+X158*10+4,0)</f>
        <v>0</v>
      </c>
      <c r="AI158" s="40">
        <f>IF(N(Y158)&gt;=3,IF(AND(N(T158)&gt;=3,OR(N(T158)=4,N(Y158)&lt;=N(T158))),0,IF(Y158=4,2,1)*100+Y158*10+5),0)</f>
        <v>0</v>
      </c>
    </row>
    <row r="159">
      <c r="A159" s="31" t="n"/>
      <c r="B159" s="36" t="str">
        <f>IF(ISNUMBER(A159),"周"&amp;CHOOSE(WEEKDAY(A159,2),"一","二","三","四","五","六","日"),"")</f>
        <v/>
      </c>
      <c r="C159" s="37" t="n"/>
      <c r="D159" s="37" t="n"/>
      <c r="E159" s="37" t="n"/>
      <c r="F159" s="17" t="n"/>
      <c r="G159" s="38" t="str">
        <f>IF(AND(ISNUMBER(F159),ISNUMBER(F158)),IF(F158=0,"",F159/F158-1),"")</f>
        <v/>
      </c>
      <c r="H159" s="17" t="n"/>
      <c r="I159" s="17" t="n"/>
      <c r="J159" s="17" t="n"/>
      <c r="K159" s="17" t="n"/>
      <c r="L159" s="17" t="n"/>
      <c r="M159" s="17" t="n"/>
      <c r="N159" s="39" t="str">
        <f>IF(AND(ISNUMBER(L159),ISNUMBER(M159),N(L159)&gt;0),M159/L159,"")</f>
        <v/>
      </c>
      <c r="O159" s="17" t="n"/>
      <c r="P159" s="17" t="n"/>
      <c r="Q159" s="39" t="str">
        <f>IF(AND(ISNUMBER(O159),ISNUMBER(P159),N(O159)&gt;0),P159/O159,"")</f>
        <v/>
      </c>
      <c r="R159" s="17" t="n"/>
      <c r="S159" s="37" t="n"/>
      <c r="T159" s="40" t="str">
        <f>IF(AND(ISNUMBER(J159),ISNUMBER(K159)),IF(N(ISNUMBER('参数'!$E$31))+N(ISNUMBER('参数'!$G$31))+N(ISNUMBER('参数'!$I$31))+N(ISNUMBER('参数'!$K$31))=0,"",IF(ISNUMBER('参数'!$E$31),J159&lt;='参数'!$E$31,FALSE)+IF(ISNUMBER('参数'!$G$31),K159&gt;='参数'!$G$31,FALSE)+IF(AND(ISNUMBER('参数'!$I$31),ISNUMBER(N159)),N159&gt;='参数'!$I$31,FALSE)+IF(AND(ISNUMBER('参数'!$K$31),ISNUMBER(Q159)),Q159&lt;='参数'!$K$31,FALSE)),"")</f>
        <v/>
      </c>
      <c r="U159" s="40" t="str">
        <f>IF(AND(ISNUMBER(J159),ISNUMBER(K159)),IF(N(ISNUMBER('参数'!$G$32))+N(ISNUMBER('参数'!$I$32))+N(ISNUMBER('参数'!$K$32))=0,"",IF(AND(ISNUMBER(J158),ISNUMBER(J157)),AND(J159&gt;J158,J158&gt;J157),FALSE)+IF(ISNUMBER('参数'!$G$32),J159&lt;'参数'!$G$32,FALSE)+IF(AND(ISNUMBER('参数'!$I$32),ISNUMBER(Q159)),Q159&gt;='参数'!$I$32,FALSE)+IF(AND(ISNUMBER('参数'!$K$32),ISNUMBER(S159)),S159&gt;='参数'!$K$32,FALSE)),"")</f>
        <v/>
      </c>
      <c r="V159" s="40" t="str">
        <f>IF(AND(ISNUMBER(J159),ISNUMBER(K159)),IF(N(ISNUMBER('参数'!$E$33))+N(ISNUMBER('参数'!$G$33))+N(ISNUMBER('参数'!$I$33))+N(ISNUMBER('参数'!$K$33))=0,"",IF(AND(ISNUMBER('参数'!$E$33),ISNUMBER(J158)),AND(J159&gt;='参数'!$E$33,J159&gt;J158),FALSE)+IF(AND(ISNUMBER('参数'!$G$33),ISNUMBER(N159)),N159&lt;='参数'!$G$33,FALSE)+IF(AND(ISNUMBER('参数'!$I$33),ISNUMBER(Q159)),Q159&gt;='参数'!$I$33,FALSE)+IF(AND(ISNUMBER('参数'!$K$33),ISNUMBER(S159)),S159&gt;='参数'!$K$33,FALSE)),"")</f>
        <v/>
      </c>
      <c r="W159" s="40" t="str">
        <f>IF(AND(ISNUMBER(J159),ISNUMBER(K159)),IF(N(ISNUMBER('参数'!$E$34))+N(ISNUMBER('参数'!$G$34))+N(ISNUMBER('参数'!$I$34))+N(ISNUMBER('参数'!$K$34))=0,"",IF(ISNUMBER('参数'!$E$34),J159&gt;='参数'!$E$34,FALSE)+IF(AND(ISNUMBER('参数'!$G$34),ISNUMBER(N159)),N159&lt;='参数'!$G$34,FALSE)+IF(AND(ISNUMBER('参数'!$I$34),ISNUMBER(S159)),S159&gt;='参数'!$I$34,FALSE)+IF(AND(ISNUMBER('参数'!$K$34),ISNUMBER(R159)),R159&gt;='参数'!$K$34,FALSE)),"")</f>
        <v/>
      </c>
      <c r="X159" s="40" t="str">
        <f>IF(AND(ISNUMBER(J159),ISNUMBER(K159)),IF(N(ISNUMBER('参数'!$E$35))+N(ISNUMBER('参数'!$G$35))+N(ISNUMBER('参数'!$I$35))=0,"",IF(AND(ISNUMBER('参数'!$E$35),ISNUMBER(N159),ISNUMBER(N158)),ROUND(N159-N158,6)&gt;='参数'!$E$35,FALSE)+IF(AND(ISNUMBER('参数'!$G$35),ISNUMBER(Q159),ISNUMBER(Q158)),ROUND(Q158-Q159,6)&gt;='参数'!$G$35,FALSE)+IF(AND(ISNUMBER('参数'!$I$35),ISNUMBER(S159),ISNUMBER(S158)),ROUND(S158-S159,6)&gt;='参数'!$I$35,FALSE)+IF(ISNUMBER(J158),J159&lt;J158,FALSE)),"")</f>
        <v/>
      </c>
      <c r="Y159" s="40" t="str">
        <f>IF(AND(ISNUMBER(J159),ISNUMBER(K159)),IF(N(ISNUMBER('参数'!$E$36))+N(ISNUMBER('参数'!$G$36))+N(ISNUMBER('参数'!$I$36))=0,"",IF(AND(ISNUMBER('参数'!$E$36),ISNUMBER(J158)),AND(J159&lt;='参数'!$E$36,J159&lt;J158),FALSE)+IF(ISNUMBER('参数'!$G$36),K159&gt;='参数'!$G$36,FALSE)+IF(AND(ISNUMBER('参数'!$I$36),ISNUMBER(S159)),S159&lt;'参数'!$I$36,FALSE)+IF(AND(ISNUMBER(R159),ISNUMBER(R158)),R159&lt;R158,FALSE)),"")</f>
        <v/>
      </c>
      <c r="Z159" s="41" t="str">
        <f>IF(NOT(AND(ISNUMBER(J159),ISNUMBER(K159))),"",IF(COUNT(T159:Y159)=0,"先填阈值",IF(MAX(AD159:AI159)=0,"不写",INDEX($T$4:$Y$4,MATCH(MAX(AD159:AI159),AD159:AI159,0))&amp;"·"&amp;IF(MAX(AD159:AI159)&gt;=200,"高","中")&amp;IF(LARGE(AD159:AI159,2)&gt;0,"（也像"&amp;INDEX($T$4:$Y$4,MATCH(LARGE(AD159:AI159,2),AD159:AI159,0))&amp;"·"&amp;IF(LARGE(AD159:AI159,2)&gt;=200,"高","中")&amp;"）",""))))</f>
        <v/>
      </c>
      <c r="AA159" s="27" t="n"/>
      <c r="AB159" s="32" t="n"/>
      <c r="AC159" s="16" t="n"/>
      <c r="AD159" s="40">
        <f>IF(N(T159)&gt;=3,IF(T159=4,2,1)*100+T159*10+6,0)</f>
        <v>0</v>
      </c>
      <c r="AE159" s="40">
        <f>IF(N(U159)&gt;=3,1*100+U159*10+1,0)</f>
        <v>0</v>
      </c>
      <c r="AF159" s="40">
        <f>IF(N(V159)&gt;=3,IF(V159=4,2,1)*100+V159*10+2,0)</f>
        <v>0</v>
      </c>
      <c r="AG159" s="40">
        <f>IF(N(W159)&gt;=3,1*100+W159*10+3,0)</f>
        <v>0</v>
      </c>
      <c r="AH159" s="40">
        <f>IF(N(X159)&gt;=3,1*100+X159*10+4,0)</f>
        <v>0</v>
      </c>
      <c r="AI159" s="40">
        <f>IF(N(Y159)&gt;=3,IF(AND(N(T159)&gt;=3,OR(N(T159)=4,N(Y159)&lt;=N(T159))),0,IF(Y159=4,2,1)*100+Y159*10+5),0)</f>
        <v>0</v>
      </c>
    </row>
    <row r="160">
      <c r="A160" s="31" t="n"/>
      <c r="B160" s="36" t="str">
        <f>IF(ISNUMBER(A160),"周"&amp;CHOOSE(WEEKDAY(A160,2),"一","二","三","四","五","六","日"),"")</f>
        <v/>
      </c>
      <c r="C160" s="37" t="n"/>
      <c r="D160" s="37" t="n"/>
      <c r="E160" s="37" t="n"/>
      <c r="F160" s="17" t="n"/>
      <c r="G160" s="38" t="str">
        <f>IF(AND(ISNUMBER(F160),ISNUMBER(F159)),IF(F159=0,"",F160/F159-1),"")</f>
        <v/>
      </c>
      <c r="H160" s="17" t="n"/>
      <c r="I160" s="17" t="n"/>
      <c r="J160" s="17" t="n"/>
      <c r="K160" s="17" t="n"/>
      <c r="L160" s="17" t="n"/>
      <c r="M160" s="17" t="n"/>
      <c r="N160" s="39" t="str">
        <f>IF(AND(ISNUMBER(L160),ISNUMBER(M160),N(L160)&gt;0),M160/L160,"")</f>
        <v/>
      </c>
      <c r="O160" s="17" t="n"/>
      <c r="P160" s="17" t="n"/>
      <c r="Q160" s="39" t="str">
        <f>IF(AND(ISNUMBER(O160),ISNUMBER(P160),N(O160)&gt;0),P160/O160,"")</f>
        <v/>
      </c>
      <c r="R160" s="17" t="n"/>
      <c r="S160" s="37" t="n"/>
      <c r="T160" s="40" t="str">
        <f>IF(AND(ISNUMBER(J160),ISNUMBER(K160)),IF(N(ISNUMBER('参数'!$E$31))+N(ISNUMBER('参数'!$G$31))+N(ISNUMBER('参数'!$I$31))+N(ISNUMBER('参数'!$K$31))=0,"",IF(ISNUMBER('参数'!$E$31),J160&lt;='参数'!$E$31,FALSE)+IF(ISNUMBER('参数'!$G$31),K160&gt;='参数'!$G$31,FALSE)+IF(AND(ISNUMBER('参数'!$I$31),ISNUMBER(N160)),N160&gt;='参数'!$I$31,FALSE)+IF(AND(ISNUMBER('参数'!$K$31),ISNUMBER(Q160)),Q160&lt;='参数'!$K$31,FALSE)),"")</f>
        <v/>
      </c>
      <c r="U160" s="40" t="str">
        <f>IF(AND(ISNUMBER(J160),ISNUMBER(K160)),IF(N(ISNUMBER('参数'!$G$32))+N(ISNUMBER('参数'!$I$32))+N(ISNUMBER('参数'!$K$32))=0,"",IF(AND(ISNUMBER(J159),ISNUMBER(J158)),AND(J160&gt;J159,J159&gt;J158),FALSE)+IF(ISNUMBER('参数'!$G$32),J160&lt;'参数'!$G$32,FALSE)+IF(AND(ISNUMBER('参数'!$I$32),ISNUMBER(Q160)),Q160&gt;='参数'!$I$32,FALSE)+IF(AND(ISNUMBER('参数'!$K$32),ISNUMBER(S160)),S160&gt;='参数'!$K$32,FALSE)),"")</f>
        <v/>
      </c>
      <c r="V160" s="40" t="str">
        <f>IF(AND(ISNUMBER(J160),ISNUMBER(K160)),IF(N(ISNUMBER('参数'!$E$33))+N(ISNUMBER('参数'!$G$33))+N(ISNUMBER('参数'!$I$33))+N(ISNUMBER('参数'!$K$33))=0,"",IF(AND(ISNUMBER('参数'!$E$33),ISNUMBER(J159)),AND(J160&gt;='参数'!$E$33,J160&gt;J159),FALSE)+IF(AND(ISNUMBER('参数'!$G$33),ISNUMBER(N160)),N160&lt;='参数'!$G$33,FALSE)+IF(AND(ISNUMBER('参数'!$I$33),ISNUMBER(Q160)),Q160&gt;='参数'!$I$33,FALSE)+IF(AND(ISNUMBER('参数'!$K$33),ISNUMBER(S160)),S160&gt;='参数'!$K$33,FALSE)),"")</f>
        <v/>
      </c>
      <c r="W160" s="40" t="str">
        <f>IF(AND(ISNUMBER(J160),ISNUMBER(K160)),IF(N(ISNUMBER('参数'!$E$34))+N(ISNUMBER('参数'!$G$34))+N(ISNUMBER('参数'!$I$34))+N(ISNUMBER('参数'!$K$34))=0,"",IF(ISNUMBER('参数'!$E$34),J160&gt;='参数'!$E$34,FALSE)+IF(AND(ISNUMBER('参数'!$G$34),ISNUMBER(N160)),N160&lt;='参数'!$G$34,FALSE)+IF(AND(ISNUMBER('参数'!$I$34),ISNUMBER(S160)),S160&gt;='参数'!$I$34,FALSE)+IF(AND(ISNUMBER('参数'!$K$34),ISNUMBER(R160)),R160&gt;='参数'!$K$34,FALSE)),"")</f>
        <v/>
      </c>
      <c r="X160" s="40" t="str">
        <f>IF(AND(ISNUMBER(J160),ISNUMBER(K160)),IF(N(ISNUMBER('参数'!$E$35))+N(ISNUMBER('参数'!$G$35))+N(ISNUMBER('参数'!$I$35))=0,"",IF(AND(ISNUMBER('参数'!$E$35),ISNUMBER(N160),ISNUMBER(N159)),ROUND(N160-N159,6)&gt;='参数'!$E$35,FALSE)+IF(AND(ISNUMBER('参数'!$G$35),ISNUMBER(Q160),ISNUMBER(Q159)),ROUND(Q159-Q160,6)&gt;='参数'!$G$35,FALSE)+IF(AND(ISNUMBER('参数'!$I$35),ISNUMBER(S160),ISNUMBER(S159)),ROUND(S159-S160,6)&gt;='参数'!$I$35,FALSE)+IF(ISNUMBER(J159),J160&lt;J159,FALSE)),"")</f>
        <v/>
      </c>
      <c r="Y160" s="40" t="str">
        <f>IF(AND(ISNUMBER(J160),ISNUMBER(K160)),IF(N(ISNUMBER('参数'!$E$36))+N(ISNUMBER('参数'!$G$36))+N(ISNUMBER('参数'!$I$36))=0,"",IF(AND(ISNUMBER('参数'!$E$36),ISNUMBER(J159)),AND(J160&lt;='参数'!$E$36,J160&lt;J159),FALSE)+IF(ISNUMBER('参数'!$G$36),K160&gt;='参数'!$G$36,FALSE)+IF(AND(ISNUMBER('参数'!$I$36),ISNUMBER(S160)),S160&lt;'参数'!$I$36,FALSE)+IF(AND(ISNUMBER(R160),ISNUMBER(R159)),R160&lt;R159,FALSE)),"")</f>
        <v/>
      </c>
      <c r="Z160" s="41" t="str">
        <f>IF(NOT(AND(ISNUMBER(J160),ISNUMBER(K160))),"",IF(COUNT(T160:Y160)=0,"先填阈值",IF(MAX(AD160:AI160)=0,"不写",INDEX($T$4:$Y$4,MATCH(MAX(AD160:AI160),AD160:AI160,0))&amp;"·"&amp;IF(MAX(AD160:AI160)&gt;=200,"高","中")&amp;IF(LARGE(AD160:AI160,2)&gt;0,"（也像"&amp;INDEX($T$4:$Y$4,MATCH(LARGE(AD160:AI160,2),AD160:AI160,0))&amp;"·"&amp;IF(LARGE(AD160:AI160,2)&gt;=200,"高","中")&amp;"）",""))))</f>
        <v/>
      </c>
      <c r="AA160" s="27" t="n"/>
      <c r="AB160" s="32" t="n"/>
      <c r="AC160" s="16" t="n"/>
      <c r="AD160" s="40">
        <f>IF(N(T160)&gt;=3,IF(T160=4,2,1)*100+T160*10+6,0)</f>
        <v>0</v>
      </c>
      <c r="AE160" s="40">
        <f>IF(N(U160)&gt;=3,1*100+U160*10+1,0)</f>
        <v>0</v>
      </c>
      <c r="AF160" s="40">
        <f>IF(N(V160)&gt;=3,IF(V160=4,2,1)*100+V160*10+2,0)</f>
        <v>0</v>
      </c>
      <c r="AG160" s="40">
        <f>IF(N(W160)&gt;=3,1*100+W160*10+3,0)</f>
        <v>0</v>
      </c>
      <c r="AH160" s="40">
        <f>IF(N(X160)&gt;=3,1*100+X160*10+4,0)</f>
        <v>0</v>
      </c>
      <c r="AI160" s="40">
        <f>IF(N(Y160)&gt;=3,IF(AND(N(T160)&gt;=3,OR(N(T160)=4,N(Y160)&lt;=N(T160))),0,IF(Y160=4,2,1)*100+Y160*10+5),0)</f>
        <v>0</v>
      </c>
    </row>
    <row r="161">
      <c r="A161" s="31" t="n"/>
      <c r="B161" s="36" t="str">
        <f>IF(ISNUMBER(A161),"周"&amp;CHOOSE(WEEKDAY(A161,2),"一","二","三","四","五","六","日"),"")</f>
        <v/>
      </c>
      <c r="C161" s="37" t="n"/>
      <c r="D161" s="37" t="n"/>
      <c r="E161" s="37" t="n"/>
      <c r="F161" s="17" t="n"/>
      <c r="G161" s="38" t="str">
        <f>IF(AND(ISNUMBER(F161),ISNUMBER(F160)),IF(F160=0,"",F161/F160-1),"")</f>
        <v/>
      </c>
      <c r="H161" s="17" t="n"/>
      <c r="I161" s="17" t="n"/>
      <c r="J161" s="17" t="n"/>
      <c r="K161" s="17" t="n"/>
      <c r="L161" s="17" t="n"/>
      <c r="M161" s="17" t="n"/>
      <c r="N161" s="39" t="str">
        <f>IF(AND(ISNUMBER(L161),ISNUMBER(M161),N(L161)&gt;0),M161/L161,"")</f>
        <v/>
      </c>
      <c r="O161" s="17" t="n"/>
      <c r="P161" s="17" t="n"/>
      <c r="Q161" s="39" t="str">
        <f>IF(AND(ISNUMBER(O161),ISNUMBER(P161),N(O161)&gt;0),P161/O161,"")</f>
        <v/>
      </c>
      <c r="R161" s="17" t="n"/>
      <c r="S161" s="37" t="n"/>
      <c r="T161" s="40" t="str">
        <f>IF(AND(ISNUMBER(J161),ISNUMBER(K161)),IF(N(ISNUMBER('参数'!$E$31))+N(ISNUMBER('参数'!$G$31))+N(ISNUMBER('参数'!$I$31))+N(ISNUMBER('参数'!$K$31))=0,"",IF(ISNUMBER('参数'!$E$31),J161&lt;='参数'!$E$31,FALSE)+IF(ISNUMBER('参数'!$G$31),K161&gt;='参数'!$G$31,FALSE)+IF(AND(ISNUMBER('参数'!$I$31),ISNUMBER(N161)),N161&gt;='参数'!$I$31,FALSE)+IF(AND(ISNUMBER('参数'!$K$31),ISNUMBER(Q161)),Q161&lt;='参数'!$K$31,FALSE)),"")</f>
        <v/>
      </c>
      <c r="U161" s="40" t="str">
        <f>IF(AND(ISNUMBER(J161),ISNUMBER(K161)),IF(N(ISNUMBER('参数'!$G$32))+N(ISNUMBER('参数'!$I$32))+N(ISNUMBER('参数'!$K$32))=0,"",IF(AND(ISNUMBER(J160),ISNUMBER(J159)),AND(J161&gt;J160,J160&gt;J159),FALSE)+IF(ISNUMBER('参数'!$G$32),J161&lt;'参数'!$G$32,FALSE)+IF(AND(ISNUMBER('参数'!$I$32),ISNUMBER(Q161)),Q161&gt;='参数'!$I$32,FALSE)+IF(AND(ISNUMBER('参数'!$K$32),ISNUMBER(S161)),S161&gt;='参数'!$K$32,FALSE)),"")</f>
        <v/>
      </c>
      <c r="V161" s="40" t="str">
        <f>IF(AND(ISNUMBER(J161),ISNUMBER(K161)),IF(N(ISNUMBER('参数'!$E$33))+N(ISNUMBER('参数'!$G$33))+N(ISNUMBER('参数'!$I$33))+N(ISNUMBER('参数'!$K$33))=0,"",IF(AND(ISNUMBER('参数'!$E$33),ISNUMBER(J160)),AND(J161&gt;='参数'!$E$33,J161&gt;J160),FALSE)+IF(AND(ISNUMBER('参数'!$G$33),ISNUMBER(N161)),N161&lt;='参数'!$G$33,FALSE)+IF(AND(ISNUMBER('参数'!$I$33),ISNUMBER(Q161)),Q161&gt;='参数'!$I$33,FALSE)+IF(AND(ISNUMBER('参数'!$K$33),ISNUMBER(S161)),S161&gt;='参数'!$K$33,FALSE)),"")</f>
        <v/>
      </c>
      <c r="W161" s="40" t="str">
        <f>IF(AND(ISNUMBER(J161),ISNUMBER(K161)),IF(N(ISNUMBER('参数'!$E$34))+N(ISNUMBER('参数'!$G$34))+N(ISNUMBER('参数'!$I$34))+N(ISNUMBER('参数'!$K$34))=0,"",IF(ISNUMBER('参数'!$E$34),J161&gt;='参数'!$E$34,FALSE)+IF(AND(ISNUMBER('参数'!$G$34),ISNUMBER(N161)),N161&lt;='参数'!$G$34,FALSE)+IF(AND(ISNUMBER('参数'!$I$34),ISNUMBER(S161)),S161&gt;='参数'!$I$34,FALSE)+IF(AND(ISNUMBER('参数'!$K$34),ISNUMBER(R161)),R161&gt;='参数'!$K$34,FALSE)),"")</f>
        <v/>
      </c>
      <c r="X161" s="40" t="str">
        <f>IF(AND(ISNUMBER(J161),ISNUMBER(K161)),IF(N(ISNUMBER('参数'!$E$35))+N(ISNUMBER('参数'!$G$35))+N(ISNUMBER('参数'!$I$35))=0,"",IF(AND(ISNUMBER('参数'!$E$35),ISNUMBER(N161),ISNUMBER(N160)),ROUND(N161-N160,6)&gt;='参数'!$E$35,FALSE)+IF(AND(ISNUMBER('参数'!$G$35),ISNUMBER(Q161),ISNUMBER(Q160)),ROUND(Q160-Q161,6)&gt;='参数'!$G$35,FALSE)+IF(AND(ISNUMBER('参数'!$I$35),ISNUMBER(S161),ISNUMBER(S160)),ROUND(S160-S161,6)&gt;='参数'!$I$35,FALSE)+IF(ISNUMBER(J160),J161&lt;J160,FALSE)),"")</f>
        <v/>
      </c>
      <c r="Y161" s="40" t="str">
        <f>IF(AND(ISNUMBER(J161),ISNUMBER(K161)),IF(N(ISNUMBER('参数'!$E$36))+N(ISNUMBER('参数'!$G$36))+N(ISNUMBER('参数'!$I$36))=0,"",IF(AND(ISNUMBER('参数'!$E$36),ISNUMBER(J160)),AND(J161&lt;='参数'!$E$36,J161&lt;J160),FALSE)+IF(ISNUMBER('参数'!$G$36),K161&gt;='参数'!$G$36,FALSE)+IF(AND(ISNUMBER('参数'!$I$36),ISNUMBER(S161)),S161&lt;'参数'!$I$36,FALSE)+IF(AND(ISNUMBER(R161),ISNUMBER(R160)),R161&lt;R160,FALSE)),"")</f>
        <v/>
      </c>
      <c r="Z161" s="41" t="str">
        <f>IF(NOT(AND(ISNUMBER(J161),ISNUMBER(K161))),"",IF(COUNT(T161:Y161)=0,"先填阈值",IF(MAX(AD161:AI161)=0,"不写",INDEX($T$4:$Y$4,MATCH(MAX(AD161:AI161),AD161:AI161,0))&amp;"·"&amp;IF(MAX(AD161:AI161)&gt;=200,"高","中")&amp;IF(LARGE(AD161:AI161,2)&gt;0,"（也像"&amp;INDEX($T$4:$Y$4,MATCH(LARGE(AD161:AI161,2),AD161:AI161,0))&amp;"·"&amp;IF(LARGE(AD161:AI161,2)&gt;=200,"高","中")&amp;"）",""))))</f>
        <v/>
      </c>
      <c r="AA161" s="27" t="n"/>
      <c r="AB161" s="32" t="n"/>
      <c r="AC161" s="16" t="n"/>
      <c r="AD161" s="40">
        <f>IF(N(T161)&gt;=3,IF(T161=4,2,1)*100+T161*10+6,0)</f>
        <v>0</v>
      </c>
      <c r="AE161" s="40">
        <f>IF(N(U161)&gt;=3,1*100+U161*10+1,0)</f>
        <v>0</v>
      </c>
      <c r="AF161" s="40">
        <f>IF(N(V161)&gt;=3,IF(V161=4,2,1)*100+V161*10+2,0)</f>
        <v>0</v>
      </c>
      <c r="AG161" s="40">
        <f>IF(N(W161)&gt;=3,1*100+W161*10+3,0)</f>
        <v>0</v>
      </c>
      <c r="AH161" s="40">
        <f>IF(N(X161)&gt;=3,1*100+X161*10+4,0)</f>
        <v>0</v>
      </c>
      <c r="AI161" s="40">
        <f>IF(N(Y161)&gt;=3,IF(AND(N(T161)&gt;=3,OR(N(T161)=4,N(Y161)&lt;=N(T161))),0,IF(Y161=4,2,1)*100+Y161*10+5),0)</f>
        <v>0</v>
      </c>
    </row>
    <row r="162">
      <c r="A162" s="31" t="n"/>
      <c r="B162" s="36" t="str">
        <f>IF(ISNUMBER(A162),"周"&amp;CHOOSE(WEEKDAY(A162,2),"一","二","三","四","五","六","日"),"")</f>
        <v/>
      </c>
      <c r="C162" s="37" t="n"/>
      <c r="D162" s="37" t="n"/>
      <c r="E162" s="37" t="n"/>
      <c r="F162" s="17" t="n"/>
      <c r="G162" s="38" t="str">
        <f>IF(AND(ISNUMBER(F162),ISNUMBER(F161)),IF(F161=0,"",F162/F161-1),"")</f>
        <v/>
      </c>
      <c r="H162" s="17" t="n"/>
      <c r="I162" s="17" t="n"/>
      <c r="J162" s="17" t="n"/>
      <c r="K162" s="17" t="n"/>
      <c r="L162" s="17" t="n"/>
      <c r="M162" s="17" t="n"/>
      <c r="N162" s="39" t="str">
        <f>IF(AND(ISNUMBER(L162),ISNUMBER(M162),N(L162)&gt;0),M162/L162,"")</f>
        <v/>
      </c>
      <c r="O162" s="17" t="n"/>
      <c r="P162" s="17" t="n"/>
      <c r="Q162" s="39" t="str">
        <f>IF(AND(ISNUMBER(O162),ISNUMBER(P162),N(O162)&gt;0),P162/O162,"")</f>
        <v/>
      </c>
      <c r="R162" s="17" t="n"/>
      <c r="S162" s="37" t="n"/>
      <c r="T162" s="40" t="str">
        <f>IF(AND(ISNUMBER(J162),ISNUMBER(K162)),IF(N(ISNUMBER('参数'!$E$31))+N(ISNUMBER('参数'!$G$31))+N(ISNUMBER('参数'!$I$31))+N(ISNUMBER('参数'!$K$31))=0,"",IF(ISNUMBER('参数'!$E$31),J162&lt;='参数'!$E$31,FALSE)+IF(ISNUMBER('参数'!$G$31),K162&gt;='参数'!$G$31,FALSE)+IF(AND(ISNUMBER('参数'!$I$31),ISNUMBER(N162)),N162&gt;='参数'!$I$31,FALSE)+IF(AND(ISNUMBER('参数'!$K$31),ISNUMBER(Q162)),Q162&lt;='参数'!$K$31,FALSE)),"")</f>
        <v/>
      </c>
      <c r="U162" s="40" t="str">
        <f>IF(AND(ISNUMBER(J162),ISNUMBER(K162)),IF(N(ISNUMBER('参数'!$G$32))+N(ISNUMBER('参数'!$I$32))+N(ISNUMBER('参数'!$K$32))=0,"",IF(AND(ISNUMBER(J161),ISNUMBER(J160)),AND(J162&gt;J161,J161&gt;J160),FALSE)+IF(ISNUMBER('参数'!$G$32),J162&lt;'参数'!$G$32,FALSE)+IF(AND(ISNUMBER('参数'!$I$32),ISNUMBER(Q162)),Q162&gt;='参数'!$I$32,FALSE)+IF(AND(ISNUMBER('参数'!$K$32),ISNUMBER(S162)),S162&gt;='参数'!$K$32,FALSE)),"")</f>
        <v/>
      </c>
      <c r="V162" s="40" t="str">
        <f>IF(AND(ISNUMBER(J162),ISNUMBER(K162)),IF(N(ISNUMBER('参数'!$E$33))+N(ISNUMBER('参数'!$G$33))+N(ISNUMBER('参数'!$I$33))+N(ISNUMBER('参数'!$K$33))=0,"",IF(AND(ISNUMBER('参数'!$E$33),ISNUMBER(J161)),AND(J162&gt;='参数'!$E$33,J162&gt;J161),FALSE)+IF(AND(ISNUMBER('参数'!$G$33),ISNUMBER(N162)),N162&lt;='参数'!$G$33,FALSE)+IF(AND(ISNUMBER('参数'!$I$33),ISNUMBER(Q162)),Q162&gt;='参数'!$I$33,FALSE)+IF(AND(ISNUMBER('参数'!$K$33),ISNUMBER(S162)),S162&gt;='参数'!$K$33,FALSE)),"")</f>
        <v/>
      </c>
      <c r="W162" s="40" t="str">
        <f>IF(AND(ISNUMBER(J162),ISNUMBER(K162)),IF(N(ISNUMBER('参数'!$E$34))+N(ISNUMBER('参数'!$G$34))+N(ISNUMBER('参数'!$I$34))+N(ISNUMBER('参数'!$K$34))=0,"",IF(ISNUMBER('参数'!$E$34),J162&gt;='参数'!$E$34,FALSE)+IF(AND(ISNUMBER('参数'!$G$34),ISNUMBER(N162)),N162&lt;='参数'!$G$34,FALSE)+IF(AND(ISNUMBER('参数'!$I$34),ISNUMBER(S162)),S162&gt;='参数'!$I$34,FALSE)+IF(AND(ISNUMBER('参数'!$K$34),ISNUMBER(R162)),R162&gt;='参数'!$K$34,FALSE)),"")</f>
        <v/>
      </c>
      <c r="X162" s="40" t="str">
        <f>IF(AND(ISNUMBER(J162),ISNUMBER(K162)),IF(N(ISNUMBER('参数'!$E$35))+N(ISNUMBER('参数'!$G$35))+N(ISNUMBER('参数'!$I$35))=0,"",IF(AND(ISNUMBER('参数'!$E$35),ISNUMBER(N162),ISNUMBER(N161)),ROUND(N162-N161,6)&gt;='参数'!$E$35,FALSE)+IF(AND(ISNUMBER('参数'!$G$35),ISNUMBER(Q162),ISNUMBER(Q161)),ROUND(Q161-Q162,6)&gt;='参数'!$G$35,FALSE)+IF(AND(ISNUMBER('参数'!$I$35),ISNUMBER(S162),ISNUMBER(S161)),ROUND(S161-S162,6)&gt;='参数'!$I$35,FALSE)+IF(ISNUMBER(J161),J162&lt;J161,FALSE)),"")</f>
        <v/>
      </c>
      <c r="Y162" s="40" t="str">
        <f>IF(AND(ISNUMBER(J162),ISNUMBER(K162)),IF(N(ISNUMBER('参数'!$E$36))+N(ISNUMBER('参数'!$G$36))+N(ISNUMBER('参数'!$I$36))=0,"",IF(AND(ISNUMBER('参数'!$E$36),ISNUMBER(J161)),AND(J162&lt;='参数'!$E$36,J162&lt;J161),FALSE)+IF(ISNUMBER('参数'!$G$36),K162&gt;='参数'!$G$36,FALSE)+IF(AND(ISNUMBER('参数'!$I$36),ISNUMBER(S162)),S162&lt;'参数'!$I$36,FALSE)+IF(AND(ISNUMBER(R162),ISNUMBER(R161)),R162&lt;R161,FALSE)),"")</f>
        <v/>
      </c>
      <c r="Z162" s="41" t="str">
        <f>IF(NOT(AND(ISNUMBER(J162),ISNUMBER(K162))),"",IF(COUNT(T162:Y162)=0,"先填阈值",IF(MAX(AD162:AI162)=0,"不写",INDEX($T$4:$Y$4,MATCH(MAX(AD162:AI162),AD162:AI162,0))&amp;"·"&amp;IF(MAX(AD162:AI162)&gt;=200,"高","中")&amp;IF(LARGE(AD162:AI162,2)&gt;0,"（也像"&amp;INDEX($T$4:$Y$4,MATCH(LARGE(AD162:AI162,2),AD162:AI162,0))&amp;"·"&amp;IF(LARGE(AD162:AI162,2)&gt;=200,"高","中")&amp;"）",""))))</f>
        <v/>
      </c>
      <c r="AA162" s="27" t="n"/>
      <c r="AB162" s="32" t="n"/>
      <c r="AC162" s="16" t="n"/>
      <c r="AD162" s="40">
        <f>IF(N(T162)&gt;=3,IF(T162=4,2,1)*100+T162*10+6,0)</f>
        <v>0</v>
      </c>
      <c r="AE162" s="40">
        <f>IF(N(U162)&gt;=3,1*100+U162*10+1,0)</f>
        <v>0</v>
      </c>
      <c r="AF162" s="40">
        <f>IF(N(V162)&gt;=3,IF(V162=4,2,1)*100+V162*10+2,0)</f>
        <v>0</v>
      </c>
      <c r="AG162" s="40">
        <f>IF(N(W162)&gt;=3,1*100+W162*10+3,0)</f>
        <v>0</v>
      </c>
      <c r="AH162" s="40">
        <f>IF(N(X162)&gt;=3,1*100+X162*10+4,0)</f>
        <v>0</v>
      </c>
      <c r="AI162" s="40">
        <f>IF(N(Y162)&gt;=3,IF(AND(N(T162)&gt;=3,OR(N(T162)=4,N(Y162)&lt;=N(T162))),0,IF(Y162=4,2,1)*100+Y162*10+5),0)</f>
        <v>0</v>
      </c>
    </row>
    <row r="163">
      <c r="A163" s="31" t="n"/>
      <c r="B163" s="36" t="str">
        <f>IF(ISNUMBER(A163),"周"&amp;CHOOSE(WEEKDAY(A163,2),"一","二","三","四","五","六","日"),"")</f>
        <v/>
      </c>
      <c r="C163" s="37" t="n"/>
      <c r="D163" s="37" t="n"/>
      <c r="E163" s="37" t="n"/>
      <c r="F163" s="17" t="n"/>
      <c r="G163" s="38" t="str">
        <f>IF(AND(ISNUMBER(F163),ISNUMBER(F162)),IF(F162=0,"",F163/F162-1),"")</f>
        <v/>
      </c>
      <c r="H163" s="17" t="n"/>
      <c r="I163" s="17" t="n"/>
      <c r="J163" s="17" t="n"/>
      <c r="K163" s="17" t="n"/>
      <c r="L163" s="17" t="n"/>
      <c r="M163" s="17" t="n"/>
      <c r="N163" s="39" t="str">
        <f>IF(AND(ISNUMBER(L163),ISNUMBER(M163),N(L163)&gt;0),M163/L163,"")</f>
        <v/>
      </c>
      <c r="O163" s="17" t="n"/>
      <c r="P163" s="17" t="n"/>
      <c r="Q163" s="39" t="str">
        <f>IF(AND(ISNUMBER(O163),ISNUMBER(P163),N(O163)&gt;0),P163/O163,"")</f>
        <v/>
      </c>
      <c r="R163" s="17" t="n"/>
      <c r="S163" s="37" t="n"/>
      <c r="T163" s="40" t="str">
        <f>IF(AND(ISNUMBER(J163),ISNUMBER(K163)),IF(N(ISNUMBER('参数'!$E$31))+N(ISNUMBER('参数'!$G$31))+N(ISNUMBER('参数'!$I$31))+N(ISNUMBER('参数'!$K$31))=0,"",IF(ISNUMBER('参数'!$E$31),J163&lt;='参数'!$E$31,FALSE)+IF(ISNUMBER('参数'!$G$31),K163&gt;='参数'!$G$31,FALSE)+IF(AND(ISNUMBER('参数'!$I$31),ISNUMBER(N163)),N163&gt;='参数'!$I$31,FALSE)+IF(AND(ISNUMBER('参数'!$K$31),ISNUMBER(Q163)),Q163&lt;='参数'!$K$31,FALSE)),"")</f>
        <v/>
      </c>
      <c r="U163" s="40" t="str">
        <f>IF(AND(ISNUMBER(J163),ISNUMBER(K163)),IF(N(ISNUMBER('参数'!$G$32))+N(ISNUMBER('参数'!$I$32))+N(ISNUMBER('参数'!$K$32))=0,"",IF(AND(ISNUMBER(J162),ISNUMBER(J161)),AND(J163&gt;J162,J162&gt;J161),FALSE)+IF(ISNUMBER('参数'!$G$32),J163&lt;'参数'!$G$32,FALSE)+IF(AND(ISNUMBER('参数'!$I$32),ISNUMBER(Q163)),Q163&gt;='参数'!$I$32,FALSE)+IF(AND(ISNUMBER('参数'!$K$32),ISNUMBER(S163)),S163&gt;='参数'!$K$32,FALSE)),"")</f>
        <v/>
      </c>
      <c r="V163" s="40" t="str">
        <f>IF(AND(ISNUMBER(J163),ISNUMBER(K163)),IF(N(ISNUMBER('参数'!$E$33))+N(ISNUMBER('参数'!$G$33))+N(ISNUMBER('参数'!$I$33))+N(ISNUMBER('参数'!$K$33))=0,"",IF(AND(ISNUMBER('参数'!$E$33),ISNUMBER(J162)),AND(J163&gt;='参数'!$E$33,J163&gt;J162),FALSE)+IF(AND(ISNUMBER('参数'!$G$33),ISNUMBER(N163)),N163&lt;='参数'!$G$33,FALSE)+IF(AND(ISNUMBER('参数'!$I$33),ISNUMBER(Q163)),Q163&gt;='参数'!$I$33,FALSE)+IF(AND(ISNUMBER('参数'!$K$33),ISNUMBER(S163)),S163&gt;='参数'!$K$33,FALSE)),"")</f>
        <v/>
      </c>
      <c r="W163" s="40" t="str">
        <f>IF(AND(ISNUMBER(J163),ISNUMBER(K163)),IF(N(ISNUMBER('参数'!$E$34))+N(ISNUMBER('参数'!$G$34))+N(ISNUMBER('参数'!$I$34))+N(ISNUMBER('参数'!$K$34))=0,"",IF(ISNUMBER('参数'!$E$34),J163&gt;='参数'!$E$34,FALSE)+IF(AND(ISNUMBER('参数'!$G$34),ISNUMBER(N163)),N163&lt;='参数'!$G$34,FALSE)+IF(AND(ISNUMBER('参数'!$I$34),ISNUMBER(S163)),S163&gt;='参数'!$I$34,FALSE)+IF(AND(ISNUMBER('参数'!$K$34),ISNUMBER(R163)),R163&gt;='参数'!$K$34,FALSE)),"")</f>
        <v/>
      </c>
      <c r="X163" s="40" t="str">
        <f>IF(AND(ISNUMBER(J163),ISNUMBER(K163)),IF(N(ISNUMBER('参数'!$E$35))+N(ISNUMBER('参数'!$G$35))+N(ISNUMBER('参数'!$I$35))=0,"",IF(AND(ISNUMBER('参数'!$E$35),ISNUMBER(N163),ISNUMBER(N162)),ROUND(N163-N162,6)&gt;='参数'!$E$35,FALSE)+IF(AND(ISNUMBER('参数'!$G$35),ISNUMBER(Q163),ISNUMBER(Q162)),ROUND(Q162-Q163,6)&gt;='参数'!$G$35,FALSE)+IF(AND(ISNUMBER('参数'!$I$35),ISNUMBER(S163),ISNUMBER(S162)),ROUND(S162-S163,6)&gt;='参数'!$I$35,FALSE)+IF(ISNUMBER(J162),J163&lt;J162,FALSE)),"")</f>
        <v/>
      </c>
      <c r="Y163" s="40" t="str">
        <f>IF(AND(ISNUMBER(J163),ISNUMBER(K163)),IF(N(ISNUMBER('参数'!$E$36))+N(ISNUMBER('参数'!$G$36))+N(ISNUMBER('参数'!$I$36))=0,"",IF(AND(ISNUMBER('参数'!$E$36),ISNUMBER(J162)),AND(J163&lt;='参数'!$E$36,J163&lt;J162),FALSE)+IF(ISNUMBER('参数'!$G$36),K163&gt;='参数'!$G$36,FALSE)+IF(AND(ISNUMBER('参数'!$I$36),ISNUMBER(S163)),S163&lt;'参数'!$I$36,FALSE)+IF(AND(ISNUMBER(R163),ISNUMBER(R162)),R163&lt;R162,FALSE)),"")</f>
        <v/>
      </c>
      <c r="Z163" s="41" t="str">
        <f>IF(NOT(AND(ISNUMBER(J163),ISNUMBER(K163))),"",IF(COUNT(T163:Y163)=0,"先填阈值",IF(MAX(AD163:AI163)=0,"不写",INDEX($T$4:$Y$4,MATCH(MAX(AD163:AI163),AD163:AI163,0))&amp;"·"&amp;IF(MAX(AD163:AI163)&gt;=200,"高","中")&amp;IF(LARGE(AD163:AI163,2)&gt;0,"（也像"&amp;INDEX($T$4:$Y$4,MATCH(LARGE(AD163:AI163,2),AD163:AI163,0))&amp;"·"&amp;IF(LARGE(AD163:AI163,2)&gt;=200,"高","中")&amp;"）",""))))</f>
        <v/>
      </c>
      <c r="AA163" s="27" t="n"/>
      <c r="AB163" s="32" t="n"/>
      <c r="AC163" s="16" t="n"/>
      <c r="AD163" s="40">
        <f>IF(N(T163)&gt;=3,IF(T163=4,2,1)*100+T163*10+6,0)</f>
        <v>0</v>
      </c>
      <c r="AE163" s="40">
        <f>IF(N(U163)&gt;=3,1*100+U163*10+1,0)</f>
        <v>0</v>
      </c>
      <c r="AF163" s="40">
        <f>IF(N(V163)&gt;=3,IF(V163=4,2,1)*100+V163*10+2,0)</f>
        <v>0</v>
      </c>
      <c r="AG163" s="40">
        <f>IF(N(W163)&gt;=3,1*100+W163*10+3,0)</f>
        <v>0</v>
      </c>
      <c r="AH163" s="40">
        <f>IF(N(X163)&gt;=3,1*100+X163*10+4,0)</f>
        <v>0</v>
      </c>
      <c r="AI163" s="40">
        <f>IF(N(Y163)&gt;=3,IF(AND(N(T163)&gt;=3,OR(N(T163)=4,N(Y163)&lt;=N(T163))),0,IF(Y163=4,2,1)*100+Y163*10+5),0)</f>
        <v>0</v>
      </c>
    </row>
    <row r="164">
      <c r="A164" s="31" t="n"/>
      <c r="B164" s="36" t="str">
        <f>IF(ISNUMBER(A164),"周"&amp;CHOOSE(WEEKDAY(A164,2),"一","二","三","四","五","六","日"),"")</f>
        <v/>
      </c>
      <c r="C164" s="37" t="n"/>
      <c r="D164" s="37" t="n"/>
      <c r="E164" s="37" t="n"/>
      <c r="F164" s="17" t="n"/>
      <c r="G164" s="38" t="str">
        <f>IF(AND(ISNUMBER(F164),ISNUMBER(F163)),IF(F163=0,"",F164/F163-1),"")</f>
        <v/>
      </c>
      <c r="H164" s="17" t="n"/>
      <c r="I164" s="17" t="n"/>
      <c r="J164" s="17" t="n"/>
      <c r="K164" s="17" t="n"/>
      <c r="L164" s="17" t="n"/>
      <c r="M164" s="17" t="n"/>
      <c r="N164" s="39" t="str">
        <f>IF(AND(ISNUMBER(L164),ISNUMBER(M164),N(L164)&gt;0),M164/L164,"")</f>
        <v/>
      </c>
      <c r="O164" s="17" t="n"/>
      <c r="P164" s="17" t="n"/>
      <c r="Q164" s="39" t="str">
        <f>IF(AND(ISNUMBER(O164),ISNUMBER(P164),N(O164)&gt;0),P164/O164,"")</f>
        <v/>
      </c>
      <c r="R164" s="17" t="n"/>
      <c r="S164" s="37" t="n"/>
      <c r="T164" s="40" t="str">
        <f>IF(AND(ISNUMBER(J164),ISNUMBER(K164)),IF(N(ISNUMBER('参数'!$E$31))+N(ISNUMBER('参数'!$G$31))+N(ISNUMBER('参数'!$I$31))+N(ISNUMBER('参数'!$K$31))=0,"",IF(ISNUMBER('参数'!$E$31),J164&lt;='参数'!$E$31,FALSE)+IF(ISNUMBER('参数'!$G$31),K164&gt;='参数'!$G$31,FALSE)+IF(AND(ISNUMBER('参数'!$I$31),ISNUMBER(N164)),N164&gt;='参数'!$I$31,FALSE)+IF(AND(ISNUMBER('参数'!$K$31),ISNUMBER(Q164)),Q164&lt;='参数'!$K$31,FALSE)),"")</f>
        <v/>
      </c>
      <c r="U164" s="40" t="str">
        <f>IF(AND(ISNUMBER(J164),ISNUMBER(K164)),IF(N(ISNUMBER('参数'!$G$32))+N(ISNUMBER('参数'!$I$32))+N(ISNUMBER('参数'!$K$32))=0,"",IF(AND(ISNUMBER(J163),ISNUMBER(J162)),AND(J164&gt;J163,J163&gt;J162),FALSE)+IF(ISNUMBER('参数'!$G$32),J164&lt;'参数'!$G$32,FALSE)+IF(AND(ISNUMBER('参数'!$I$32),ISNUMBER(Q164)),Q164&gt;='参数'!$I$32,FALSE)+IF(AND(ISNUMBER('参数'!$K$32),ISNUMBER(S164)),S164&gt;='参数'!$K$32,FALSE)),"")</f>
        <v/>
      </c>
      <c r="V164" s="40" t="str">
        <f>IF(AND(ISNUMBER(J164),ISNUMBER(K164)),IF(N(ISNUMBER('参数'!$E$33))+N(ISNUMBER('参数'!$G$33))+N(ISNUMBER('参数'!$I$33))+N(ISNUMBER('参数'!$K$33))=0,"",IF(AND(ISNUMBER('参数'!$E$33),ISNUMBER(J163)),AND(J164&gt;='参数'!$E$33,J164&gt;J163),FALSE)+IF(AND(ISNUMBER('参数'!$G$33),ISNUMBER(N164)),N164&lt;='参数'!$G$33,FALSE)+IF(AND(ISNUMBER('参数'!$I$33),ISNUMBER(Q164)),Q164&gt;='参数'!$I$33,FALSE)+IF(AND(ISNUMBER('参数'!$K$33),ISNUMBER(S164)),S164&gt;='参数'!$K$33,FALSE)),"")</f>
        <v/>
      </c>
      <c r="W164" s="40" t="str">
        <f>IF(AND(ISNUMBER(J164),ISNUMBER(K164)),IF(N(ISNUMBER('参数'!$E$34))+N(ISNUMBER('参数'!$G$34))+N(ISNUMBER('参数'!$I$34))+N(ISNUMBER('参数'!$K$34))=0,"",IF(ISNUMBER('参数'!$E$34),J164&gt;='参数'!$E$34,FALSE)+IF(AND(ISNUMBER('参数'!$G$34),ISNUMBER(N164)),N164&lt;='参数'!$G$34,FALSE)+IF(AND(ISNUMBER('参数'!$I$34),ISNUMBER(S164)),S164&gt;='参数'!$I$34,FALSE)+IF(AND(ISNUMBER('参数'!$K$34),ISNUMBER(R164)),R164&gt;='参数'!$K$34,FALSE)),"")</f>
        <v/>
      </c>
      <c r="X164" s="40" t="str">
        <f>IF(AND(ISNUMBER(J164),ISNUMBER(K164)),IF(N(ISNUMBER('参数'!$E$35))+N(ISNUMBER('参数'!$G$35))+N(ISNUMBER('参数'!$I$35))=0,"",IF(AND(ISNUMBER('参数'!$E$35),ISNUMBER(N164),ISNUMBER(N163)),ROUND(N164-N163,6)&gt;='参数'!$E$35,FALSE)+IF(AND(ISNUMBER('参数'!$G$35),ISNUMBER(Q164),ISNUMBER(Q163)),ROUND(Q163-Q164,6)&gt;='参数'!$G$35,FALSE)+IF(AND(ISNUMBER('参数'!$I$35),ISNUMBER(S164),ISNUMBER(S163)),ROUND(S163-S164,6)&gt;='参数'!$I$35,FALSE)+IF(ISNUMBER(J163),J164&lt;J163,FALSE)),"")</f>
        <v/>
      </c>
      <c r="Y164" s="40" t="str">
        <f>IF(AND(ISNUMBER(J164),ISNUMBER(K164)),IF(N(ISNUMBER('参数'!$E$36))+N(ISNUMBER('参数'!$G$36))+N(ISNUMBER('参数'!$I$36))=0,"",IF(AND(ISNUMBER('参数'!$E$36),ISNUMBER(J163)),AND(J164&lt;='参数'!$E$36,J164&lt;J163),FALSE)+IF(ISNUMBER('参数'!$G$36),K164&gt;='参数'!$G$36,FALSE)+IF(AND(ISNUMBER('参数'!$I$36),ISNUMBER(S164)),S164&lt;'参数'!$I$36,FALSE)+IF(AND(ISNUMBER(R164),ISNUMBER(R163)),R164&lt;R163,FALSE)),"")</f>
        <v/>
      </c>
      <c r="Z164" s="41" t="str">
        <f>IF(NOT(AND(ISNUMBER(J164),ISNUMBER(K164))),"",IF(COUNT(T164:Y164)=0,"先填阈值",IF(MAX(AD164:AI164)=0,"不写",INDEX($T$4:$Y$4,MATCH(MAX(AD164:AI164),AD164:AI164,0))&amp;"·"&amp;IF(MAX(AD164:AI164)&gt;=200,"高","中")&amp;IF(LARGE(AD164:AI164,2)&gt;0,"（也像"&amp;INDEX($T$4:$Y$4,MATCH(LARGE(AD164:AI164,2),AD164:AI164,0))&amp;"·"&amp;IF(LARGE(AD164:AI164,2)&gt;=200,"高","中")&amp;"）",""))))</f>
        <v/>
      </c>
      <c r="AA164" s="27" t="n"/>
      <c r="AB164" s="32" t="n"/>
      <c r="AC164" s="16" t="n"/>
      <c r="AD164" s="40">
        <f>IF(N(T164)&gt;=3,IF(T164=4,2,1)*100+T164*10+6,0)</f>
        <v>0</v>
      </c>
      <c r="AE164" s="40">
        <f>IF(N(U164)&gt;=3,1*100+U164*10+1,0)</f>
        <v>0</v>
      </c>
      <c r="AF164" s="40">
        <f>IF(N(V164)&gt;=3,IF(V164=4,2,1)*100+V164*10+2,0)</f>
        <v>0</v>
      </c>
      <c r="AG164" s="40">
        <f>IF(N(W164)&gt;=3,1*100+W164*10+3,0)</f>
        <v>0</v>
      </c>
      <c r="AH164" s="40">
        <f>IF(N(X164)&gt;=3,1*100+X164*10+4,0)</f>
        <v>0</v>
      </c>
      <c r="AI164" s="40">
        <f>IF(N(Y164)&gt;=3,IF(AND(N(T164)&gt;=3,OR(N(T164)=4,N(Y164)&lt;=N(T164))),0,IF(Y164=4,2,1)*100+Y164*10+5),0)</f>
        <v>0</v>
      </c>
    </row>
    <row r="165">
      <c r="A165" s="31" t="n"/>
      <c r="B165" s="36" t="str">
        <f>IF(ISNUMBER(A165),"周"&amp;CHOOSE(WEEKDAY(A165,2),"一","二","三","四","五","六","日"),"")</f>
        <v/>
      </c>
      <c r="C165" s="37" t="n"/>
      <c r="D165" s="37" t="n"/>
      <c r="E165" s="37" t="n"/>
      <c r="F165" s="17" t="n"/>
      <c r="G165" s="38" t="str">
        <f>IF(AND(ISNUMBER(F165),ISNUMBER(F164)),IF(F164=0,"",F165/F164-1),"")</f>
        <v/>
      </c>
      <c r="H165" s="17" t="n"/>
      <c r="I165" s="17" t="n"/>
      <c r="J165" s="17" t="n"/>
      <c r="K165" s="17" t="n"/>
      <c r="L165" s="17" t="n"/>
      <c r="M165" s="17" t="n"/>
      <c r="N165" s="39" t="str">
        <f>IF(AND(ISNUMBER(L165),ISNUMBER(M165),N(L165)&gt;0),M165/L165,"")</f>
        <v/>
      </c>
      <c r="O165" s="17" t="n"/>
      <c r="P165" s="17" t="n"/>
      <c r="Q165" s="39" t="str">
        <f>IF(AND(ISNUMBER(O165),ISNUMBER(P165),N(O165)&gt;0),P165/O165,"")</f>
        <v/>
      </c>
      <c r="R165" s="17" t="n"/>
      <c r="S165" s="37" t="n"/>
      <c r="T165" s="40" t="str">
        <f>IF(AND(ISNUMBER(J165),ISNUMBER(K165)),IF(N(ISNUMBER('参数'!$E$31))+N(ISNUMBER('参数'!$G$31))+N(ISNUMBER('参数'!$I$31))+N(ISNUMBER('参数'!$K$31))=0,"",IF(ISNUMBER('参数'!$E$31),J165&lt;='参数'!$E$31,FALSE)+IF(ISNUMBER('参数'!$G$31),K165&gt;='参数'!$G$31,FALSE)+IF(AND(ISNUMBER('参数'!$I$31),ISNUMBER(N165)),N165&gt;='参数'!$I$31,FALSE)+IF(AND(ISNUMBER('参数'!$K$31),ISNUMBER(Q165)),Q165&lt;='参数'!$K$31,FALSE)),"")</f>
        <v/>
      </c>
      <c r="U165" s="40" t="str">
        <f>IF(AND(ISNUMBER(J165),ISNUMBER(K165)),IF(N(ISNUMBER('参数'!$G$32))+N(ISNUMBER('参数'!$I$32))+N(ISNUMBER('参数'!$K$32))=0,"",IF(AND(ISNUMBER(J164),ISNUMBER(J163)),AND(J165&gt;J164,J164&gt;J163),FALSE)+IF(ISNUMBER('参数'!$G$32),J165&lt;'参数'!$G$32,FALSE)+IF(AND(ISNUMBER('参数'!$I$32),ISNUMBER(Q165)),Q165&gt;='参数'!$I$32,FALSE)+IF(AND(ISNUMBER('参数'!$K$32),ISNUMBER(S165)),S165&gt;='参数'!$K$32,FALSE)),"")</f>
        <v/>
      </c>
      <c r="V165" s="40" t="str">
        <f>IF(AND(ISNUMBER(J165),ISNUMBER(K165)),IF(N(ISNUMBER('参数'!$E$33))+N(ISNUMBER('参数'!$G$33))+N(ISNUMBER('参数'!$I$33))+N(ISNUMBER('参数'!$K$33))=0,"",IF(AND(ISNUMBER('参数'!$E$33),ISNUMBER(J164)),AND(J165&gt;='参数'!$E$33,J165&gt;J164),FALSE)+IF(AND(ISNUMBER('参数'!$G$33),ISNUMBER(N165)),N165&lt;='参数'!$G$33,FALSE)+IF(AND(ISNUMBER('参数'!$I$33),ISNUMBER(Q165)),Q165&gt;='参数'!$I$33,FALSE)+IF(AND(ISNUMBER('参数'!$K$33),ISNUMBER(S165)),S165&gt;='参数'!$K$33,FALSE)),"")</f>
        <v/>
      </c>
      <c r="W165" s="40" t="str">
        <f>IF(AND(ISNUMBER(J165),ISNUMBER(K165)),IF(N(ISNUMBER('参数'!$E$34))+N(ISNUMBER('参数'!$G$34))+N(ISNUMBER('参数'!$I$34))+N(ISNUMBER('参数'!$K$34))=0,"",IF(ISNUMBER('参数'!$E$34),J165&gt;='参数'!$E$34,FALSE)+IF(AND(ISNUMBER('参数'!$G$34),ISNUMBER(N165)),N165&lt;='参数'!$G$34,FALSE)+IF(AND(ISNUMBER('参数'!$I$34),ISNUMBER(S165)),S165&gt;='参数'!$I$34,FALSE)+IF(AND(ISNUMBER('参数'!$K$34),ISNUMBER(R165)),R165&gt;='参数'!$K$34,FALSE)),"")</f>
        <v/>
      </c>
      <c r="X165" s="40" t="str">
        <f>IF(AND(ISNUMBER(J165),ISNUMBER(K165)),IF(N(ISNUMBER('参数'!$E$35))+N(ISNUMBER('参数'!$G$35))+N(ISNUMBER('参数'!$I$35))=0,"",IF(AND(ISNUMBER('参数'!$E$35),ISNUMBER(N165),ISNUMBER(N164)),ROUND(N165-N164,6)&gt;='参数'!$E$35,FALSE)+IF(AND(ISNUMBER('参数'!$G$35),ISNUMBER(Q165),ISNUMBER(Q164)),ROUND(Q164-Q165,6)&gt;='参数'!$G$35,FALSE)+IF(AND(ISNUMBER('参数'!$I$35),ISNUMBER(S165),ISNUMBER(S164)),ROUND(S164-S165,6)&gt;='参数'!$I$35,FALSE)+IF(ISNUMBER(J164),J165&lt;J164,FALSE)),"")</f>
        <v/>
      </c>
      <c r="Y165" s="40" t="str">
        <f>IF(AND(ISNUMBER(J165),ISNUMBER(K165)),IF(N(ISNUMBER('参数'!$E$36))+N(ISNUMBER('参数'!$G$36))+N(ISNUMBER('参数'!$I$36))=0,"",IF(AND(ISNUMBER('参数'!$E$36),ISNUMBER(J164)),AND(J165&lt;='参数'!$E$36,J165&lt;J164),FALSE)+IF(ISNUMBER('参数'!$G$36),K165&gt;='参数'!$G$36,FALSE)+IF(AND(ISNUMBER('参数'!$I$36),ISNUMBER(S165)),S165&lt;'参数'!$I$36,FALSE)+IF(AND(ISNUMBER(R165),ISNUMBER(R164)),R165&lt;R164,FALSE)),"")</f>
        <v/>
      </c>
      <c r="Z165" s="41" t="str">
        <f>IF(NOT(AND(ISNUMBER(J165),ISNUMBER(K165))),"",IF(COUNT(T165:Y165)=0,"先填阈值",IF(MAX(AD165:AI165)=0,"不写",INDEX($T$4:$Y$4,MATCH(MAX(AD165:AI165),AD165:AI165,0))&amp;"·"&amp;IF(MAX(AD165:AI165)&gt;=200,"高","中")&amp;IF(LARGE(AD165:AI165,2)&gt;0,"（也像"&amp;INDEX($T$4:$Y$4,MATCH(LARGE(AD165:AI165,2),AD165:AI165,0))&amp;"·"&amp;IF(LARGE(AD165:AI165,2)&gt;=200,"高","中")&amp;"）",""))))</f>
        <v/>
      </c>
      <c r="AA165" s="27" t="n"/>
      <c r="AB165" s="32" t="n"/>
      <c r="AC165" s="16" t="n"/>
      <c r="AD165" s="40">
        <f>IF(N(T165)&gt;=3,IF(T165=4,2,1)*100+T165*10+6,0)</f>
        <v>0</v>
      </c>
      <c r="AE165" s="40">
        <f>IF(N(U165)&gt;=3,1*100+U165*10+1,0)</f>
        <v>0</v>
      </c>
      <c r="AF165" s="40">
        <f>IF(N(V165)&gt;=3,IF(V165=4,2,1)*100+V165*10+2,0)</f>
        <v>0</v>
      </c>
      <c r="AG165" s="40">
        <f>IF(N(W165)&gt;=3,1*100+W165*10+3,0)</f>
        <v>0</v>
      </c>
      <c r="AH165" s="40">
        <f>IF(N(X165)&gt;=3,1*100+X165*10+4,0)</f>
        <v>0</v>
      </c>
      <c r="AI165" s="40">
        <f>IF(N(Y165)&gt;=3,IF(AND(N(T165)&gt;=3,OR(N(T165)=4,N(Y165)&lt;=N(T165))),0,IF(Y165=4,2,1)*100+Y165*10+5),0)</f>
        <v>0</v>
      </c>
    </row>
    <row r="166">
      <c r="A166" s="31" t="n"/>
      <c r="B166" s="36" t="str">
        <f>IF(ISNUMBER(A166),"周"&amp;CHOOSE(WEEKDAY(A166,2),"一","二","三","四","五","六","日"),"")</f>
        <v/>
      </c>
      <c r="C166" s="37" t="n"/>
      <c r="D166" s="37" t="n"/>
      <c r="E166" s="37" t="n"/>
      <c r="F166" s="17" t="n"/>
      <c r="G166" s="38" t="str">
        <f>IF(AND(ISNUMBER(F166),ISNUMBER(F165)),IF(F165=0,"",F166/F165-1),"")</f>
        <v/>
      </c>
      <c r="H166" s="17" t="n"/>
      <c r="I166" s="17" t="n"/>
      <c r="J166" s="17" t="n"/>
      <c r="K166" s="17" t="n"/>
      <c r="L166" s="17" t="n"/>
      <c r="M166" s="17" t="n"/>
      <c r="N166" s="39" t="str">
        <f>IF(AND(ISNUMBER(L166),ISNUMBER(M166),N(L166)&gt;0),M166/L166,"")</f>
        <v/>
      </c>
      <c r="O166" s="17" t="n"/>
      <c r="P166" s="17" t="n"/>
      <c r="Q166" s="39" t="str">
        <f>IF(AND(ISNUMBER(O166),ISNUMBER(P166),N(O166)&gt;0),P166/O166,"")</f>
        <v/>
      </c>
      <c r="R166" s="17" t="n"/>
      <c r="S166" s="37" t="n"/>
      <c r="T166" s="40" t="str">
        <f>IF(AND(ISNUMBER(J166),ISNUMBER(K166)),IF(N(ISNUMBER('参数'!$E$31))+N(ISNUMBER('参数'!$G$31))+N(ISNUMBER('参数'!$I$31))+N(ISNUMBER('参数'!$K$31))=0,"",IF(ISNUMBER('参数'!$E$31),J166&lt;='参数'!$E$31,FALSE)+IF(ISNUMBER('参数'!$G$31),K166&gt;='参数'!$G$31,FALSE)+IF(AND(ISNUMBER('参数'!$I$31),ISNUMBER(N166)),N166&gt;='参数'!$I$31,FALSE)+IF(AND(ISNUMBER('参数'!$K$31),ISNUMBER(Q166)),Q166&lt;='参数'!$K$31,FALSE)),"")</f>
        <v/>
      </c>
      <c r="U166" s="40" t="str">
        <f>IF(AND(ISNUMBER(J166),ISNUMBER(K166)),IF(N(ISNUMBER('参数'!$G$32))+N(ISNUMBER('参数'!$I$32))+N(ISNUMBER('参数'!$K$32))=0,"",IF(AND(ISNUMBER(J165),ISNUMBER(J164)),AND(J166&gt;J165,J165&gt;J164),FALSE)+IF(ISNUMBER('参数'!$G$32),J166&lt;'参数'!$G$32,FALSE)+IF(AND(ISNUMBER('参数'!$I$32),ISNUMBER(Q166)),Q166&gt;='参数'!$I$32,FALSE)+IF(AND(ISNUMBER('参数'!$K$32),ISNUMBER(S166)),S166&gt;='参数'!$K$32,FALSE)),"")</f>
        <v/>
      </c>
      <c r="V166" s="40" t="str">
        <f>IF(AND(ISNUMBER(J166),ISNUMBER(K166)),IF(N(ISNUMBER('参数'!$E$33))+N(ISNUMBER('参数'!$G$33))+N(ISNUMBER('参数'!$I$33))+N(ISNUMBER('参数'!$K$33))=0,"",IF(AND(ISNUMBER('参数'!$E$33),ISNUMBER(J165)),AND(J166&gt;='参数'!$E$33,J166&gt;J165),FALSE)+IF(AND(ISNUMBER('参数'!$G$33),ISNUMBER(N166)),N166&lt;='参数'!$G$33,FALSE)+IF(AND(ISNUMBER('参数'!$I$33),ISNUMBER(Q166)),Q166&gt;='参数'!$I$33,FALSE)+IF(AND(ISNUMBER('参数'!$K$33),ISNUMBER(S166)),S166&gt;='参数'!$K$33,FALSE)),"")</f>
        <v/>
      </c>
      <c r="W166" s="40" t="str">
        <f>IF(AND(ISNUMBER(J166),ISNUMBER(K166)),IF(N(ISNUMBER('参数'!$E$34))+N(ISNUMBER('参数'!$G$34))+N(ISNUMBER('参数'!$I$34))+N(ISNUMBER('参数'!$K$34))=0,"",IF(ISNUMBER('参数'!$E$34),J166&gt;='参数'!$E$34,FALSE)+IF(AND(ISNUMBER('参数'!$G$34),ISNUMBER(N166)),N166&lt;='参数'!$G$34,FALSE)+IF(AND(ISNUMBER('参数'!$I$34),ISNUMBER(S166)),S166&gt;='参数'!$I$34,FALSE)+IF(AND(ISNUMBER('参数'!$K$34),ISNUMBER(R166)),R166&gt;='参数'!$K$34,FALSE)),"")</f>
        <v/>
      </c>
      <c r="X166" s="40" t="str">
        <f>IF(AND(ISNUMBER(J166),ISNUMBER(K166)),IF(N(ISNUMBER('参数'!$E$35))+N(ISNUMBER('参数'!$G$35))+N(ISNUMBER('参数'!$I$35))=0,"",IF(AND(ISNUMBER('参数'!$E$35),ISNUMBER(N166),ISNUMBER(N165)),ROUND(N166-N165,6)&gt;='参数'!$E$35,FALSE)+IF(AND(ISNUMBER('参数'!$G$35),ISNUMBER(Q166),ISNUMBER(Q165)),ROUND(Q165-Q166,6)&gt;='参数'!$G$35,FALSE)+IF(AND(ISNUMBER('参数'!$I$35),ISNUMBER(S166),ISNUMBER(S165)),ROUND(S165-S166,6)&gt;='参数'!$I$35,FALSE)+IF(ISNUMBER(J165),J166&lt;J165,FALSE)),"")</f>
        <v/>
      </c>
      <c r="Y166" s="40" t="str">
        <f>IF(AND(ISNUMBER(J166),ISNUMBER(K166)),IF(N(ISNUMBER('参数'!$E$36))+N(ISNUMBER('参数'!$G$36))+N(ISNUMBER('参数'!$I$36))=0,"",IF(AND(ISNUMBER('参数'!$E$36),ISNUMBER(J165)),AND(J166&lt;='参数'!$E$36,J166&lt;J165),FALSE)+IF(ISNUMBER('参数'!$G$36),K166&gt;='参数'!$G$36,FALSE)+IF(AND(ISNUMBER('参数'!$I$36),ISNUMBER(S166)),S166&lt;'参数'!$I$36,FALSE)+IF(AND(ISNUMBER(R166),ISNUMBER(R165)),R166&lt;R165,FALSE)),"")</f>
        <v/>
      </c>
      <c r="Z166" s="41" t="str">
        <f>IF(NOT(AND(ISNUMBER(J166),ISNUMBER(K166))),"",IF(COUNT(T166:Y166)=0,"先填阈值",IF(MAX(AD166:AI166)=0,"不写",INDEX($T$4:$Y$4,MATCH(MAX(AD166:AI166),AD166:AI166,0))&amp;"·"&amp;IF(MAX(AD166:AI166)&gt;=200,"高","中")&amp;IF(LARGE(AD166:AI166,2)&gt;0,"（也像"&amp;INDEX($T$4:$Y$4,MATCH(LARGE(AD166:AI166,2),AD166:AI166,0))&amp;"·"&amp;IF(LARGE(AD166:AI166,2)&gt;=200,"高","中")&amp;"）",""))))</f>
        <v/>
      </c>
      <c r="AA166" s="27" t="n"/>
      <c r="AB166" s="32" t="n"/>
      <c r="AC166" s="16" t="n"/>
      <c r="AD166" s="40">
        <f>IF(N(T166)&gt;=3,IF(T166=4,2,1)*100+T166*10+6,0)</f>
        <v>0</v>
      </c>
      <c r="AE166" s="40">
        <f>IF(N(U166)&gt;=3,1*100+U166*10+1,0)</f>
        <v>0</v>
      </c>
      <c r="AF166" s="40">
        <f>IF(N(V166)&gt;=3,IF(V166=4,2,1)*100+V166*10+2,0)</f>
        <v>0</v>
      </c>
      <c r="AG166" s="40">
        <f>IF(N(W166)&gt;=3,1*100+W166*10+3,0)</f>
        <v>0</v>
      </c>
      <c r="AH166" s="40">
        <f>IF(N(X166)&gt;=3,1*100+X166*10+4,0)</f>
        <v>0</v>
      </c>
      <c r="AI166" s="40">
        <f>IF(N(Y166)&gt;=3,IF(AND(N(T166)&gt;=3,OR(N(T166)=4,N(Y166)&lt;=N(T166))),0,IF(Y166=4,2,1)*100+Y166*10+5),0)</f>
        <v>0</v>
      </c>
    </row>
    <row r="167">
      <c r="A167" s="31" t="n"/>
      <c r="B167" s="36" t="str">
        <f>IF(ISNUMBER(A167),"周"&amp;CHOOSE(WEEKDAY(A167,2),"一","二","三","四","五","六","日"),"")</f>
        <v/>
      </c>
      <c r="C167" s="37" t="n"/>
      <c r="D167" s="37" t="n"/>
      <c r="E167" s="37" t="n"/>
      <c r="F167" s="17" t="n"/>
      <c r="G167" s="38" t="str">
        <f>IF(AND(ISNUMBER(F167),ISNUMBER(F166)),IF(F166=0,"",F167/F166-1),"")</f>
        <v/>
      </c>
      <c r="H167" s="17" t="n"/>
      <c r="I167" s="17" t="n"/>
      <c r="J167" s="17" t="n"/>
      <c r="K167" s="17" t="n"/>
      <c r="L167" s="17" t="n"/>
      <c r="M167" s="17" t="n"/>
      <c r="N167" s="39" t="str">
        <f>IF(AND(ISNUMBER(L167),ISNUMBER(M167),N(L167)&gt;0),M167/L167,"")</f>
        <v/>
      </c>
      <c r="O167" s="17" t="n"/>
      <c r="P167" s="17" t="n"/>
      <c r="Q167" s="39" t="str">
        <f>IF(AND(ISNUMBER(O167),ISNUMBER(P167),N(O167)&gt;0),P167/O167,"")</f>
        <v/>
      </c>
      <c r="R167" s="17" t="n"/>
      <c r="S167" s="37" t="n"/>
      <c r="T167" s="40" t="str">
        <f>IF(AND(ISNUMBER(J167),ISNUMBER(K167)),IF(N(ISNUMBER('参数'!$E$31))+N(ISNUMBER('参数'!$G$31))+N(ISNUMBER('参数'!$I$31))+N(ISNUMBER('参数'!$K$31))=0,"",IF(ISNUMBER('参数'!$E$31),J167&lt;='参数'!$E$31,FALSE)+IF(ISNUMBER('参数'!$G$31),K167&gt;='参数'!$G$31,FALSE)+IF(AND(ISNUMBER('参数'!$I$31),ISNUMBER(N167)),N167&gt;='参数'!$I$31,FALSE)+IF(AND(ISNUMBER('参数'!$K$31),ISNUMBER(Q167)),Q167&lt;='参数'!$K$31,FALSE)),"")</f>
        <v/>
      </c>
      <c r="U167" s="40" t="str">
        <f>IF(AND(ISNUMBER(J167),ISNUMBER(K167)),IF(N(ISNUMBER('参数'!$G$32))+N(ISNUMBER('参数'!$I$32))+N(ISNUMBER('参数'!$K$32))=0,"",IF(AND(ISNUMBER(J166),ISNUMBER(J165)),AND(J167&gt;J166,J166&gt;J165),FALSE)+IF(ISNUMBER('参数'!$G$32),J167&lt;'参数'!$G$32,FALSE)+IF(AND(ISNUMBER('参数'!$I$32),ISNUMBER(Q167)),Q167&gt;='参数'!$I$32,FALSE)+IF(AND(ISNUMBER('参数'!$K$32),ISNUMBER(S167)),S167&gt;='参数'!$K$32,FALSE)),"")</f>
        <v/>
      </c>
      <c r="V167" s="40" t="str">
        <f>IF(AND(ISNUMBER(J167),ISNUMBER(K167)),IF(N(ISNUMBER('参数'!$E$33))+N(ISNUMBER('参数'!$G$33))+N(ISNUMBER('参数'!$I$33))+N(ISNUMBER('参数'!$K$33))=0,"",IF(AND(ISNUMBER('参数'!$E$33),ISNUMBER(J166)),AND(J167&gt;='参数'!$E$33,J167&gt;J166),FALSE)+IF(AND(ISNUMBER('参数'!$G$33),ISNUMBER(N167)),N167&lt;='参数'!$G$33,FALSE)+IF(AND(ISNUMBER('参数'!$I$33),ISNUMBER(Q167)),Q167&gt;='参数'!$I$33,FALSE)+IF(AND(ISNUMBER('参数'!$K$33),ISNUMBER(S167)),S167&gt;='参数'!$K$33,FALSE)),"")</f>
        <v/>
      </c>
      <c r="W167" s="40" t="str">
        <f>IF(AND(ISNUMBER(J167),ISNUMBER(K167)),IF(N(ISNUMBER('参数'!$E$34))+N(ISNUMBER('参数'!$G$34))+N(ISNUMBER('参数'!$I$34))+N(ISNUMBER('参数'!$K$34))=0,"",IF(ISNUMBER('参数'!$E$34),J167&gt;='参数'!$E$34,FALSE)+IF(AND(ISNUMBER('参数'!$G$34),ISNUMBER(N167)),N167&lt;='参数'!$G$34,FALSE)+IF(AND(ISNUMBER('参数'!$I$34),ISNUMBER(S167)),S167&gt;='参数'!$I$34,FALSE)+IF(AND(ISNUMBER('参数'!$K$34),ISNUMBER(R167)),R167&gt;='参数'!$K$34,FALSE)),"")</f>
        <v/>
      </c>
      <c r="X167" s="40" t="str">
        <f>IF(AND(ISNUMBER(J167),ISNUMBER(K167)),IF(N(ISNUMBER('参数'!$E$35))+N(ISNUMBER('参数'!$G$35))+N(ISNUMBER('参数'!$I$35))=0,"",IF(AND(ISNUMBER('参数'!$E$35),ISNUMBER(N167),ISNUMBER(N166)),ROUND(N167-N166,6)&gt;='参数'!$E$35,FALSE)+IF(AND(ISNUMBER('参数'!$G$35),ISNUMBER(Q167),ISNUMBER(Q166)),ROUND(Q166-Q167,6)&gt;='参数'!$G$35,FALSE)+IF(AND(ISNUMBER('参数'!$I$35),ISNUMBER(S167),ISNUMBER(S166)),ROUND(S166-S167,6)&gt;='参数'!$I$35,FALSE)+IF(ISNUMBER(J166),J167&lt;J166,FALSE)),"")</f>
        <v/>
      </c>
      <c r="Y167" s="40" t="str">
        <f>IF(AND(ISNUMBER(J167),ISNUMBER(K167)),IF(N(ISNUMBER('参数'!$E$36))+N(ISNUMBER('参数'!$G$36))+N(ISNUMBER('参数'!$I$36))=0,"",IF(AND(ISNUMBER('参数'!$E$36),ISNUMBER(J166)),AND(J167&lt;='参数'!$E$36,J167&lt;J166),FALSE)+IF(ISNUMBER('参数'!$G$36),K167&gt;='参数'!$G$36,FALSE)+IF(AND(ISNUMBER('参数'!$I$36),ISNUMBER(S167)),S167&lt;'参数'!$I$36,FALSE)+IF(AND(ISNUMBER(R167),ISNUMBER(R166)),R167&lt;R166,FALSE)),"")</f>
        <v/>
      </c>
      <c r="Z167" s="41" t="str">
        <f>IF(NOT(AND(ISNUMBER(J167),ISNUMBER(K167))),"",IF(COUNT(T167:Y167)=0,"先填阈值",IF(MAX(AD167:AI167)=0,"不写",INDEX($T$4:$Y$4,MATCH(MAX(AD167:AI167),AD167:AI167,0))&amp;"·"&amp;IF(MAX(AD167:AI167)&gt;=200,"高","中")&amp;IF(LARGE(AD167:AI167,2)&gt;0,"（也像"&amp;INDEX($T$4:$Y$4,MATCH(LARGE(AD167:AI167,2),AD167:AI167,0))&amp;"·"&amp;IF(LARGE(AD167:AI167,2)&gt;=200,"高","中")&amp;"）",""))))</f>
        <v/>
      </c>
      <c r="AA167" s="27" t="n"/>
      <c r="AB167" s="32" t="n"/>
      <c r="AC167" s="16" t="n"/>
      <c r="AD167" s="40">
        <f>IF(N(T167)&gt;=3,IF(T167=4,2,1)*100+T167*10+6,0)</f>
        <v>0</v>
      </c>
      <c r="AE167" s="40">
        <f>IF(N(U167)&gt;=3,1*100+U167*10+1,0)</f>
        <v>0</v>
      </c>
      <c r="AF167" s="40">
        <f>IF(N(V167)&gt;=3,IF(V167=4,2,1)*100+V167*10+2,0)</f>
        <v>0</v>
      </c>
      <c r="AG167" s="40">
        <f>IF(N(W167)&gt;=3,1*100+W167*10+3,0)</f>
        <v>0</v>
      </c>
      <c r="AH167" s="40">
        <f>IF(N(X167)&gt;=3,1*100+X167*10+4,0)</f>
        <v>0</v>
      </c>
      <c r="AI167" s="40">
        <f>IF(N(Y167)&gt;=3,IF(AND(N(T167)&gt;=3,OR(N(T167)=4,N(Y167)&lt;=N(T167))),0,IF(Y167=4,2,1)*100+Y167*10+5),0)</f>
        <v>0</v>
      </c>
    </row>
    <row r="168">
      <c r="A168" s="31" t="n"/>
      <c r="B168" s="36" t="str">
        <f>IF(ISNUMBER(A168),"周"&amp;CHOOSE(WEEKDAY(A168,2),"一","二","三","四","五","六","日"),"")</f>
        <v/>
      </c>
      <c r="C168" s="37" t="n"/>
      <c r="D168" s="37" t="n"/>
      <c r="E168" s="37" t="n"/>
      <c r="F168" s="17" t="n"/>
      <c r="G168" s="38" t="str">
        <f>IF(AND(ISNUMBER(F168),ISNUMBER(F167)),IF(F167=0,"",F168/F167-1),"")</f>
        <v/>
      </c>
      <c r="H168" s="17" t="n"/>
      <c r="I168" s="17" t="n"/>
      <c r="J168" s="17" t="n"/>
      <c r="K168" s="17" t="n"/>
      <c r="L168" s="17" t="n"/>
      <c r="M168" s="17" t="n"/>
      <c r="N168" s="39" t="str">
        <f>IF(AND(ISNUMBER(L168),ISNUMBER(M168),N(L168)&gt;0),M168/L168,"")</f>
        <v/>
      </c>
      <c r="O168" s="17" t="n"/>
      <c r="P168" s="17" t="n"/>
      <c r="Q168" s="39" t="str">
        <f>IF(AND(ISNUMBER(O168),ISNUMBER(P168),N(O168)&gt;0),P168/O168,"")</f>
        <v/>
      </c>
      <c r="R168" s="17" t="n"/>
      <c r="S168" s="37" t="n"/>
      <c r="T168" s="40" t="str">
        <f>IF(AND(ISNUMBER(J168),ISNUMBER(K168)),IF(N(ISNUMBER('参数'!$E$31))+N(ISNUMBER('参数'!$G$31))+N(ISNUMBER('参数'!$I$31))+N(ISNUMBER('参数'!$K$31))=0,"",IF(ISNUMBER('参数'!$E$31),J168&lt;='参数'!$E$31,FALSE)+IF(ISNUMBER('参数'!$G$31),K168&gt;='参数'!$G$31,FALSE)+IF(AND(ISNUMBER('参数'!$I$31),ISNUMBER(N168)),N168&gt;='参数'!$I$31,FALSE)+IF(AND(ISNUMBER('参数'!$K$31),ISNUMBER(Q168)),Q168&lt;='参数'!$K$31,FALSE)),"")</f>
        <v/>
      </c>
      <c r="U168" s="40" t="str">
        <f>IF(AND(ISNUMBER(J168),ISNUMBER(K168)),IF(N(ISNUMBER('参数'!$G$32))+N(ISNUMBER('参数'!$I$32))+N(ISNUMBER('参数'!$K$32))=0,"",IF(AND(ISNUMBER(J167),ISNUMBER(J166)),AND(J168&gt;J167,J167&gt;J166),FALSE)+IF(ISNUMBER('参数'!$G$32),J168&lt;'参数'!$G$32,FALSE)+IF(AND(ISNUMBER('参数'!$I$32),ISNUMBER(Q168)),Q168&gt;='参数'!$I$32,FALSE)+IF(AND(ISNUMBER('参数'!$K$32),ISNUMBER(S168)),S168&gt;='参数'!$K$32,FALSE)),"")</f>
        <v/>
      </c>
      <c r="V168" s="40" t="str">
        <f>IF(AND(ISNUMBER(J168),ISNUMBER(K168)),IF(N(ISNUMBER('参数'!$E$33))+N(ISNUMBER('参数'!$G$33))+N(ISNUMBER('参数'!$I$33))+N(ISNUMBER('参数'!$K$33))=0,"",IF(AND(ISNUMBER('参数'!$E$33),ISNUMBER(J167)),AND(J168&gt;='参数'!$E$33,J168&gt;J167),FALSE)+IF(AND(ISNUMBER('参数'!$G$33),ISNUMBER(N168)),N168&lt;='参数'!$G$33,FALSE)+IF(AND(ISNUMBER('参数'!$I$33),ISNUMBER(Q168)),Q168&gt;='参数'!$I$33,FALSE)+IF(AND(ISNUMBER('参数'!$K$33),ISNUMBER(S168)),S168&gt;='参数'!$K$33,FALSE)),"")</f>
        <v/>
      </c>
      <c r="W168" s="40" t="str">
        <f>IF(AND(ISNUMBER(J168),ISNUMBER(K168)),IF(N(ISNUMBER('参数'!$E$34))+N(ISNUMBER('参数'!$G$34))+N(ISNUMBER('参数'!$I$34))+N(ISNUMBER('参数'!$K$34))=0,"",IF(ISNUMBER('参数'!$E$34),J168&gt;='参数'!$E$34,FALSE)+IF(AND(ISNUMBER('参数'!$G$34),ISNUMBER(N168)),N168&lt;='参数'!$G$34,FALSE)+IF(AND(ISNUMBER('参数'!$I$34),ISNUMBER(S168)),S168&gt;='参数'!$I$34,FALSE)+IF(AND(ISNUMBER('参数'!$K$34),ISNUMBER(R168)),R168&gt;='参数'!$K$34,FALSE)),"")</f>
        <v/>
      </c>
      <c r="X168" s="40" t="str">
        <f>IF(AND(ISNUMBER(J168),ISNUMBER(K168)),IF(N(ISNUMBER('参数'!$E$35))+N(ISNUMBER('参数'!$G$35))+N(ISNUMBER('参数'!$I$35))=0,"",IF(AND(ISNUMBER('参数'!$E$35),ISNUMBER(N168),ISNUMBER(N167)),ROUND(N168-N167,6)&gt;='参数'!$E$35,FALSE)+IF(AND(ISNUMBER('参数'!$G$35),ISNUMBER(Q168),ISNUMBER(Q167)),ROUND(Q167-Q168,6)&gt;='参数'!$G$35,FALSE)+IF(AND(ISNUMBER('参数'!$I$35),ISNUMBER(S168),ISNUMBER(S167)),ROUND(S167-S168,6)&gt;='参数'!$I$35,FALSE)+IF(ISNUMBER(J167),J168&lt;J167,FALSE)),"")</f>
        <v/>
      </c>
      <c r="Y168" s="40" t="str">
        <f>IF(AND(ISNUMBER(J168),ISNUMBER(K168)),IF(N(ISNUMBER('参数'!$E$36))+N(ISNUMBER('参数'!$G$36))+N(ISNUMBER('参数'!$I$36))=0,"",IF(AND(ISNUMBER('参数'!$E$36),ISNUMBER(J167)),AND(J168&lt;='参数'!$E$36,J168&lt;J167),FALSE)+IF(ISNUMBER('参数'!$G$36),K168&gt;='参数'!$G$36,FALSE)+IF(AND(ISNUMBER('参数'!$I$36),ISNUMBER(S168)),S168&lt;'参数'!$I$36,FALSE)+IF(AND(ISNUMBER(R168),ISNUMBER(R167)),R168&lt;R167,FALSE)),"")</f>
        <v/>
      </c>
      <c r="Z168" s="41" t="str">
        <f>IF(NOT(AND(ISNUMBER(J168),ISNUMBER(K168))),"",IF(COUNT(T168:Y168)=0,"先填阈值",IF(MAX(AD168:AI168)=0,"不写",INDEX($T$4:$Y$4,MATCH(MAX(AD168:AI168),AD168:AI168,0))&amp;"·"&amp;IF(MAX(AD168:AI168)&gt;=200,"高","中")&amp;IF(LARGE(AD168:AI168,2)&gt;0,"（也像"&amp;INDEX($T$4:$Y$4,MATCH(LARGE(AD168:AI168,2),AD168:AI168,0))&amp;"·"&amp;IF(LARGE(AD168:AI168,2)&gt;=200,"高","中")&amp;"）",""))))</f>
        <v/>
      </c>
      <c r="AA168" s="27" t="n"/>
      <c r="AB168" s="32" t="n"/>
      <c r="AC168" s="16" t="n"/>
      <c r="AD168" s="40">
        <f>IF(N(T168)&gt;=3,IF(T168=4,2,1)*100+T168*10+6,0)</f>
        <v>0</v>
      </c>
      <c r="AE168" s="40">
        <f>IF(N(U168)&gt;=3,1*100+U168*10+1,0)</f>
        <v>0</v>
      </c>
      <c r="AF168" s="40">
        <f>IF(N(V168)&gt;=3,IF(V168=4,2,1)*100+V168*10+2,0)</f>
        <v>0</v>
      </c>
      <c r="AG168" s="40">
        <f>IF(N(W168)&gt;=3,1*100+W168*10+3,0)</f>
        <v>0</v>
      </c>
      <c r="AH168" s="40">
        <f>IF(N(X168)&gt;=3,1*100+X168*10+4,0)</f>
        <v>0</v>
      </c>
      <c r="AI168" s="40">
        <f>IF(N(Y168)&gt;=3,IF(AND(N(T168)&gt;=3,OR(N(T168)=4,N(Y168)&lt;=N(T168))),0,IF(Y168=4,2,1)*100+Y168*10+5),0)</f>
        <v>0</v>
      </c>
    </row>
    <row r="169">
      <c r="A169" s="31" t="n"/>
      <c r="B169" s="36" t="str">
        <f>IF(ISNUMBER(A169),"周"&amp;CHOOSE(WEEKDAY(A169,2),"一","二","三","四","五","六","日"),"")</f>
        <v/>
      </c>
      <c r="C169" s="37" t="n"/>
      <c r="D169" s="37" t="n"/>
      <c r="E169" s="37" t="n"/>
      <c r="F169" s="17" t="n"/>
      <c r="G169" s="38" t="str">
        <f>IF(AND(ISNUMBER(F169),ISNUMBER(F168)),IF(F168=0,"",F169/F168-1),"")</f>
        <v/>
      </c>
      <c r="H169" s="17" t="n"/>
      <c r="I169" s="17" t="n"/>
      <c r="J169" s="17" t="n"/>
      <c r="K169" s="17" t="n"/>
      <c r="L169" s="17" t="n"/>
      <c r="M169" s="17" t="n"/>
      <c r="N169" s="39" t="str">
        <f>IF(AND(ISNUMBER(L169),ISNUMBER(M169),N(L169)&gt;0),M169/L169,"")</f>
        <v/>
      </c>
      <c r="O169" s="17" t="n"/>
      <c r="P169" s="17" t="n"/>
      <c r="Q169" s="39" t="str">
        <f>IF(AND(ISNUMBER(O169),ISNUMBER(P169),N(O169)&gt;0),P169/O169,"")</f>
        <v/>
      </c>
      <c r="R169" s="17" t="n"/>
      <c r="S169" s="37" t="n"/>
      <c r="T169" s="40" t="str">
        <f>IF(AND(ISNUMBER(J169),ISNUMBER(K169)),IF(N(ISNUMBER('参数'!$E$31))+N(ISNUMBER('参数'!$G$31))+N(ISNUMBER('参数'!$I$31))+N(ISNUMBER('参数'!$K$31))=0,"",IF(ISNUMBER('参数'!$E$31),J169&lt;='参数'!$E$31,FALSE)+IF(ISNUMBER('参数'!$G$31),K169&gt;='参数'!$G$31,FALSE)+IF(AND(ISNUMBER('参数'!$I$31),ISNUMBER(N169)),N169&gt;='参数'!$I$31,FALSE)+IF(AND(ISNUMBER('参数'!$K$31),ISNUMBER(Q169)),Q169&lt;='参数'!$K$31,FALSE)),"")</f>
        <v/>
      </c>
      <c r="U169" s="40" t="str">
        <f>IF(AND(ISNUMBER(J169),ISNUMBER(K169)),IF(N(ISNUMBER('参数'!$G$32))+N(ISNUMBER('参数'!$I$32))+N(ISNUMBER('参数'!$K$32))=0,"",IF(AND(ISNUMBER(J168),ISNUMBER(J167)),AND(J169&gt;J168,J168&gt;J167),FALSE)+IF(ISNUMBER('参数'!$G$32),J169&lt;'参数'!$G$32,FALSE)+IF(AND(ISNUMBER('参数'!$I$32),ISNUMBER(Q169)),Q169&gt;='参数'!$I$32,FALSE)+IF(AND(ISNUMBER('参数'!$K$32),ISNUMBER(S169)),S169&gt;='参数'!$K$32,FALSE)),"")</f>
        <v/>
      </c>
      <c r="V169" s="40" t="str">
        <f>IF(AND(ISNUMBER(J169),ISNUMBER(K169)),IF(N(ISNUMBER('参数'!$E$33))+N(ISNUMBER('参数'!$G$33))+N(ISNUMBER('参数'!$I$33))+N(ISNUMBER('参数'!$K$33))=0,"",IF(AND(ISNUMBER('参数'!$E$33),ISNUMBER(J168)),AND(J169&gt;='参数'!$E$33,J169&gt;J168),FALSE)+IF(AND(ISNUMBER('参数'!$G$33),ISNUMBER(N169)),N169&lt;='参数'!$G$33,FALSE)+IF(AND(ISNUMBER('参数'!$I$33),ISNUMBER(Q169)),Q169&gt;='参数'!$I$33,FALSE)+IF(AND(ISNUMBER('参数'!$K$33),ISNUMBER(S169)),S169&gt;='参数'!$K$33,FALSE)),"")</f>
        <v/>
      </c>
      <c r="W169" s="40" t="str">
        <f>IF(AND(ISNUMBER(J169),ISNUMBER(K169)),IF(N(ISNUMBER('参数'!$E$34))+N(ISNUMBER('参数'!$G$34))+N(ISNUMBER('参数'!$I$34))+N(ISNUMBER('参数'!$K$34))=0,"",IF(ISNUMBER('参数'!$E$34),J169&gt;='参数'!$E$34,FALSE)+IF(AND(ISNUMBER('参数'!$G$34),ISNUMBER(N169)),N169&lt;='参数'!$G$34,FALSE)+IF(AND(ISNUMBER('参数'!$I$34),ISNUMBER(S169)),S169&gt;='参数'!$I$34,FALSE)+IF(AND(ISNUMBER('参数'!$K$34),ISNUMBER(R169)),R169&gt;='参数'!$K$34,FALSE)),"")</f>
        <v/>
      </c>
      <c r="X169" s="40" t="str">
        <f>IF(AND(ISNUMBER(J169),ISNUMBER(K169)),IF(N(ISNUMBER('参数'!$E$35))+N(ISNUMBER('参数'!$G$35))+N(ISNUMBER('参数'!$I$35))=0,"",IF(AND(ISNUMBER('参数'!$E$35),ISNUMBER(N169),ISNUMBER(N168)),ROUND(N169-N168,6)&gt;='参数'!$E$35,FALSE)+IF(AND(ISNUMBER('参数'!$G$35),ISNUMBER(Q169),ISNUMBER(Q168)),ROUND(Q168-Q169,6)&gt;='参数'!$G$35,FALSE)+IF(AND(ISNUMBER('参数'!$I$35),ISNUMBER(S169),ISNUMBER(S168)),ROUND(S168-S169,6)&gt;='参数'!$I$35,FALSE)+IF(ISNUMBER(J168),J169&lt;J168,FALSE)),"")</f>
        <v/>
      </c>
      <c r="Y169" s="40" t="str">
        <f>IF(AND(ISNUMBER(J169),ISNUMBER(K169)),IF(N(ISNUMBER('参数'!$E$36))+N(ISNUMBER('参数'!$G$36))+N(ISNUMBER('参数'!$I$36))=0,"",IF(AND(ISNUMBER('参数'!$E$36),ISNUMBER(J168)),AND(J169&lt;='参数'!$E$36,J169&lt;J168),FALSE)+IF(ISNUMBER('参数'!$G$36),K169&gt;='参数'!$G$36,FALSE)+IF(AND(ISNUMBER('参数'!$I$36),ISNUMBER(S169)),S169&lt;'参数'!$I$36,FALSE)+IF(AND(ISNUMBER(R169),ISNUMBER(R168)),R169&lt;R168,FALSE)),"")</f>
        <v/>
      </c>
      <c r="Z169" s="41" t="str">
        <f>IF(NOT(AND(ISNUMBER(J169),ISNUMBER(K169))),"",IF(COUNT(T169:Y169)=0,"先填阈值",IF(MAX(AD169:AI169)=0,"不写",INDEX($T$4:$Y$4,MATCH(MAX(AD169:AI169),AD169:AI169,0))&amp;"·"&amp;IF(MAX(AD169:AI169)&gt;=200,"高","中")&amp;IF(LARGE(AD169:AI169,2)&gt;0,"（也像"&amp;INDEX($T$4:$Y$4,MATCH(LARGE(AD169:AI169,2),AD169:AI169,0))&amp;"·"&amp;IF(LARGE(AD169:AI169,2)&gt;=200,"高","中")&amp;"）",""))))</f>
        <v/>
      </c>
      <c r="AA169" s="27" t="n"/>
      <c r="AB169" s="32" t="n"/>
      <c r="AC169" s="16" t="n"/>
      <c r="AD169" s="40">
        <f>IF(N(T169)&gt;=3,IF(T169=4,2,1)*100+T169*10+6,0)</f>
        <v>0</v>
      </c>
      <c r="AE169" s="40">
        <f>IF(N(U169)&gt;=3,1*100+U169*10+1,0)</f>
        <v>0</v>
      </c>
      <c r="AF169" s="40">
        <f>IF(N(V169)&gt;=3,IF(V169=4,2,1)*100+V169*10+2,0)</f>
        <v>0</v>
      </c>
      <c r="AG169" s="40">
        <f>IF(N(W169)&gt;=3,1*100+W169*10+3,0)</f>
        <v>0</v>
      </c>
      <c r="AH169" s="40">
        <f>IF(N(X169)&gt;=3,1*100+X169*10+4,0)</f>
        <v>0</v>
      </c>
      <c r="AI169" s="40">
        <f>IF(N(Y169)&gt;=3,IF(AND(N(T169)&gt;=3,OR(N(T169)=4,N(Y169)&lt;=N(T169))),0,IF(Y169=4,2,1)*100+Y169*10+5),0)</f>
        <v>0</v>
      </c>
    </row>
    <row r="170">
      <c r="A170" s="31" t="n"/>
      <c r="B170" s="36" t="str">
        <f>IF(ISNUMBER(A170),"周"&amp;CHOOSE(WEEKDAY(A170,2),"一","二","三","四","五","六","日"),"")</f>
        <v/>
      </c>
      <c r="C170" s="37" t="n"/>
      <c r="D170" s="37" t="n"/>
      <c r="E170" s="37" t="n"/>
      <c r="F170" s="17" t="n"/>
      <c r="G170" s="38" t="str">
        <f>IF(AND(ISNUMBER(F170),ISNUMBER(F169)),IF(F169=0,"",F170/F169-1),"")</f>
        <v/>
      </c>
      <c r="H170" s="17" t="n"/>
      <c r="I170" s="17" t="n"/>
      <c r="J170" s="17" t="n"/>
      <c r="K170" s="17" t="n"/>
      <c r="L170" s="17" t="n"/>
      <c r="M170" s="17" t="n"/>
      <c r="N170" s="39" t="str">
        <f>IF(AND(ISNUMBER(L170),ISNUMBER(M170),N(L170)&gt;0),M170/L170,"")</f>
        <v/>
      </c>
      <c r="O170" s="17" t="n"/>
      <c r="P170" s="17" t="n"/>
      <c r="Q170" s="39" t="str">
        <f>IF(AND(ISNUMBER(O170),ISNUMBER(P170),N(O170)&gt;0),P170/O170,"")</f>
        <v/>
      </c>
      <c r="R170" s="17" t="n"/>
      <c r="S170" s="37" t="n"/>
      <c r="T170" s="40" t="str">
        <f>IF(AND(ISNUMBER(J170),ISNUMBER(K170)),IF(N(ISNUMBER('参数'!$E$31))+N(ISNUMBER('参数'!$G$31))+N(ISNUMBER('参数'!$I$31))+N(ISNUMBER('参数'!$K$31))=0,"",IF(ISNUMBER('参数'!$E$31),J170&lt;='参数'!$E$31,FALSE)+IF(ISNUMBER('参数'!$G$31),K170&gt;='参数'!$G$31,FALSE)+IF(AND(ISNUMBER('参数'!$I$31),ISNUMBER(N170)),N170&gt;='参数'!$I$31,FALSE)+IF(AND(ISNUMBER('参数'!$K$31),ISNUMBER(Q170)),Q170&lt;='参数'!$K$31,FALSE)),"")</f>
        <v/>
      </c>
      <c r="U170" s="40" t="str">
        <f>IF(AND(ISNUMBER(J170),ISNUMBER(K170)),IF(N(ISNUMBER('参数'!$G$32))+N(ISNUMBER('参数'!$I$32))+N(ISNUMBER('参数'!$K$32))=0,"",IF(AND(ISNUMBER(J169),ISNUMBER(J168)),AND(J170&gt;J169,J169&gt;J168),FALSE)+IF(ISNUMBER('参数'!$G$32),J170&lt;'参数'!$G$32,FALSE)+IF(AND(ISNUMBER('参数'!$I$32),ISNUMBER(Q170)),Q170&gt;='参数'!$I$32,FALSE)+IF(AND(ISNUMBER('参数'!$K$32),ISNUMBER(S170)),S170&gt;='参数'!$K$32,FALSE)),"")</f>
        <v/>
      </c>
      <c r="V170" s="40" t="str">
        <f>IF(AND(ISNUMBER(J170),ISNUMBER(K170)),IF(N(ISNUMBER('参数'!$E$33))+N(ISNUMBER('参数'!$G$33))+N(ISNUMBER('参数'!$I$33))+N(ISNUMBER('参数'!$K$33))=0,"",IF(AND(ISNUMBER('参数'!$E$33),ISNUMBER(J169)),AND(J170&gt;='参数'!$E$33,J170&gt;J169),FALSE)+IF(AND(ISNUMBER('参数'!$G$33),ISNUMBER(N170)),N170&lt;='参数'!$G$33,FALSE)+IF(AND(ISNUMBER('参数'!$I$33),ISNUMBER(Q170)),Q170&gt;='参数'!$I$33,FALSE)+IF(AND(ISNUMBER('参数'!$K$33),ISNUMBER(S170)),S170&gt;='参数'!$K$33,FALSE)),"")</f>
        <v/>
      </c>
      <c r="W170" s="40" t="str">
        <f>IF(AND(ISNUMBER(J170),ISNUMBER(K170)),IF(N(ISNUMBER('参数'!$E$34))+N(ISNUMBER('参数'!$G$34))+N(ISNUMBER('参数'!$I$34))+N(ISNUMBER('参数'!$K$34))=0,"",IF(ISNUMBER('参数'!$E$34),J170&gt;='参数'!$E$34,FALSE)+IF(AND(ISNUMBER('参数'!$G$34),ISNUMBER(N170)),N170&lt;='参数'!$G$34,FALSE)+IF(AND(ISNUMBER('参数'!$I$34),ISNUMBER(S170)),S170&gt;='参数'!$I$34,FALSE)+IF(AND(ISNUMBER('参数'!$K$34),ISNUMBER(R170)),R170&gt;='参数'!$K$34,FALSE)),"")</f>
        <v/>
      </c>
      <c r="X170" s="40" t="str">
        <f>IF(AND(ISNUMBER(J170),ISNUMBER(K170)),IF(N(ISNUMBER('参数'!$E$35))+N(ISNUMBER('参数'!$G$35))+N(ISNUMBER('参数'!$I$35))=0,"",IF(AND(ISNUMBER('参数'!$E$35),ISNUMBER(N170),ISNUMBER(N169)),ROUND(N170-N169,6)&gt;='参数'!$E$35,FALSE)+IF(AND(ISNUMBER('参数'!$G$35),ISNUMBER(Q170),ISNUMBER(Q169)),ROUND(Q169-Q170,6)&gt;='参数'!$G$35,FALSE)+IF(AND(ISNUMBER('参数'!$I$35),ISNUMBER(S170),ISNUMBER(S169)),ROUND(S169-S170,6)&gt;='参数'!$I$35,FALSE)+IF(ISNUMBER(J169),J170&lt;J169,FALSE)),"")</f>
        <v/>
      </c>
      <c r="Y170" s="40" t="str">
        <f>IF(AND(ISNUMBER(J170),ISNUMBER(K170)),IF(N(ISNUMBER('参数'!$E$36))+N(ISNUMBER('参数'!$G$36))+N(ISNUMBER('参数'!$I$36))=0,"",IF(AND(ISNUMBER('参数'!$E$36),ISNUMBER(J169)),AND(J170&lt;='参数'!$E$36,J170&lt;J169),FALSE)+IF(ISNUMBER('参数'!$G$36),K170&gt;='参数'!$G$36,FALSE)+IF(AND(ISNUMBER('参数'!$I$36),ISNUMBER(S170)),S170&lt;'参数'!$I$36,FALSE)+IF(AND(ISNUMBER(R170),ISNUMBER(R169)),R170&lt;R169,FALSE)),"")</f>
        <v/>
      </c>
      <c r="Z170" s="41" t="str">
        <f>IF(NOT(AND(ISNUMBER(J170),ISNUMBER(K170))),"",IF(COUNT(T170:Y170)=0,"先填阈值",IF(MAX(AD170:AI170)=0,"不写",INDEX($T$4:$Y$4,MATCH(MAX(AD170:AI170),AD170:AI170,0))&amp;"·"&amp;IF(MAX(AD170:AI170)&gt;=200,"高","中")&amp;IF(LARGE(AD170:AI170,2)&gt;0,"（也像"&amp;INDEX($T$4:$Y$4,MATCH(LARGE(AD170:AI170,2),AD170:AI170,0))&amp;"·"&amp;IF(LARGE(AD170:AI170,2)&gt;=200,"高","中")&amp;"）",""))))</f>
        <v/>
      </c>
      <c r="AA170" s="27" t="n"/>
      <c r="AB170" s="32" t="n"/>
      <c r="AC170" s="16" t="n"/>
      <c r="AD170" s="40">
        <f>IF(N(T170)&gt;=3,IF(T170=4,2,1)*100+T170*10+6,0)</f>
        <v>0</v>
      </c>
      <c r="AE170" s="40">
        <f>IF(N(U170)&gt;=3,1*100+U170*10+1,0)</f>
        <v>0</v>
      </c>
      <c r="AF170" s="40">
        <f>IF(N(V170)&gt;=3,IF(V170=4,2,1)*100+V170*10+2,0)</f>
        <v>0</v>
      </c>
      <c r="AG170" s="40">
        <f>IF(N(W170)&gt;=3,1*100+W170*10+3,0)</f>
        <v>0</v>
      </c>
      <c r="AH170" s="40">
        <f>IF(N(X170)&gt;=3,1*100+X170*10+4,0)</f>
        <v>0</v>
      </c>
      <c r="AI170" s="40">
        <f>IF(N(Y170)&gt;=3,IF(AND(N(T170)&gt;=3,OR(N(T170)=4,N(Y170)&lt;=N(T170))),0,IF(Y170=4,2,1)*100+Y170*10+5),0)</f>
        <v>0</v>
      </c>
    </row>
    <row r="171">
      <c r="A171" s="31" t="n"/>
      <c r="B171" s="36" t="str">
        <f>IF(ISNUMBER(A171),"周"&amp;CHOOSE(WEEKDAY(A171,2),"一","二","三","四","五","六","日"),"")</f>
        <v/>
      </c>
      <c r="C171" s="37" t="n"/>
      <c r="D171" s="37" t="n"/>
      <c r="E171" s="37" t="n"/>
      <c r="F171" s="17" t="n"/>
      <c r="G171" s="38" t="str">
        <f>IF(AND(ISNUMBER(F171),ISNUMBER(F170)),IF(F170=0,"",F171/F170-1),"")</f>
        <v/>
      </c>
      <c r="H171" s="17" t="n"/>
      <c r="I171" s="17" t="n"/>
      <c r="J171" s="17" t="n"/>
      <c r="K171" s="17" t="n"/>
      <c r="L171" s="17" t="n"/>
      <c r="M171" s="17" t="n"/>
      <c r="N171" s="39" t="str">
        <f>IF(AND(ISNUMBER(L171),ISNUMBER(M171),N(L171)&gt;0),M171/L171,"")</f>
        <v/>
      </c>
      <c r="O171" s="17" t="n"/>
      <c r="P171" s="17" t="n"/>
      <c r="Q171" s="39" t="str">
        <f>IF(AND(ISNUMBER(O171),ISNUMBER(P171),N(O171)&gt;0),P171/O171,"")</f>
        <v/>
      </c>
      <c r="R171" s="17" t="n"/>
      <c r="S171" s="37" t="n"/>
      <c r="T171" s="40" t="str">
        <f>IF(AND(ISNUMBER(J171),ISNUMBER(K171)),IF(N(ISNUMBER('参数'!$E$31))+N(ISNUMBER('参数'!$G$31))+N(ISNUMBER('参数'!$I$31))+N(ISNUMBER('参数'!$K$31))=0,"",IF(ISNUMBER('参数'!$E$31),J171&lt;='参数'!$E$31,FALSE)+IF(ISNUMBER('参数'!$G$31),K171&gt;='参数'!$G$31,FALSE)+IF(AND(ISNUMBER('参数'!$I$31),ISNUMBER(N171)),N171&gt;='参数'!$I$31,FALSE)+IF(AND(ISNUMBER('参数'!$K$31),ISNUMBER(Q171)),Q171&lt;='参数'!$K$31,FALSE)),"")</f>
        <v/>
      </c>
      <c r="U171" s="40" t="str">
        <f>IF(AND(ISNUMBER(J171),ISNUMBER(K171)),IF(N(ISNUMBER('参数'!$G$32))+N(ISNUMBER('参数'!$I$32))+N(ISNUMBER('参数'!$K$32))=0,"",IF(AND(ISNUMBER(J170),ISNUMBER(J169)),AND(J171&gt;J170,J170&gt;J169),FALSE)+IF(ISNUMBER('参数'!$G$32),J171&lt;'参数'!$G$32,FALSE)+IF(AND(ISNUMBER('参数'!$I$32),ISNUMBER(Q171)),Q171&gt;='参数'!$I$32,FALSE)+IF(AND(ISNUMBER('参数'!$K$32),ISNUMBER(S171)),S171&gt;='参数'!$K$32,FALSE)),"")</f>
        <v/>
      </c>
      <c r="V171" s="40" t="str">
        <f>IF(AND(ISNUMBER(J171),ISNUMBER(K171)),IF(N(ISNUMBER('参数'!$E$33))+N(ISNUMBER('参数'!$G$33))+N(ISNUMBER('参数'!$I$33))+N(ISNUMBER('参数'!$K$33))=0,"",IF(AND(ISNUMBER('参数'!$E$33),ISNUMBER(J170)),AND(J171&gt;='参数'!$E$33,J171&gt;J170),FALSE)+IF(AND(ISNUMBER('参数'!$G$33),ISNUMBER(N171)),N171&lt;='参数'!$G$33,FALSE)+IF(AND(ISNUMBER('参数'!$I$33),ISNUMBER(Q171)),Q171&gt;='参数'!$I$33,FALSE)+IF(AND(ISNUMBER('参数'!$K$33),ISNUMBER(S171)),S171&gt;='参数'!$K$33,FALSE)),"")</f>
        <v/>
      </c>
      <c r="W171" s="40" t="str">
        <f>IF(AND(ISNUMBER(J171),ISNUMBER(K171)),IF(N(ISNUMBER('参数'!$E$34))+N(ISNUMBER('参数'!$G$34))+N(ISNUMBER('参数'!$I$34))+N(ISNUMBER('参数'!$K$34))=0,"",IF(ISNUMBER('参数'!$E$34),J171&gt;='参数'!$E$34,FALSE)+IF(AND(ISNUMBER('参数'!$G$34),ISNUMBER(N171)),N171&lt;='参数'!$G$34,FALSE)+IF(AND(ISNUMBER('参数'!$I$34),ISNUMBER(S171)),S171&gt;='参数'!$I$34,FALSE)+IF(AND(ISNUMBER('参数'!$K$34),ISNUMBER(R171)),R171&gt;='参数'!$K$34,FALSE)),"")</f>
        <v/>
      </c>
      <c r="X171" s="40" t="str">
        <f>IF(AND(ISNUMBER(J171),ISNUMBER(K171)),IF(N(ISNUMBER('参数'!$E$35))+N(ISNUMBER('参数'!$G$35))+N(ISNUMBER('参数'!$I$35))=0,"",IF(AND(ISNUMBER('参数'!$E$35),ISNUMBER(N171),ISNUMBER(N170)),ROUND(N171-N170,6)&gt;='参数'!$E$35,FALSE)+IF(AND(ISNUMBER('参数'!$G$35),ISNUMBER(Q171),ISNUMBER(Q170)),ROUND(Q170-Q171,6)&gt;='参数'!$G$35,FALSE)+IF(AND(ISNUMBER('参数'!$I$35),ISNUMBER(S171),ISNUMBER(S170)),ROUND(S170-S171,6)&gt;='参数'!$I$35,FALSE)+IF(ISNUMBER(J170),J171&lt;J170,FALSE)),"")</f>
        <v/>
      </c>
      <c r="Y171" s="40" t="str">
        <f>IF(AND(ISNUMBER(J171),ISNUMBER(K171)),IF(N(ISNUMBER('参数'!$E$36))+N(ISNUMBER('参数'!$G$36))+N(ISNUMBER('参数'!$I$36))=0,"",IF(AND(ISNUMBER('参数'!$E$36),ISNUMBER(J170)),AND(J171&lt;='参数'!$E$36,J171&lt;J170),FALSE)+IF(ISNUMBER('参数'!$G$36),K171&gt;='参数'!$G$36,FALSE)+IF(AND(ISNUMBER('参数'!$I$36),ISNUMBER(S171)),S171&lt;'参数'!$I$36,FALSE)+IF(AND(ISNUMBER(R171),ISNUMBER(R170)),R171&lt;R170,FALSE)),"")</f>
        <v/>
      </c>
      <c r="Z171" s="41" t="str">
        <f>IF(NOT(AND(ISNUMBER(J171),ISNUMBER(K171))),"",IF(COUNT(T171:Y171)=0,"先填阈值",IF(MAX(AD171:AI171)=0,"不写",INDEX($T$4:$Y$4,MATCH(MAX(AD171:AI171),AD171:AI171,0))&amp;"·"&amp;IF(MAX(AD171:AI171)&gt;=200,"高","中")&amp;IF(LARGE(AD171:AI171,2)&gt;0,"（也像"&amp;INDEX($T$4:$Y$4,MATCH(LARGE(AD171:AI171,2),AD171:AI171,0))&amp;"·"&amp;IF(LARGE(AD171:AI171,2)&gt;=200,"高","中")&amp;"）",""))))</f>
        <v/>
      </c>
      <c r="AA171" s="27" t="n"/>
      <c r="AB171" s="32" t="n"/>
      <c r="AC171" s="16" t="n"/>
      <c r="AD171" s="40">
        <f>IF(N(T171)&gt;=3,IF(T171=4,2,1)*100+T171*10+6,0)</f>
        <v>0</v>
      </c>
      <c r="AE171" s="40">
        <f>IF(N(U171)&gt;=3,1*100+U171*10+1,0)</f>
        <v>0</v>
      </c>
      <c r="AF171" s="40">
        <f>IF(N(V171)&gt;=3,IF(V171=4,2,1)*100+V171*10+2,0)</f>
        <v>0</v>
      </c>
      <c r="AG171" s="40">
        <f>IF(N(W171)&gt;=3,1*100+W171*10+3,0)</f>
        <v>0</v>
      </c>
      <c r="AH171" s="40">
        <f>IF(N(X171)&gt;=3,1*100+X171*10+4,0)</f>
        <v>0</v>
      </c>
      <c r="AI171" s="40">
        <f>IF(N(Y171)&gt;=3,IF(AND(N(T171)&gt;=3,OR(N(T171)=4,N(Y171)&lt;=N(T171))),0,IF(Y171=4,2,1)*100+Y171*10+5),0)</f>
        <v>0</v>
      </c>
    </row>
    <row r="172">
      <c r="A172" s="31" t="n"/>
      <c r="B172" s="36" t="str">
        <f>IF(ISNUMBER(A172),"周"&amp;CHOOSE(WEEKDAY(A172,2),"一","二","三","四","五","六","日"),"")</f>
        <v/>
      </c>
      <c r="C172" s="37" t="n"/>
      <c r="D172" s="37" t="n"/>
      <c r="E172" s="37" t="n"/>
      <c r="F172" s="17" t="n"/>
      <c r="G172" s="38" t="str">
        <f>IF(AND(ISNUMBER(F172),ISNUMBER(F171)),IF(F171=0,"",F172/F171-1),"")</f>
        <v/>
      </c>
      <c r="H172" s="17" t="n"/>
      <c r="I172" s="17" t="n"/>
      <c r="J172" s="17" t="n"/>
      <c r="K172" s="17" t="n"/>
      <c r="L172" s="17" t="n"/>
      <c r="M172" s="17" t="n"/>
      <c r="N172" s="39" t="str">
        <f>IF(AND(ISNUMBER(L172),ISNUMBER(M172),N(L172)&gt;0),M172/L172,"")</f>
        <v/>
      </c>
      <c r="O172" s="17" t="n"/>
      <c r="P172" s="17" t="n"/>
      <c r="Q172" s="39" t="str">
        <f>IF(AND(ISNUMBER(O172),ISNUMBER(P172),N(O172)&gt;0),P172/O172,"")</f>
        <v/>
      </c>
      <c r="R172" s="17" t="n"/>
      <c r="S172" s="37" t="n"/>
      <c r="T172" s="40" t="str">
        <f>IF(AND(ISNUMBER(J172),ISNUMBER(K172)),IF(N(ISNUMBER('参数'!$E$31))+N(ISNUMBER('参数'!$G$31))+N(ISNUMBER('参数'!$I$31))+N(ISNUMBER('参数'!$K$31))=0,"",IF(ISNUMBER('参数'!$E$31),J172&lt;='参数'!$E$31,FALSE)+IF(ISNUMBER('参数'!$G$31),K172&gt;='参数'!$G$31,FALSE)+IF(AND(ISNUMBER('参数'!$I$31),ISNUMBER(N172)),N172&gt;='参数'!$I$31,FALSE)+IF(AND(ISNUMBER('参数'!$K$31),ISNUMBER(Q172)),Q172&lt;='参数'!$K$31,FALSE)),"")</f>
        <v/>
      </c>
      <c r="U172" s="40" t="str">
        <f>IF(AND(ISNUMBER(J172),ISNUMBER(K172)),IF(N(ISNUMBER('参数'!$G$32))+N(ISNUMBER('参数'!$I$32))+N(ISNUMBER('参数'!$K$32))=0,"",IF(AND(ISNUMBER(J171),ISNUMBER(J170)),AND(J172&gt;J171,J171&gt;J170),FALSE)+IF(ISNUMBER('参数'!$G$32),J172&lt;'参数'!$G$32,FALSE)+IF(AND(ISNUMBER('参数'!$I$32),ISNUMBER(Q172)),Q172&gt;='参数'!$I$32,FALSE)+IF(AND(ISNUMBER('参数'!$K$32),ISNUMBER(S172)),S172&gt;='参数'!$K$32,FALSE)),"")</f>
        <v/>
      </c>
      <c r="V172" s="40" t="str">
        <f>IF(AND(ISNUMBER(J172),ISNUMBER(K172)),IF(N(ISNUMBER('参数'!$E$33))+N(ISNUMBER('参数'!$G$33))+N(ISNUMBER('参数'!$I$33))+N(ISNUMBER('参数'!$K$33))=0,"",IF(AND(ISNUMBER('参数'!$E$33),ISNUMBER(J171)),AND(J172&gt;='参数'!$E$33,J172&gt;J171),FALSE)+IF(AND(ISNUMBER('参数'!$G$33),ISNUMBER(N172)),N172&lt;='参数'!$G$33,FALSE)+IF(AND(ISNUMBER('参数'!$I$33),ISNUMBER(Q172)),Q172&gt;='参数'!$I$33,FALSE)+IF(AND(ISNUMBER('参数'!$K$33),ISNUMBER(S172)),S172&gt;='参数'!$K$33,FALSE)),"")</f>
        <v/>
      </c>
      <c r="W172" s="40" t="str">
        <f>IF(AND(ISNUMBER(J172),ISNUMBER(K172)),IF(N(ISNUMBER('参数'!$E$34))+N(ISNUMBER('参数'!$G$34))+N(ISNUMBER('参数'!$I$34))+N(ISNUMBER('参数'!$K$34))=0,"",IF(ISNUMBER('参数'!$E$34),J172&gt;='参数'!$E$34,FALSE)+IF(AND(ISNUMBER('参数'!$G$34),ISNUMBER(N172)),N172&lt;='参数'!$G$34,FALSE)+IF(AND(ISNUMBER('参数'!$I$34),ISNUMBER(S172)),S172&gt;='参数'!$I$34,FALSE)+IF(AND(ISNUMBER('参数'!$K$34),ISNUMBER(R172)),R172&gt;='参数'!$K$34,FALSE)),"")</f>
        <v/>
      </c>
      <c r="X172" s="40" t="str">
        <f>IF(AND(ISNUMBER(J172),ISNUMBER(K172)),IF(N(ISNUMBER('参数'!$E$35))+N(ISNUMBER('参数'!$G$35))+N(ISNUMBER('参数'!$I$35))=0,"",IF(AND(ISNUMBER('参数'!$E$35),ISNUMBER(N172),ISNUMBER(N171)),ROUND(N172-N171,6)&gt;='参数'!$E$35,FALSE)+IF(AND(ISNUMBER('参数'!$G$35),ISNUMBER(Q172),ISNUMBER(Q171)),ROUND(Q171-Q172,6)&gt;='参数'!$G$35,FALSE)+IF(AND(ISNUMBER('参数'!$I$35),ISNUMBER(S172),ISNUMBER(S171)),ROUND(S171-S172,6)&gt;='参数'!$I$35,FALSE)+IF(ISNUMBER(J171),J172&lt;J171,FALSE)),"")</f>
        <v/>
      </c>
      <c r="Y172" s="40" t="str">
        <f>IF(AND(ISNUMBER(J172),ISNUMBER(K172)),IF(N(ISNUMBER('参数'!$E$36))+N(ISNUMBER('参数'!$G$36))+N(ISNUMBER('参数'!$I$36))=0,"",IF(AND(ISNUMBER('参数'!$E$36),ISNUMBER(J171)),AND(J172&lt;='参数'!$E$36,J172&lt;J171),FALSE)+IF(ISNUMBER('参数'!$G$36),K172&gt;='参数'!$G$36,FALSE)+IF(AND(ISNUMBER('参数'!$I$36),ISNUMBER(S172)),S172&lt;'参数'!$I$36,FALSE)+IF(AND(ISNUMBER(R172),ISNUMBER(R171)),R172&lt;R171,FALSE)),"")</f>
        <v/>
      </c>
      <c r="Z172" s="41" t="str">
        <f>IF(NOT(AND(ISNUMBER(J172),ISNUMBER(K172))),"",IF(COUNT(T172:Y172)=0,"先填阈值",IF(MAX(AD172:AI172)=0,"不写",INDEX($T$4:$Y$4,MATCH(MAX(AD172:AI172),AD172:AI172,0))&amp;"·"&amp;IF(MAX(AD172:AI172)&gt;=200,"高","中")&amp;IF(LARGE(AD172:AI172,2)&gt;0,"（也像"&amp;INDEX($T$4:$Y$4,MATCH(LARGE(AD172:AI172,2),AD172:AI172,0))&amp;"·"&amp;IF(LARGE(AD172:AI172,2)&gt;=200,"高","中")&amp;"）",""))))</f>
        <v/>
      </c>
      <c r="AA172" s="27" t="n"/>
      <c r="AB172" s="32" t="n"/>
      <c r="AC172" s="16" t="n"/>
      <c r="AD172" s="40">
        <f>IF(N(T172)&gt;=3,IF(T172=4,2,1)*100+T172*10+6,0)</f>
        <v>0</v>
      </c>
      <c r="AE172" s="40">
        <f>IF(N(U172)&gt;=3,1*100+U172*10+1,0)</f>
        <v>0</v>
      </c>
      <c r="AF172" s="40">
        <f>IF(N(V172)&gt;=3,IF(V172=4,2,1)*100+V172*10+2,0)</f>
        <v>0</v>
      </c>
      <c r="AG172" s="40">
        <f>IF(N(W172)&gt;=3,1*100+W172*10+3,0)</f>
        <v>0</v>
      </c>
      <c r="AH172" s="40">
        <f>IF(N(X172)&gt;=3,1*100+X172*10+4,0)</f>
        <v>0</v>
      </c>
      <c r="AI172" s="40">
        <f>IF(N(Y172)&gt;=3,IF(AND(N(T172)&gt;=3,OR(N(T172)=4,N(Y172)&lt;=N(T172))),0,IF(Y172=4,2,1)*100+Y172*10+5),0)</f>
        <v>0</v>
      </c>
    </row>
    <row r="173">
      <c r="A173" s="31" t="n"/>
      <c r="B173" s="36" t="str">
        <f>IF(ISNUMBER(A173),"周"&amp;CHOOSE(WEEKDAY(A173,2),"一","二","三","四","五","六","日"),"")</f>
        <v/>
      </c>
      <c r="C173" s="37" t="n"/>
      <c r="D173" s="37" t="n"/>
      <c r="E173" s="37" t="n"/>
      <c r="F173" s="17" t="n"/>
      <c r="G173" s="38" t="str">
        <f>IF(AND(ISNUMBER(F173),ISNUMBER(F172)),IF(F172=0,"",F173/F172-1),"")</f>
        <v/>
      </c>
      <c r="H173" s="17" t="n"/>
      <c r="I173" s="17" t="n"/>
      <c r="J173" s="17" t="n"/>
      <c r="K173" s="17" t="n"/>
      <c r="L173" s="17" t="n"/>
      <c r="M173" s="17" t="n"/>
      <c r="N173" s="39" t="str">
        <f>IF(AND(ISNUMBER(L173),ISNUMBER(M173),N(L173)&gt;0),M173/L173,"")</f>
        <v/>
      </c>
      <c r="O173" s="17" t="n"/>
      <c r="P173" s="17" t="n"/>
      <c r="Q173" s="39" t="str">
        <f>IF(AND(ISNUMBER(O173),ISNUMBER(P173),N(O173)&gt;0),P173/O173,"")</f>
        <v/>
      </c>
      <c r="R173" s="17" t="n"/>
      <c r="S173" s="37" t="n"/>
      <c r="T173" s="40" t="str">
        <f>IF(AND(ISNUMBER(J173),ISNUMBER(K173)),IF(N(ISNUMBER('参数'!$E$31))+N(ISNUMBER('参数'!$G$31))+N(ISNUMBER('参数'!$I$31))+N(ISNUMBER('参数'!$K$31))=0,"",IF(ISNUMBER('参数'!$E$31),J173&lt;='参数'!$E$31,FALSE)+IF(ISNUMBER('参数'!$G$31),K173&gt;='参数'!$G$31,FALSE)+IF(AND(ISNUMBER('参数'!$I$31),ISNUMBER(N173)),N173&gt;='参数'!$I$31,FALSE)+IF(AND(ISNUMBER('参数'!$K$31),ISNUMBER(Q173)),Q173&lt;='参数'!$K$31,FALSE)),"")</f>
        <v/>
      </c>
      <c r="U173" s="40" t="str">
        <f>IF(AND(ISNUMBER(J173),ISNUMBER(K173)),IF(N(ISNUMBER('参数'!$G$32))+N(ISNUMBER('参数'!$I$32))+N(ISNUMBER('参数'!$K$32))=0,"",IF(AND(ISNUMBER(J172),ISNUMBER(J171)),AND(J173&gt;J172,J172&gt;J171),FALSE)+IF(ISNUMBER('参数'!$G$32),J173&lt;'参数'!$G$32,FALSE)+IF(AND(ISNUMBER('参数'!$I$32),ISNUMBER(Q173)),Q173&gt;='参数'!$I$32,FALSE)+IF(AND(ISNUMBER('参数'!$K$32),ISNUMBER(S173)),S173&gt;='参数'!$K$32,FALSE)),"")</f>
        <v/>
      </c>
      <c r="V173" s="40" t="str">
        <f>IF(AND(ISNUMBER(J173),ISNUMBER(K173)),IF(N(ISNUMBER('参数'!$E$33))+N(ISNUMBER('参数'!$G$33))+N(ISNUMBER('参数'!$I$33))+N(ISNUMBER('参数'!$K$33))=0,"",IF(AND(ISNUMBER('参数'!$E$33),ISNUMBER(J172)),AND(J173&gt;='参数'!$E$33,J173&gt;J172),FALSE)+IF(AND(ISNUMBER('参数'!$G$33),ISNUMBER(N173)),N173&lt;='参数'!$G$33,FALSE)+IF(AND(ISNUMBER('参数'!$I$33),ISNUMBER(Q173)),Q173&gt;='参数'!$I$33,FALSE)+IF(AND(ISNUMBER('参数'!$K$33),ISNUMBER(S173)),S173&gt;='参数'!$K$33,FALSE)),"")</f>
        <v/>
      </c>
      <c r="W173" s="40" t="str">
        <f>IF(AND(ISNUMBER(J173),ISNUMBER(K173)),IF(N(ISNUMBER('参数'!$E$34))+N(ISNUMBER('参数'!$G$34))+N(ISNUMBER('参数'!$I$34))+N(ISNUMBER('参数'!$K$34))=0,"",IF(ISNUMBER('参数'!$E$34),J173&gt;='参数'!$E$34,FALSE)+IF(AND(ISNUMBER('参数'!$G$34),ISNUMBER(N173)),N173&lt;='参数'!$G$34,FALSE)+IF(AND(ISNUMBER('参数'!$I$34),ISNUMBER(S173)),S173&gt;='参数'!$I$34,FALSE)+IF(AND(ISNUMBER('参数'!$K$34),ISNUMBER(R173)),R173&gt;='参数'!$K$34,FALSE)),"")</f>
        <v/>
      </c>
      <c r="X173" s="40" t="str">
        <f>IF(AND(ISNUMBER(J173),ISNUMBER(K173)),IF(N(ISNUMBER('参数'!$E$35))+N(ISNUMBER('参数'!$G$35))+N(ISNUMBER('参数'!$I$35))=0,"",IF(AND(ISNUMBER('参数'!$E$35),ISNUMBER(N173),ISNUMBER(N172)),ROUND(N173-N172,6)&gt;='参数'!$E$35,FALSE)+IF(AND(ISNUMBER('参数'!$G$35),ISNUMBER(Q173),ISNUMBER(Q172)),ROUND(Q172-Q173,6)&gt;='参数'!$G$35,FALSE)+IF(AND(ISNUMBER('参数'!$I$35),ISNUMBER(S173),ISNUMBER(S172)),ROUND(S172-S173,6)&gt;='参数'!$I$35,FALSE)+IF(ISNUMBER(J172),J173&lt;J172,FALSE)),"")</f>
        <v/>
      </c>
      <c r="Y173" s="40" t="str">
        <f>IF(AND(ISNUMBER(J173),ISNUMBER(K173)),IF(N(ISNUMBER('参数'!$E$36))+N(ISNUMBER('参数'!$G$36))+N(ISNUMBER('参数'!$I$36))=0,"",IF(AND(ISNUMBER('参数'!$E$36),ISNUMBER(J172)),AND(J173&lt;='参数'!$E$36,J173&lt;J172),FALSE)+IF(ISNUMBER('参数'!$G$36),K173&gt;='参数'!$G$36,FALSE)+IF(AND(ISNUMBER('参数'!$I$36),ISNUMBER(S173)),S173&lt;'参数'!$I$36,FALSE)+IF(AND(ISNUMBER(R173),ISNUMBER(R172)),R173&lt;R172,FALSE)),"")</f>
        <v/>
      </c>
      <c r="Z173" s="41" t="str">
        <f>IF(NOT(AND(ISNUMBER(J173),ISNUMBER(K173))),"",IF(COUNT(T173:Y173)=0,"先填阈值",IF(MAX(AD173:AI173)=0,"不写",INDEX($T$4:$Y$4,MATCH(MAX(AD173:AI173),AD173:AI173,0))&amp;"·"&amp;IF(MAX(AD173:AI173)&gt;=200,"高","中")&amp;IF(LARGE(AD173:AI173,2)&gt;0,"（也像"&amp;INDEX($T$4:$Y$4,MATCH(LARGE(AD173:AI173,2),AD173:AI173,0))&amp;"·"&amp;IF(LARGE(AD173:AI173,2)&gt;=200,"高","中")&amp;"）",""))))</f>
        <v/>
      </c>
      <c r="AA173" s="27" t="n"/>
      <c r="AB173" s="32" t="n"/>
      <c r="AC173" s="16" t="n"/>
      <c r="AD173" s="40">
        <f>IF(N(T173)&gt;=3,IF(T173=4,2,1)*100+T173*10+6,0)</f>
        <v>0</v>
      </c>
      <c r="AE173" s="40">
        <f>IF(N(U173)&gt;=3,1*100+U173*10+1,0)</f>
        <v>0</v>
      </c>
      <c r="AF173" s="40">
        <f>IF(N(V173)&gt;=3,IF(V173=4,2,1)*100+V173*10+2,0)</f>
        <v>0</v>
      </c>
      <c r="AG173" s="40">
        <f>IF(N(W173)&gt;=3,1*100+W173*10+3,0)</f>
        <v>0</v>
      </c>
      <c r="AH173" s="40">
        <f>IF(N(X173)&gt;=3,1*100+X173*10+4,0)</f>
        <v>0</v>
      </c>
      <c r="AI173" s="40">
        <f>IF(N(Y173)&gt;=3,IF(AND(N(T173)&gt;=3,OR(N(T173)=4,N(Y173)&lt;=N(T173))),0,IF(Y173=4,2,1)*100+Y173*10+5),0)</f>
        <v>0</v>
      </c>
    </row>
    <row r="174">
      <c r="A174" s="31" t="n"/>
      <c r="B174" s="36" t="str">
        <f>IF(ISNUMBER(A174),"周"&amp;CHOOSE(WEEKDAY(A174,2),"一","二","三","四","五","六","日"),"")</f>
        <v/>
      </c>
      <c r="C174" s="37" t="n"/>
      <c r="D174" s="37" t="n"/>
      <c r="E174" s="37" t="n"/>
      <c r="F174" s="17" t="n"/>
      <c r="G174" s="38" t="str">
        <f>IF(AND(ISNUMBER(F174),ISNUMBER(F173)),IF(F173=0,"",F174/F173-1),"")</f>
        <v/>
      </c>
      <c r="H174" s="17" t="n"/>
      <c r="I174" s="17" t="n"/>
      <c r="J174" s="17" t="n"/>
      <c r="K174" s="17" t="n"/>
      <c r="L174" s="17" t="n"/>
      <c r="M174" s="17" t="n"/>
      <c r="N174" s="39" t="str">
        <f>IF(AND(ISNUMBER(L174),ISNUMBER(M174),N(L174)&gt;0),M174/L174,"")</f>
        <v/>
      </c>
      <c r="O174" s="17" t="n"/>
      <c r="P174" s="17" t="n"/>
      <c r="Q174" s="39" t="str">
        <f>IF(AND(ISNUMBER(O174),ISNUMBER(P174),N(O174)&gt;0),P174/O174,"")</f>
        <v/>
      </c>
      <c r="R174" s="17" t="n"/>
      <c r="S174" s="37" t="n"/>
      <c r="T174" s="40" t="str">
        <f>IF(AND(ISNUMBER(J174),ISNUMBER(K174)),IF(N(ISNUMBER('参数'!$E$31))+N(ISNUMBER('参数'!$G$31))+N(ISNUMBER('参数'!$I$31))+N(ISNUMBER('参数'!$K$31))=0,"",IF(ISNUMBER('参数'!$E$31),J174&lt;='参数'!$E$31,FALSE)+IF(ISNUMBER('参数'!$G$31),K174&gt;='参数'!$G$31,FALSE)+IF(AND(ISNUMBER('参数'!$I$31),ISNUMBER(N174)),N174&gt;='参数'!$I$31,FALSE)+IF(AND(ISNUMBER('参数'!$K$31),ISNUMBER(Q174)),Q174&lt;='参数'!$K$31,FALSE)),"")</f>
        <v/>
      </c>
      <c r="U174" s="40" t="str">
        <f>IF(AND(ISNUMBER(J174),ISNUMBER(K174)),IF(N(ISNUMBER('参数'!$G$32))+N(ISNUMBER('参数'!$I$32))+N(ISNUMBER('参数'!$K$32))=0,"",IF(AND(ISNUMBER(J173),ISNUMBER(J172)),AND(J174&gt;J173,J173&gt;J172),FALSE)+IF(ISNUMBER('参数'!$G$32),J174&lt;'参数'!$G$32,FALSE)+IF(AND(ISNUMBER('参数'!$I$32),ISNUMBER(Q174)),Q174&gt;='参数'!$I$32,FALSE)+IF(AND(ISNUMBER('参数'!$K$32),ISNUMBER(S174)),S174&gt;='参数'!$K$32,FALSE)),"")</f>
        <v/>
      </c>
      <c r="V174" s="40" t="str">
        <f>IF(AND(ISNUMBER(J174),ISNUMBER(K174)),IF(N(ISNUMBER('参数'!$E$33))+N(ISNUMBER('参数'!$G$33))+N(ISNUMBER('参数'!$I$33))+N(ISNUMBER('参数'!$K$33))=0,"",IF(AND(ISNUMBER('参数'!$E$33),ISNUMBER(J173)),AND(J174&gt;='参数'!$E$33,J174&gt;J173),FALSE)+IF(AND(ISNUMBER('参数'!$G$33),ISNUMBER(N174)),N174&lt;='参数'!$G$33,FALSE)+IF(AND(ISNUMBER('参数'!$I$33),ISNUMBER(Q174)),Q174&gt;='参数'!$I$33,FALSE)+IF(AND(ISNUMBER('参数'!$K$33),ISNUMBER(S174)),S174&gt;='参数'!$K$33,FALSE)),"")</f>
        <v/>
      </c>
      <c r="W174" s="40" t="str">
        <f>IF(AND(ISNUMBER(J174),ISNUMBER(K174)),IF(N(ISNUMBER('参数'!$E$34))+N(ISNUMBER('参数'!$G$34))+N(ISNUMBER('参数'!$I$34))+N(ISNUMBER('参数'!$K$34))=0,"",IF(ISNUMBER('参数'!$E$34),J174&gt;='参数'!$E$34,FALSE)+IF(AND(ISNUMBER('参数'!$G$34),ISNUMBER(N174)),N174&lt;='参数'!$G$34,FALSE)+IF(AND(ISNUMBER('参数'!$I$34),ISNUMBER(S174)),S174&gt;='参数'!$I$34,FALSE)+IF(AND(ISNUMBER('参数'!$K$34),ISNUMBER(R174)),R174&gt;='参数'!$K$34,FALSE)),"")</f>
        <v/>
      </c>
      <c r="X174" s="40" t="str">
        <f>IF(AND(ISNUMBER(J174),ISNUMBER(K174)),IF(N(ISNUMBER('参数'!$E$35))+N(ISNUMBER('参数'!$G$35))+N(ISNUMBER('参数'!$I$35))=0,"",IF(AND(ISNUMBER('参数'!$E$35),ISNUMBER(N174),ISNUMBER(N173)),ROUND(N174-N173,6)&gt;='参数'!$E$35,FALSE)+IF(AND(ISNUMBER('参数'!$G$35),ISNUMBER(Q174),ISNUMBER(Q173)),ROUND(Q173-Q174,6)&gt;='参数'!$G$35,FALSE)+IF(AND(ISNUMBER('参数'!$I$35),ISNUMBER(S174),ISNUMBER(S173)),ROUND(S173-S174,6)&gt;='参数'!$I$35,FALSE)+IF(ISNUMBER(J173),J174&lt;J173,FALSE)),"")</f>
        <v/>
      </c>
      <c r="Y174" s="40" t="str">
        <f>IF(AND(ISNUMBER(J174),ISNUMBER(K174)),IF(N(ISNUMBER('参数'!$E$36))+N(ISNUMBER('参数'!$G$36))+N(ISNUMBER('参数'!$I$36))=0,"",IF(AND(ISNUMBER('参数'!$E$36),ISNUMBER(J173)),AND(J174&lt;='参数'!$E$36,J174&lt;J173),FALSE)+IF(ISNUMBER('参数'!$G$36),K174&gt;='参数'!$G$36,FALSE)+IF(AND(ISNUMBER('参数'!$I$36),ISNUMBER(S174)),S174&lt;'参数'!$I$36,FALSE)+IF(AND(ISNUMBER(R174),ISNUMBER(R173)),R174&lt;R173,FALSE)),"")</f>
        <v/>
      </c>
      <c r="Z174" s="41" t="str">
        <f>IF(NOT(AND(ISNUMBER(J174),ISNUMBER(K174))),"",IF(COUNT(T174:Y174)=0,"先填阈值",IF(MAX(AD174:AI174)=0,"不写",INDEX($T$4:$Y$4,MATCH(MAX(AD174:AI174),AD174:AI174,0))&amp;"·"&amp;IF(MAX(AD174:AI174)&gt;=200,"高","中")&amp;IF(LARGE(AD174:AI174,2)&gt;0,"（也像"&amp;INDEX($T$4:$Y$4,MATCH(LARGE(AD174:AI174,2),AD174:AI174,0))&amp;"·"&amp;IF(LARGE(AD174:AI174,2)&gt;=200,"高","中")&amp;"）",""))))</f>
        <v/>
      </c>
      <c r="AA174" s="27" t="n"/>
      <c r="AB174" s="32" t="n"/>
      <c r="AC174" s="16" t="n"/>
      <c r="AD174" s="40">
        <f>IF(N(T174)&gt;=3,IF(T174=4,2,1)*100+T174*10+6,0)</f>
        <v>0</v>
      </c>
      <c r="AE174" s="40">
        <f>IF(N(U174)&gt;=3,1*100+U174*10+1,0)</f>
        <v>0</v>
      </c>
      <c r="AF174" s="40">
        <f>IF(N(V174)&gt;=3,IF(V174=4,2,1)*100+V174*10+2,0)</f>
        <v>0</v>
      </c>
      <c r="AG174" s="40">
        <f>IF(N(W174)&gt;=3,1*100+W174*10+3,0)</f>
        <v>0</v>
      </c>
      <c r="AH174" s="40">
        <f>IF(N(X174)&gt;=3,1*100+X174*10+4,0)</f>
        <v>0</v>
      </c>
      <c r="AI174" s="40">
        <f>IF(N(Y174)&gt;=3,IF(AND(N(T174)&gt;=3,OR(N(T174)=4,N(Y174)&lt;=N(T174))),0,IF(Y174=4,2,1)*100+Y174*10+5),0)</f>
        <v>0</v>
      </c>
    </row>
    <row r="175">
      <c r="A175" s="31" t="n"/>
      <c r="B175" s="36" t="str">
        <f>IF(ISNUMBER(A175),"周"&amp;CHOOSE(WEEKDAY(A175,2),"一","二","三","四","五","六","日"),"")</f>
        <v/>
      </c>
      <c r="C175" s="37" t="n"/>
      <c r="D175" s="37" t="n"/>
      <c r="E175" s="37" t="n"/>
      <c r="F175" s="17" t="n"/>
      <c r="G175" s="38" t="str">
        <f>IF(AND(ISNUMBER(F175),ISNUMBER(F174)),IF(F174=0,"",F175/F174-1),"")</f>
        <v/>
      </c>
      <c r="H175" s="17" t="n"/>
      <c r="I175" s="17" t="n"/>
      <c r="J175" s="17" t="n"/>
      <c r="K175" s="17" t="n"/>
      <c r="L175" s="17" t="n"/>
      <c r="M175" s="17" t="n"/>
      <c r="N175" s="39" t="str">
        <f>IF(AND(ISNUMBER(L175),ISNUMBER(M175),N(L175)&gt;0),M175/L175,"")</f>
        <v/>
      </c>
      <c r="O175" s="17" t="n"/>
      <c r="P175" s="17" t="n"/>
      <c r="Q175" s="39" t="str">
        <f>IF(AND(ISNUMBER(O175),ISNUMBER(P175),N(O175)&gt;0),P175/O175,"")</f>
        <v/>
      </c>
      <c r="R175" s="17" t="n"/>
      <c r="S175" s="37" t="n"/>
      <c r="T175" s="40" t="str">
        <f>IF(AND(ISNUMBER(J175),ISNUMBER(K175)),IF(N(ISNUMBER('参数'!$E$31))+N(ISNUMBER('参数'!$G$31))+N(ISNUMBER('参数'!$I$31))+N(ISNUMBER('参数'!$K$31))=0,"",IF(ISNUMBER('参数'!$E$31),J175&lt;='参数'!$E$31,FALSE)+IF(ISNUMBER('参数'!$G$31),K175&gt;='参数'!$G$31,FALSE)+IF(AND(ISNUMBER('参数'!$I$31),ISNUMBER(N175)),N175&gt;='参数'!$I$31,FALSE)+IF(AND(ISNUMBER('参数'!$K$31),ISNUMBER(Q175)),Q175&lt;='参数'!$K$31,FALSE)),"")</f>
        <v/>
      </c>
      <c r="U175" s="40" t="str">
        <f>IF(AND(ISNUMBER(J175),ISNUMBER(K175)),IF(N(ISNUMBER('参数'!$G$32))+N(ISNUMBER('参数'!$I$32))+N(ISNUMBER('参数'!$K$32))=0,"",IF(AND(ISNUMBER(J174),ISNUMBER(J173)),AND(J175&gt;J174,J174&gt;J173),FALSE)+IF(ISNUMBER('参数'!$G$32),J175&lt;'参数'!$G$32,FALSE)+IF(AND(ISNUMBER('参数'!$I$32),ISNUMBER(Q175)),Q175&gt;='参数'!$I$32,FALSE)+IF(AND(ISNUMBER('参数'!$K$32),ISNUMBER(S175)),S175&gt;='参数'!$K$32,FALSE)),"")</f>
        <v/>
      </c>
      <c r="V175" s="40" t="str">
        <f>IF(AND(ISNUMBER(J175),ISNUMBER(K175)),IF(N(ISNUMBER('参数'!$E$33))+N(ISNUMBER('参数'!$G$33))+N(ISNUMBER('参数'!$I$33))+N(ISNUMBER('参数'!$K$33))=0,"",IF(AND(ISNUMBER('参数'!$E$33),ISNUMBER(J174)),AND(J175&gt;='参数'!$E$33,J175&gt;J174),FALSE)+IF(AND(ISNUMBER('参数'!$G$33),ISNUMBER(N175)),N175&lt;='参数'!$G$33,FALSE)+IF(AND(ISNUMBER('参数'!$I$33),ISNUMBER(Q175)),Q175&gt;='参数'!$I$33,FALSE)+IF(AND(ISNUMBER('参数'!$K$33),ISNUMBER(S175)),S175&gt;='参数'!$K$33,FALSE)),"")</f>
        <v/>
      </c>
      <c r="W175" s="40" t="str">
        <f>IF(AND(ISNUMBER(J175),ISNUMBER(K175)),IF(N(ISNUMBER('参数'!$E$34))+N(ISNUMBER('参数'!$G$34))+N(ISNUMBER('参数'!$I$34))+N(ISNUMBER('参数'!$K$34))=0,"",IF(ISNUMBER('参数'!$E$34),J175&gt;='参数'!$E$34,FALSE)+IF(AND(ISNUMBER('参数'!$G$34),ISNUMBER(N175)),N175&lt;='参数'!$G$34,FALSE)+IF(AND(ISNUMBER('参数'!$I$34),ISNUMBER(S175)),S175&gt;='参数'!$I$34,FALSE)+IF(AND(ISNUMBER('参数'!$K$34),ISNUMBER(R175)),R175&gt;='参数'!$K$34,FALSE)),"")</f>
        <v/>
      </c>
      <c r="X175" s="40" t="str">
        <f>IF(AND(ISNUMBER(J175),ISNUMBER(K175)),IF(N(ISNUMBER('参数'!$E$35))+N(ISNUMBER('参数'!$G$35))+N(ISNUMBER('参数'!$I$35))=0,"",IF(AND(ISNUMBER('参数'!$E$35),ISNUMBER(N175),ISNUMBER(N174)),ROUND(N175-N174,6)&gt;='参数'!$E$35,FALSE)+IF(AND(ISNUMBER('参数'!$G$35),ISNUMBER(Q175),ISNUMBER(Q174)),ROUND(Q174-Q175,6)&gt;='参数'!$G$35,FALSE)+IF(AND(ISNUMBER('参数'!$I$35),ISNUMBER(S175),ISNUMBER(S174)),ROUND(S174-S175,6)&gt;='参数'!$I$35,FALSE)+IF(ISNUMBER(J174),J175&lt;J174,FALSE)),"")</f>
        <v/>
      </c>
      <c r="Y175" s="40" t="str">
        <f>IF(AND(ISNUMBER(J175),ISNUMBER(K175)),IF(N(ISNUMBER('参数'!$E$36))+N(ISNUMBER('参数'!$G$36))+N(ISNUMBER('参数'!$I$36))=0,"",IF(AND(ISNUMBER('参数'!$E$36),ISNUMBER(J174)),AND(J175&lt;='参数'!$E$36,J175&lt;J174),FALSE)+IF(ISNUMBER('参数'!$G$36),K175&gt;='参数'!$G$36,FALSE)+IF(AND(ISNUMBER('参数'!$I$36),ISNUMBER(S175)),S175&lt;'参数'!$I$36,FALSE)+IF(AND(ISNUMBER(R175),ISNUMBER(R174)),R175&lt;R174,FALSE)),"")</f>
        <v/>
      </c>
      <c r="Z175" s="41" t="str">
        <f>IF(NOT(AND(ISNUMBER(J175),ISNUMBER(K175))),"",IF(COUNT(T175:Y175)=0,"先填阈值",IF(MAX(AD175:AI175)=0,"不写",INDEX($T$4:$Y$4,MATCH(MAX(AD175:AI175),AD175:AI175,0))&amp;"·"&amp;IF(MAX(AD175:AI175)&gt;=200,"高","中")&amp;IF(LARGE(AD175:AI175,2)&gt;0,"（也像"&amp;INDEX($T$4:$Y$4,MATCH(LARGE(AD175:AI175,2),AD175:AI175,0))&amp;"·"&amp;IF(LARGE(AD175:AI175,2)&gt;=200,"高","中")&amp;"）",""))))</f>
        <v/>
      </c>
      <c r="AA175" s="27" t="n"/>
      <c r="AB175" s="32" t="n"/>
      <c r="AC175" s="16" t="n"/>
      <c r="AD175" s="40">
        <f>IF(N(T175)&gt;=3,IF(T175=4,2,1)*100+T175*10+6,0)</f>
        <v>0</v>
      </c>
      <c r="AE175" s="40">
        <f>IF(N(U175)&gt;=3,1*100+U175*10+1,0)</f>
        <v>0</v>
      </c>
      <c r="AF175" s="40">
        <f>IF(N(V175)&gt;=3,IF(V175=4,2,1)*100+V175*10+2,0)</f>
        <v>0</v>
      </c>
      <c r="AG175" s="40">
        <f>IF(N(W175)&gt;=3,1*100+W175*10+3,0)</f>
        <v>0</v>
      </c>
      <c r="AH175" s="40">
        <f>IF(N(X175)&gt;=3,1*100+X175*10+4,0)</f>
        <v>0</v>
      </c>
      <c r="AI175" s="40">
        <f>IF(N(Y175)&gt;=3,IF(AND(N(T175)&gt;=3,OR(N(T175)=4,N(Y175)&lt;=N(T175))),0,IF(Y175=4,2,1)*100+Y175*10+5),0)</f>
        <v>0</v>
      </c>
    </row>
    <row r="176">
      <c r="A176" s="31" t="n"/>
      <c r="B176" s="36" t="str">
        <f>IF(ISNUMBER(A176),"周"&amp;CHOOSE(WEEKDAY(A176,2),"一","二","三","四","五","六","日"),"")</f>
        <v/>
      </c>
      <c r="C176" s="37" t="n"/>
      <c r="D176" s="37" t="n"/>
      <c r="E176" s="37" t="n"/>
      <c r="F176" s="17" t="n"/>
      <c r="G176" s="38" t="str">
        <f>IF(AND(ISNUMBER(F176),ISNUMBER(F175)),IF(F175=0,"",F176/F175-1),"")</f>
        <v/>
      </c>
      <c r="H176" s="17" t="n"/>
      <c r="I176" s="17" t="n"/>
      <c r="J176" s="17" t="n"/>
      <c r="K176" s="17" t="n"/>
      <c r="L176" s="17" t="n"/>
      <c r="M176" s="17" t="n"/>
      <c r="N176" s="39" t="str">
        <f>IF(AND(ISNUMBER(L176),ISNUMBER(M176),N(L176)&gt;0),M176/L176,"")</f>
        <v/>
      </c>
      <c r="O176" s="17" t="n"/>
      <c r="P176" s="17" t="n"/>
      <c r="Q176" s="39" t="str">
        <f>IF(AND(ISNUMBER(O176),ISNUMBER(P176),N(O176)&gt;0),P176/O176,"")</f>
        <v/>
      </c>
      <c r="R176" s="17" t="n"/>
      <c r="S176" s="37" t="n"/>
      <c r="T176" s="40" t="str">
        <f>IF(AND(ISNUMBER(J176),ISNUMBER(K176)),IF(N(ISNUMBER('参数'!$E$31))+N(ISNUMBER('参数'!$G$31))+N(ISNUMBER('参数'!$I$31))+N(ISNUMBER('参数'!$K$31))=0,"",IF(ISNUMBER('参数'!$E$31),J176&lt;='参数'!$E$31,FALSE)+IF(ISNUMBER('参数'!$G$31),K176&gt;='参数'!$G$31,FALSE)+IF(AND(ISNUMBER('参数'!$I$31),ISNUMBER(N176)),N176&gt;='参数'!$I$31,FALSE)+IF(AND(ISNUMBER('参数'!$K$31),ISNUMBER(Q176)),Q176&lt;='参数'!$K$31,FALSE)),"")</f>
        <v/>
      </c>
      <c r="U176" s="40" t="str">
        <f>IF(AND(ISNUMBER(J176),ISNUMBER(K176)),IF(N(ISNUMBER('参数'!$G$32))+N(ISNUMBER('参数'!$I$32))+N(ISNUMBER('参数'!$K$32))=0,"",IF(AND(ISNUMBER(J175),ISNUMBER(J174)),AND(J176&gt;J175,J175&gt;J174),FALSE)+IF(ISNUMBER('参数'!$G$32),J176&lt;'参数'!$G$32,FALSE)+IF(AND(ISNUMBER('参数'!$I$32),ISNUMBER(Q176)),Q176&gt;='参数'!$I$32,FALSE)+IF(AND(ISNUMBER('参数'!$K$32),ISNUMBER(S176)),S176&gt;='参数'!$K$32,FALSE)),"")</f>
        <v/>
      </c>
      <c r="V176" s="40" t="str">
        <f>IF(AND(ISNUMBER(J176),ISNUMBER(K176)),IF(N(ISNUMBER('参数'!$E$33))+N(ISNUMBER('参数'!$G$33))+N(ISNUMBER('参数'!$I$33))+N(ISNUMBER('参数'!$K$33))=0,"",IF(AND(ISNUMBER('参数'!$E$33),ISNUMBER(J175)),AND(J176&gt;='参数'!$E$33,J176&gt;J175),FALSE)+IF(AND(ISNUMBER('参数'!$G$33),ISNUMBER(N176)),N176&lt;='参数'!$G$33,FALSE)+IF(AND(ISNUMBER('参数'!$I$33),ISNUMBER(Q176)),Q176&gt;='参数'!$I$33,FALSE)+IF(AND(ISNUMBER('参数'!$K$33),ISNUMBER(S176)),S176&gt;='参数'!$K$33,FALSE)),"")</f>
        <v/>
      </c>
      <c r="W176" s="40" t="str">
        <f>IF(AND(ISNUMBER(J176),ISNUMBER(K176)),IF(N(ISNUMBER('参数'!$E$34))+N(ISNUMBER('参数'!$G$34))+N(ISNUMBER('参数'!$I$34))+N(ISNUMBER('参数'!$K$34))=0,"",IF(ISNUMBER('参数'!$E$34),J176&gt;='参数'!$E$34,FALSE)+IF(AND(ISNUMBER('参数'!$G$34),ISNUMBER(N176)),N176&lt;='参数'!$G$34,FALSE)+IF(AND(ISNUMBER('参数'!$I$34),ISNUMBER(S176)),S176&gt;='参数'!$I$34,FALSE)+IF(AND(ISNUMBER('参数'!$K$34),ISNUMBER(R176)),R176&gt;='参数'!$K$34,FALSE)),"")</f>
        <v/>
      </c>
      <c r="X176" s="40" t="str">
        <f>IF(AND(ISNUMBER(J176),ISNUMBER(K176)),IF(N(ISNUMBER('参数'!$E$35))+N(ISNUMBER('参数'!$G$35))+N(ISNUMBER('参数'!$I$35))=0,"",IF(AND(ISNUMBER('参数'!$E$35),ISNUMBER(N176),ISNUMBER(N175)),ROUND(N176-N175,6)&gt;='参数'!$E$35,FALSE)+IF(AND(ISNUMBER('参数'!$G$35),ISNUMBER(Q176),ISNUMBER(Q175)),ROUND(Q175-Q176,6)&gt;='参数'!$G$35,FALSE)+IF(AND(ISNUMBER('参数'!$I$35),ISNUMBER(S176),ISNUMBER(S175)),ROUND(S175-S176,6)&gt;='参数'!$I$35,FALSE)+IF(ISNUMBER(J175),J176&lt;J175,FALSE)),"")</f>
        <v/>
      </c>
      <c r="Y176" s="40" t="str">
        <f>IF(AND(ISNUMBER(J176),ISNUMBER(K176)),IF(N(ISNUMBER('参数'!$E$36))+N(ISNUMBER('参数'!$G$36))+N(ISNUMBER('参数'!$I$36))=0,"",IF(AND(ISNUMBER('参数'!$E$36),ISNUMBER(J175)),AND(J176&lt;='参数'!$E$36,J176&lt;J175),FALSE)+IF(ISNUMBER('参数'!$G$36),K176&gt;='参数'!$G$36,FALSE)+IF(AND(ISNUMBER('参数'!$I$36),ISNUMBER(S176)),S176&lt;'参数'!$I$36,FALSE)+IF(AND(ISNUMBER(R176),ISNUMBER(R175)),R176&lt;R175,FALSE)),"")</f>
        <v/>
      </c>
      <c r="Z176" s="41" t="str">
        <f>IF(NOT(AND(ISNUMBER(J176),ISNUMBER(K176))),"",IF(COUNT(T176:Y176)=0,"先填阈值",IF(MAX(AD176:AI176)=0,"不写",INDEX($T$4:$Y$4,MATCH(MAX(AD176:AI176),AD176:AI176,0))&amp;"·"&amp;IF(MAX(AD176:AI176)&gt;=200,"高","中")&amp;IF(LARGE(AD176:AI176,2)&gt;0,"（也像"&amp;INDEX($T$4:$Y$4,MATCH(LARGE(AD176:AI176,2),AD176:AI176,0))&amp;"·"&amp;IF(LARGE(AD176:AI176,2)&gt;=200,"高","中")&amp;"）",""))))</f>
        <v/>
      </c>
      <c r="AA176" s="27" t="n"/>
      <c r="AB176" s="32" t="n"/>
      <c r="AC176" s="16" t="n"/>
      <c r="AD176" s="40">
        <f>IF(N(T176)&gt;=3,IF(T176=4,2,1)*100+T176*10+6,0)</f>
        <v>0</v>
      </c>
      <c r="AE176" s="40">
        <f>IF(N(U176)&gt;=3,1*100+U176*10+1,0)</f>
        <v>0</v>
      </c>
      <c r="AF176" s="40">
        <f>IF(N(V176)&gt;=3,IF(V176=4,2,1)*100+V176*10+2,0)</f>
        <v>0</v>
      </c>
      <c r="AG176" s="40">
        <f>IF(N(W176)&gt;=3,1*100+W176*10+3,0)</f>
        <v>0</v>
      </c>
      <c r="AH176" s="40">
        <f>IF(N(X176)&gt;=3,1*100+X176*10+4,0)</f>
        <v>0</v>
      </c>
      <c r="AI176" s="40">
        <f>IF(N(Y176)&gt;=3,IF(AND(N(T176)&gt;=3,OR(N(T176)=4,N(Y176)&lt;=N(T176))),0,IF(Y176=4,2,1)*100+Y176*10+5),0)</f>
        <v>0</v>
      </c>
    </row>
    <row r="177">
      <c r="A177" s="31" t="n"/>
      <c r="B177" s="36" t="str">
        <f>IF(ISNUMBER(A177),"周"&amp;CHOOSE(WEEKDAY(A177,2),"一","二","三","四","五","六","日"),"")</f>
        <v/>
      </c>
      <c r="C177" s="37" t="n"/>
      <c r="D177" s="37" t="n"/>
      <c r="E177" s="37" t="n"/>
      <c r="F177" s="17" t="n"/>
      <c r="G177" s="38" t="str">
        <f>IF(AND(ISNUMBER(F177),ISNUMBER(F176)),IF(F176=0,"",F177/F176-1),"")</f>
        <v/>
      </c>
      <c r="H177" s="17" t="n"/>
      <c r="I177" s="17" t="n"/>
      <c r="J177" s="17" t="n"/>
      <c r="K177" s="17" t="n"/>
      <c r="L177" s="17" t="n"/>
      <c r="M177" s="17" t="n"/>
      <c r="N177" s="39" t="str">
        <f>IF(AND(ISNUMBER(L177),ISNUMBER(M177),N(L177)&gt;0),M177/L177,"")</f>
        <v/>
      </c>
      <c r="O177" s="17" t="n"/>
      <c r="P177" s="17" t="n"/>
      <c r="Q177" s="39" t="str">
        <f>IF(AND(ISNUMBER(O177),ISNUMBER(P177),N(O177)&gt;0),P177/O177,"")</f>
        <v/>
      </c>
      <c r="R177" s="17" t="n"/>
      <c r="S177" s="37" t="n"/>
      <c r="T177" s="40" t="str">
        <f>IF(AND(ISNUMBER(J177),ISNUMBER(K177)),IF(N(ISNUMBER('参数'!$E$31))+N(ISNUMBER('参数'!$G$31))+N(ISNUMBER('参数'!$I$31))+N(ISNUMBER('参数'!$K$31))=0,"",IF(ISNUMBER('参数'!$E$31),J177&lt;='参数'!$E$31,FALSE)+IF(ISNUMBER('参数'!$G$31),K177&gt;='参数'!$G$31,FALSE)+IF(AND(ISNUMBER('参数'!$I$31),ISNUMBER(N177)),N177&gt;='参数'!$I$31,FALSE)+IF(AND(ISNUMBER('参数'!$K$31),ISNUMBER(Q177)),Q177&lt;='参数'!$K$31,FALSE)),"")</f>
        <v/>
      </c>
      <c r="U177" s="40" t="str">
        <f>IF(AND(ISNUMBER(J177),ISNUMBER(K177)),IF(N(ISNUMBER('参数'!$G$32))+N(ISNUMBER('参数'!$I$32))+N(ISNUMBER('参数'!$K$32))=0,"",IF(AND(ISNUMBER(J176),ISNUMBER(J175)),AND(J177&gt;J176,J176&gt;J175),FALSE)+IF(ISNUMBER('参数'!$G$32),J177&lt;'参数'!$G$32,FALSE)+IF(AND(ISNUMBER('参数'!$I$32),ISNUMBER(Q177)),Q177&gt;='参数'!$I$32,FALSE)+IF(AND(ISNUMBER('参数'!$K$32),ISNUMBER(S177)),S177&gt;='参数'!$K$32,FALSE)),"")</f>
        <v/>
      </c>
      <c r="V177" s="40" t="str">
        <f>IF(AND(ISNUMBER(J177),ISNUMBER(K177)),IF(N(ISNUMBER('参数'!$E$33))+N(ISNUMBER('参数'!$G$33))+N(ISNUMBER('参数'!$I$33))+N(ISNUMBER('参数'!$K$33))=0,"",IF(AND(ISNUMBER('参数'!$E$33),ISNUMBER(J176)),AND(J177&gt;='参数'!$E$33,J177&gt;J176),FALSE)+IF(AND(ISNUMBER('参数'!$G$33),ISNUMBER(N177)),N177&lt;='参数'!$G$33,FALSE)+IF(AND(ISNUMBER('参数'!$I$33),ISNUMBER(Q177)),Q177&gt;='参数'!$I$33,FALSE)+IF(AND(ISNUMBER('参数'!$K$33),ISNUMBER(S177)),S177&gt;='参数'!$K$33,FALSE)),"")</f>
        <v/>
      </c>
      <c r="W177" s="40" t="str">
        <f>IF(AND(ISNUMBER(J177),ISNUMBER(K177)),IF(N(ISNUMBER('参数'!$E$34))+N(ISNUMBER('参数'!$G$34))+N(ISNUMBER('参数'!$I$34))+N(ISNUMBER('参数'!$K$34))=0,"",IF(ISNUMBER('参数'!$E$34),J177&gt;='参数'!$E$34,FALSE)+IF(AND(ISNUMBER('参数'!$G$34),ISNUMBER(N177)),N177&lt;='参数'!$G$34,FALSE)+IF(AND(ISNUMBER('参数'!$I$34),ISNUMBER(S177)),S177&gt;='参数'!$I$34,FALSE)+IF(AND(ISNUMBER('参数'!$K$34),ISNUMBER(R177)),R177&gt;='参数'!$K$34,FALSE)),"")</f>
        <v/>
      </c>
      <c r="X177" s="40" t="str">
        <f>IF(AND(ISNUMBER(J177),ISNUMBER(K177)),IF(N(ISNUMBER('参数'!$E$35))+N(ISNUMBER('参数'!$G$35))+N(ISNUMBER('参数'!$I$35))=0,"",IF(AND(ISNUMBER('参数'!$E$35),ISNUMBER(N177),ISNUMBER(N176)),ROUND(N177-N176,6)&gt;='参数'!$E$35,FALSE)+IF(AND(ISNUMBER('参数'!$G$35),ISNUMBER(Q177),ISNUMBER(Q176)),ROUND(Q176-Q177,6)&gt;='参数'!$G$35,FALSE)+IF(AND(ISNUMBER('参数'!$I$35),ISNUMBER(S177),ISNUMBER(S176)),ROUND(S176-S177,6)&gt;='参数'!$I$35,FALSE)+IF(ISNUMBER(J176),J177&lt;J176,FALSE)),"")</f>
        <v/>
      </c>
      <c r="Y177" s="40" t="str">
        <f>IF(AND(ISNUMBER(J177),ISNUMBER(K177)),IF(N(ISNUMBER('参数'!$E$36))+N(ISNUMBER('参数'!$G$36))+N(ISNUMBER('参数'!$I$36))=0,"",IF(AND(ISNUMBER('参数'!$E$36),ISNUMBER(J176)),AND(J177&lt;='参数'!$E$36,J177&lt;J176),FALSE)+IF(ISNUMBER('参数'!$G$36),K177&gt;='参数'!$G$36,FALSE)+IF(AND(ISNUMBER('参数'!$I$36),ISNUMBER(S177)),S177&lt;'参数'!$I$36,FALSE)+IF(AND(ISNUMBER(R177),ISNUMBER(R176)),R177&lt;R176,FALSE)),"")</f>
        <v/>
      </c>
      <c r="Z177" s="41" t="str">
        <f>IF(NOT(AND(ISNUMBER(J177),ISNUMBER(K177))),"",IF(COUNT(T177:Y177)=0,"先填阈值",IF(MAX(AD177:AI177)=0,"不写",INDEX($T$4:$Y$4,MATCH(MAX(AD177:AI177),AD177:AI177,0))&amp;"·"&amp;IF(MAX(AD177:AI177)&gt;=200,"高","中")&amp;IF(LARGE(AD177:AI177,2)&gt;0,"（也像"&amp;INDEX($T$4:$Y$4,MATCH(LARGE(AD177:AI177,2),AD177:AI177,0))&amp;"·"&amp;IF(LARGE(AD177:AI177,2)&gt;=200,"高","中")&amp;"）",""))))</f>
        <v/>
      </c>
      <c r="AA177" s="27" t="n"/>
      <c r="AB177" s="32" t="n"/>
      <c r="AC177" s="16" t="n"/>
      <c r="AD177" s="40">
        <f>IF(N(T177)&gt;=3,IF(T177=4,2,1)*100+T177*10+6,0)</f>
        <v>0</v>
      </c>
      <c r="AE177" s="40">
        <f>IF(N(U177)&gt;=3,1*100+U177*10+1,0)</f>
        <v>0</v>
      </c>
      <c r="AF177" s="40">
        <f>IF(N(V177)&gt;=3,IF(V177=4,2,1)*100+V177*10+2,0)</f>
        <v>0</v>
      </c>
      <c r="AG177" s="40">
        <f>IF(N(W177)&gt;=3,1*100+W177*10+3,0)</f>
        <v>0</v>
      </c>
      <c r="AH177" s="40">
        <f>IF(N(X177)&gt;=3,1*100+X177*10+4,0)</f>
        <v>0</v>
      </c>
      <c r="AI177" s="40">
        <f>IF(N(Y177)&gt;=3,IF(AND(N(T177)&gt;=3,OR(N(T177)=4,N(Y177)&lt;=N(T177))),0,IF(Y177=4,2,1)*100+Y177*10+5),0)</f>
        <v>0</v>
      </c>
    </row>
    <row r="178">
      <c r="A178" s="31" t="n"/>
      <c r="B178" s="36" t="str">
        <f>IF(ISNUMBER(A178),"周"&amp;CHOOSE(WEEKDAY(A178,2),"一","二","三","四","五","六","日"),"")</f>
        <v/>
      </c>
      <c r="C178" s="37" t="n"/>
      <c r="D178" s="37" t="n"/>
      <c r="E178" s="37" t="n"/>
      <c r="F178" s="17" t="n"/>
      <c r="G178" s="38" t="str">
        <f>IF(AND(ISNUMBER(F178),ISNUMBER(F177)),IF(F177=0,"",F178/F177-1),"")</f>
        <v/>
      </c>
      <c r="H178" s="17" t="n"/>
      <c r="I178" s="17" t="n"/>
      <c r="J178" s="17" t="n"/>
      <c r="K178" s="17" t="n"/>
      <c r="L178" s="17" t="n"/>
      <c r="M178" s="17" t="n"/>
      <c r="N178" s="39" t="str">
        <f>IF(AND(ISNUMBER(L178),ISNUMBER(M178),N(L178)&gt;0),M178/L178,"")</f>
        <v/>
      </c>
      <c r="O178" s="17" t="n"/>
      <c r="P178" s="17" t="n"/>
      <c r="Q178" s="39" t="str">
        <f>IF(AND(ISNUMBER(O178),ISNUMBER(P178),N(O178)&gt;0),P178/O178,"")</f>
        <v/>
      </c>
      <c r="R178" s="17" t="n"/>
      <c r="S178" s="37" t="n"/>
      <c r="T178" s="40" t="str">
        <f>IF(AND(ISNUMBER(J178),ISNUMBER(K178)),IF(N(ISNUMBER('参数'!$E$31))+N(ISNUMBER('参数'!$G$31))+N(ISNUMBER('参数'!$I$31))+N(ISNUMBER('参数'!$K$31))=0,"",IF(ISNUMBER('参数'!$E$31),J178&lt;='参数'!$E$31,FALSE)+IF(ISNUMBER('参数'!$G$31),K178&gt;='参数'!$G$31,FALSE)+IF(AND(ISNUMBER('参数'!$I$31),ISNUMBER(N178)),N178&gt;='参数'!$I$31,FALSE)+IF(AND(ISNUMBER('参数'!$K$31),ISNUMBER(Q178)),Q178&lt;='参数'!$K$31,FALSE)),"")</f>
        <v/>
      </c>
      <c r="U178" s="40" t="str">
        <f>IF(AND(ISNUMBER(J178),ISNUMBER(K178)),IF(N(ISNUMBER('参数'!$G$32))+N(ISNUMBER('参数'!$I$32))+N(ISNUMBER('参数'!$K$32))=0,"",IF(AND(ISNUMBER(J177),ISNUMBER(J176)),AND(J178&gt;J177,J177&gt;J176),FALSE)+IF(ISNUMBER('参数'!$G$32),J178&lt;'参数'!$G$32,FALSE)+IF(AND(ISNUMBER('参数'!$I$32),ISNUMBER(Q178)),Q178&gt;='参数'!$I$32,FALSE)+IF(AND(ISNUMBER('参数'!$K$32),ISNUMBER(S178)),S178&gt;='参数'!$K$32,FALSE)),"")</f>
        <v/>
      </c>
      <c r="V178" s="40" t="str">
        <f>IF(AND(ISNUMBER(J178),ISNUMBER(K178)),IF(N(ISNUMBER('参数'!$E$33))+N(ISNUMBER('参数'!$G$33))+N(ISNUMBER('参数'!$I$33))+N(ISNUMBER('参数'!$K$33))=0,"",IF(AND(ISNUMBER('参数'!$E$33),ISNUMBER(J177)),AND(J178&gt;='参数'!$E$33,J178&gt;J177),FALSE)+IF(AND(ISNUMBER('参数'!$G$33),ISNUMBER(N178)),N178&lt;='参数'!$G$33,FALSE)+IF(AND(ISNUMBER('参数'!$I$33),ISNUMBER(Q178)),Q178&gt;='参数'!$I$33,FALSE)+IF(AND(ISNUMBER('参数'!$K$33),ISNUMBER(S178)),S178&gt;='参数'!$K$33,FALSE)),"")</f>
        <v/>
      </c>
      <c r="W178" s="40" t="str">
        <f>IF(AND(ISNUMBER(J178),ISNUMBER(K178)),IF(N(ISNUMBER('参数'!$E$34))+N(ISNUMBER('参数'!$G$34))+N(ISNUMBER('参数'!$I$34))+N(ISNUMBER('参数'!$K$34))=0,"",IF(ISNUMBER('参数'!$E$34),J178&gt;='参数'!$E$34,FALSE)+IF(AND(ISNUMBER('参数'!$G$34),ISNUMBER(N178)),N178&lt;='参数'!$G$34,FALSE)+IF(AND(ISNUMBER('参数'!$I$34),ISNUMBER(S178)),S178&gt;='参数'!$I$34,FALSE)+IF(AND(ISNUMBER('参数'!$K$34),ISNUMBER(R178)),R178&gt;='参数'!$K$34,FALSE)),"")</f>
        <v/>
      </c>
      <c r="X178" s="40" t="str">
        <f>IF(AND(ISNUMBER(J178),ISNUMBER(K178)),IF(N(ISNUMBER('参数'!$E$35))+N(ISNUMBER('参数'!$G$35))+N(ISNUMBER('参数'!$I$35))=0,"",IF(AND(ISNUMBER('参数'!$E$35),ISNUMBER(N178),ISNUMBER(N177)),ROUND(N178-N177,6)&gt;='参数'!$E$35,FALSE)+IF(AND(ISNUMBER('参数'!$G$35),ISNUMBER(Q178),ISNUMBER(Q177)),ROUND(Q177-Q178,6)&gt;='参数'!$G$35,FALSE)+IF(AND(ISNUMBER('参数'!$I$35),ISNUMBER(S178),ISNUMBER(S177)),ROUND(S177-S178,6)&gt;='参数'!$I$35,FALSE)+IF(ISNUMBER(J177),J178&lt;J177,FALSE)),"")</f>
        <v/>
      </c>
      <c r="Y178" s="40" t="str">
        <f>IF(AND(ISNUMBER(J178),ISNUMBER(K178)),IF(N(ISNUMBER('参数'!$E$36))+N(ISNUMBER('参数'!$G$36))+N(ISNUMBER('参数'!$I$36))=0,"",IF(AND(ISNUMBER('参数'!$E$36),ISNUMBER(J177)),AND(J178&lt;='参数'!$E$36,J178&lt;J177),FALSE)+IF(ISNUMBER('参数'!$G$36),K178&gt;='参数'!$G$36,FALSE)+IF(AND(ISNUMBER('参数'!$I$36),ISNUMBER(S178)),S178&lt;'参数'!$I$36,FALSE)+IF(AND(ISNUMBER(R178),ISNUMBER(R177)),R178&lt;R177,FALSE)),"")</f>
        <v/>
      </c>
      <c r="Z178" s="41" t="str">
        <f>IF(NOT(AND(ISNUMBER(J178),ISNUMBER(K178))),"",IF(COUNT(T178:Y178)=0,"先填阈值",IF(MAX(AD178:AI178)=0,"不写",INDEX($T$4:$Y$4,MATCH(MAX(AD178:AI178),AD178:AI178,0))&amp;"·"&amp;IF(MAX(AD178:AI178)&gt;=200,"高","中")&amp;IF(LARGE(AD178:AI178,2)&gt;0,"（也像"&amp;INDEX($T$4:$Y$4,MATCH(LARGE(AD178:AI178,2),AD178:AI178,0))&amp;"·"&amp;IF(LARGE(AD178:AI178,2)&gt;=200,"高","中")&amp;"）",""))))</f>
        <v/>
      </c>
      <c r="AA178" s="27" t="n"/>
      <c r="AB178" s="32" t="n"/>
      <c r="AC178" s="16" t="n"/>
      <c r="AD178" s="40">
        <f>IF(N(T178)&gt;=3,IF(T178=4,2,1)*100+T178*10+6,0)</f>
        <v>0</v>
      </c>
      <c r="AE178" s="40">
        <f>IF(N(U178)&gt;=3,1*100+U178*10+1,0)</f>
        <v>0</v>
      </c>
      <c r="AF178" s="40">
        <f>IF(N(V178)&gt;=3,IF(V178=4,2,1)*100+V178*10+2,0)</f>
        <v>0</v>
      </c>
      <c r="AG178" s="40">
        <f>IF(N(W178)&gt;=3,1*100+W178*10+3,0)</f>
        <v>0</v>
      </c>
      <c r="AH178" s="40">
        <f>IF(N(X178)&gt;=3,1*100+X178*10+4,0)</f>
        <v>0</v>
      </c>
      <c r="AI178" s="40">
        <f>IF(N(Y178)&gt;=3,IF(AND(N(T178)&gt;=3,OR(N(T178)=4,N(Y178)&lt;=N(T178))),0,IF(Y178=4,2,1)*100+Y178*10+5),0)</f>
        <v>0</v>
      </c>
    </row>
    <row r="179">
      <c r="A179" s="31" t="n"/>
      <c r="B179" s="36" t="str">
        <f>IF(ISNUMBER(A179),"周"&amp;CHOOSE(WEEKDAY(A179,2),"一","二","三","四","五","六","日"),"")</f>
        <v/>
      </c>
      <c r="C179" s="37" t="n"/>
      <c r="D179" s="37" t="n"/>
      <c r="E179" s="37" t="n"/>
      <c r="F179" s="17" t="n"/>
      <c r="G179" s="38" t="str">
        <f>IF(AND(ISNUMBER(F179),ISNUMBER(F178)),IF(F178=0,"",F179/F178-1),"")</f>
        <v/>
      </c>
      <c r="H179" s="17" t="n"/>
      <c r="I179" s="17" t="n"/>
      <c r="J179" s="17" t="n"/>
      <c r="K179" s="17" t="n"/>
      <c r="L179" s="17" t="n"/>
      <c r="M179" s="17" t="n"/>
      <c r="N179" s="39" t="str">
        <f>IF(AND(ISNUMBER(L179),ISNUMBER(M179),N(L179)&gt;0),M179/L179,"")</f>
        <v/>
      </c>
      <c r="O179" s="17" t="n"/>
      <c r="P179" s="17" t="n"/>
      <c r="Q179" s="39" t="str">
        <f>IF(AND(ISNUMBER(O179),ISNUMBER(P179),N(O179)&gt;0),P179/O179,"")</f>
        <v/>
      </c>
      <c r="R179" s="17" t="n"/>
      <c r="S179" s="37" t="n"/>
      <c r="T179" s="40" t="str">
        <f>IF(AND(ISNUMBER(J179),ISNUMBER(K179)),IF(N(ISNUMBER('参数'!$E$31))+N(ISNUMBER('参数'!$G$31))+N(ISNUMBER('参数'!$I$31))+N(ISNUMBER('参数'!$K$31))=0,"",IF(ISNUMBER('参数'!$E$31),J179&lt;='参数'!$E$31,FALSE)+IF(ISNUMBER('参数'!$G$31),K179&gt;='参数'!$G$31,FALSE)+IF(AND(ISNUMBER('参数'!$I$31),ISNUMBER(N179)),N179&gt;='参数'!$I$31,FALSE)+IF(AND(ISNUMBER('参数'!$K$31),ISNUMBER(Q179)),Q179&lt;='参数'!$K$31,FALSE)),"")</f>
        <v/>
      </c>
      <c r="U179" s="40" t="str">
        <f>IF(AND(ISNUMBER(J179),ISNUMBER(K179)),IF(N(ISNUMBER('参数'!$G$32))+N(ISNUMBER('参数'!$I$32))+N(ISNUMBER('参数'!$K$32))=0,"",IF(AND(ISNUMBER(J178),ISNUMBER(J177)),AND(J179&gt;J178,J178&gt;J177),FALSE)+IF(ISNUMBER('参数'!$G$32),J179&lt;'参数'!$G$32,FALSE)+IF(AND(ISNUMBER('参数'!$I$32),ISNUMBER(Q179)),Q179&gt;='参数'!$I$32,FALSE)+IF(AND(ISNUMBER('参数'!$K$32),ISNUMBER(S179)),S179&gt;='参数'!$K$32,FALSE)),"")</f>
        <v/>
      </c>
      <c r="V179" s="40" t="str">
        <f>IF(AND(ISNUMBER(J179),ISNUMBER(K179)),IF(N(ISNUMBER('参数'!$E$33))+N(ISNUMBER('参数'!$G$33))+N(ISNUMBER('参数'!$I$33))+N(ISNUMBER('参数'!$K$33))=0,"",IF(AND(ISNUMBER('参数'!$E$33),ISNUMBER(J178)),AND(J179&gt;='参数'!$E$33,J179&gt;J178),FALSE)+IF(AND(ISNUMBER('参数'!$G$33),ISNUMBER(N179)),N179&lt;='参数'!$G$33,FALSE)+IF(AND(ISNUMBER('参数'!$I$33),ISNUMBER(Q179)),Q179&gt;='参数'!$I$33,FALSE)+IF(AND(ISNUMBER('参数'!$K$33),ISNUMBER(S179)),S179&gt;='参数'!$K$33,FALSE)),"")</f>
        <v/>
      </c>
      <c r="W179" s="40" t="str">
        <f>IF(AND(ISNUMBER(J179),ISNUMBER(K179)),IF(N(ISNUMBER('参数'!$E$34))+N(ISNUMBER('参数'!$G$34))+N(ISNUMBER('参数'!$I$34))+N(ISNUMBER('参数'!$K$34))=0,"",IF(ISNUMBER('参数'!$E$34),J179&gt;='参数'!$E$34,FALSE)+IF(AND(ISNUMBER('参数'!$G$34),ISNUMBER(N179)),N179&lt;='参数'!$G$34,FALSE)+IF(AND(ISNUMBER('参数'!$I$34),ISNUMBER(S179)),S179&gt;='参数'!$I$34,FALSE)+IF(AND(ISNUMBER('参数'!$K$34),ISNUMBER(R179)),R179&gt;='参数'!$K$34,FALSE)),"")</f>
        <v/>
      </c>
      <c r="X179" s="40" t="str">
        <f>IF(AND(ISNUMBER(J179),ISNUMBER(K179)),IF(N(ISNUMBER('参数'!$E$35))+N(ISNUMBER('参数'!$G$35))+N(ISNUMBER('参数'!$I$35))=0,"",IF(AND(ISNUMBER('参数'!$E$35),ISNUMBER(N179),ISNUMBER(N178)),ROUND(N179-N178,6)&gt;='参数'!$E$35,FALSE)+IF(AND(ISNUMBER('参数'!$G$35),ISNUMBER(Q179),ISNUMBER(Q178)),ROUND(Q178-Q179,6)&gt;='参数'!$G$35,FALSE)+IF(AND(ISNUMBER('参数'!$I$35),ISNUMBER(S179),ISNUMBER(S178)),ROUND(S178-S179,6)&gt;='参数'!$I$35,FALSE)+IF(ISNUMBER(J178),J179&lt;J178,FALSE)),"")</f>
        <v/>
      </c>
      <c r="Y179" s="40" t="str">
        <f>IF(AND(ISNUMBER(J179),ISNUMBER(K179)),IF(N(ISNUMBER('参数'!$E$36))+N(ISNUMBER('参数'!$G$36))+N(ISNUMBER('参数'!$I$36))=0,"",IF(AND(ISNUMBER('参数'!$E$36),ISNUMBER(J178)),AND(J179&lt;='参数'!$E$36,J179&lt;J178),FALSE)+IF(ISNUMBER('参数'!$G$36),K179&gt;='参数'!$G$36,FALSE)+IF(AND(ISNUMBER('参数'!$I$36),ISNUMBER(S179)),S179&lt;'参数'!$I$36,FALSE)+IF(AND(ISNUMBER(R179),ISNUMBER(R178)),R179&lt;R178,FALSE)),"")</f>
        <v/>
      </c>
      <c r="Z179" s="41" t="str">
        <f>IF(NOT(AND(ISNUMBER(J179),ISNUMBER(K179))),"",IF(COUNT(T179:Y179)=0,"先填阈值",IF(MAX(AD179:AI179)=0,"不写",INDEX($T$4:$Y$4,MATCH(MAX(AD179:AI179),AD179:AI179,0))&amp;"·"&amp;IF(MAX(AD179:AI179)&gt;=200,"高","中")&amp;IF(LARGE(AD179:AI179,2)&gt;0,"（也像"&amp;INDEX($T$4:$Y$4,MATCH(LARGE(AD179:AI179,2),AD179:AI179,0))&amp;"·"&amp;IF(LARGE(AD179:AI179,2)&gt;=200,"高","中")&amp;"）",""))))</f>
        <v/>
      </c>
      <c r="AA179" s="27" t="n"/>
      <c r="AB179" s="32" t="n"/>
      <c r="AC179" s="16" t="n"/>
      <c r="AD179" s="40">
        <f>IF(N(T179)&gt;=3,IF(T179=4,2,1)*100+T179*10+6,0)</f>
        <v>0</v>
      </c>
      <c r="AE179" s="40">
        <f>IF(N(U179)&gt;=3,1*100+U179*10+1,0)</f>
        <v>0</v>
      </c>
      <c r="AF179" s="40">
        <f>IF(N(V179)&gt;=3,IF(V179=4,2,1)*100+V179*10+2,0)</f>
        <v>0</v>
      </c>
      <c r="AG179" s="40">
        <f>IF(N(W179)&gt;=3,1*100+W179*10+3,0)</f>
        <v>0</v>
      </c>
      <c r="AH179" s="40">
        <f>IF(N(X179)&gt;=3,1*100+X179*10+4,0)</f>
        <v>0</v>
      </c>
      <c r="AI179" s="40">
        <f>IF(N(Y179)&gt;=3,IF(AND(N(T179)&gt;=3,OR(N(T179)=4,N(Y179)&lt;=N(T179))),0,IF(Y179=4,2,1)*100+Y179*10+5),0)</f>
        <v>0</v>
      </c>
    </row>
    <row r="180">
      <c r="A180" s="31" t="n"/>
      <c r="B180" s="36" t="str">
        <f>IF(ISNUMBER(A180),"周"&amp;CHOOSE(WEEKDAY(A180,2),"一","二","三","四","五","六","日"),"")</f>
        <v/>
      </c>
      <c r="C180" s="37" t="n"/>
      <c r="D180" s="37" t="n"/>
      <c r="E180" s="37" t="n"/>
      <c r="F180" s="17" t="n"/>
      <c r="G180" s="38" t="str">
        <f>IF(AND(ISNUMBER(F180),ISNUMBER(F179)),IF(F179=0,"",F180/F179-1),"")</f>
        <v/>
      </c>
      <c r="H180" s="17" t="n"/>
      <c r="I180" s="17" t="n"/>
      <c r="J180" s="17" t="n"/>
      <c r="K180" s="17" t="n"/>
      <c r="L180" s="17" t="n"/>
      <c r="M180" s="17" t="n"/>
      <c r="N180" s="39" t="str">
        <f>IF(AND(ISNUMBER(L180),ISNUMBER(M180),N(L180)&gt;0),M180/L180,"")</f>
        <v/>
      </c>
      <c r="O180" s="17" t="n"/>
      <c r="P180" s="17" t="n"/>
      <c r="Q180" s="39" t="str">
        <f>IF(AND(ISNUMBER(O180),ISNUMBER(P180),N(O180)&gt;0),P180/O180,"")</f>
        <v/>
      </c>
      <c r="R180" s="17" t="n"/>
      <c r="S180" s="37" t="n"/>
      <c r="T180" s="40" t="str">
        <f>IF(AND(ISNUMBER(J180),ISNUMBER(K180)),IF(N(ISNUMBER('参数'!$E$31))+N(ISNUMBER('参数'!$G$31))+N(ISNUMBER('参数'!$I$31))+N(ISNUMBER('参数'!$K$31))=0,"",IF(ISNUMBER('参数'!$E$31),J180&lt;='参数'!$E$31,FALSE)+IF(ISNUMBER('参数'!$G$31),K180&gt;='参数'!$G$31,FALSE)+IF(AND(ISNUMBER('参数'!$I$31),ISNUMBER(N180)),N180&gt;='参数'!$I$31,FALSE)+IF(AND(ISNUMBER('参数'!$K$31),ISNUMBER(Q180)),Q180&lt;='参数'!$K$31,FALSE)),"")</f>
        <v/>
      </c>
      <c r="U180" s="40" t="str">
        <f>IF(AND(ISNUMBER(J180),ISNUMBER(K180)),IF(N(ISNUMBER('参数'!$G$32))+N(ISNUMBER('参数'!$I$32))+N(ISNUMBER('参数'!$K$32))=0,"",IF(AND(ISNUMBER(J179),ISNUMBER(J178)),AND(J180&gt;J179,J179&gt;J178),FALSE)+IF(ISNUMBER('参数'!$G$32),J180&lt;'参数'!$G$32,FALSE)+IF(AND(ISNUMBER('参数'!$I$32),ISNUMBER(Q180)),Q180&gt;='参数'!$I$32,FALSE)+IF(AND(ISNUMBER('参数'!$K$32),ISNUMBER(S180)),S180&gt;='参数'!$K$32,FALSE)),"")</f>
        <v/>
      </c>
      <c r="V180" s="40" t="str">
        <f>IF(AND(ISNUMBER(J180),ISNUMBER(K180)),IF(N(ISNUMBER('参数'!$E$33))+N(ISNUMBER('参数'!$G$33))+N(ISNUMBER('参数'!$I$33))+N(ISNUMBER('参数'!$K$33))=0,"",IF(AND(ISNUMBER('参数'!$E$33),ISNUMBER(J179)),AND(J180&gt;='参数'!$E$33,J180&gt;J179),FALSE)+IF(AND(ISNUMBER('参数'!$G$33),ISNUMBER(N180)),N180&lt;='参数'!$G$33,FALSE)+IF(AND(ISNUMBER('参数'!$I$33),ISNUMBER(Q180)),Q180&gt;='参数'!$I$33,FALSE)+IF(AND(ISNUMBER('参数'!$K$33),ISNUMBER(S180)),S180&gt;='参数'!$K$33,FALSE)),"")</f>
        <v/>
      </c>
      <c r="W180" s="40" t="str">
        <f>IF(AND(ISNUMBER(J180),ISNUMBER(K180)),IF(N(ISNUMBER('参数'!$E$34))+N(ISNUMBER('参数'!$G$34))+N(ISNUMBER('参数'!$I$34))+N(ISNUMBER('参数'!$K$34))=0,"",IF(ISNUMBER('参数'!$E$34),J180&gt;='参数'!$E$34,FALSE)+IF(AND(ISNUMBER('参数'!$G$34),ISNUMBER(N180)),N180&lt;='参数'!$G$34,FALSE)+IF(AND(ISNUMBER('参数'!$I$34),ISNUMBER(S180)),S180&gt;='参数'!$I$34,FALSE)+IF(AND(ISNUMBER('参数'!$K$34),ISNUMBER(R180)),R180&gt;='参数'!$K$34,FALSE)),"")</f>
        <v/>
      </c>
      <c r="X180" s="40" t="str">
        <f>IF(AND(ISNUMBER(J180),ISNUMBER(K180)),IF(N(ISNUMBER('参数'!$E$35))+N(ISNUMBER('参数'!$G$35))+N(ISNUMBER('参数'!$I$35))=0,"",IF(AND(ISNUMBER('参数'!$E$35),ISNUMBER(N180),ISNUMBER(N179)),ROUND(N180-N179,6)&gt;='参数'!$E$35,FALSE)+IF(AND(ISNUMBER('参数'!$G$35),ISNUMBER(Q180),ISNUMBER(Q179)),ROUND(Q179-Q180,6)&gt;='参数'!$G$35,FALSE)+IF(AND(ISNUMBER('参数'!$I$35),ISNUMBER(S180),ISNUMBER(S179)),ROUND(S179-S180,6)&gt;='参数'!$I$35,FALSE)+IF(ISNUMBER(J179),J180&lt;J179,FALSE)),"")</f>
        <v/>
      </c>
      <c r="Y180" s="40" t="str">
        <f>IF(AND(ISNUMBER(J180),ISNUMBER(K180)),IF(N(ISNUMBER('参数'!$E$36))+N(ISNUMBER('参数'!$G$36))+N(ISNUMBER('参数'!$I$36))=0,"",IF(AND(ISNUMBER('参数'!$E$36),ISNUMBER(J179)),AND(J180&lt;='参数'!$E$36,J180&lt;J179),FALSE)+IF(ISNUMBER('参数'!$G$36),K180&gt;='参数'!$G$36,FALSE)+IF(AND(ISNUMBER('参数'!$I$36),ISNUMBER(S180)),S180&lt;'参数'!$I$36,FALSE)+IF(AND(ISNUMBER(R180),ISNUMBER(R179)),R180&lt;R179,FALSE)),"")</f>
        <v/>
      </c>
      <c r="Z180" s="41" t="str">
        <f>IF(NOT(AND(ISNUMBER(J180),ISNUMBER(K180))),"",IF(COUNT(T180:Y180)=0,"先填阈值",IF(MAX(AD180:AI180)=0,"不写",INDEX($T$4:$Y$4,MATCH(MAX(AD180:AI180),AD180:AI180,0))&amp;"·"&amp;IF(MAX(AD180:AI180)&gt;=200,"高","中")&amp;IF(LARGE(AD180:AI180,2)&gt;0,"（也像"&amp;INDEX($T$4:$Y$4,MATCH(LARGE(AD180:AI180,2),AD180:AI180,0))&amp;"·"&amp;IF(LARGE(AD180:AI180,2)&gt;=200,"高","中")&amp;"）",""))))</f>
        <v/>
      </c>
      <c r="AA180" s="27" t="n"/>
      <c r="AB180" s="32" t="n"/>
      <c r="AC180" s="16" t="n"/>
      <c r="AD180" s="40">
        <f>IF(N(T180)&gt;=3,IF(T180=4,2,1)*100+T180*10+6,0)</f>
        <v>0</v>
      </c>
      <c r="AE180" s="40">
        <f>IF(N(U180)&gt;=3,1*100+U180*10+1,0)</f>
        <v>0</v>
      </c>
      <c r="AF180" s="40">
        <f>IF(N(V180)&gt;=3,IF(V180=4,2,1)*100+V180*10+2,0)</f>
        <v>0</v>
      </c>
      <c r="AG180" s="40">
        <f>IF(N(W180)&gt;=3,1*100+W180*10+3,0)</f>
        <v>0</v>
      </c>
      <c r="AH180" s="40">
        <f>IF(N(X180)&gt;=3,1*100+X180*10+4,0)</f>
        <v>0</v>
      </c>
      <c r="AI180" s="40">
        <f>IF(N(Y180)&gt;=3,IF(AND(N(T180)&gt;=3,OR(N(T180)=4,N(Y180)&lt;=N(T180))),0,IF(Y180=4,2,1)*100+Y180*10+5),0)</f>
        <v>0</v>
      </c>
    </row>
    <row r="181">
      <c r="A181" s="31" t="n"/>
      <c r="B181" s="36" t="str">
        <f>IF(ISNUMBER(A181),"周"&amp;CHOOSE(WEEKDAY(A181,2),"一","二","三","四","五","六","日"),"")</f>
        <v/>
      </c>
      <c r="C181" s="37" t="n"/>
      <c r="D181" s="37" t="n"/>
      <c r="E181" s="37" t="n"/>
      <c r="F181" s="17" t="n"/>
      <c r="G181" s="38" t="str">
        <f>IF(AND(ISNUMBER(F181),ISNUMBER(F180)),IF(F180=0,"",F181/F180-1),"")</f>
        <v/>
      </c>
      <c r="H181" s="17" t="n"/>
      <c r="I181" s="17" t="n"/>
      <c r="J181" s="17" t="n"/>
      <c r="K181" s="17" t="n"/>
      <c r="L181" s="17" t="n"/>
      <c r="M181" s="17" t="n"/>
      <c r="N181" s="39" t="str">
        <f>IF(AND(ISNUMBER(L181),ISNUMBER(M181),N(L181)&gt;0),M181/L181,"")</f>
        <v/>
      </c>
      <c r="O181" s="17" t="n"/>
      <c r="P181" s="17" t="n"/>
      <c r="Q181" s="39" t="str">
        <f>IF(AND(ISNUMBER(O181),ISNUMBER(P181),N(O181)&gt;0),P181/O181,"")</f>
        <v/>
      </c>
      <c r="R181" s="17" t="n"/>
      <c r="S181" s="37" t="n"/>
      <c r="T181" s="40" t="str">
        <f>IF(AND(ISNUMBER(J181),ISNUMBER(K181)),IF(N(ISNUMBER('参数'!$E$31))+N(ISNUMBER('参数'!$G$31))+N(ISNUMBER('参数'!$I$31))+N(ISNUMBER('参数'!$K$31))=0,"",IF(ISNUMBER('参数'!$E$31),J181&lt;='参数'!$E$31,FALSE)+IF(ISNUMBER('参数'!$G$31),K181&gt;='参数'!$G$31,FALSE)+IF(AND(ISNUMBER('参数'!$I$31),ISNUMBER(N181)),N181&gt;='参数'!$I$31,FALSE)+IF(AND(ISNUMBER('参数'!$K$31),ISNUMBER(Q181)),Q181&lt;='参数'!$K$31,FALSE)),"")</f>
        <v/>
      </c>
      <c r="U181" s="40" t="str">
        <f>IF(AND(ISNUMBER(J181),ISNUMBER(K181)),IF(N(ISNUMBER('参数'!$G$32))+N(ISNUMBER('参数'!$I$32))+N(ISNUMBER('参数'!$K$32))=0,"",IF(AND(ISNUMBER(J180),ISNUMBER(J179)),AND(J181&gt;J180,J180&gt;J179),FALSE)+IF(ISNUMBER('参数'!$G$32),J181&lt;'参数'!$G$32,FALSE)+IF(AND(ISNUMBER('参数'!$I$32),ISNUMBER(Q181)),Q181&gt;='参数'!$I$32,FALSE)+IF(AND(ISNUMBER('参数'!$K$32),ISNUMBER(S181)),S181&gt;='参数'!$K$32,FALSE)),"")</f>
        <v/>
      </c>
      <c r="V181" s="40" t="str">
        <f>IF(AND(ISNUMBER(J181),ISNUMBER(K181)),IF(N(ISNUMBER('参数'!$E$33))+N(ISNUMBER('参数'!$G$33))+N(ISNUMBER('参数'!$I$33))+N(ISNUMBER('参数'!$K$33))=0,"",IF(AND(ISNUMBER('参数'!$E$33),ISNUMBER(J180)),AND(J181&gt;='参数'!$E$33,J181&gt;J180),FALSE)+IF(AND(ISNUMBER('参数'!$G$33),ISNUMBER(N181)),N181&lt;='参数'!$G$33,FALSE)+IF(AND(ISNUMBER('参数'!$I$33),ISNUMBER(Q181)),Q181&gt;='参数'!$I$33,FALSE)+IF(AND(ISNUMBER('参数'!$K$33),ISNUMBER(S181)),S181&gt;='参数'!$K$33,FALSE)),"")</f>
        <v/>
      </c>
      <c r="W181" s="40" t="str">
        <f>IF(AND(ISNUMBER(J181),ISNUMBER(K181)),IF(N(ISNUMBER('参数'!$E$34))+N(ISNUMBER('参数'!$G$34))+N(ISNUMBER('参数'!$I$34))+N(ISNUMBER('参数'!$K$34))=0,"",IF(ISNUMBER('参数'!$E$34),J181&gt;='参数'!$E$34,FALSE)+IF(AND(ISNUMBER('参数'!$G$34),ISNUMBER(N181)),N181&lt;='参数'!$G$34,FALSE)+IF(AND(ISNUMBER('参数'!$I$34),ISNUMBER(S181)),S181&gt;='参数'!$I$34,FALSE)+IF(AND(ISNUMBER('参数'!$K$34),ISNUMBER(R181)),R181&gt;='参数'!$K$34,FALSE)),"")</f>
        <v/>
      </c>
      <c r="X181" s="40" t="str">
        <f>IF(AND(ISNUMBER(J181),ISNUMBER(K181)),IF(N(ISNUMBER('参数'!$E$35))+N(ISNUMBER('参数'!$G$35))+N(ISNUMBER('参数'!$I$35))=0,"",IF(AND(ISNUMBER('参数'!$E$35),ISNUMBER(N181),ISNUMBER(N180)),ROUND(N181-N180,6)&gt;='参数'!$E$35,FALSE)+IF(AND(ISNUMBER('参数'!$G$35),ISNUMBER(Q181),ISNUMBER(Q180)),ROUND(Q180-Q181,6)&gt;='参数'!$G$35,FALSE)+IF(AND(ISNUMBER('参数'!$I$35),ISNUMBER(S181),ISNUMBER(S180)),ROUND(S180-S181,6)&gt;='参数'!$I$35,FALSE)+IF(ISNUMBER(J180),J181&lt;J180,FALSE)),"")</f>
        <v/>
      </c>
      <c r="Y181" s="40" t="str">
        <f>IF(AND(ISNUMBER(J181),ISNUMBER(K181)),IF(N(ISNUMBER('参数'!$E$36))+N(ISNUMBER('参数'!$G$36))+N(ISNUMBER('参数'!$I$36))=0,"",IF(AND(ISNUMBER('参数'!$E$36),ISNUMBER(J180)),AND(J181&lt;='参数'!$E$36,J181&lt;J180),FALSE)+IF(ISNUMBER('参数'!$G$36),K181&gt;='参数'!$G$36,FALSE)+IF(AND(ISNUMBER('参数'!$I$36),ISNUMBER(S181)),S181&lt;'参数'!$I$36,FALSE)+IF(AND(ISNUMBER(R181),ISNUMBER(R180)),R181&lt;R180,FALSE)),"")</f>
        <v/>
      </c>
      <c r="Z181" s="41" t="str">
        <f>IF(NOT(AND(ISNUMBER(J181),ISNUMBER(K181))),"",IF(COUNT(T181:Y181)=0,"先填阈值",IF(MAX(AD181:AI181)=0,"不写",INDEX($T$4:$Y$4,MATCH(MAX(AD181:AI181),AD181:AI181,0))&amp;"·"&amp;IF(MAX(AD181:AI181)&gt;=200,"高","中")&amp;IF(LARGE(AD181:AI181,2)&gt;0,"（也像"&amp;INDEX($T$4:$Y$4,MATCH(LARGE(AD181:AI181,2),AD181:AI181,0))&amp;"·"&amp;IF(LARGE(AD181:AI181,2)&gt;=200,"高","中")&amp;"）",""))))</f>
        <v/>
      </c>
      <c r="AA181" s="27" t="n"/>
      <c r="AB181" s="32" t="n"/>
      <c r="AC181" s="16" t="n"/>
      <c r="AD181" s="40">
        <f>IF(N(T181)&gt;=3,IF(T181=4,2,1)*100+T181*10+6,0)</f>
        <v>0</v>
      </c>
      <c r="AE181" s="40">
        <f>IF(N(U181)&gt;=3,1*100+U181*10+1,0)</f>
        <v>0</v>
      </c>
      <c r="AF181" s="40">
        <f>IF(N(V181)&gt;=3,IF(V181=4,2,1)*100+V181*10+2,0)</f>
        <v>0</v>
      </c>
      <c r="AG181" s="40">
        <f>IF(N(W181)&gt;=3,1*100+W181*10+3,0)</f>
        <v>0</v>
      </c>
      <c r="AH181" s="40">
        <f>IF(N(X181)&gt;=3,1*100+X181*10+4,0)</f>
        <v>0</v>
      </c>
      <c r="AI181" s="40">
        <f>IF(N(Y181)&gt;=3,IF(AND(N(T181)&gt;=3,OR(N(T181)=4,N(Y181)&lt;=N(T181))),0,IF(Y181=4,2,1)*100+Y181*10+5),0)</f>
        <v>0</v>
      </c>
    </row>
    <row r="182">
      <c r="A182" s="31" t="n"/>
      <c r="B182" s="36" t="str">
        <f>IF(ISNUMBER(A182),"周"&amp;CHOOSE(WEEKDAY(A182,2),"一","二","三","四","五","六","日"),"")</f>
        <v/>
      </c>
      <c r="C182" s="37" t="n"/>
      <c r="D182" s="37" t="n"/>
      <c r="E182" s="37" t="n"/>
      <c r="F182" s="17" t="n"/>
      <c r="G182" s="38" t="str">
        <f>IF(AND(ISNUMBER(F182),ISNUMBER(F181)),IF(F181=0,"",F182/F181-1),"")</f>
        <v/>
      </c>
      <c r="H182" s="17" t="n"/>
      <c r="I182" s="17" t="n"/>
      <c r="J182" s="17" t="n"/>
      <c r="K182" s="17" t="n"/>
      <c r="L182" s="17" t="n"/>
      <c r="M182" s="17" t="n"/>
      <c r="N182" s="39" t="str">
        <f>IF(AND(ISNUMBER(L182),ISNUMBER(M182),N(L182)&gt;0),M182/L182,"")</f>
        <v/>
      </c>
      <c r="O182" s="17" t="n"/>
      <c r="P182" s="17" t="n"/>
      <c r="Q182" s="39" t="str">
        <f>IF(AND(ISNUMBER(O182),ISNUMBER(P182),N(O182)&gt;0),P182/O182,"")</f>
        <v/>
      </c>
      <c r="R182" s="17" t="n"/>
      <c r="S182" s="37" t="n"/>
      <c r="T182" s="40" t="str">
        <f>IF(AND(ISNUMBER(J182),ISNUMBER(K182)),IF(N(ISNUMBER('参数'!$E$31))+N(ISNUMBER('参数'!$G$31))+N(ISNUMBER('参数'!$I$31))+N(ISNUMBER('参数'!$K$31))=0,"",IF(ISNUMBER('参数'!$E$31),J182&lt;='参数'!$E$31,FALSE)+IF(ISNUMBER('参数'!$G$31),K182&gt;='参数'!$G$31,FALSE)+IF(AND(ISNUMBER('参数'!$I$31),ISNUMBER(N182)),N182&gt;='参数'!$I$31,FALSE)+IF(AND(ISNUMBER('参数'!$K$31),ISNUMBER(Q182)),Q182&lt;='参数'!$K$31,FALSE)),"")</f>
        <v/>
      </c>
      <c r="U182" s="40" t="str">
        <f>IF(AND(ISNUMBER(J182),ISNUMBER(K182)),IF(N(ISNUMBER('参数'!$G$32))+N(ISNUMBER('参数'!$I$32))+N(ISNUMBER('参数'!$K$32))=0,"",IF(AND(ISNUMBER(J181),ISNUMBER(J180)),AND(J182&gt;J181,J181&gt;J180),FALSE)+IF(ISNUMBER('参数'!$G$32),J182&lt;'参数'!$G$32,FALSE)+IF(AND(ISNUMBER('参数'!$I$32),ISNUMBER(Q182)),Q182&gt;='参数'!$I$32,FALSE)+IF(AND(ISNUMBER('参数'!$K$32),ISNUMBER(S182)),S182&gt;='参数'!$K$32,FALSE)),"")</f>
        <v/>
      </c>
      <c r="V182" s="40" t="str">
        <f>IF(AND(ISNUMBER(J182),ISNUMBER(K182)),IF(N(ISNUMBER('参数'!$E$33))+N(ISNUMBER('参数'!$G$33))+N(ISNUMBER('参数'!$I$33))+N(ISNUMBER('参数'!$K$33))=0,"",IF(AND(ISNUMBER('参数'!$E$33),ISNUMBER(J181)),AND(J182&gt;='参数'!$E$33,J182&gt;J181),FALSE)+IF(AND(ISNUMBER('参数'!$G$33),ISNUMBER(N182)),N182&lt;='参数'!$G$33,FALSE)+IF(AND(ISNUMBER('参数'!$I$33),ISNUMBER(Q182)),Q182&gt;='参数'!$I$33,FALSE)+IF(AND(ISNUMBER('参数'!$K$33),ISNUMBER(S182)),S182&gt;='参数'!$K$33,FALSE)),"")</f>
        <v/>
      </c>
      <c r="W182" s="40" t="str">
        <f>IF(AND(ISNUMBER(J182),ISNUMBER(K182)),IF(N(ISNUMBER('参数'!$E$34))+N(ISNUMBER('参数'!$G$34))+N(ISNUMBER('参数'!$I$34))+N(ISNUMBER('参数'!$K$34))=0,"",IF(ISNUMBER('参数'!$E$34),J182&gt;='参数'!$E$34,FALSE)+IF(AND(ISNUMBER('参数'!$G$34),ISNUMBER(N182)),N182&lt;='参数'!$G$34,FALSE)+IF(AND(ISNUMBER('参数'!$I$34),ISNUMBER(S182)),S182&gt;='参数'!$I$34,FALSE)+IF(AND(ISNUMBER('参数'!$K$34),ISNUMBER(R182)),R182&gt;='参数'!$K$34,FALSE)),"")</f>
        <v/>
      </c>
      <c r="X182" s="40" t="str">
        <f>IF(AND(ISNUMBER(J182),ISNUMBER(K182)),IF(N(ISNUMBER('参数'!$E$35))+N(ISNUMBER('参数'!$G$35))+N(ISNUMBER('参数'!$I$35))=0,"",IF(AND(ISNUMBER('参数'!$E$35),ISNUMBER(N182),ISNUMBER(N181)),ROUND(N182-N181,6)&gt;='参数'!$E$35,FALSE)+IF(AND(ISNUMBER('参数'!$G$35),ISNUMBER(Q182),ISNUMBER(Q181)),ROUND(Q181-Q182,6)&gt;='参数'!$G$35,FALSE)+IF(AND(ISNUMBER('参数'!$I$35),ISNUMBER(S182),ISNUMBER(S181)),ROUND(S181-S182,6)&gt;='参数'!$I$35,FALSE)+IF(ISNUMBER(J181),J182&lt;J181,FALSE)),"")</f>
        <v/>
      </c>
      <c r="Y182" s="40" t="str">
        <f>IF(AND(ISNUMBER(J182),ISNUMBER(K182)),IF(N(ISNUMBER('参数'!$E$36))+N(ISNUMBER('参数'!$G$36))+N(ISNUMBER('参数'!$I$36))=0,"",IF(AND(ISNUMBER('参数'!$E$36),ISNUMBER(J181)),AND(J182&lt;='参数'!$E$36,J182&lt;J181),FALSE)+IF(ISNUMBER('参数'!$G$36),K182&gt;='参数'!$G$36,FALSE)+IF(AND(ISNUMBER('参数'!$I$36),ISNUMBER(S182)),S182&lt;'参数'!$I$36,FALSE)+IF(AND(ISNUMBER(R182),ISNUMBER(R181)),R182&lt;R181,FALSE)),"")</f>
        <v/>
      </c>
      <c r="Z182" s="41" t="str">
        <f>IF(NOT(AND(ISNUMBER(J182),ISNUMBER(K182))),"",IF(COUNT(T182:Y182)=0,"先填阈值",IF(MAX(AD182:AI182)=0,"不写",INDEX($T$4:$Y$4,MATCH(MAX(AD182:AI182),AD182:AI182,0))&amp;"·"&amp;IF(MAX(AD182:AI182)&gt;=200,"高","中")&amp;IF(LARGE(AD182:AI182,2)&gt;0,"（也像"&amp;INDEX($T$4:$Y$4,MATCH(LARGE(AD182:AI182,2),AD182:AI182,0))&amp;"·"&amp;IF(LARGE(AD182:AI182,2)&gt;=200,"高","中")&amp;"）",""))))</f>
        <v/>
      </c>
      <c r="AA182" s="27" t="n"/>
      <c r="AB182" s="32" t="n"/>
      <c r="AC182" s="16" t="n"/>
      <c r="AD182" s="40">
        <f>IF(N(T182)&gt;=3,IF(T182=4,2,1)*100+T182*10+6,0)</f>
        <v>0</v>
      </c>
      <c r="AE182" s="40">
        <f>IF(N(U182)&gt;=3,1*100+U182*10+1,0)</f>
        <v>0</v>
      </c>
      <c r="AF182" s="40">
        <f>IF(N(V182)&gt;=3,IF(V182=4,2,1)*100+V182*10+2,0)</f>
        <v>0</v>
      </c>
      <c r="AG182" s="40">
        <f>IF(N(W182)&gt;=3,1*100+W182*10+3,0)</f>
        <v>0</v>
      </c>
      <c r="AH182" s="40">
        <f>IF(N(X182)&gt;=3,1*100+X182*10+4,0)</f>
        <v>0</v>
      </c>
      <c r="AI182" s="40">
        <f>IF(N(Y182)&gt;=3,IF(AND(N(T182)&gt;=3,OR(N(T182)=4,N(Y182)&lt;=N(T182))),0,IF(Y182=4,2,1)*100+Y182*10+5),0)</f>
        <v>0</v>
      </c>
    </row>
    <row r="183">
      <c r="A183" s="31" t="n"/>
      <c r="B183" s="36" t="str">
        <f>IF(ISNUMBER(A183),"周"&amp;CHOOSE(WEEKDAY(A183,2),"一","二","三","四","五","六","日"),"")</f>
        <v/>
      </c>
      <c r="C183" s="37" t="n"/>
      <c r="D183" s="37" t="n"/>
      <c r="E183" s="37" t="n"/>
      <c r="F183" s="17" t="n"/>
      <c r="G183" s="38" t="str">
        <f>IF(AND(ISNUMBER(F183),ISNUMBER(F182)),IF(F182=0,"",F183/F182-1),"")</f>
        <v/>
      </c>
      <c r="H183" s="17" t="n"/>
      <c r="I183" s="17" t="n"/>
      <c r="J183" s="17" t="n"/>
      <c r="K183" s="17" t="n"/>
      <c r="L183" s="17" t="n"/>
      <c r="M183" s="17" t="n"/>
      <c r="N183" s="39" t="str">
        <f>IF(AND(ISNUMBER(L183),ISNUMBER(M183),N(L183)&gt;0),M183/L183,"")</f>
        <v/>
      </c>
      <c r="O183" s="17" t="n"/>
      <c r="P183" s="17" t="n"/>
      <c r="Q183" s="39" t="str">
        <f>IF(AND(ISNUMBER(O183),ISNUMBER(P183),N(O183)&gt;0),P183/O183,"")</f>
        <v/>
      </c>
      <c r="R183" s="17" t="n"/>
      <c r="S183" s="37" t="n"/>
      <c r="T183" s="40" t="str">
        <f>IF(AND(ISNUMBER(J183),ISNUMBER(K183)),IF(N(ISNUMBER('参数'!$E$31))+N(ISNUMBER('参数'!$G$31))+N(ISNUMBER('参数'!$I$31))+N(ISNUMBER('参数'!$K$31))=0,"",IF(ISNUMBER('参数'!$E$31),J183&lt;='参数'!$E$31,FALSE)+IF(ISNUMBER('参数'!$G$31),K183&gt;='参数'!$G$31,FALSE)+IF(AND(ISNUMBER('参数'!$I$31),ISNUMBER(N183)),N183&gt;='参数'!$I$31,FALSE)+IF(AND(ISNUMBER('参数'!$K$31),ISNUMBER(Q183)),Q183&lt;='参数'!$K$31,FALSE)),"")</f>
        <v/>
      </c>
      <c r="U183" s="40" t="str">
        <f>IF(AND(ISNUMBER(J183),ISNUMBER(K183)),IF(N(ISNUMBER('参数'!$G$32))+N(ISNUMBER('参数'!$I$32))+N(ISNUMBER('参数'!$K$32))=0,"",IF(AND(ISNUMBER(J182),ISNUMBER(J181)),AND(J183&gt;J182,J182&gt;J181),FALSE)+IF(ISNUMBER('参数'!$G$32),J183&lt;'参数'!$G$32,FALSE)+IF(AND(ISNUMBER('参数'!$I$32),ISNUMBER(Q183)),Q183&gt;='参数'!$I$32,FALSE)+IF(AND(ISNUMBER('参数'!$K$32),ISNUMBER(S183)),S183&gt;='参数'!$K$32,FALSE)),"")</f>
        <v/>
      </c>
      <c r="V183" s="40" t="str">
        <f>IF(AND(ISNUMBER(J183),ISNUMBER(K183)),IF(N(ISNUMBER('参数'!$E$33))+N(ISNUMBER('参数'!$G$33))+N(ISNUMBER('参数'!$I$33))+N(ISNUMBER('参数'!$K$33))=0,"",IF(AND(ISNUMBER('参数'!$E$33),ISNUMBER(J182)),AND(J183&gt;='参数'!$E$33,J183&gt;J182),FALSE)+IF(AND(ISNUMBER('参数'!$G$33),ISNUMBER(N183)),N183&lt;='参数'!$G$33,FALSE)+IF(AND(ISNUMBER('参数'!$I$33),ISNUMBER(Q183)),Q183&gt;='参数'!$I$33,FALSE)+IF(AND(ISNUMBER('参数'!$K$33),ISNUMBER(S183)),S183&gt;='参数'!$K$33,FALSE)),"")</f>
        <v/>
      </c>
      <c r="W183" s="40" t="str">
        <f>IF(AND(ISNUMBER(J183),ISNUMBER(K183)),IF(N(ISNUMBER('参数'!$E$34))+N(ISNUMBER('参数'!$G$34))+N(ISNUMBER('参数'!$I$34))+N(ISNUMBER('参数'!$K$34))=0,"",IF(ISNUMBER('参数'!$E$34),J183&gt;='参数'!$E$34,FALSE)+IF(AND(ISNUMBER('参数'!$G$34),ISNUMBER(N183)),N183&lt;='参数'!$G$34,FALSE)+IF(AND(ISNUMBER('参数'!$I$34),ISNUMBER(S183)),S183&gt;='参数'!$I$34,FALSE)+IF(AND(ISNUMBER('参数'!$K$34),ISNUMBER(R183)),R183&gt;='参数'!$K$34,FALSE)),"")</f>
        <v/>
      </c>
      <c r="X183" s="40" t="str">
        <f>IF(AND(ISNUMBER(J183),ISNUMBER(K183)),IF(N(ISNUMBER('参数'!$E$35))+N(ISNUMBER('参数'!$G$35))+N(ISNUMBER('参数'!$I$35))=0,"",IF(AND(ISNUMBER('参数'!$E$35),ISNUMBER(N183),ISNUMBER(N182)),ROUND(N183-N182,6)&gt;='参数'!$E$35,FALSE)+IF(AND(ISNUMBER('参数'!$G$35),ISNUMBER(Q183),ISNUMBER(Q182)),ROUND(Q182-Q183,6)&gt;='参数'!$G$35,FALSE)+IF(AND(ISNUMBER('参数'!$I$35),ISNUMBER(S183),ISNUMBER(S182)),ROUND(S182-S183,6)&gt;='参数'!$I$35,FALSE)+IF(ISNUMBER(J182),J183&lt;J182,FALSE)),"")</f>
        <v/>
      </c>
      <c r="Y183" s="40" t="str">
        <f>IF(AND(ISNUMBER(J183),ISNUMBER(K183)),IF(N(ISNUMBER('参数'!$E$36))+N(ISNUMBER('参数'!$G$36))+N(ISNUMBER('参数'!$I$36))=0,"",IF(AND(ISNUMBER('参数'!$E$36),ISNUMBER(J182)),AND(J183&lt;='参数'!$E$36,J183&lt;J182),FALSE)+IF(ISNUMBER('参数'!$G$36),K183&gt;='参数'!$G$36,FALSE)+IF(AND(ISNUMBER('参数'!$I$36),ISNUMBER(S183)),S183&lt;'参数'!$I$36,FALSE)+IF(AND(ISNUMBER(R183),ISNUMBER(R182)),R183&lt;R182,FALSE)),"")</f>
        <v/>
      </c>
      <c r="Z183" s="41" t="str">
        <f>IF(NOT(AND(ISNUMBER(J183),ISNUMBER(K183))),"",IF(COUNT(T183:Y183)=0,"先填阈值",IF(MAX(AD183:AI183)=0,"不写",INDEX($T$4:$Y$4,MATCH(MAX(AD183:AI183),AD183:AI183,0))&amp;"·"&amp;IF(MAX(AD183:AI183)&gt;=200,"高","中")&amp;IF(LARGE(AD183:AI183,2)&gt;0,"（也像"&amp;INDEX($T$4:$Y$4,MATCH(LARGE(AD183:AI183,2),AD183:AI183,0))&amp;"·"&amp;IF(LARGE(AD183:AI183,2)&gt;=200,"高","中")&amp;"）",""))))</f>
        <v/>
      </c>
      <c r="AA183" s="27" t="n"/>
      <c r="AB183" s="32" t="n"/>
      <c r="AC183" s="16" t="n"/>
      <c r="AD183" s="40">
        <f>IF(N(T183)&gt;=3,IF(T183=4,2,1)*100+T183*10+6,0)</f>
        <v>0</v>
      </c>
      <c r="AE183" s="40">
        <f>IF(N(U183)&gt;=3,1*100+U183*10+1,0)</f>
        <v>0</v>
      </c>
      <c r="AF183" s="40">
        <f>IF(N(V183)&gt;=3,IF(V183=4,2,1)*100+V183*10+2,0)</f>
        <v>0</v>
      </c>
      <c r="AG183" s="40">
        <f>IF(N(W183)&gt;=3,1*100+W183*10+3,0)</f>
        <v>0</v>
      </c>
      <c r="AH183" s="40">
        <f>IF(N(X183)&gt;=3,1*100+X183*10+4,0)</f>
        <v>0</v>
      </c>
      <c r="AI183" s="40">
        <f>IF(N(Y183)&gt;=3,IF(AND(N(T183)&gt;=3,OR(N(T183)=4,N(Y183)&lt;=N(T183))),0,IF(Y183=4,2,1)*100+Y183*10+5),0)</f>
        <v>0</v>
      </c>
    </row>
    <row r="184">
      <c r="A184" s="31" t="n"/>
      <c r="B184" s="36" t="str">
        <f>IF(ISNUMBER(A184),"周"&amp;CHOOSE(WEEKDAY(A184,2),"一","二","三","四","五","六","日"),"")</f>
        <v/>
      </c>
      <c r="C184" s="37" t="n"/>
      <c r="D184" s="37" t="n"/>
      <c r="E184" s="37" t="n"/>
      <c r="F184" s="17" t="n"/>
      <c r="G184" s="38" t="str">
        <f>IF(AND(ISNUMBER(F184),ISNUMBER(F183)),IF(F183=0,"",F184/F183-1),"")</f>
        <v/>
      </c>
      <c r="H184" s="17" t="n"/>
      <c r="I184" s="17" t="n"/>
      <c r="J184" s="17" t="n"/>
      <c r="K184" s="17" t="n"/>
      <c r="L184" s="17" t="n"/>
      <c r="M184" s="17" t="n"/>
      <c r="N184" s="39" t="str">
        <f>IF(AND(ISNUMBER(L184),ISNUMBER(M184),N(L184)&gt;0),M184/L184,"")</f>
        <v/>
      </c>
      <c r="O184" s="17" t="n"/>
      <c r="P184" s="17" t="n"/>
      <c r="Q184" s="39" t="str">
        <f>IF(AND(ISNUMBER(O184),ISNUMBER(P184),N(O184)&gt;0),P184/O184,"")</f>
        <v/>
      </c>
      <c r="R184" s="17" t="n"/>
      <c r="S184" s="37" t="n"/>
      <c r="T184" s="40" t="str">
        <f>IF(AND(ISNUMBER(J184),ISNUMBER(K184)),IF(N(ISNUMBER('参数'!$E$31))+N(ISNUMBER('参数'!$G$31))+N(ISNUMBER('参数'!$I$31))+N(ISNUMBER('参数'!$K$31))=0,"",IF(ISNUMBER('参数'!$E$31),J184&lt;='参数'!$E$31,FALSE)+IF(ISNUMBER('参数'!$G$31),K184&gt;='参数'!$G$31,FALSE)+IF(AND(ISNUMBER('参数'!$I$31),ISNUMBER(N184)),N184&gt;='参数'!$I$31,FALSE)+IF(AND(ISNUMBER('参数'!$K$31),ISNUMBER(Q184)),Q184&lt;='参数'!$K$31,FALSE)),"")</f>
        <v/>
      </c>
      <c r="U184" s="40" t="str">
        <f>IF(AND(ISNUMBER(J184),ISNUMBER(K184)),IF(N(ISNUMBER('参数'!$G$32))+N(ISNUMBER('参数'!$I$32))+N(ISNUMBER('参数'!$K$32))=0,"",IF(AND(ISNUMBER(J183),ISNUMBER(J182)),AND(J184&gt;J183,J183&gt;J182),FALSE)+IF(ISNUMBER('参数'!$G$32),J184&lt;'参数'!$G$32,FALSE)+IF(AND(ISNUMBER('参数'!$I$32),ISNUMBER(Q184)),Q184&gt;='参数'!$I$32,FALSE)+IF(AND(ISNUMBER('参数'!$K$32),ISNUMBER(S184)),S184&gt;='参数'!$K$32,FALSE)),"")</f>
        <v/>
      </c>
      <c r="V184" s="40" t="str">
        <f>IF(AND(ISNUMBER(J184),ISNUMBER(K184)),IF(N(ISNUMBER('参数'!$E$33))+N(ISNUMBER('参数'!$G$33))+N(ISNUMBER('参数'!$I$33))+N(ISNUMBER('参数'!$K$33))=0,"",IF(AND(ISNUMBER('参数'!$E$33),ISNUMBER(J183)),AND(J184&gt;='参数'!$E$33,J184&gt;J183),FALSE)+IF(AND(ISNUMBER('参数'!$G$33),ISNUMBER(N184)),N184&lt;='参数'!$G$33,FALSE)+IF(AND(ISNUMBER('参数'!$I$33),ISNUMBER(Q184)),Q184&gt;='参数'!$I$33,FALSE)+IF(AND(ISNUMBER('参数'!$K$33),ISNUMBER(S184)),S184&gt;='参数'!$K$33,FALSE)),"")</f>
        <v/>
      </c>
      <c r="W184" s="40" t="str">
        <f>IF(AND(ISNUMBER(J184),ISNUMBER(K184)),IF(N(ISNUMBER('参数'!$E$34))+N(ISNUMBER('参数'!$G$34))+N(ISNUMBER('参数'!$I$34))+N(ISNUMBER('参数'!$K$34))=0,"",IF(ISNUMBER('参数'!$E$34),J184&gt;='参数'!$E$34,FALSE)+IF(AND(ISNUMBER('参数'!$G$34),ISNUMBER(N184)),N184&lt;='参数'!$G$34,FALSE)+IF(AND(ISNUMBER('参数'!$I$34),ISNUMBER(S184)),S184&gt;='参数'!$I$34,FALSE)+IF(AND(ISNUMBER('参数'!$K$34),ISNUMBER(R184)),R184&gt;='参数'!$K$34,FALSE)),"")</f>
        <v/>
      </c>
      <c r="X184" s="40" t="str">
        <f>IF(AND(ISNUMBER(J184),ISNUMBER(K184)),IF(N(ISNUMBER('参数'!$E$35))+N(ISNUMBER('参数'!$G$35))+N(ISNUMBER('参数'!$I$35))=0,"",IF(AND(ISNUMBER('参数'!$E$35),ISNUMBER(N184),ISNUMBER(N183)),ROUND(N184-N183,6)&gt;='参数'!$E$35,FALSE)+IF(AND(ISNUMBER('参数'!$G$35),ISNUMBER(Q184),ISNUMBER(Q183)),ROUND(Q183-Q184,6)&gt;='参数'!$G$35,FALSE)+IF(AND(ISNUMBER('参数'!$I$35),ISNUMBER(S184),ISNUMBER(S183)),ROUND(S183-S184,6)&gt;='参数'!$I$35,FALSE)+IF(ISNUMBER(J183),J184&lt;J183,FALSE)),"")</f>
        <v/>
      </c>
      <c r="Y184" s="40" t="str">
        <f>IF(AND(ISNUMBER(J184),ISNUMBER(K184)),IF(N(ISNUMBER('参数'!$E$36))+N(ISNUMBER('参数'!$G$36))+N(ISNUMBER('参数'!$I$36))=0,"",IF(AND(ISNUMBER('参数'!$E$36),ISNUMBER(J183)),AND(J184&lt;='参数'!$E$36,J184&lt;J183),FALSE)+IF(ISNUMBER('参数'!$G$36),K184&gt;='参数'!$G$36,FALSE)+IF(AND(ISNUMBER('参数'!$I$36),ISNUMBER(S184)),S184&lt;'参数'!$I$36,FALSE)+IF(AND(ISNUMBER(R184),ISNUMBER(R183)),R184&lt;R183,FALSE)),"")</f>
        <v/>
      </c>
      <c r="Z184" s="41" t="str">
        <f>IF(NOT(AND(ISNUMBER(J184),ISNUMBER(K184))),"",IF(COUNT(T184:Y184)=0,"先填阈值",IF(MAX(AD184:AI184)=0,"不写",INDEX($T$4:$Y$4,MATCH(MAX(AD184:AI184),AD184:AI184,0))&amp;"·"&amp;IF(MAX(AD184:AI184)&gt;=200,"高","中")&amp;IF(LARGE(AD184:AI184,2)&gt;0,"（也像"&amp;INDEX($T$4:$Y$4,MATCH(LARGE(AD184:AI184,2),AD184:AI184,0))&amp;"·"&amp;IF(LARGE(AD184:AI184,2)&gt;=200,"高","中")&amp;"）",""))))</f>
        <v/>
      </c>
      <c r="AA184" s="27" t="n"/>
      <c r="AB184" s="32" t="n"/>
      <c r="AC184" s="16" t="n"/>
      <c r="AD184" s="40">
        <f>IF(N(T184)&gt;=3,IF(T184=4,2,1)*100+T184*10+6,0)</f>
        <v>0</v>
      </c>
      <c r="AE184" s="40">
        <f>IF(N(U184)&gt;=3,1*100+U184*10+1,0)</f>
        <v>0</v>
      </c>
      <c r="AF184" s="40">
        <f>IF(N(V184)&gt;=3,IF(V184=4,2,1)*100+V184*10+2,0)</f>
        <v>0</v>
      </c>
      <c r="AG184" s="40">
        <f>IF(N(W184)&gt;=3,1*100+W184*10+3,0)</f>
        <v>0</v>
      </c>
      <c r="AH184" s="40">
        <f>IF(N(X184)&gt;=3,1*100+X184*10+4,0)</f>
        <v>0</v>
      </c>
      <c r="AI184" s="40">
        <f>IF(N(Y184)&gt;=3,IF(AND(N(T184)&gt;=3,OR(N(T184)=4,N(Y184)&lt;=N(T184))),0,IF(Y184=4,2,1)*100+Y184*10+5),0)</f>
        <v>0</v>
      </c>
    </row>
    <row r="185">
      <c r="A185" s="31" t="n"/>
      <c r="B185" s="36" t="str">
        <f>IF(ISNUMBER(A185),"周"&amp;CHOOSE(WEEKDAY(A185,2),"一","二","三","四","五","六","日"),"")</f>
        <v/>
      </c>
      <c r="C185" s="37" t="n"/>
      <c r="D185" s="37" t="n"/>
      <c r="E185" s="37" t="n"/>
      <c r="F185" s="17" t="n"/>
      <c r="G185" s="38" t="str">
        <f>IF(AND(ISNUMBER(F185),ISNUMBER(F184)),IF(F184=0,"",F185/F184-1),"")</f>
        <v/>
      </c>
      <c r="H185" s="17" t="n"/>
      <c r="I185" s="17" t="n"/>
      <c r="J185" s="17" t="n"/>
      <c r="K185" s="17" t="n"/>
      <c r="L185" s="17" t="n"/>
      <c r="M185" s="17" t="n"/>
      <c r="N185" s="39" t="str">
        <f>IF(AND(ISNUMBER(L185),ISNUMBER(M185),N(L185)&gt;0),M185/L185,"")</f>
        <v/>
      </c>
      <c r="O185" s="17" t="n"/>
      <c r="P185" s="17" t="n"/>
      <c r="Q185" s="39" t="str">
        <f>IF(AND(ISNUMBER(O185),ISNUMBER(P185),N(O185)&gt;0),P185/O185,"")</f>
        <v/>
      </c>
      <c r="R185" s="17" t="n"/>
      <c r="S185" s="37" t="n"/>
      <c r="T185" s="40" t="str">
        <f>IF(AND(ISNUMBER(J185),ISNUMBER(K185)),IF(N(ISNUMBER('参数'!$E$31))+N(ISNUMBER('参数'!$G$31))+N(ISNUMBER('参数'!$I$31))+N(ISNUMBER('参数'!$K$31))=0,"",IF(ISNUMBER('参数'!$E$31),J185&lt;='参数'!$E$31,FALSE)+IF(ISNUMBER('参数'!$G$31),K185&gt;='参数'!$G$31,FALSE)+IF(AND(ISNUMBER('参数'!$I$31),ISNUMBER(N185)),N185&gt;='参数'!$I$31,FALSE)+IF(AND(ISNUMBER('参数'!$K$31),ISNUMBER(Q185)),Q185&lt;='参数'!$K$31,FALSE)),"")</f>
        <v/>
      </c>
      <c r="U185" s="40" t="str">
        <f>IF(AND(ISNUMBER(J185),ISNUMBER(K185)),IF(N(ISNUMBER('参数'!$G$32))+N(ISNUMBER('参数'!$I$32))+N(ISNUMBER('参数'!$K$32))=0,"",IF(AND(ISNUMBER(J184),ISNUMBER(J183)),AND(J185&gt;J184,J184&gt;J183),FALSE)+IF(ISNUMBER('参数'!$G$32),J185&lt;'参数'!$G$32,FALSE)+IF(AND(ISNUMBER('参数'!$I$32),ISNUMBER(Q185)),Q185&gt;='参数'!$I$32,FALSE)+IF(AND(ISNUMBER('参数'!$K$32),ISNUMBER(S185)),S185&gt;='参数'!$K$32,FALSE)),"")</f>
        <v/>
      </c>
      <c r="V185" s="40" t="str">
        <f>IF(AND(ISNUMBER(J185),ISNUMBER(K185)),IF(N(ISNUMBER('参数'!$E$33))+N(ISNUMBER('参数'!$G$33))+N(ISNUMBER('参数'!$I$33))+N(ISNUMBER('参数'!$K$33))=0,"",IF(AND(ISNUMBER('参数'!$E$33),ISNUMBER(J184)),AND(J185&gt;='参数'!$E$33,J185&gt;J184),FALSE)+IF(AND(ISNUMBER('参数'!$G$33),ISNUMBER(N185)),N185&lt;='参数'!$G$33,FALSE)+IF(AND(ISNUMBER('参数'!$I$33),ISNUMBER(Q185)),Q185&gt;='参数'!$I$33,FALSE)+IF(AND(ISNUMBER('参数'!$K$33),ISNUMBER(S185)),S185&gt;='参数'!$K$33,FALSE)),"")</f>
        <v/>
      </c>
      <c r="W185" s="40" t="str">
        <f>IF(AND(ISNUMBER(J185),ISNUMBER(K185)),IF(N(ISNUMBER('参数'!$E$34))+N(ISNUMBER('参数'!$G$34))+N(ISNUMBER('参数'!$I$34))+N(ISNUMBER('参数'!$K$34))=0,"",IF(ISNUMBER('参数'!$E$34),J185&gt;='参数'!$E$34,FALSE)+IF(AND(ISNUMBER('参数'!$G$34),ISNUMBER(N185)),N185&lt;='参数'!$G$34,FALSE)+IF(AND(ISNUMBER('参数'!$I$34),ISNUMBER(S185)),S185&gt;='参数'!$I$34,FALSE)+IF(AND(ISNUMBER('参数'!$K$34),ISNUMBER(R185)),R185&gt;='参数'!$K$34,FALSE)),"")</f>
        <v/>
      </c>
      <c r="X185" s="40" t="str">
        <f>IF(AND(ISNUMBER(J185),ISNUMBER(K185)),IF(N(ISNUMBER('参数'!$E$35))+N(ISNUMBER('参数'!$G$35))+N(ISNUMBER('参数'!$I$35))=0,"",IF(AND(ISNUMBER('参数'!$E$35),ISNUMBER(N185),ISNUMBER(N184)),ROUND(N185-N184,6)&gt;='参数'!$E$35,FALSE)+IF(AND(ISNUMBER('参数'!$G$35),ISNUMBER(Q185),ISNUMBER(Q184)),ROUND(Q184-Q185,6)&gt;='参数'!$G$35,FALSE)+IF(AND(ISNUMBER('参数'!$I$35),ISNUMBER(S185),ISNUMBER(S184)),ROUND(S184-S185,6)&gt;='参数'!$I$35,FALSE)+IF(ISNUMBER(J184),J185&lt;J184,FALSE)),"")</f>
        <v/>
      </c>
      <c r="Y185" s="40" t="str">
        <f>IF(AND(ISNUMBER(J185),ISNUMBER(K185)),IF(N(ISNUMBER('参数'!$E$36))+N(ISNUMBER('参数'!$G$36))+N(ISNUMBER('参数'!$I$36))=0,"",IF(AND(ISNUMBER('参数'!$E$36),ISNUMBER(J184)),AND(J185&lt;='参数'!$E$36,J185&lt;J184),FALSE)+IF(ISNUMBER('参数'!$G$36),K185&gt;='参数'!$G$36,FALSE)+IF(AND(ISNUMBER('参数'!$I$36),ISNUMBER(S185)),S185&lt;'参数'!$I$36,FALSE)+IF(AND(ISNUMBER(R185),ISNUMBER(R184)),R185&lt;R184,FALSE)),"")</f>
        <v/>
      </c>
      <c r="Z185" s="41" t="str">
        <f>IF(NOT(AND(ISNUMBER(J185),ISNUMBER(K185))),"",IF(COUNT(T185:Y185)=0,"先填阈值",IF(MAX(AD185:AI185)=0,"不写",INDEX($T$4:$Y$4,MATCH(MAX(AD185:AI185),AD185:AI185,0))&amp;"·"&amp;IF(MAX(AD185:AI185)&gt;=200,"高","中")&amp;IF(LARGE(AD185:AI185,2)&gt;0,"（也像"&amp;INDEX($T$4:$Y$4,MATCH(LARGE(AD185:AI185,2),AD185:AI185,0))&amp;"·"&amp;IF(LARGE(AD185:AI185,2)&gt;=200,"高","中")&amp;"）",""))))</f>
        <v/>
      </c>
      <c r="AA185" s="27" t="n"/>
      <c r="AB185" s="32" t="n"/>
      <c r="AC185" s="16" t="n"/>
      <c r="AD185" s="40">
        <f>IF(N(T185)&gt;=3,IF(T185=4,2,1)*100+T185*10+6,0)</f>
        <v>0</v>
      </c>
      <c r="AE185" s="40">
        <f>IF(N(U185)&gt;=3,1*100+U185*10+1,0)</f>
        <v>0</v>
      </c>
      <c r="AF185" s="40">
        <f>IF(N(V185)&gt;=3,IF(V185=4,2,1)*100+V185*10+2,0)</f>
        <v>0</v>
      </c>
      <c r="AG185" s="40">
        <f>IF(N(W185)&gt;=3,1*100+W185*10+3,0)</f>
        <v>0</v>
      </c>
      <c r="AH185" s="40">
        <f>IF(N(X185)&gt;=3,1*100+X185*10+4,0)</f>
        <v>0</v>
      </c>
      <c r="AI185" s="40">
        <f>IF(N(Y185)&gt;=3,IF(AND(N(T185)&gt;=3,OR(N(T185)=4,N(Y185)&lt;=N(T185))),0,IF(Y185=4,2,1)*100+Y185*10+5),0)</f>
        <v>0</v>
      </c>
    </row>
    <row r="186">
      <c r="A186" s="31" t="n"/>
      <c r="B186" s="36" t="str">
        <f>IF(ISNUMBER(A186),"周"&amp;CHOOSE(WEEKDAY(A186,2),"一","二","三","四","五","六","日"),"")</f>
        <v/>
      </c>
      <c r="C186" s="37" t="n"/>
      <c r="D186" s="37" t="n"/>
      <c r="E186" s="37" t="n"/>
      <c r="F186" s="17" t="n"/>
      <c r="G186" s="38" t="str">
        <f>IF(AND(ISNUMBER(F186),ISNUMBER(F185)),IF(F185=0,"",F186/F185-1),"")</f>
        <v/>
      </c>
      <c r="H186" s="17" t="n"/>
      <c r="I186" s="17" t="n"/>
      <c r="J186" s="17" t="n"/>
      <c r="K186" s="17" t="n"/>
      <c r="L186" s="17" t="n"/>
      <c r="M186" s="17" t="n"/>
      <c r="N186" s="39" t="str">
        <f>IF(AND(ISNUMBER(L186),ISNUMBER(M186),N(L186)&gt;0),M186/L186,"")</f>
        <v/>
      </c>
      <c r="O186" s="17" t="n"/>
      <c r="P186" s="17" t="n"/>
      <c r="Q186" s="39" t="str">
        <f>IF(AND(ISNUMBER(O186),ISNUMBER(P186),N(O186)&gt;0),P186/O186,"")</f>
        <v/>
      </c>
      <c r="R186" s="17" t="n"/>
      <c r="S186" s="37" t="n"/>
      <c r="T186" s="40" t="str">
        <f>IF(AND(ISNUMBER(J186),ISNUMBER(K186)),IF(N(ISNUMBER('参数'!$E$31))+N(ISNUMBER('参数'!$G$31))+N(ISNUMBER('参数'!$I$31))+N(ISNUMBER('参数'!$K$31))=0,"",IF(ISNUMBER('参数'!$E$31),J186&lt;='参数'!$E$31,FALSE)+IF(ISNUMBER('参数'!$G$31),K186&gt;='参数'!$G$31,FALSE)+IF(AND(ISNUMBER('参数'!$I$31),ISNUMBER(N186)),N186&gt;='参数'!$I$31,FALSE)+IF(AND(ISNUMBER('参数'!$K$31),ISNUMBER(Q186)),Q186&lt;='参数'!$K$31,FALSE)),"")</f>
        <v/>
      </c>
      <c r="U186" s="40" t="str">
        <f>IF(AND(ISNUMBER(J186),ISNUMBER(K186)),IF(N(ISNUMBER('参数'!$G$32))+N(ISNUMBER('参数'!$I$32))+N(ISNUMBER('参数'!$K$32))=0,"",IF(AND(ISNUMBER(J185),ISNUMBER(J184)),AND(J186&gt;J185,J185&gt;J184),FALSE)+IF(ISNUMBER('参数'!$G$32),J186&lt;'参数'!$G$32,FALSE)+IF(AND(ISNUMBER('参数'!$I$32),ISNUMBER(Q186)),Q186&gt;='参数'!$I$32,FALSE)+IF(AND(ISNUMBER('参数'!$K$32),ISNUMBER(S186)),S186&gt;='参数'!$K$32,FALSE)),"")</f>
        <v/>
      </c>
      <c r="V186" s="40" t="str">
        <f>IF(AND(ISNUMBER(J186),ISNUMBER(K186)),IF(N(ISNUMBER('参数'!$E$33))+N(ISNUMBER('参数'!$G$33))+N(ISNUMBER('参数'!$I$33))+N(ISNUMBER('参数'!$K$33))=0,"",IF(AND(ISNUMBER('参数'!$E$33),ISNUMBER(J185)),AND(J186&gt;='参数'!$E$33,J186&gt;J185),FALSE)+IF(AND(ISNUMBER('参数'!$G$33),ISNUMBER(N186)),N186&lt;='参数'!$G$33,FALSE)+IF(AND(ISNUMBER('参数'!$I$33),ISNUMBER(Q186)),Q186&gt;='参数'!$I$33,FALSE)+IF(AND(ISNUMBER('参数'!$K$33),ISNUMBER(S186)),S186&gt;='参数'!$K$33,FALSE)),"")</f>
        <v/>
      </c>
      <c r="W186" s="40" t="str">
        <f>IF(AND(ISNUMBER(J186),ISNUMBER(K186)),IF(N(ISNUMBER('参数'!$E$34))+N(ISNUMBER('参数'!$G$34))+N(ISNUMBER('参数'!$I$34))+N(ISNUMBER('参数'!$K$34))=0,"",IF(ISNUMBER('参数'!$E$34),J186&gt;='参数'!$E$34,FALSE)+IF(AND(ISNUMBER('参数'!$G$34),ISNUMBER(N186)),N186&lt;='参数'!$G$34,FALSE)+IF(AND(ISNUMBER('参数'!$I$34),ISNUMBER(S186)),S186&gt;='参数'!$I$34,FALSE)+IF(AND(ISNUMBER('参数'!$K$34),ISNUMBER(R186)),R186&gt;='参数'!$K$34,FALSE)),"")</f>
        <v/>
      </c>
      <c r="X186" s="40" t="str">
        <f>IF(AND(ISNUMBER(J186),ISNUMBER(K186)),IF(N(ISNUMBER('参数'!$E$35))+N(ISNUMBER('参数'!$G$35))+N(ISNUMBER('参数'!$I$35))=0,"",IF(AND(ISNUMBER('参数'!$E$35),ISNUMBER(N186),ISNUMBER(N185)),ROUND(N186-N185,6)&gt;='参数'!$E$35,FALSE)+IF(AND(ISNUMBER('参数'!$G$35),ISNUMBER(Q186),ISNUMBER(Q185)),ROUND(Q185-Q186,6)&gt;='参数'!$G$35,FALSE)+IF(AND(ISNUMBER('参数'!$I$35),ISNUMBER(S186),ISNUMBER(S185)),ROUND(S185-S186,6)&gt;='参数'!$I$35,FALSE)+IF(ISNUMBER(J185),J186&lt;J185,FALSE)),"")</f>
        <v/>
      </c>
      <c r="Y186" s="40" t="str">
        <f>IF(AND(ISNUMBER(J186),ISNUMBER(K186)),IF(N(ISNUMBER('参数'!$E$36))+N(ISNUMBER('参数'!$G$36))+N(ISNUMBER('参数'!$I$36))=0,"",IF(AND(ISNUMBER('参数'!$E$36),ISNUMBER(J185)),AND(J186&lt;='参数'!$E$36,J186&lt;J185),FALSE)+IF(ISNUMBER('参数'!$G$36),K186&gt;='参数'!$G$36,FALSE)+IF(AND(ISNUMBER('参数'!$I$36),ISNUMBER(S186)),S186&lt;'参数'!$I$36,FALSE)+IF(AND(ISNUMBER(R186),ISNUMBER(R185)),R186&lt;R185,FALSE)),"")</f>
        <v/>
      </c>
      <c r="Z186" s="41" t="str">
        <f>IF(NOT(AND(ISNUMBER(J186),ISNUMBER(K186))),"",IF(COUNT(T186:Y186)=0,"先填阈值",IF(MAX(AD186:AI186)=0,"不写",INDEX($T$4:$Y$4,MATCH(MAX(AD186:AI186),AD186:AI186,0))&amp;"·"&amp;IF(MAX(AD186:AI186)&gt;=200,"高","中")&amp;IF(LARGE(AD186:AI186,2)&gt;0,"（也像"&amp;INDEX($T$4:$Y$4,MATCH(LARGE(AD186:AI186,2),AD186:AI186,0))&amp;"·"&amp;IF(LARGE(AD186:AI186,2)&gt;=200,"高","中")&amp;"）",""))))</f>
        <v/>
      </c>
      <c r="AA186" s="27" t="n"/>
      <c r="AB186" s="32" t="n"/>
      <c r="AC186" s="16" t="n"/>
      <c r="AD186" s="40">
        <f>IF(N(T186)&gt;=3,IF(T186=4,2,1)*100+T186*10+6,0)</f>
        <v>0</v>
      </c>
      <c r="AE186" s="40">
        <f>IF(N(U186)&gt;=3,1*100+U186*10+1,0)</f>
        <v>0</v>
      </c>
      <c r="AF186" s="40">
        <f>IF(N(V186)&gt;=3,IF(V186=4,2,1)*100+V186*10+2,0)</f>
        <v>0</v>
      </c>
      <c r="AG186" s="40">
        <f>IF(N(W186)&gt;=3,1*100+W186*10+3,0)</f>
        <v>0</v>
      </c>
      <c r="AH186" s="40">
        <f>IF(N(X186)&gt;=3,1*100+X186*10+4,0)</f>
        <v>0</v>
      </c>
      <c r="AI186" s="40">
        <f>IF(N(Y186)&gt;=3,IF(AND(N(T186)&gt;=3,OR(N(T186)=4,N(Y186)&lt;=N(T186))),0,IF(Y186=4,2,1)*100+Y186*10+5),0)</f>
        <v>0</v>
      </c>
    </row>
    <row r="187">
      <c r="A187" s="31" t="n"/>
      <c r="B187" s="36" t="str">
        <f>IF(ISNUMBER(A187),"周"&amp;CHOOSE(WEEKDAY(A187,2),"一","二","三","四","五","六","日"),"")</f>
        <v/>
      </c>
      <c r="C187" s="37" t="n"/>
      <c r="D187" s="37" t="n"/>
      <c r="E187" s="37" t="n"/>
      <c r="F187" s="17" t="n"/>
      <c r="G187" s="38" t="str">
        <f>IF(AND(ISNUMBER(F187),ISNUMBER(F186)),IF(F186=0,"",F187/F186-1),"")</f>
        <v/>
      </c>
      <c r="H187" s="17" t="n"/>
      <c r="I187" s="17" t="n"/>
      <c r="J187" s="17" t="n"/>
      <c r="K187" s="17" t="n"/>
      <c r="L187" s="17" t="n"/>
      <c r="M187" s="17" t="n"/>
      <c r="N187" s="39" t="str">
        <f>IF(AND(ISNUMBER(L187),ISNUMBER(M187),N(L187)&gt;0),M187/L187,"")</f>
        <v/>
      </c>
      <c r="O187" s="17" t="n"/>
      <c r="P187" s="17" t="n"/>
      <c r="Q187" s="39" t="str">
        <f>IF(AND(ISNUMBER(O187),ISNUMBER(P187),N(O187)&gt;0),P187/O187,"")</f>
        <v/>
      </c>
      <c r="R187" s="17" t="n"/>
      <c r="S187" s="37" t="n"/>
      <c r="T187" s="40" t="str">
        <f>IF(AND(ISNUMBER(J187),ISNUMBER(K187)),IF(N(ISNUMBER('参数'!$E$31))+N(ISNUMBER('参数'!$G$31))+N(ISNUMBER('参数'!$I$31))+N(ISNUMBER('参数'!$K$31))=0,"",IF(ISNUMBER('参数'!$E$31),J187&lt;='参数'!$E$31,FALSE)+IF(ISNUMBER('参数'!$G$31),K187&gt;='参数'!$G$31,FALSE)+IF(AND(ISNUMBER('参数'!$I$31),ISNUMBER(N187)),N187&gt;='参数'!$I$31,FALSE)+IF(AND(ISNUMBER('参数'!$K$31),ISNUMBER(Q187)),Q187&lt;='参数'!$K$31,FALSE)),"")</f>
        <v/>
      </c>
      <c r="U187" s="40" t="str">
        <f>IF(AND(ISNUMBER(J187),ISNUMBER(K187)),IF(N(ISNUMBER('参数'!$G$32))+N(ISNUMBER('参数'!$I$32))+N(ISNUMBER('参数'!$K$32))=0,"",IF(AND(ISNUMBER(J186),ISNUMBER(J185)),AND(J187&gt;J186,J186&gt;J185),FALSE)+IF(ISNUMBER('参数'!$G$32),J187&lt;'参数'!$G$32,FALSE)+IF(AND(ISNUMBER('参数'!$I$32),ISNUMBER(Q187)),Q187&gt;='参数'!$I$32,FALSE)+IF(AND(ISNUMBER('参数'!$K$32),ISNUMBER(S187)),S187&gt;='参数'!$K$32,FALSE)),"")</f>
        <v/>
      </c>
      <c r="V187" s="40" t="str">
        <f>IF(AND(ISNUMBER(J187),ISNUMBER(K187)),IF(N(ISNUMBER('参数'!$E$33))+N(ISNUMBER('参数'!$G$33))+N(ISNUMBER('参数'!$I$33))+N(ISNUMBER('参数'!$K$33))=0,"",IF(AND(ISNUMBER('参数'!$E$33),ISNUMBER(J186)),AND(J187&gt;='参数'!$E$33,J187&gt;J186),FALSE)+IF(AND(ISNUMBER('参数'!$G$33),ISNUMBER(N187)),N187&lt;='参数'!$G$33,FALSE)+IF(AND(ISNUMBER('参数'!$I$33),ISNUMBER(Q187)),Q187&gt;='参数'!$I$33,FALSE)+IF(AND(ISNUMBER('参数'!$K$33),ISNUMBER(S187)),S187&gt;='参数'!$K$33,FALSE)),"")</f>
        <v/>
      </c>
      <c r="W187" s="40" t="str">
        <f>IF(AND(ISNUMBER(J187),ISNUMBER(K187)),IF(N(ISNUMBER('参数'!$E$34))+N(ISNUMBER('参数'!$G$34))+N(ISNUMBER('参数'!$I$34))+N(ISNUMBER('参数'!$K$34))=0,"",IF(ISNUMBER('参数'!$E$34),J187&gt;='参数'!$E$34,FALSE)+IF(AND(ISNUMBER('参数'!$G$34),ISNUMBER(N187)),N187&lt;='参数'!$G$34,FALSE)+IF(AND(ISNUMBER('参数'!$I$34),ISNUMBER(S187)),S187&gt;='参数'!$I$34,FALSE)+IF(AND(ISNUMBER('参数'!$K$34),ISNUMBER(R187)),R187&gt;='参数'!$K$34,FALSE)),"")</f>
        <v/>
      </c>
      <c r="X187" s="40" t="str">
        <f>IF(AND(ISNUMBER(J187),ISNUMBER(K187)),IF(N(ISNUMBER('参数'!$E$35))+N(ISNUMBER('参数'!$G$35))+N(ISNUMBER('参数'!$I$35))=0,"",IF(AND(ISNUMBER('参数'!$E$35),ISNUMBER(N187),ISNUMBER(N186)),ROUND(N187-N186,6)&gt;='参数'!$E$35,FALSE)+IF(AND(ISNUMBER('参数'!$G$35),ISNUMBER(Q187),ISNUMBER(Q186)),ROUND(Q186-Q187,6)&gt;='参数'!$G$35,FALSE)+IF(AND(ISNUMBER('参数'!$I$35),ISNUMBER(S187),ISNUMBER(S186)),ROUND(S186-S187,6)&gt;='参数'!$I$35,FALSE)+IF(ISNUMBER(J186),J187&lt;J186,FALSE)),"")</f>
        <v/>
      </c>
      <c r="Y187" s="40" t="str">
        <f>IF(AND(ISNUMBER(J187),ISNUMBER(K187)),IF(N(ISNUMBER('参数'!$E$36))+N(ISNUMBER('参数'!$G$36))+N(ISNUMBER('参数'!$I$36))=0,"",IF(AND(ISNUMBER('参数'!$E$36),ISNUMBER(J186)),AND(J187&lt;='参数'!$E$36,J187&lt;J186),FALSE)+IF(ISNUMBER('参数'!$G$36),K187&gt;='参数'!$G$36,FALSE)+IF(AND(ISNUMBER('参数'!$I$36),ISNUMBER(S187)),S187&lt;'参数'!$I$36,FALSE)+IF(AND(ISNUMBER(R187),ISNUMBER(R186)),R187&lt;R186,FALSE)),"")</f>
        <v/>
      </c>
      <c r="Z187" s="41" t="str">
        <f>IF(NOT(AND(ISNUMBER(J187),ISNUMBER(K187))),"",IF(COUNT(T187:Y187)=0,"先填阈值",IF(MAX(AD187:AI187)=0,"不写",INDEX($T$4:$Y$4,MATCH(MAX(AD187:AI187),AD187:AI187,0))&amp;"·"&amp;IF(MAX(AD187:AI187)&gt;=200,"高","中")&amp;IF(LARGE(AD187:AI187,2)&gt;0,"（也像"&amp;INDEX($T$4:$Y$4,MATCH(LARGE(AD187:AI187,2),AD187:AI187,0))&amp;"·"&amp;IF(LARGE(AD187:AI187,2)&gt;=200,"高","中")&amp;"）",""))))</f>
        <v/>
      </c>
      <c r="AA187" s="27" t="n"/>
      <c r="AB187" s="32" t="n"/>
      <c r="AC187" s="16" t="n"/>
      <c r="AD187" s="40">
        <f>IF(N(T187)&gt;=3,IF(T187=4,2,1)*100+T187*10+6,0)</f>
        <v>0</v>
      </c>
      <c r="AE187" s="40">
        <f>IF(N(U187)&gt;=3,1*100+U187*10+1,0)</f>
        <v>0</v>
      </c>
      <c r="AF187" s="40">
        <f>IF(N(V187)&gt;=3,IF(V187=4,2,1)*100+V187*10+2,0)</f>
        <v>0</v>
      </c>
      <c r="AG187" s="40">
        <f>IF(N(W187)&gt;=3,1*100+W187*10+3,0)</f>
        <v>0</v>
      </c>
      <c r="AH187" s="40">
        <f>IF(N(X187)&gt;=3,1*100+X187*10+4,0)</f>
        <v>0</v>
      </c>
      <c r="AI187" s="40">
        <f>IF(N(Y187)&gt;=3,IF(AND(N(T187)&gt;=3,OR(N(T187)=4,N(Y187)&lt;=N(T187))),0,IF(Y187=4,2,1)*100+Y187*10+5),0)</f>
        <v>0</v>
      </c>
    </row>
    <row r="188">
      <c r="A188" s="31" t="n"/>
      <c r="B188" s="36" t="str">
        <f>IF(ISNUMBER(A188),"周"&amp;CHOOSE(WEEKDAY(A188,2),"一","二","三","四","五","六","日"),"")</f>
        <v/>
      </c>
      <c r="C188" s="37" t="n"/>
      <c r="D188" s="37" t="n"/>
      <c r="E188" s="37" t="n"/>
      <c r="F188" s="17" t="n"/>
      <c r="G188" s="38" t="str">
        <f>IF(AND(ISNUMBER(F188),ISNUMBER(F187)),IF(F187=0,"",F188/F187-1),"")</f>
        <v/>
      </c>
      <c r="H188" s="17" t="n"/>
      <c r="I188" s="17" t="n"/>
      <c r="J188" s="17" t="n"/>
      <c r="K188" s="17" t="n"/>
      <c r="L188" s="17" t="n"/>
      <c r="M188" s="17" t="n"/>
      <c r="N188" s="39" t="str">
        <f>IF(AND(ISNUMBER(L188),ISNUMBER(M188),N(L188)&gt;0),M188/L188,"")</f>
        <v/>
      </c>
      <c r="O188" s="17" t="n"/>
      <c r="P188" s="17" t="n"/>
      <c r="Q188" s="39" t="str">
        <f>IF(AND(ISNUMBER(O188),ISNUMBER(P188),N(O188)&gt;0),P188/O188,"")</f>
        <v/>
      </c>
      <c r="R188" s="17" t="n"/>
      <c r="S188" s="37" t="n"/>
      <c r="T188" s="40" t="str">
        <f>IF(AND(ISNUMBER(J188),ISNUMBER(K188)),IF(N(ISNUMBER('参数'!$E$31))+N(ISNUMBER('参数'!$G$31))+N(ISNUMBER('参数'!$I$31))+N(ISNUMBER('参数'!$K$31))=0,"",IF(ISNUMBER('参数'!$E$31),J188&lt;='参数'!$E$31,FALSE)+IF(ISNUMBER('参数'!$G$31),K188&gt;='参数'!$G$31,FALSE)+IF(AND(ISNUMBER('参数'!$I$31),ISNUMBER(N188)),N188&gt;='参数'!$I$31,FALSE)+IF(AND(ISNUMBER('参数'!$K$31),ISNUMBER(Q188)),Q188&lt;='参数'!$K$31,FALSE)),"")</f>
        <v/>
      </c>
      <c r="U188" s="40" t="str">
        <f>IF(AND(ISNUMBER(J188),ISNUMBER(K188)),IF(N(ISNUMBER('参数'!$G$32))+N(ISNUMBER('参数'!$I$32))+N(ISNUMBER('参数'!$K$32))=0,"",IF(AND(ISNUMBER(J187),ISNUMBER(J186)),AND(J188&gt;J187,J187&gt;J186),FALSE)+IF(ISNUMBER('参数'!$G$32),J188&lt;'参数'!$G$32,FALSE)+IF(AND(ISNUMBER('参数'!$I$32),ISNUMBER(Q188)),Q188&gt;='参数'!$I$32,FALSE)+IF(AND(ISNUMBER('参数'!$K$32),ISNUMBER(S188)),S188&gt;='参数'!$K$32,FALSE)),"")</f>
        <v/>
      </c>
      <c r="V188" s="40" t="str">
        <f>IF(AND(ISNUMBER(J188),ISNUMBER(K188)),IF(N(ISNUMBER('参数'!$E$33))+N(ISNUMBER('参数'!$G$33))+N(ISNUMBER('参数'!$I$33))+N(ISNUMBER('参数'!$K$33))=0,"",IF(AND(ISNUMBER('参数'!$E$33),ISNUMBER(J187)),AND(J188&gt;='参数'!$E$33,J188&gt;J187),FALSE)+IF(AND(ISNUMBER('参数'!$G$33),ISNUMBER(N188)),N188&lt;='参数'!$G$33,FALSE)+IF(AND(ISNUMBER('参数'!$I$33),ISNUMBER(Q188)),Q188&gt;='参数'!$I$33,FALSE)+IF(AND(ISNUMBER('参数'!$K$33),ISNUMBER(S188)),S188&gt;='参数'!$K$33,FALSE)),"")</f>
        <v/>
      </c>
      <c r="W188" s="40" t="str">
        <f>IF(AND(ISNUMBER(J188),ISNUMBER(K188)),IF(N(ISNUMBER('参数'!$E$34))+N(ISNUMBER('参数'!$G$34))+N(ISNUMBER('参数'!$I$34))+N(ISNUMBER('参数'!$K$34))=0,"",IF(ISNUMBER('参数'!$E$34),J188&gt;='参数'!$E$34,FALSE)+IF(AND(ISNUMBER('参数'!$G$34),ISNUMBER(N188)),N188&lt;='参数'!$G$34,FALSE)+IF(AND(ISNUMBER('参数'!$I$34),ISNUMBER(S188)),S188&gt;='参数'!$I$34,FALSE)+IF(AND(ISNUMBER('参数'!$K$34),ISNUMBER(R188)),R188&gt;='参数'!$K$34,FALSE)),"")</f>
        <v/>
      </c>
      <c r="X188" s="40" t="str">
        <f>IF(AND(ISNUMBER(J188),ISNUMBER(K188)),IF(N(ISNUMBER('参数'!$E$35))+N(ISNUMBER('参数'!$G$35))+N(ISNUMBER('参数'!$I$35))=0,"",IF(AND(ISNUMBER('参数'!$E$35),ISNUMBER(N188),ISNUMBER(N187)),ROUND(N188-N187,6)&gt;='参数'!$E$35,FALSE)+IF(AND(ISNUMBER('参数'!$G$35),ISNUMBER(Q188),ISNUMBER(Q187)),ROUND(Q187-Q188,6)&gt;='参数'!$G$35,FALSE)+IF(AND(ISNUMBER('参数'!$I$35),ISNUMBER(S188),ISNUMBER(S187)),ROUND(S187-S188,6)&gt;='参数'!$I$35,FALSE)+IF(ISNUMBER(J187),J188&lt;J187,FALSE)),"")</f>
        <v/>
      </c>
      <c r="Y188" s="40" t="str">
        <f>IF(AND(ISNUMBER(J188),ISNUMBER(K188)),IF(N(ISNUMBER('参数'!$E$36))+N(ISNUMBER('参数'!$G$36))+N(ISNUMBER('参数'!$I$36))=0,"",IF(AND(ISNUMBER('参数'!$E$36),ISNUMBER(J187)),AND(J188&lt;='参数'!$E$36,J188&lt;J187),FALSE)+IF(ISNUMBER('参数'!$G$36),K188&gt;='参数'!$G$36,FALSE)+IF(AND(ISNUMBER('参数'!$I$36),ISNUMBER(S188)),S188&lt;'参数'!$I$36,FALSE)+IF(AND(ISNUMBER(R188),ISNUMBER(R187)),R188&lt;R187,FALSE)),"")</f>
        <v/>
      </c>
      <c r="Z188" s="41" t="str">
        <f>IF(NOT(AND(ISNUMBER(J188),ISNUMBER(K188))),"",IF(COUNT(T188:Y188)=0,"先填阈值",IF(MAX(AD188:AI188)=0,"不写",INDEX($T$4:$Y$4,MATCH(MAX(AD188:AI188),AD188:AI188,0))&amp;"·"&amp;IF(MAX(AD188:AI188)&gt;=200,"高","中")&amp;IF(LARGE(AD188:AI188,2)&gt;0,"（也像"&amp;INDEX($T$4:$Y$4,MATCH(LARGE(AD188:AI188,2),AD188:AI188,0))&amp;"·"&amp;IF(LARGE(AD188:AI188,2)&gt;=200,"高","中")&amp;"）",""))))</f>
        <v/>
      </c>
      <c r="AA188" s="27" t="n"/>
      <c r="AB188" s="32" t="n"/>
      <c r="AC188" s="16" t="n"/>
      <c r="AD188" s="40">
        <f>IF(N(T188)&gt;=3,IF(T188=4,2,1)*100+T188*10+6,0)</f>
        <v>0</v>
      </c>
      <c r="AE188" s="40">
        <f>IF(N(U188)&gt;=3,1*100+U188*10+1,0)</f>
        <v>0</v>
      </c>
      <c r="AF188" s="40">
        <f>IF(N(V188)&gt;=3,IF(V188=4,2,1)*100+V188*10+2,0)</f>
        <v>0</v>
      </c>
      <c r="AG188" s="40">
        <f>IF(N(W188)&gt;=3,1*100+W188*10+3,0)</f>
        <v>0</v>
      </c>
      <c r="AH188" s="40">
        <f>IF(N(X188)&gt;=3,1*100+X188*10+4,0)</f>
        <v>0</v>
      </c>
      <c r="AI188" s="40">
        <f>IF(N(Y188)&gt;=3,IF(AND(N(T188)&gt;=3,OR(N(T188)=4,N(Y188)&lt;=N(T188))),0,IF(Y188=4,2,1)*100+Y188*10+5),0)</f>
        <v>0</v>
      </c>
    </row>
    <row r="189">
      <c r="A189" s="31" t="n"/>
      <c r="B189" s="36" t="str">
        <f>IF(ISNUMBER(A189),"周"&amp;CHOOSE(WEEKDAY(A189,2),"一","二","三","四","五","六","日"),"")</f>
        <v/>
      </c>
      <c r="C189" s="37" t="n"/>
      <c r="D189" s="37" t="n"/>
      <c r="E189" s="37" t="n"/>
      <c r="F189" s="17" t="n"/>
      <c r="G189" s="38" t="str">
        <f>IF(AND(ISNUMBER(F189),ISNUMBER(F188)),IF(F188=0,"",F189/F188-1),"")</f>
        <v/>
      </c>
      <c r="H189" s="17" t="n"/>
      <c r="I189" s="17" t="n"/>
      <c r="J189" s="17" t="n"/>
      <c r="K189" s="17" t="n"/>
      <c r="L189" s="17" t="n"/>
      <c r="M189" s="17" t="n"/>
      <c r="N189" s="39" t="str">
        <f>IF(AND(ISNUMBER(L189),ISNUMBER(M189),N(L189)&gt;0),M189/L189,"")</f>
        <v/>
      </c>
      <c r="O189" s="17" t="n"/>
      <c r="P189" s="17" t="n"/>
      <c r="Q189" s="39" t="str">
        <f>IF(AND(ISNUMBER(O189),ISNUMBER(P189),N(O189)&gt;0),P189/O189,"")</f>
        <v/>
      </c>
      <c r="R189" s="17" t="n"/>
      <c r="S189" s="37" t="n"/>
      <c r="T189" s="40" t="str">
        <f>IF(AND(ISNUMBER(J189),ISNUMBER(K189)),IF(N(ISNUMBER('参数'!$E$31))+N(ISNUMBER('参数'!$G$31))+N(ISNUMBER('参数'!$I$31))+N(ISNUMBER('参数'!$K$31))=0,"",IF(ISNUMBER('参数'!$E$31),J189&lt;='参数'!$E$31,FALSE)+IF(ISNUMBER('参数'!$G$31),K189&gt;='参数'!$G$31,FALSE)+IF(AND(ISNUMBER('参数'!$I$31),ISNUMBER(N189)),N189&gt;='参数'!$I$31,FALSE)+IF(AND(ISNUMBER('参数'!$K$31),ISNUMBER(Q189)),Q189&lt;='参数'!$K$31,FALSE)),"")</f>
        <v/>
      </c>
      <c r="U189" s="40" t="str">
        <f>IF(AND(ISNUMBER(J189),ISNUMBER(K189)),IF(N(ISNUMBER('参数'!$G$32))+N(ISNUMBER('参数'!$I$32))+N(ISNUMBER('参数'!$K$32))=0,"",IF(AND(ISNUMBER(J188),ISNUMBER(J187)),AND(J189&gt;J188,J188&gt;J187),FALSE)+IF(ISNUMBER('参数'!$G$32),J189&lt;'参数'!$G$32,FALSE)+IF(AND(ISNUMBER('参数'!$I$32),ISNUMBER(Q189)),Q189&gt;='参数'!$I$32,FALSE)+IF(AND(ISNUMBER('参数'!$K$32),ISNUMBER(S189)),S189&gt;='参数'!$K$32,FALSE)),"")</f>
        <v/>
      </c>
      <c r="V189" s="40" t="str">
        <f>IF(AND(ISNUMBER(J189),ISNUMBER(K189)),IF(N(ISNUMBER('参数'!$E$33))+N(ISNUMBER('参数'!$G$33))+N(ISNUMBER('参数'!$I$33))+N(ISNUMBER('参数'!$K$33))=0,"",IF(AND(ISNUMBER('参数'!$E$33),ISNUMBER(J188)),AND(J189&gt;='参数'!$E$33,J189&gt;J188),FALSE)+IF(AND(ISNUMBER('参数'!$G$33),ISNUMBER(N189)),N189&lt;='参数'!$G$33,FALSE)+IF(AND(ISNUMBER('参数'!$I$33),ISNUMBER(Q189)),Q189&gt;='参数'!$I$33,FALSE)+IF(AND(ISNUMBER('参数'!$K$33),ISNUMBER(S189)),S189&gt;='参数'!$K$33,FALSE)),"")</f>
        <v/>
      </c>
      <c r="W189" s="40" t="str">
        <f>IF(AND(ISNUMBER(J189),ISNUMBER(K189)),IF(N(ISNUMBER('参数'!$E$34))+N(ISNUMBER('参数'!$G$34))+N(ISNUMBER('参数'!$I$34))+N(ISNUMBER('参数'!$K$34))=0,"",IF(ISNUMBER('参数'!$E$34),J189&gt;='参数'!$E$34,FALSE)+IF(AND(ISNUMBER('参数'!$G$34),ISNUMBER(N189)),N189&lt;='参数'!$G$34,FALSE)+IF(AND(ISNUMBER('参数'!$I$34),ISNUMBER(S189)),S189&gt;='参数'!$I$34,FALSE)+IF(AND(ISNUMBER('参数'!$K$34),ISNUMBER(R189)),R189&gt;='参数'!$K$34,FALSE)),"")</f>
        <v/>
      </c>
      <c r="X189" s="40" t="str">
        <f>IF(AND(ISNUMBER(J189),ISNUMBER(K189)),IF(N(ISNUMBER('参数'!$E$35))+N(ISNUMBER('参数'!$G$35))+N(ISNUMBER('参数'!$I$35))=0,"",IF(AND(ISNUMBER('参数'!$E$35),ISNUMBER(N189),ISNUMBER(N188)),ROUND(N189-N188,6)&gt;='参数'!$E$35,FALSE)+IF(AND(ISNUMBER('参数'!$G$35),ISNUMBER(Q189),ISNUMBER(Q188)),ROUND(Q188-Q189,6)&gt;='参数'!$G$35,FALSE)+IF(AND(ISNUMBER('参数'!$I$35),ISNUMBER(S189),ISNUMBER(S188)),ROUND(S188-S189,6)&gt;='参数'!$I$35,FALSE)+IF(ISNUMBER(J188),J189&lt;J188,FALSE)),"")</f>
        <v/>
      </c>
      <c r="Y189" s="40" t="str">
        <f>IF(AND(ISNUMBER(J189),ISNUMBER(K189)),IF(N(ISNUMBER('参数'!$E$36))+N(ISNUMBER('参数'!$G$36))+N(ISNUMBER('参数'!$I$36))=0,"",IF(AND(ISNUMBER('参数'!$E$36),ISNUMBER(J188)),AND(J189&lt;='参数'!$E$36,J189&lt;J188),FALSE)+IF(ISNUMBER('参数'!$G$36),K189&gt;='参数'!$G$36,FALSE)+IF(AND(ISNUMBER('参数'!$I$36),ISNUMBER(S189)),S189&lt;'参数'!$I$36,FALSE)+IF(AND(ISNUMBER(R189),ISNUMBER(R188)),R189&lt;R188,FALSE)),"")</f>
        <v/>
      </c>
      <c r="Z189" s="41" t="str">
        <f>IF(NOT(AND(ISNUMBER(J189),ISNUMBER(K189))),"",IF(COUNT(T189:Y189)=0,"先填阈值",IF(MAX(AD189:AI189)=0,"不写",INDEX($T$4:$Y$4,MATCH(MAX(AD189:AI189),AD189:AI189,0))&amp;"·"&amp;IF(MAX(AD189:AI189)&gt;=200,"高","中")&amp;IF(LARGE(AD189:AI189,2)&gt;0,"（也像"&amp;INDEX($T$4:$Y$4,MATCH(LARGE(AD189:AI189,2),AD189:AI189,0))&amp;"·"&amp;IF(LARGE(AD189:AI189,2)&gt;=200,"高","中")&amp;"）",""))))</f>
        <v/>
      </c>
      <c r="AA189" s="27" t="n"/>
      <c r="AB189" s="32" t="n"/>
      <c r="AC189" s="16" t="n"/>
      <c r="AD189" s="40">
        <f>IF(N(T189)&gt;=3,IF(T189=4,2,1)*100+T189*10+6,0)</f>
        <v>0</v>
      </c>
      <c r="AE189" s="40">
        <f>IF(N(U189)&gt;=3,1*100+U189*10+1,0)</f>
        <v>0</v>
      </c>
      <c r="AF189" s="40">
        <f>IF(N(V189)&gt;=3,IF(V189=4,2,1)*100+V189*10+2,0)</f>
        <v>0</v>
      </c>
      <c r="AG189" s="40">
        <f>IF(N(W189)&gt;=3,1*100+W189*10+3,0)</f>
        <v>0</v>
      </c>
      <c r="AH189" s="40">
        <f>IF(N(X189)&gt;=3,1*100+X189*10+4,0)</f>
        <v>0</v>
      </c>
      <c r="AI189" s="40">
        <f>IF(N(Y189)&gt;=3,IF(AND(N(T189)&gt;=3,OR(N(T189)=4,N(Y189)&lt;=N(T189))),0,IF(Y189=4,2,1)*100+Y189*10+5),0)</f>
        <v>0</v>
      </c>
    </row>
    <row r="190">
      <c r="A190" s="31" t="n"/>
      <c r="B190" s="36" t="str">
        <f>IF(ISNUMBER(A190),"周"&amp;CHOOSE(WEEKDAY(A190,2),"一","二","三","四","五","六","日"),"")</f>
        <v/>
      </c>
      <c r="C190" s="37" t="n"/>
      <c r="D190" s="37" t="n"/>
      <c r="E190" s="37" t="n"/>
      <c r="F190" s="17" t="n"/>
      <c r="G190" s="38" t="str">
        <f>IF(AND(ISNUMBER(F190),ISNUMBER(F189)),IF(F189=0,"",F190/F189-1),"")</f>
        <v/>
      </c>
      <c r="H190" s="17" t="n"/>
      <c r="I190" s="17" t="n"/>
      <c r="J190" s="17" t="n"/>
      <c r="K190" s="17" t="n"/>
      <c r="L190" s="17" t="n"/>
      <c r="M190" s="17" t="n"/>
      <c r="N190" s="39" t="str">
        <f>IF(AND(ISNUMBER(L190),ISNUMBER(M190),N(L190)&gt;0),M190/L190,"")</f>
        <v/>
      </c>
      <c r="O190" s="17" t="n"/>
      <c r="P190" s="17" t="n"/>
      <c r="Q190" s="39" t="str">
        <f>IF(AND(ISNUMBER(O190),ISNUMBER(P190),N(O190)&gt;0),P190/O190,"")</f>
        <v/>
      </c>
      <c r="R190" s="17" t="n"/>
      <c r="S190" s="37" t="n"/>
      <c r="T190" s="40" t="str">
        <f>IF(AND(ISNUMBER(J190),ISNUMBER(K190)),IF(N(ISNUMBER('参数'!$E$31))+N(ISNUMBER('参数'!$G$31))+N(ISNUMBER('参数'!$I$31))+N(ISNUMBER('参数'!$K$31))=0,"",IF(ISNUMBER('参数'!$E$31),J190&lt;='参数'!$E$31,FALSE)+IF(ISNUMBER('参数'!$G$31),K190&gt;='参数'!$G$31,FALSE)+IF(AND(ISNUMBER('参数'!$I$31),ISNUMBER(N190)),N190&gt;='参数'!$I$31,FALSE)+IF(AND(ISNUMBER('参数'!$K$31),ISNUMBER(Q190)),Q190&lt;='参数'!$K$31,FALSE)),"")</f>
        <v/>
      </c>
      <c r="U190" s="40" t="str">
        <f>IF(AND(ISNUMBER(J190),ISNUMBER(K190)),IF(N(ISNUMBER('参数'!$G$32))+N(ISNUMBER('参数'!$I$32))+N(ISNUMBER('参数'!$K$32))=0,"",IF(AND(ISNUMBER(J189),ISNUMBER(J188)),AND(J190&gt;J189,J189&gt;J188),FALSE)+IF(ISNUMBER('参数'!$G$32),J190&lt;'参数'!$G$32,FALSE)+IF(AND(ISNUMBER('参数'!$I$32),ISNUMBER(Q190)),Q190&gt;='参数'!$I$32,FALSE)+IF(AND(ISNUMBER('参数'!$K$32),ISNUMBER(S190)),S190&gt;='参数'!$K$32,FALSE)),"")</f>
        <v/>
      </c>
      <c r="V190" s="40" t="str">
        <f>IF(AND(ISNUMBER(J190),ISNUMBER(K190)),IF(N(ISNUMBER('参数'!$E$33))+N(ISNUMBER('参数'!$G$33))+N(ISNUMBER('参数'!$I$33))+N(ISNUMBER('参数'!$K$33))=0,"",IF(AND(ISNUMBER('参数'!$E$33),ISNUMBER(J189)),AND(J190&gt;='参数'!$E$33,J190&gt;J189),FALSE)+IF(AND(ISNUMBER('参数'!$G$33),ISNUMBER(N190)),N190&lt;='参数'!$G$33,FALSE)+IF(AND(ISNUMBER('参数'!$I$33),ISNUMBER(Q190)),Q190&gt;='参数'!$I$33,FALSE)+IF(AND(ISNUMBER('参数'!$K$33),ISNUMBER(S190)),S190&gt;='参数'!$K$33,FALSE)),"")</f>
        <v/>
      </c>
      <c r="W190" s="40" t="str">
        <f>IF(AND(ISNUMBER(J190),ISNUMBER(K190)),IF(N(ISNUMBER('参数'!$E$34))+N(ISNUMBER('参数'!$G$34))+N(ISNUMBER('参数'!$I$34))+N(ISNUMBER('参数'!$K$34))=0,"",IF(ISNUMBER('参数'!$E$34),J190&gt;='参数'!$E$34,FALSE)+IF(AND(ISNUMBER('参数'!$G$34),ISNUMBER(N190)),N190&lt;='参数'!$G$34,FALSE)+IF(AND(ISNUMBER('参数'!$I$34),ISNUMBER(S190)),S190&gt;='参数'!$I$34,FALSE)+IF(AND(ISNUMBER('参数'!$K$34),ISNUMBER(R190)),R190&gt;='参数'!$K$34,FALSE)),"")</f>
        <v/>
      </c>
      <c r="X190" s="40" t="str">
        <f>IF(AND(ISNUMBER(J190),ISNUMBER(K190)),IF(N(ISNUMBER('参数'!$E$35))+N(ISNUMBER('参数'!$G$35))+N(ISNUMBER('参数'!$I$35))=0,"",IF(AND(ISNUMBER('参数'!$E$35),ISNUMBER(N190),ISNUMBER(N189)),ROUND(N190-N189,6)&gt;='参数'!$E$35,FALSE)+IF(AND(ISNUMBER('参数'!$G$35),ISNUMBER(Q190),ISNUMBER(Q189)),ROUND(Q189-Q190,6)&gt;='参数'!$G$35,FALSE)+IF(AND(ISNUMBER('参数'!$I$35),ISNUMBER(S190),ISNUMBER(S189)),ROUND(S189-S190,6)&gt;='参数'!$I$35,FALSE)+IF(ISNUMBER(J189),J190&lt;J189,FALSE)),"")</f>
        <v/>
      </c>
      <c r="Y190" s="40" t="str">
        <f>IF(AND(ISNUMBER(J190),ISNUMBER(K190)),IF(N(ISNUMBER('参数'!$E$36))+N(ISNUMBER('参数'!$G$36))+N(ISNUMBER('参数'!$I$36))=0,"",IF(AND(ISNUMBER('参数'!$E$36),ISNUMBER(J189)),AND(J190&lt;='参数'!$E$36,J190&lt;J189),FALSE)+IF(ISNUMBER('参数'!$G$36),K190&gt;='参数'!$G$36,FALSE)+IF(AND(ISNUMBER('参数'!$I$36),ISNUMBER(S190)),S190&lt;'参数'!$I$36,FALSE)+IF(AND(ISNUMBER(R190),ISNUMBER(R189)),R190&lt;R189,FALSE)),"")</f>
        <v/>
      </c>
      <c r="Z190" s="41" t="str">
        <f>IF(NOT(AND(ISNUMBER(J190),ISNUMBER(K190))),"",IF(COUNT(T190:Y190)=0,"先填阈值",IF(MAX(AD190:AI190)=0,"不写",INDEX($T$4:$Y$4,MATCH(MAX(AD190:AI190),AD190:AI190,0))&amp;"·"&amp;IF(MAX(AD190:AI190)&gt;=200,"高","中")&amp;IF(LARGE(AD190:AI190,2)&gt;0,"（也像"&amp;INDEX($T$4:$Y$4,MATCH(LARGE(AD190:AI190,2),AD190:AI190,0))&amp;"·"&amp;IF(LARGE(AD190:AI190,2)&gt;=200,"高","中")&amp;"）",""))))</f>
        <v/>
      </c>
      <c r="AA190" s="27" t="n"/>
      <c r="AB190" s="32" t="n"/>
      <c r="AC190" s="16" t="n"/>
      <c r="AD190" s="40">
        <f>IF(N(T190)&gt;=3,IF(T190=4,2,1)*100+T190*10+6,0)</f>
        <v>0</v>
      </c>
      <c r="AE190" s="40">
        <f>IF(N(U190)&gt;=3,1*100+U190*10+1,0)</f>
        <v>0</v>
      </c>
      <c r="AF190" s="40">
        <f>IF(N(V190)&gt;=3,IF(V190=4,2,1)*100+V190*10+2,0)</f>
        <v>0</v>
      </c>
      <c r="AG190" s="40">
        <f>IF(N(W190)&gt;=3,1*100+W190*10+3,0)</f>
        <v>0</v>
      </c>
      <c r="AH190" s="40">
        <f>IF(N(X190)&gt;=3,1*100+X190*10+4,0)</f>
        <v>0</v>
      </c>
      <c r="AI190" s="40">
        <f>IF(N(Y190)&gt;=3,IF(AND(N(T190)&gt;=3,OR(N(T190)=4,N(Y190)&lt;=N(T190))),0,IF(Y190=4,2,1)*100+Y190*10+5),0)</f>
        <v>0</v>
      </c>
    </row>
    <row r="191">
      <c r="A191" s="31" t="n"/>
      <c r="B191" s="36" t="str">
        <f>IF(ISNUMBER(A191),"周"&amp;CHOOSE(WEEKDAY(A191,2),"一","二","三","四","五","六","日"),"")</f>
        <v/>
      </c>
      <c r="C191" s="37" t="n"/>
      <c r="D191" s="37" t="n"/>
      <c r="E191" s="37" t="n"/>
      <c r="F191" s="17" t="n"/>
      <c r="G191" s="38" t="str">
        <f>IF(AND(ISNUMBER(F191),ISNUMBER(F190)),IF(F190=0,"",F191/F190-1),"")</f>
        <v/>
      </c>
      <c r="H191" s="17" t="n"/>
      <c r="I191" s="17" t="n"/>
      <c r="J191" s="17" t="n"/>
      <c r="K191" s="17" t="n"/>
      <c r="L191" s="17" t="n"/>
      <c r="M191" s="17" t="n"/>
      <c r="N191" s="39" t="str">
        <f>IF(AND(ISNUMBER(L191),ISNUMBER(M191),N(L191)&gt;0),M191/L191,"")</f>
        <v/>
      </c>
      <c r="O191" s="17" t="n"/>
      <c r="P191" s="17" t="n"/>
      <c r="Q191" s="39" t="str">
        <f>IF(AND(ISNUMBER(O191),ISNUMBER(P191),N(O191)&gt;0),P191/O191,"")</f>
        <v/>
      </c>
      <c r="R191" s="17" t="n"/>
      <c r="S191" s="37" t="n"/>
      <c r="T191" s="40" t="str">
        <f>IF(AND(ISNUMBER(J191),ISNUMBER(K191)),IF(N(ISNUMBER('参数'!$E$31))+N(ISNUMBER('参数'!$G$31))+N(ISNUMBER('参数'!$I$31))+N(ISNUMBER('参数'!$K$31))=0,"",IF(ISNUMBER('参数'!$E$31),J191&lt;='参数'!$E$31,FALSE)+IF(ISNUMBER('参数'!$G$31),K191&gt;='参数'!$G$31,FALSE)+IF(AND(ISNUMBER('参数'!$I$31),ISNUMBER(N191)),N191&gt;='参数'!$I$31,FALSE)+IF(AND(ISNUMBER('参数'!$K$31),ISNUMBER(Q191)),Q191&lt;='参数'!$K$31,FALSE)),"")</f>
        <v/>
      </c>
      <c r="U191" s="40" t="str">
        <f>IF(AND(ISNUMBER(J191),ISNUMBER(K191)),IF(N(ISNUMBER('参数'!$G$32))+N(ISNUMBER('参数'!$I$32))+N(ISNUMBER('参数'!$K$32))=0,"",IF(AND(ISNUMBER(J190),ISNUMBER(J189)),AND(J191&gt;J190,J190&gt;J189),FALSE)+IF(ISNUMBER('参数'!$G$32),J191&lt;'参数'!$G$32,FALSE)+IF(AND(ISNUMBER('参数'!$I$32),ISNUMBER(Q191)),Q191&gt;='参数'!$I$32,FALSE)+IF(AND(ISNUMBER('参数'!$K$32),ISNUMBER(S191)),S191&gt;='参数'!$K$32,FALSE)),"")</f>
        <v/>
      </c>
      <c r="V191" s="40" t="str">
        <f>IF(AND(ISNUMBER(J191),ISNUMBER(K191)),IF(N(ISNUMBER('参数'!$E$33))+N(ISNUMBER('参数'!$G$33))+N(ISNUMBER('参数'!$I$33))+N(ISNUMBER('参数'!$K$33))=0,"",IF(AND(ISNUMBER('参数'!$E$33),ISNUMBER(J190)),AND(J191&gt;='参数'!$E$33,J191&gt;J190),FALSE)+IF(AND(ISNUMBER('参数'!$G$33),ISNUMBER(N191)),N191&lt;='参数'!$G$33,FALSE)+IF(AND(ISNUMBER('参数'!$I$33),ISNUMBER(Q191)),Q191&gt;='参数'!$I$33,FALSE)+IF(AND(ISNUMBER('参数'!$K$33),ISNUMBER(S191)),S191&gt;='参数'!$K$33,FALSE)),"")</f>
        <v/>
      </c>
      <c r="W191" s="40" t="str">
        <f>IF(AND(ISNUMBER(J191),ISNUMBER(K191)),IF(N(ISNUMBER('参数'!$E$34))+N(ISNUMBER('参数'!$G$34))+N(ISNUMBER('参数'!$I$34))+N(ISNUMBER('参数'!$K$34))=0,"",IF(ISNUMBER('参数'!$E$34),J191&gt;='参数'!$E$34,FALSE)+IF(AND(ISNUMBER('参数'!$G$34),ISNUMBER(N191)),N191&lt;='参数'!$G$34,FALSE)+IF(AND(ISNUMBER('参数'!$I$34),ISNUMBER(S191)),S191&gt;='参数'!$I$34,FALSE)+IF(AND(ISNUMBER('参数'!$K$34),ISNUMBER(R191)),R191&gt;='参数'!$K$34,FALSE)),"")</f>
        <v/>
      </c>
      <c r="X191" s="40" t="str">
        <f>IF(AND(ISNUMBER(J191),ISNUMBER(K191)),IF(N(ISNUMBER('参数'!$E$35))+N(ISNUMBER('参数'!$G$35))+N(ISNUMBER('参数'!$I$35))=0,"",IF(AND(ISNUMBER('参数'!$E$35),ISNUMBER(N191),ISNUMBER(N190)),ROUND(N191-N190,6)&gt;='参数'!$E$35,FALSE)+IF(AND(ISNUMBER('参数'!$G$35),ISNUMBER(Q191),ISNUMBER(Q190)),ROUND(Q190-Q191,6)&gt;='参数'!$G$35,FALSE)+IF(AND(ISNUMBER('参数'!$I$35),ISNUMBER(S191),ISNUMBER(S190)),ROUND(S190-S191,6)&gt;='参数'!$I$35,FALSE)+IF(ISNUMBER(J190),J191&lt;J190,FALSE)),"")</f>
        <v/>
      </c>
      <c r="Y191" s="40" t="str">
        <f>IF(AND(ISNUMBER(J191),ISNUMBER(K191)),IF(N(ISNUMBER('参数'!$E$36))+N(ISNUMBER('参数'!$G$36))+N(ISNUMBER('参数'!$I$36))=0,"",IF(AND(ISNUMBER('参数'!$E$36),ISNUMBER(J190)),AND(J191&lt;='参数'!$E$36,J191&lt;J190),FALSE)+IF(ISNUMBER('参数'!$G$36),K191&gt;='参数'!$G$36,FALSE)+IF(AND(ISNUMBER('参数'!$I$36),ISNUMBER(S191)),S191&lt;'参数'!$I$36,FALSE)+IF(AND(ISNUMBER(R191),ISNUMBER(R190)),R191&lt;R190,FALSE)),"")</f>
        <v/>
      </c>
      <c r="Z191" s="41" t="str">
        <f>IF(NOT(AND(ISNUMBER(J191),ISNUMBER(K191))),"",IF(COUNT(T191:Y191)=0,"先填阈值",IF(MAX(AD191:AI191)=0,"不写",INDEX($T$4:$Y$4,MATCH(MAX(AD191:AI191),AD191:AI191,0))&amp;"·"&amp;IF(MAX(AD191:AI191)&gt;=200,"高","中")&amp;IF(LARGE(AD191:AI191,2)&gt;0,"（也像"&amp;INDEX($T$4:$Y$4,MATCH(LARGE(AD191:AI191,2),AD191:AI191,0))&amp;"·"&amp;IF(LARGE(AD191:AI191,2)&gt;=200,"高","中")&amp;"）",""))))</f>
        <v/>
      </c>
      <c r="AA191" s="27" t="n"/>
      <c r="AB191" s="32" t="n"/>
      <c r="AC191" s="16" t="n"/>
      <c r="AD191" s="40">
        <f>IF(N(T191)&gt;=3,IF(T191=4,2,1)*100+T191*10+6,0)</f>
        <v>0</v>
      </c>
      <c r="AE191" s="40">
        <f>IF(N(U191)&gt;=3,1*100+U191*10+1,0)</f>
        <v>0</v>
      </c>
      <c r="AF191" s="40">
        <f>IF(N(V191)&gt;=3,IF(V191=4,2,1)*100+V191*10+2,0)</f>
        <v>0</v>
      </c>
      <c r="AG191" s="40">
        <f>IF(N(W191)&gt;=3,1*100+W191*10+3,0)</f>
        <v>0</v>
      </c>
      <c r="AH191" s="40">
        <f>IF(N(X191)&gt;=3,1*100+X191*10+4,0)</f>
        <v>0</v>
      </c>
      <c r="AI191" s="40">
        <f>IF(N(Y191)&gt;=3,IF(AND(N(T191)&gt;=3,OR(N(T191)=4,N(Y191)&lt;=N(T191))),0,IF(Y191=4,2,1)*100+Y191*10+5),0)</f>
        <v>0</v>
      </c>
    </row>
    <row r="192">
      <c r="A192" s="31" t="n"/>
      <c r="B192" s="36" t="str">
        <f>IF(ISNUMBER(A192),"周"&amp;CHOOSE(WEEKDAY(A192,2),"一","二","三","四","五","六","日"),"")</f>
        <v/>
      </c>
      <c r="C192" s="37" t="n"/>
      <c r="D192" s="37" t="n"/>
      <c r="E192" s="37" t="n"/>
      <c r="F192" s="17" t="n"/>
      <c r="G192" s="38" t="str">
        <f>IF(AND(ISNUMBER(F192),ISNUMBER(F191)),IF(F191=0,"",F192/F191-1),"")</f>
        <v/>
      </c>
      <c r="H192" s="17" t="n"/>
      <c r="I192" s="17" t="n"/>
      <c r="J192" s="17" t="n"/>
      <c r="K192" s="17" t="n"/>
      <c r="L192" s="17" t="n"/>
      <c r="M192" s="17" t="n"/>
      <c r="N192" s="39" t="str">
        <f>IF(AND(ISNUMBER(L192),ISNUMBER(M192),N(L192)&gt;0),M192/L192,"")</f>
        <v/>
      </c>
      <c r="O192" s="17" t="n"/>
      <c r="P192" s="17" t="n"/>
      <c r="Q192" s="39" t="str">
        <f>IF(AND(ISNUMBER(O192),ISNUMBER(P192),N(O192)&gt;0),P192/O192,"")</f>
        <v/>
      </c>
      <c r="R192" s="17" t="n"/>
      <c r="S192" s="37" t="n"/>
      <c r="T192" s="40" t="str">
        <f>IF(AND(ISNUMBER(J192),ISNUMBER(K192)),IF(N(ISNUMBER('参数'!$E$31))+N(ISNUMBER('参数'!$G$31))+N(ISNUMBER('参数'!$I$31))+N(ISNUMBER('参数'!$K$31))=0,"",IF(ISNUMBER('参数'!$E$31),J192&lt;='参数'!$E$31,FALSE)+IF(ISNUMBER('参数'!$G$31),K192&gt;='参数'!$G$31,FALSE)+IF(AND(ISNUMBER('参数'!$I$31),ISNUMBER(N192)),N192&gt;='参数'!$I$31,FALSE)+IF(AND(ISNUMBER('参数'!$K$31),ISNUMBER(Q192)),Q192&lt;='参数'!$K$31,FALSE)),"")</f>
        <v/>
      </c>
      <c r="U192" s="40" t="str">
        <f>IF(AND(ISNUMBER(J192),ISNUMBER(K192)),IF(N(ISNUMBER('参数'!$G$32))+N(ISNUMBER('参数'!$I$32))+N(ISNUMBER('参数'!$K$32))=0,"",IF(AND(ISNUMBER(J191),ISNUMBER(J190)),AND(J192&gt;J191,J191&gt;J190),FALSE)+IF(ISNUMBER('参数'!$G$32),J192&lt;'参数'!$G$32,FALSE)+IF(AND(ISNUMBER('参数'!$I$32),ISNUMBER(Q192)),Q192&gt;='参数'!$I$32,FALSE)+IF(AND(ISNUMBER('参数'!$K$32),ISNUMBER(S192)),S192&gt;='参数'!$K$32,FALSE)),"")</f>
        <v/>
      </c>
      <c r="V192" s="40" t="str">
        <f>IF(AND(ISNUMBER(J192),ISNUMBER(K192)),IF(N(ISNUMBER('参数'!$E$33))+N(ISNUMBER('参数'!$G$33))+N(ISNUMBER('参数'!$I$33))+N(ISNUMBER('参数'!$K$33))=0,"",IF(AND(ISNUMBER('参数'!$E$33),ISNUMBER(J191)),AND(J192&gt;='参数'!$E$33,J192&gt;J191),FALSE)+IF(AND(ISNUMBER('参数'!$G$33),ISNUMBER(N192)),N192&lt;='参数'!$G$33,FALSE)+IF(AND(ISNUMBER('参数'!$I$33),ISNUMBER(Q192)),Q192&gt;='参数'!$I$33,FALSE)+IF(AND(ISNUMBER('参数'!$K$33),ISNUMBER(S192)),S192&gt;='参数'!$K$33,FALSE)),"")</f>
        <v/>
      </c>
      <c r="W192" s="40" t="str">
        <f>IF(AND(ISNUMBER(J192),ISNUMBER(K192)),IF(N(ISNUMBER('参数'!$E$34))+N(ISNUMBER('参数'!$G$34))+N(ISNUMBER('参数'!$I$34))+N(ISNUMBER('参数'!$K$34))=0,"",IF(ISNUMBER('参数'!$E$34),J192&gt;='参数'!$E$34,FALSE)+IF(AND(ISNUMBER('参数'!$G$34),ISNUMBER(N192)),N192&lt;='参数'!$G$34,FALSE)+IF(AND(ISNUMBER('参数'!$I$34),ISNUMBER(S192)),S192&gt;='参数'!$I$34,FALSE)+IF(AND(ISNUMBER('参数'!$K$34),ISNUMBER(R192)),R192&gt;='参数'!$K$34,FALSE)),"")</f>
        <v/>
      </c>
      <c r="X192" s="40" t="str">
        <f>IF(AND(ISNUMBER(J192),ISNUMBER(K192)),IF(N(ISNUMBER('参数'!$E$35))+N(ISNUMBER('参数'!$G$35))+N(ISNUMBER('参数'!$I$35))=0,"",IF(AND(ISNUMBER('参数'!$E$35),ISNUMBER(N192),ISNUMBER(N191)),ROUND(N192-N191,6)&gt;='参数'!$E$35,FALSE)+IF(AND(ISNUMBER('参数'!$G$35),ISNUMBER(Q192),ISNUMBER(Q191)),ROUND(Q191-Q192,6)&gt;='参数'!$G$35,FALSE)+IF(AND(ISNUMBER('参数'!$I$35),ISNUMBER(S192),ISNUMBER(S191)),ROUND(S191-S192,6)&gt;='参数'!$I$35,FALSE)+IF(ISNUMBER(J191),J192&lt;J191,FALSE)),"")</f>
        <v/>
      </c>
      <c r="Y192" s="40" t="str">
        <f>IF(AND(ISNUMBER(J192),ISNUMBER(K192)),IF(N(ISNUMBER('参数'!$E$36))+N(ISNUMBER('参数'!$G$36))+N(ISNUMBER('参数'!$I$36))=0,"",IF(AND(ISNUMBER('参数'!$E$36),ISNUMBER(J191)),AND(J192&lt;='参数'!$E$36,J192&lt;J191),FALSE)+IF(ISNUMBER('参数'!$G$36),K192&gt;='参数'!$G$36,FALSE)+IF(AND(ISNUMBER('参数'!$I$36),ISNUMBER(S192)),S192&lt;'参数'!$I$36,FALSE)+IF(AND(ISNUMBER(R192),ISNUMBER(R191)),R192&lt;R191,FALSE)),"")</f>
        <v/>
      </c>
      <c r="Z192" s="41" t="str">
        <f>IF(NOT(AND(ISNUMBER(J192),ISNUMBER(K192))),"",IF(COUNT(T192:Y192)=0,"先填阈值",IF(MAX(AD192:AI192)=0,"不写",INDEX($T$4:$Y$4,MATCH(MAX(AD192:AI192),AD192:AI192,0))&amp;"·"&amp;IF(MAX(AD192:AI192)&gt;=200,"高","中")&amp;IF(LARGE(AD192:AI192,2)&gt;0,"（也像"&amp;INDEX($T$4:$Y$4,MATCH(LARGE(AD192:AI192,2),AD192:AI192,0))&amp;"·"&amp;IF(LARGE(AD192:AI192,2)&gt;=200,"高","中")&amp;"）",""))))</f>
        <v/>
      </c>
      <c r="AA192" s="27" t="n"/>
      <c r="AB192" s="32" t="n"/>
      <c r="AC192" s="16" t="n"/>
      <c r="AD192" s="40">
        <f>IF(N(T192)&gt;=3,IF(T192=4,2,1)*100+T192*10+6,0)</f>
        <v>0</v>
      </c>
      <c r="AE192" s="40">
        <f>IF(N(U192)&gt;=3,1*100+U192*10+1,0)</f>
        <v>0</v>
      </c>
      <c r="AF192" s="40">
        <f>IF(N(V192)&gt;=3,IF(V192=4,2,1)*100+V192*10+2,0)</f>
        <v>0</v>
      </c>
      <c r="AG192" s="40">
        <f>IF(N(W192)&gt;=3,1*100+W192*10+3,0)</f>
        <v>0</v>
      </c>
      <c r="AH192" s="40">
        <f>IF(N(X192)&gt;=3,1*100+X192*10+4,0)</f>
        <v>0</v>
      </c>
      <c r="AI192" s="40">
        <f>IF(N(Y192)&gt;=3,IF(AND(N(T192)&gt;=3,OR(N(T192)=4,N(Y192)&lt;=N(T192))),0,IF(Y192=4,2,1)*100+Y192*10+5),0)</f>
        <v>0</v>
      </c>
    </row>
    <row r="193">
      <c r="A193" s="31" t="n"/>
      <c r="B193" s="36" t="str">
        <f>IF(ISNUMBER(A193),"周"&amp;CHOOSE(WEEKDAY(A193,2),"一","二","三","四","五","六","日"),"")</f>
        <v/>
      </c>
      <c r="C193" s="37" t="n"/>
      <c r="D193" s="37" t="n"/>
      <c r="E193" s="37" t="n"/>
      <c r="F193" s="17" t="n"/>
      <c r="G193" s="38" t="str">
        <f>IF(AND(ISNUMBER(F193),ISNUMBER(F192)),IF(F192=0,"",F193/F192-1),"")</f>
        <v/>
      </c>
      <c r="H193" s="17" t="n"/>
      <c r="I193" s="17" t="n"/>
      <c r="J193" s="17" t="n"/>
      <c r="K193" s="17" t="n"/>
      <c r="L193" s="17" t="n"/>
      <c r="M193" s="17" t="n"/>
      <c r="N193" s="39" t="str">
        <f>IF(AND(ISNUMBER(L193),ISNUMBER(M193),N(L193)&gt;0),M193/L193,"")</f>
        <v/>
      </c>
      <c r="O193" s="17" t="n"/>
      <c r="P193" s="17" t="n"/>
      <c r="Q193" s="39" t="str">
        <f>IF(AND(ISNUMBER(O193),ISNUMBER(P193),N(O193)&gt;0),P193/O193,"")</f>
        <v/>
      </c>
      <c r="R193" s="17" t="n"/>
      <c r="S193" s="37" t="n"/>
      <c r="T193" s="40" t="str">
        <f>IF(AND(ISNUMBER(J193),ISNUMBER(K193)),IF(N(ISNUMBER('参数'!$E$31))+N(ISNUMBER('参数'!$G$31))+N(ISNUMBER('参数'!$I$31))+N(ISNUMBER('参数'!$K$31))=0,"",IF(ISNUMBER('参数'!$E$31),J193&lt;='参数'!$E$31,FALSE)+IF(ISNUMBER('参数'!$G$31),K193&gt;='参数'!$G$31,FALSE)+IF(AND(ISNUMBER('参数'!$I$31),ISNUMBER(N193)),N193&gt;='参数'!$I$31,FALSE)+IF(AND(ISNUMBER('参数'!$K$31),ISNUMBER(Q193)),Q193&lt;='参数'!$K$31,FALSE)),"")</f>
        <v/>
      </c>
      <c r="U193" s="40" t="str">
        <f>IF(AND(ISNUMBER(J193),ISNUMBER(K193)),IF(N(ISNUMBER('参数'!$G$32))+N(ISNUMBER('参数'!$I$32))+N(ISNUMBER('参数'!$K$32))=0,"",IF(AND(ISNUMBER(J192),ISNUMBER(J191)),AND(J193&gt;J192,J192&gt;J191),FALSE)+IF(ISNUMBER('参数'!$G$32),J193&lt;'参数'!$G$32,FALSE)+IF(AND(ISNUMBER('参数'!$I$32),ISNUMBER(Q193)),Q193&gt;='参数'!$I$32,FALSE)+IF(AND(ISNUMBER('参数'!$K$32),ISNUMBER(S193)),S193&gt;='参数'!$K$32,FALSE)),"")</f>
        <v/>
      </c>
      <c r="V193" s="40" t="str">
        <f>IF(AND(ISNUMBER(J193),ISNUMBER(K193)),IF(N(ISNUMBER('参数'!$E$33))+N(ISNUMBER('参数'!$G$33))+N(ISNUMBER('参数'!$I$33))+N(ISNUMBER('参数'!$K$33))=0,"",IF(AND(ISNUMBER('参数'!$E$33),ISNUMBER(J192)),AND(J193&gt;='参数'!$E$33,J193&gt;J192),FALSE)+IF(AND(ISNUMBER('参数'!$G$33),ISNUMBER(N193)),N193&lt;='参数'!$G$33,FALSE)+IF(AND(ISNUMBER('参数'!$I$33),ISNUMBER(Q193)),Q193&gt;='参数'!$I$33,FALSE)+IF(AND(ISNUMBER('参数'!$K$33),ISNUMBER(S193)),S193&gt;='参数'!$K$33,FALSE)),"")</f>
        <v/>
      </c>
      <c r="W193" s="40" t="str">
        <f>IF(AND(ISNUMBER(J193),ISNUMBER(K193)),IF(N(ISNUMBER('参数'!$E$34))+N(ISNUMBER('参数'!$G$34))+N(ISNUMBER('参数'!$I$34))+N(ISNUMBER('参数'!$K$34))=0,"",IF(ISNUMBER('参数'!$E$34),J193&gt;='参数'!$E$34,FALSE)+IF(AND(ISNUMBER('参数'!$G$34),ISNUMBER(N193)),N193&lt;='参数'!$G$34,FALSE)+IF(AND(ISNUMBER('参数'!$I$34),ISNUMBER(S193)),S193&gt;='参数'!$I$34,FALSE)+IF(AND(ISNUMBER('参数'!$K$34),ISNUMBER(R193)),R193&gt;='参数'!$K$34,FALSE)),"")</f>
        <v/>
      </c>
      <c r="X193" s="40" t="str">
        <f>IF(AND(ISNUMBER(J193),ISNUMBER(K193)),IF(N(ISNUMBER('参数'!$E$35))+N(ISNUMBER('参数'!$G$35))+N(ISNUMBER('参数'!$I$35))=0,"",IF(AND(ISNUMBER('参数'!$E$35),ISNUMBER(N193),ISNUMBER(N192)),ROUND(N193-N192,6)&gt;='参数'!$E$35,FALSE)+IF(AND(ISNUMBER('参数'!$G$35),ISNUMBER(Q193),ISNUMBER(Q192)),ROUND(Q192-Q193,6)&gt;='参数'!$G$35,FALSE)+IF(AND(ISNUMBER('参数'!$I$35),ISNUMBER(S193),ISNUMBER(S192)),ROUND(S192-S193,6)&gt;='参数'!$I$35,FALSE)+IF(ISNUMBER(J192),J193&lt;J192,FALSE)),"")</f>
        <v/>
      </c>
      <c r="Y193" s="40" t="str">
        <f>IF(AND(ISNUMBER(J193),ISNUMBER(K193)),IF(N(ISNUMBER('参数'!$E$36))+N(ISNUMBER('参数'!$G$36))+N(ISNUMBER('参数'!$I$36))=0,"",IF(AND(ISNUMBER('参数'!$E$36),ISNUMBER(J192)),AND(J193&lt;='参数'!$E$36,J193&lt;J192),FALSE)+IF(ISNUMBER('参数'!$G$36),K193&gt;='参数'!$G$36,FALSE)+IF(AND(ISNUMBER('参数'!$I$36),ISNUMBER(S193)),S193&lt;'参数'!$I$36,FALSE)+IF(AND(ISNUMBER(R193),ISNUMBER(R192)),R193&lt;R192,FALSE)),"")</f>
        <v/>
      </c>
      <c r="Z193" s="41" t="str">
        <f>IF(NOT(AND(ISNUMBER(J193),ISNUMBER(K193))),"",IF(COUNT(T193:Y193)=0,"先填阈值",IF(MAX(AD193:AI193)=0,"不写",INDEX($T$4:$Y$4,MATCH(MAX(AD193:AI193),AD193:AI193,0))&amp;"·"&amp;IF(MAX(AD193:AI193)&gt;=200,"高","中")&amp;IF(LARGE(AD193:AI193,2)&gt;0,"（也像"&amp;INDEX($T$4:$Y$4,MATCH(LARGE(AD193:AI193,2),AD193:AI193,0))&amp;"·"&amp;IF(LARGE(AD193:AI193,2)&gt;=200,"高","中")&amp;"）",""))))</f>
        <v/>
      </c>
      <c r="AA193" s="27" t="n"/>
      <c r="AB193" s="32" t="n"/>
      <c r="AC193" s="16" t="n"/>
      <c r="AD193" s="40">
        <f>IF(N(T193)&gt;=3,IF(T193=4,2,1)*100+T193*10+6,0)</f>
        <v>0</v>
      </c>
      <c r="AE193" s="40">
        <f>IF(N(U193)&gt;=3,1*100+U193*10+1,0)</f>
        <v>0</v>
      </c>
      <c r="AF193" s="40">
        <f>IF(N(V193)&gt;=3,IF(V193=4,2,1)*100+V193*10+2,0)</f>
        <v>0</v>
      </c>
      <c r="AG193" s="40">
        <f>IF(N(W193)&gt;=3,1*100+W193*10+3,0)</f>
        <v>0</v>
      </c>
      <c r="AH193" s="40">
        <f>IF(N(X193)&gt;=3,1*100+X193*10+4,0)</f>
        <v>0</v>
      </c>
      <c r="AI193" s="40">
        <f>IF(N(Y193)&gt;=3,IF(AND(N(T193)&gt;=3,OR(N(T193)=4,N(Y193)&lt;=N(T193))),0,IF(Y193=4,2,1)*100+Y193*10+5),0)</f>
        <v>0</v>
      </c>
    </row>
    <row r="194">
      <c r="A194" s="31" t="n"/>
      <c r="B194" s="36" t="str">
        <f>IF(ISNUMBER(A194),"周"&amp;CHOOSE(WEEKDAY(A194,2),"一","二","三","四","五","六","日"),"")</f>
        <v/>
      </c>
      <c r="C194" s="37" t="n"/>
      <c r="D194" s="37" t="n"/>
      <c r="E194" s="37" t="n"/>
      <c r="F194" s="17" t="n"/>
      <c r="G194" s="38" t="str">
        <f>IF(AND(ISNUMBER(F194),ISNUMBER(F193)),IF(F193=0,"",F194/F193-1),"")</f>
        <v/>
      </c>
      <c r="H194" s="17" t="n"/>
      <c r="I194" s="17" t="n"/>
      <c r="J194" s="17" t="n"/>
      <c r="K194" s="17" t="n"/>
      <c r="L194" s="17" t="n"/>
      <c r="M194" s="17" t="n"/>
      <c r="N194" s="39" t="str">
        <f>IF(AND(ISNUMBER(L194),ISNUMBER(M194),N(L194)&gt;0),M194/L194,"")</f>
        <v/>
      </c>
      <c r="O194" s="17" t="n"/>
      <c r="P194" s="17" t="n"/>
      <c r="Q194" s="39" t="str">
        <f>IF(AND(ISNUMBER(O194),ISNUMBER(P194),N(O194)&gt;0),P194/O194,"")</f>
        <v/>
      </c>
      <c r="R194" s="17" t="n"/>
      <c r="S194" s="37" t="n"/>
      <c r="T194" s="40" t="str">
        <f>IF(AND(ISNUMBER(J194),ISNUMBER(K194)),IF(N(ISNUMBER('参数'!$E$31))+N(ISNUMBER('参数'!$G$31))+N(ISNUMBER('参数'!$I$31))+N(ISNUMBER('参数'!$K$31))=0,"",IF(ISNUMBER('参数'!$E$31),J194&lt;='参数'!$E$31,FALSE)+IF(ISNUMBER('参数'!$G$31),K194&gt;='参数'!$G$31,FALSE)+IF(AND(ISNUMBER('参数'!$I$31),ISNUMBER(N194)),N194&gt;='参数'!$I$31,FALSE)+IF(AND(ISNUMBER('参数'!$K$31),ISNUMBER(Q194)),Q194&lt;='参数'!$K$31,FALSE)),"")</f>
        <v/>
      </c>
      <c r="U194" s="40" t="str">
        <f>IF(AND(ISNUMBER(J194),ISNUMBER(K194)),IF(N(ISNUMBER('参数'!$G$32))+N(ISNUMBER('参数'!$I$32))+N(ISNUMBER('参数'!$K$32))=0,"",IF(AND(ISNUMBER(J193),ISNUMBER(J192)),AND(J194&gt;J193,J193&gt;J192),FALSE)+IF(ISNUMBER('参数'!$G$32),J194&lt;'参数'!$G$32,FALSE)+IF(AND(ISNUMBER('参数'!$I$32),ISNUMBER(Q194)),Q194&gt;='参数'!$I$32,FALSE)+IF(AND(ISNUMBER('参数'!$K$32),ISNUMBER(S194)),S194&gt;='参数'!$K$32,FALSE)),"")</f>
        <v/>
      </c>
      <c r="V194" s="40" t="str">
        <f>IF(AND(ISNUMBER(J194),ISNUMBER(K194)),IF(N(ISNUMBER('参数'!$E$33))+N(ISNUMBER('参数'!$G$33))+N(ISNUMBER('参数'!$I$33))+N(ISNUMBER('参数'!$K$33))=0,"",IF(AND(ISNUMBER('参数'!$E$33),ISNUMBER(J193)),AND(J194&gt;='参数'!$E$33,J194&gt;J193),FALSE)+IF(AND(ISNUMBER('参数'!$G$33),ISNUMBER(N194)),N194&lt;='参数'!$G$33,FALSE)+IF(AND(ISNUMBER('参数'!$I$33),ISNUMBER(Q194)),Q194&gt;='参数'!$I$33,FALSE)+IF(AND(ISNUMBER('参数'!$K$33),ISNUMBER(S194)),S194&gt;='参数'!$K$33,FALSE)),"")</f>
        <v/>
      </c>
      <c r="W194" s="40" t="str">
        <f>IF(AND(ISNUMBER(J194),ISNUMBER(K194)),IF(N(ISNUMBER('参数'!$E$34))+N(ISNUMBER('参数'!$G$34))+N(ISNUMBER('参数'!$I$34))+N(ISNUMBER('参数'!$K$34))=0,"",IF(ISNUMBER('参数'!$E$34),J194&gt;='参数'!$E$34,FALSE)+IF(AND(ISNUMBER('参数'!$G$34),ISNUMBER(N194)),N194&lt;='参数'!$G$34,FALSE)+IF(AND(ISNUMBER('参数'!$I$34),ISNUMBER(S194)),S194&gt;='参数'!$I$34,FALSE)+IF(AND(ISNUMBER('参数'!$K$34),ISNUMBER(R194)),R194&gt;='参数'!$K$34,FALSE)),"")</f>
        <v/>
      </c>
      <c r="X194" s="40" t="str">
        <f>IF(AND(ISNUMBER(J194),ISNUMBER(K194)),IF(N(ISNUMBER('参数'!$E$35))+N(ISNUMBER('参数'!$G$35))+N(ISNUMBER('参数'!$I$35))=0,"",IF(AND(ISNUMBER('参数'!$E$35),ISNUMBER(N194),ISNUMBER(N193)),ROUND(N194-N193,6)&gt;='参数'!$E$35,FALSE)+IF(AND(ISNUMBER('参数'!$G$35),ISNUMBER(Q194),ISNUMBER(Q193)),ROUND(Q193-Q194,6)&gt;='参数'!$G$35,FALSE)+IF(AND(ISNUMBER('参数'!$I$35),ISNUMBER(S194),ISNUMBER(S193)),ROUND(S193-S194,6)&gt;='参数'!$I$35,FALSE)+IF(ISNUMBER(J193),J194&lt;J193,FALSE)),"")</f>
        <v/>
      </c>
      <c r="Y194" s="40" t="str">
        <f>IF(AND(ISNUMBER(J194),ISNUMBER(K194)),IF(N(ISNUMBER('参数'!$E$36))+N(ISNUMBER('参数'!$G$36))+N(ISNUMBER('参数'!$I$36))=0,"",IF(AND(ISNUMBER('参数'!$E$36),ISNUMBER(J193)),AND(J194&lt;='参数'!$E$36,J194&lt;J193),FALSE)+IF(ISNUMBER('参数'!$G$36),K194&gt;='参数'!$G$36,FALSE)+IF(AND(ISNUMBER('参数'!$I$36),ISNUMBER(S194)),S194&lt;'参数'!$I$36,FALSE)+IF(AND(ISNUMBER(R194),ISNUMBER(R193)),R194&lt;R193,FALSE)),"")</f>
        <v/>
      </c>
      <c r="Z194" s="41" t="str">
        <f>IF(NOT(AND(ISNUMBER(J194),ISNUMBER(K194))),"",IF(COUNT(T194:Y194)=0,"先填阈值",IF(MAX(AD194:AI194)=0,"不写",INDEX($T$4:$Y$4,MATCH(MAX(AD194:AI194),AD194:AI194,0))&amp;"·"&amp;IF(MAX(AD194:AI194)&gt;=200,"高","中")&amp;IF(LARGE(AD194:AI194,2)&gt;0,"（也像"&amp;INDEX($T$4:$Y$4,MATCH(LARGE(AD194:AI194,2),AD194:AI194,0))&amp;"·"&amp;IF(LARGE(AD194:AI194,2)&gt;=200,"高","中")&amp;"）",""))))</f>
        <v/>
      </c>
      <c r="AA194" s="27" t="n"/>
      <c r="AB194" s="32" t="n"/>
      <c r="AC194" s="16" t="n"/>
      <c r="AD194" s="40">
        <f>IF(N(T194)&gt;=3,IF(T194=4,2,1)*100+T194*10+6,0)</f>
        <v>0</v>
      </c>
      <c r="AE194" s="40">
        <f>IF(N(U194)&gt;=3,1*100+U194*10+1,0)</f>
        <v>0</v>
      </c>
      <c r="AF194" s="40">
        <f>IF(N(V194)&gt;=3,IF(V194=4,2,1)*100+V194*10+2,0)</f>
        <v>0</v>
      </c>
      <c r="AG194" s="40">
        <f>IF(N(W194)&gt;=3,1*100+W194*10+3,0)</f>
        <v>0</v>
      </c>
      <c r="AH194" s="40">
        <f>IF(N(X194)&gt;=3,1*100+X194*10+4,0)</f>
        <v>0</v>
      </c>
      <c r="AI194" s="40">
        <f>IF(N(Y194)&gt;=3,IF(AND(N(T194)&gt;=3,OR(N(T194)=4,N(Y194)&lt;=N(T194))),0,IF(Y194=4,2,1)*100+Y194*10+5),0)</f>
        <v>0</v>
      </c>
    </row>
    <row r="195">
      <c r="A195" s="31" t="n"/>
      <c r="B195" s="36" t="str">
        <f>IF(ISNUMBER(A195),"周"&amp;CHOOSE(WEEKDAY(A195,2),"一","二","三","四","五","六","日"),"")</f>
        <v/>
      </c>
      <c r="C195" s="37" t="n"/>
      <c r="D195" s="37" t="n"/>
      <c r="E195" s="37" t="n"/>
      <c r="F195" s="17" t="n"/>
      <c r="G195" s="38" t="str">
        <f>IF(AND(ISNUMBER(F195),ISNUMBER(F194)),IF(F194=0,"",F195/F194-1),"")</f>
        <v/>
      </c>
      <c r="H195" s="17" t="n"/>
      <c r="I195" s="17" t="n"/>
      <c r="J195" s="17" t="n"/>
      <c r="K195" s="17" t="n"/>
      <c r="L195" s="17" t="n"/>
      <c r="M195" s="17" t="n"/>
      <c r="N195" s="39" t="str">
        <f>IF(AND(ISNUMBER(L195),ISNUMBER(M195),N(L195)&gt;0),M195/L195,"")</f>
        <v/>
      </c>
      <c r="O195" s="17" t="n"/>
      <c r="P195" s="17" t="n"/>
      <c r="Q195" s="39" t="str">
        <f>IF(AND(ISNUMBER(O195),ISNUMBER(P195),N(O195)&gt;0),P195/O195,"")</f>
        <v/>
      </c>
      <c r="R195" s="17" t="n"/>
      <c r="S195" s="37" t="n"/>
      <c r="T195" s="40" t="str">
        <f>IF(AND(ISNUMBER(J195),ISNUMBER(K195)),IF(N(ISNUMBER('参数'!$E$31))+N(ISNUMBER('参数'!$G$31))+N(ISNUMBER('参数'!$I$31))+N(ISNUMBER('参数'!$K$31))=0,"",IF(ISNUMBER('参数'!$E$31),J195&lt;='参数'!$E$31,FALSE)+IF(ISNUMBER('参数'!$G$31),K195&gt;='参数'!$G$31,FALSE)+IF(AND(ISNUMBER('参数'!$I$31),ISNUMBER(N195)),N195&gt;='参数'!$I$31,FALSE)+IF(AND(ISNUMBER('参数'!$K$31),ISNUMBER(Q195)),Q195&lt;='参数'!$K$31,FALSE)),"")</f>
        <v/>
      </c>
      <c r="U195" s="40" t="str">
        <f>IF(AND(ISNUMBER(J195),ISNUMBER(K195)),IF(N(ISNUMBER('参数'!$G$32))+N(ISNUMBER('参数'!$I$32))+N(ISNUMBER('参数'!$K$32))=0,"",IF(AND(ISNUMBER(J194),ISNUMBER(J193)),AND(J195&gt;J194,J194&gt;J193),FALSE)+IF(ISNUMBER('参数'!$G$32),J195&lt;'参数'!$G$32,FALSE)+IF(AND(ISNUMBER('参数'!$I$32),ISNUMBER(Q195)),Q195&gt;='参数'!$I$32,FALSE)+IF(AND(ISNUMBER('参数'!$K$32),ISNUMBER(S195)),S195&gt;='参数'!$K$32,FALSE)),"")</f>
        <v/>
      </c>
      <c r="V195" s="40" t="str">
        <f>IF(AND(ISNUMBER(J195),ISNUMBER(K195)),IF(N(ISNUMBER('参数'!$E$33))+N(ISNUMBER('参数'!$G$33))+N(ISNUMBER('参数'!$I$33))+N(ISNUMBER('参数'!$K$33))=0,"",IF(AND(ISNUMBER('参数'!$E$33),ISNUMBER(J194)),AND(J195&gt;='参数'!$E$33,J195&gt;J194),FALSE)+IF(AND(ISNUMBER('参数'!$G$33),ISNUMBER(N195)),N195&lt;='参数'!$G$33,FALSE)+IF(AND(ISNUMBER('参数'!$I$33),ISNUMBER(Q195)),Q195&gt;='参数'!$I$33,FALSE)+IF(AND(ISNUMBER('参数'!$K$33),ISNUMBER(S195)),S195&gt;='参数'!$K$33,FALSE)),"")</f>
        <v/>
      </c>
      <c r="W195" s="40" t="str">
        <f>IF(AND(ISNUMBER(J195),ISNUMBER(K195)),IF(N(ISNUMBER('参数'!$E$34))+N(ISNUMBER('参数'!$G$34))+N(ISNUMBER('参数'!$I$34))+N(ISNUMBER('参数'!$K$34))=0,"",IF(ISNUMBER('参数'!$E$34),J195&gt;='参数'!$E$34,FALSE)+IF(AND(ISNUMBER('参数'!$G$34),ISNUMBER(N195)),N195&lt;='参数'!$G$34,FALSE)+IF(AND(ISNUMBER('参数'!$I$34),ISNUMBER(S195)),S195&gt;='参数'!$I$34,FALSE)+IF(AND(ISNUMBER('参数'!$K$34),ISNUMBER(R195)),R195&gt;='参数'!$K$34,FALSE)),"")</f>
        <v/>
      </c>
      <c r="X195" s="40" t="str">
        <f>IF(AND(ISNUMBER(J195),ISNUMBER(K195)),IF(N(ISNUMBER('参数'!$E$35))+N(ISNUMBER('参数'!$G$35))+N(ISNUMBER('参数'!$I$35))=0,"",IF(AND(ISNUMBER('参数'!$E$35),ISNUMBER(N195),ISNUMBER(N194)),ROUND(N195-N194,6)&gt;='参数'!$E$35,FALSE)+IF(AND(ISNUMBER('参数'!$G$35),ISNUMBER(Q195),ISNUMBER(Q194)),ROUND(Q194-Q195,6)&gt;='参数'!$G$35,FALSE)+IF(AND(ISNUMBER('参数'!$I$35),ISNUMBER(S195),ISNUMBER(S194)),ROUND(S194-S195,6)&gt;='参数'!$I$35,FALSE)+IF(ISNUMBER(J194),J195&lt;J194,FALSE)),"")</f>
        <v/>
      </c>
      <c r="Y195" s="40" t="str">
        <f>IF(AND(ISNUMBER(J195),ISNUMBER(K195)),IF(N(ISNUMBER('参数'!$E$36))+N(ISNUMBER('参数'!$G$36))+N(ISNUMBER('参数'!$I$36))=0,"",IF(AND(ISNUMBER('参数'!$E$36),ISNUMBER(J194)),AND(J195&lt;='参数'!$E$36,J195&lt;J194),FALSE)+IF(ISNUMBER('参数'!$G$36),K195&gt;='参数'!$G$36,FALSE)+IF(AND(ISNUMBER('参数'!$I$36),ISNUMBER(S195)),S195&lt;'参数'!$I$36,FALSE)+IF(AND(ISNUMBER(R195),ISNUMBER(R194)),R195&lt;R194,FALSE)),"")</f>
        <v/>
      </c>
      <c r="Z195" s="41" t="str">
        <f>IF(NOT(AND(ISNUMBER(J195),ISNUMBER(K195))),"",IF(COUNT(T195:Y195)=0,"先填阈值",IF(MAX(AD195:AI195)=0,"不写",INDEX($T$4:$Y$4,MATCH(MAX(AD195:AI195),AD195:AI195,0))&amp;"·"&amp;IF(MAX(AD195:AI195)&gt;=200,"高","中")&amp;IF(LARGE(AD195:AI195,2)&gt;0,"（也像"&amp;INDEX($T$4:$Y$4,MATCH(LARGE(AD195:AI195,2),AD195:AI195,0))&amp;"·"&amp;IF(LARGE(AD195:AI195,2)&gt;=200,"高","中")&amp;"）",""))))</f>
        <v/>
      </c>
      <c r="AA195" s="27" t="n"/>
      <c r="AB195" s="32" t="n"/>
      <c r="AC195" s="16" t="n"/>
      <c r="AD195" s="40">
        <f>IF(N(T195)&gt;=3,IF(T195=4,2,1)*100+T195*10+6,0)</f>
        <v>0</v>
      </c>
      <c r="AE195" s="40">
        <f>IF(N(U195)&gt;=3,1*100+U195*10+1,0)</f>
        <v>0</v>
      </c>
      <c r="AF195" s="40">
        <f>IF(N(V195)&gt;=3,IF(V195=4,2,1)*100+V195*10+2,0)</f>
        <v>0</v>
      </c>
      <c r="AG195" s="40">
        <f>IF(N(W195)&gt;=3,1*100+W195*10+3,0)</f>
        <v>0</v>
      </c>
      <c r="AH195" s="40">
        <f>IF(N(X195)&gt;=3,1*100+X195*10+4,0)</f>
        <v>0</v>
      </c>
      <c r="AI195" s="40">
        <f>IF(N(Y195)&gt;=3,IF(AND(N(T195)&gt;=3,OR(N(T195)=4,N(Y195)&lt;=N(T195))),0,IF(Y195=4,2,1)*100+Y195*10+5),0)</f>
        <v>0</v>
      </c>
    </row>
    <row r="196">
      <c r="A196" s="31" t="n"/>
      <c r="B196" s="36" t="str">
        <f>IF(ISNUMBER(A196),"周"&amp;CHOOSE(WEEKDAY(A196,2),"一","二","三","四","五","六","日"),"")</f>
        <v/>
      </c>
      <c r="C196" s="37" t="n"/>
      <c r="D196" s="37" t="n"/>
      <c r="E196" s="37" t="n"/>
      <c r="F196" s="17" t="n"/>
      <c r="G196" s="38" t="str">
        <f>IF(AND(ISNUMBER(F196),ISNUMBER(F195)),IF(F195=0,"",F196/F195-1),"")</f>
        <v/>
      </c>
      <c r="H196" s="17" t="n"/>
      <c r="I196" s="17" t="n"/>
      <c r="J196" s="17" t="n"/>
      <c r="K196" s="17" t="n"/>
      <c r="L196" s="17" t="n"/>
      <c r="M196" s="17" t="n"/>
      <c r="N196" s="39" t="str">
        <f>IF(AND(ISNUMBER(L196),ISNUMBER(M196),N(L196)&gt;0),M196/L196,"")</f>
        <v/>
      </c>
      <c r="O196" s="17" t="n"/>
      <c r="P196" s="17" t="n"/>
      <c r="Q196" s="39" t="str">
        <f>IF(AND(ISNUMBER(O196),ISNUMBER(P196),N(O196)&gt;0),P196/O196,"")</f>
        <v/>
      </c>
      <c r="R196" s="17" t="n"/>
      <c r="S196" s="37" t="n"/>
      <c r="T196" s="40" t="str">
        <f>IF(AND(ISNUMBER(J196),ISNUMBER(K196)),IF(N(ISNUMBER('参数'!$E$31))+N(ISNUMBER('参数'!$G$31))+N(ISNUMBER('参数'!$I$31))+N(ISNUMBER('参数'!$K$31))=0,"",IF(ISNUMBER('参数'!$E$31),J196&lt;='参数'!$E$31,FALSE)+IF(ISNUMBER('参数'!$G$31),K196&gt;='参数'!$G$31,FALSE)+IF(AND(ISNUMBER('参数'!$I$31),ISNUMBER(N196)),N196&gt;='参数'!$I$31,FALSE)+IF(AND(ISNUMBER('参数'!$K$31),ISNUMBER(Q196)),Q196&lt;='参数'!$K$31,FALSE)),"")</f>
        <v/>
      </c>
      <c r="U196" s="40" t="str">
        <f>IF(AND(ISNUMBER(J196),ISNUMBER(K196)),IF(N(ISNUMBER('参数'!$G$32))+N(ISNUMBER('参数'!$I$32))+N(ISNUMBER('参数'!$K$32))=0,"",IF(AND(ISNUMBER(J195),ISNUMBER(J194)),AND(J196&gt;J195,J195&gt;J194),FALSE)+IF(ISNUMBER('参数'!$G$32),J196&lt;'参数'!$G$32,FALSE)+IF(AND(ISNUMBER('参数'!$I$32),ISNUMBER(Q196)),Q196&gt;='参数'!$I$32,FALSE)+IF(AND(ISNUMBER('参数'!$K$32),ISNUMBER(S196)),S196&gt;='参数'!$K$32,FALSE)),"")</f>
        <v/>
      </c>
      <c r="V196" s="40" t="str">
        <f>IF(AND(ISNUMBER(J196),ISNUMBER(K196)),IF(N(ISNUMBER('参数'!$E$33))+N(ISNUMBER('参数'!$G$33))+N(ISNUMBER('参数'!$I$33))+N(ISNUMBER('参数'!$K$33))=0,"",IF(AND(ISNUMBER('参数'!$E$33),ISNUMBER(J195)),AND(J196&gt;='参数'!$E$33,J196&gt;J195),FALSE)+IF(AND(ISNUMBER('参数'!$G$33),ISNUMBER(N196)),N196&lt;='参数'!$G$33,FALSE)+IF(AND(ISNUMBER('参数'!$I$33),ISNUMBER(Q196)),Q196&gt;='参数'!$I$33,FALSE)+IF(AND(ISNUMBER('参数'!$K$33),ISNUMBER(S196)),S196&gt;='参数'!$K$33,FALSE)),"")</f>
        <v/>
      </c>
      <c r="W196" s="40" t="str">
        <f>IF(AND(ISNUMBER(J196),ISNUMBER(K196)),IF(N(ISNUMBER('参数'!$E$34))+N(ISNUMBER('参数'!$G$34))+N(ISNUMBER('参数'!$I$34))+N(ISNUMBER('参数'!$K$34))=0,"",IF(ISNUMBER('参数'!$E$34),J196&gt;='参数'!$E$34,FALSE)+IF(AND(ISNUMBER('参数'!$G$34),ISNUMBER(N196)),N196&lt;='参数'!$G$34,FALSE)+IF(AND(ISNUMBER('参数'!$I$34),ISNUMBER(S196)),S196&gt;='参数'!$I$34,FALSE)+IF(AND(ISNUMBER('参数'!$K$34),ISNUMBER(R196)),R196&gt;='参数'!$K$34,FALSE)),"")</f>
        <v/>
      </c>
      <c r="X196" s="40" t="str">
        <f>IF(AND(ISNUMBER(J196),ISNUMBER(K196)),IF(N(ISNUMBER('参数'!$E$35))+N(ISNUMBER('参数'!$G$35))+N(ISNUMBER('参数'!$I$35))=0,"",IF(AND(ISNUMBER('参数'!$E$35),ISNUMBER(N196),ISNUMBER(N195)),ROUND(N196-N195,6)&gt;='参数'!$E$35,FALSE)+IF(AND(ISNUMBER('参数'!$G$35),ISNUMBER(Q196),ISNUMBER(Q195)),ROUND(Q195-Q196,6)&gt;='参数'!$G$35,FALSE)+IF(AND(ISNUMBER('参数'!$I$35),ISNUMBER(S196),ISNUMBER(S195)),ROUND(S195-S196,6)&gt;='参数'!$I$35,FALSE)+IF(ISNUMBER(J195),J196&lt;J195,FALSE)),"")</f>
        <v/>
      </c>
      <c r="Y196" s="40" t="str">
        <f>IF(AND(ISNUMBER(J196),ISNUMBER(K196)),IF(N(ISNUMBER('参数'!$E$36))+N(ISNUMBER('参数'!$G$36))+N(ISNUMBER('参数'!$I$36))=0,"",IF(AND(ISNUMBER('参数'!$E$36),ISNUMBER(J195)),AND(J196&lt;='参数'!$E$36,J196&lt;J195),FALSE)+IF(ISNUMBER('参数'!$G$36),K196&gt;='参数'!$G$36,FALSE)+IF(AND(ISNUMBER('参数'!$I$36),ISNUMBER(S196)),S196&lt;'参数'!$I$36,FALSE)+IF(AND(ISNUMBER(R196),ISNUMBER(R195)),R196&lt;R195,FALSE)),"")</f>
        <v/>
      </c>
      <c r="Z196" s="41" t="str">
        <f>IF(NOT(AND(ISNUMBER(J196),ISNUMBER(K196))),"",IF(COUNT(T196:Y196)=0,"先填阈值",IF(MAX(AD196:AI196)=0,"不写",INDEX($T$4:$Y$4,MATCH(MAX(AD196:AI196),AD196:AI196,0))&amp;"·"&amp;IF(MAX(AD196:AI196)&gt;=200,"高","中")&amp;IF(LARGE(AD196:AI196,2)&gt;0,"（也像"&amp;INDEX($T$4:$Y$4,MATCH(LARGE(AD196:AI196,2),AD196:AI196,0))&amp;"·"&amp;IF(LARGE(AD196:AI196,2)&gt;=200,"高","中")&amp;"）",""))))</f>
        <v/>
      </c>
      <c r="AA196" s="27" t="n"/>
      <c r="AB196" s="32" t="n"/>
      <c r="AC196" s="16" t="n"/>
      <c r="AD196" s="40">
        <f>IF(N(T196)&gt;=3,IF(T196=4,2,1)*100+T196*10+6,0)</f>
        <v>0</v>
      </c>
      <c r="AE196" s="40">
        <f>IF(N(U196)&gt;=3,1*100+U196*10+1,0)</f>
        <v>0</v>
      </c>
      <c r="AF196" s="40">
        <f>IF(N(V196)&gt;=3,IF(V196=4,2,1)*100+V196*10+2,0)</f>
        <v>0</v>
      </c>
      <c r="AG196" s="40">
        <f>IF(N(W196)&gt;=3,1*100+W196*10+3,0)</f>
        <v>0</v>
      </c>
      <c r="AH196" s="40">
        <f>IF(N(X196)&gt;=3,1*100+X196*10+4,0)</f>
        <v>0</v>
      </c>
      <c r="AI196" s="40">
        <f>IF(N(Y196)&gt;=3,IF(AND(N(T196)&gt;=3,OR(N(T196)=4,N(Y196)&lt;=N(T196))),0,IF(Y196=4,2,1)*100+Y196*10+5),0)</f>
        <v>0</v>
      </c>
    </row>
    <row r="197">
      <c r="A197" s="31" t="n"/>
      <c r="B197" s="36" t="str">
        <f>IF(ISNUMBER(A197),"周"&amp;CHOOSE(WEEKDAY(A197,2),"一","二","三","四","五","六","日"),"")</f>
        <v/>
      </c>
      <c r="C197" s="37" t="n"/>
      <c r="D197" s="37" t="n"/>
      <c r="E197" s="37" t="n"/>
      <c r="F197" s="17" t="n"/>
      <c r="G197" s="38" t="str">
        <f>IF(AND(ISNUMBER(F197),ISNUMBER(F196)),IF(F196=0,"",F197/F196-1),"")</f>
        <v/>
      </c>
      <c r="H197" s="17" t="n"/>
      <c r="I197" s="17" t="n"/>
      <c r="J197" s="17" t="n"/>
      <c r="K197" s="17" t="n"/>
      <c r="L197" s="17" t="n"/>
      <c r="M197" s="17" t="n"/>
      <c r="N197" s="39" t="str">
        <f>IF(AND(ISNUMBER(L197),ISNUMBER(M197),N(L197)&gt;0),M197/L197,"")</f>
        <v/>
      </c>
      <c r="O197" s="17" t="n"/>
      <c r="P197" s="17" t="n"/>
      <c r="Q197" s="39" t="str">
        <f>IF(AND(ISNUMBER(O197),ISNUMBER(P197),N(O197)&gt;0),P197/O197,"")</f>
        <v/>
      </c>
      <c r="R197" s="17" t="n"/>
      <c r="S197" s="37" t="n"/>
      <c r="T197" s="40" t="str">
        <f>IF(AND(ISNUMBER(J197),ISNUMBER(K197)),IF(N(ISNUMBER('参数'!$E$31))+N(ISNUMBER('参数'!$G$31))+N(ISNUMBER('参数'!$I$31))+N(ISNUMBER('参数'!$K$31))=0,"",IF(ISNUMBER('参数'!$E$31),J197&lt;='参数'!$E$31,FALSE)+IF(ISNUMBER('参数'!$G$31),K197&gt;='参数'!$G$31,FALSE)+IF(AND(ISNUMBER('参数'!$I$31),ISNUMBER(N197)),N197&gt;='参数'!$I$31,FALSE)+IF(AND(ISNUMBER('参数'!$K$31),ISNUMBER(Q197)),Q197&lt;='参数'!$K$31,FALSE)),"")</f>
        <v/>
      </c>
      <c r="U197" s="40" t="str">
        <f>IF(AND(ISNUMBER(J197),ISNUMBER(K197)),IF(N(ISNUMBER('参数'!$G$32))+N(ISNUMBER('参数'!$I$32))+N(ISNUMBER('参数'!$K$32))=0,"",IF(AND(ISNUMBER(J196),ISNUMBER(J195)),AND(J197&gt;J196,J196&gt;J195),FALSE)+IF(ISNUMBER('参数'!$G$32),J197&lt;'参数'!$G$32,FALSE)+IF(AND(ISNUMBER('参数'!$I$32),ISNUMBER(Q197)),Q197&gt;='参数'!$I$32,FALSE)+IF(AND(ISNUMBER('参数'!$K$32),ISNUMBER(S197)),S197&gt;='参数'!$K$32,FALSE)),"")</f>
        <v/>
      </c>
      <c r="V197" s="40" t="str">
        <f>IF(AND(ISNUMBER(J197),ISNUMBER(K197)),IF(N(ISNUMBER('参数'!$E$33))+N(ISNUMBER('参数'!$G$33))+N(ISNUMBER('参数'!$I$33))+N(ISNUMBER('参数'!$K$33))=0,"",IF(AND(ISNUMBER('参数'!$E$33),ISNUMBER(J196)),AND(J197&gt;='参数'!$E$33,J197&gt;J196),FALSE)+IF(AND(ISNUMBER('参数'!$G$33),ISNUMBER(N197)),N197&lt;='参数'!$G$33,FALSE)+IF(AND(ISNUMBER('参数'!$I$33),ISNUMBER(Q197)),Q197&gt;='参数'!$I$33,FALSE)+IF(AND(ISNUMBER('参数'!$K$33),ISNUMBER(S197)),S197&gt;='参数'!$K$33,FALSE)),"")</f>
        <v/>
      </c>
      <c r="W197" s="40" t="str">
        <f>IF(AND(ISNUMBER(J197),ISNUMBER(K197)),IF(N(ISNUMBER('参数'!$E$34))+N(ISNUMBER('参数'!$G$34))+N(ISNUMBER('参数'!$I$34))+N(ISNUMBER('参数'!$K$34))=0,"",IF(ISNUMBER('参数'!$E$34),J197&gt;='参数'!$E$34,FALSE)+IF(AND(ISNUMBER('参数'!$G$34),ISNUMBER(N197)),N197&lt;='参数'!$G$34,FALSE)+IF(AND(ISNUMBER('参数'!$I$34),ISNUMBER(S197)),S197&gt;='参数'!$I$34,FALSE)+IF(AND(ISNUMBER('参数'!$K$34),ISNUMBER(R197)),R197&gt;='参数'!$K$34,FALSE)),"")</f>
        <v/>
      </c>
      <c r="X197" s="40" t="str">
        <f>IF(AND(ISNUMBER(J197),ISNUMBER(K197)),IF(N(ISNUMBER('参数'!$E$35))+N(ISNUMBER('参数'!$G$35))+N(ISNUMBER('参数'!$I$35))=0,"",IF(AND(ISNUMBER('参数'!$E$35),ISNUMBER(N197),ISNUMBER(N196)),ROUND(N197-N196,6)&gt;='参数'!$E$35,FALSE)+IF(AND(ISNUMBER('参数'!$G$35),ISNUMBER(Q197),ISNUMBER(Q196)),ROUND(Q196-Q197,6)&gt;='参数'!$G$35,FALSE)+IF(AND(ISNUMBER('参数'!$I$35),ISNUMBER(S197),ISNUMBER(S196)),ROUND(S196-S197,6)&gt;='参数'!$I$35,FALSE)+IF(ISNUMBER(J196),J197&lt;J196,FALSE)),"")</f>
        <v/>
      </c>
      <c r="Y197" s="40" t="str">
        <f>IF(AND(ISNUMBER(J197),ISNUMBER(K197)),IF(N(ISNUMBER('参数'!$E$36))+N(ISNUMBER('参数'!$G$36))+N(ISNUMBER('参数'!$I$36))=0,"",IF(AND(ISNUMBER('参数'!$E$36),ISNUMBER(J196)),AND(J197&lt;='参数'!$E$36,J197&lt;J196),FALSE)+IF(ISNUMBER('参数'!$G$36),K197&gt;='参数'!$G$36,FALSE)+IF(AND(ISNUMBER('参数'!$I$36),ISNUMBER(S197)),S197&lt;'参数'!$I$36,FALSE)+IF(AND(ISNUMBER(R197),ISNUMBER(R196)),R197&lt;R196,FALSE)),"")</f>
        <v/>
      </c>
      <c r="Z197" s="41" t="str">
        <f>IF(NOT(AND(ISNUMBER(J197),ISNUMBER(K197))),"",IF(COUNT(T197:Y197)=0,"先填阈值",IF(MAX(AD197:AI197)=0,"不写",INDEX($T$4:$Y$4,MATCH(MAX(AD197:AI197),AD197:AI197,0))&amp;"·"&amp;IF(MAX(AD197:AI197)&gt;=200,"高","中")&amp;IF(LARGE(AD197:AI197,2)&gt;0,"（也像"&amp;INDEX($T$4:$Y$4,MATCH(LARGE(AD197:AI197,2),AD197:AI197,0))&amp;"·"&amp;IF(LARGE(AD197:AI197,2)&gt;=200,"高","中")&amp;"）",""))))</f>
        <v/>
      </c>
      <c r="AA197" s="27" t="n"/>
      <c r="AB197" s="32" t="n"/>
      <c r="AC197" s="16" t="n"/>
      <c r="AD197" s="40">
        <f>IF(N(T197)&gt;=3,IF(T197=4,2,1)*100+T197*10+6,0)</f>
        <v>0</v>
      </c>
      <c r="AE197" s="40">
        <f>IF(N(U197)&gt;=3,1*100+U197*10+1,0)</f>
        <v>0</v>
      </c>
      <c r="AF197" s="40">
        <f>IF(N(V197)&gt;=3,IF(V197=4,2,1)*100+V197*10+2,0)</f>
        <v>0</v>
      </c>
      <c r="AG197" s="40">
        <f>IF(N(W197)&gt;=3,1*100+W197*10+3,0)</f>
        <v>0</v>
      </c>
      <c r="AH197" s="40">
        <f>IF(N(X197)&gt;=3,1*100+X197*10+4,0)</f>
        <v>0</v>
      </c>
      <c r="AI197" s="40">
        <f>IF(N(Y197)&gt;=3,IF(AND(N(T197)&gt;=3,OR(N(T197)=4,N(Y197)&lt;=N(T197))),0,IF(Y197=4,2,1)*100+Y197*10+5),0)</f>
        <v>0</v>
      </c>
    </row>
    <row r="198">
      <c r="A198" s="31" t="n"/>
      <c r="B198" s="36" t="str">
        <f>IF(ISNUMBER(A198),"周"&amp;CHOOSE(WEEKDAY(A198,2),"一","二","三","四","五","六","日"),"")</f>
        <v/>
      </c>
      <c r="C198" s="37" t="n"/>
      <c r="D198" s="37" t="n"/>
      <c r="E198" s="37" t="n"/>
      <c r="F198" s="17" t="n"/>
      <c r="G198" s="38" t="str">
        <f>IF(AND(ISNUMBER(F198),ISNUMBER(F197)),IF(F197=0,"",F198/F197-1),"")</f>
        <v/>
      </c>
      <c r="H198" s="17" t="n"/>
      <c r="I198" s="17" t="n"/>
      <c r="J198" s="17" t="n"/>
      <c r="K198" s="17" t="n"/>
      <c r="L198" s="17" t="n"/>
      <c r="M198" s="17" t="n"/>
      <c r="N198" s="39" t="str">
        <f>IF(AND(ISNUMBER(L198),ISNUMBER(M198),N(L198)&gt;0),M198/L198,"")</f>
        <v/>
      </c>
      <c r="O198" s="17" t="n"/>
      <c r="P198" s="17" t="n"/>
      <c r="Q198" s="39" t="str">
        <f>IF(AND(ISNUMBER(O198),ISNUMBER(P198),N(O198)&gt;0),P198/O198,"")</f>
        <v/>
      </c>
      <c r="R198" s="17" t="n"/>
      <c r="S198" s="37" t="n"/>
      <c r="T198" s="40" t="str">
        <f>IF(AND(ISNUMBER(J198),ISNUMBER(K198)),IF(N(ISNUMBER('参数'!$E$31))+N(ISNUMBER('参数'!$G$31))+N(ISNUMBER('参数'!$I$31))+N(ISNUMBER('参数'!$K$31))=0,"",IF(ISNUMBER('参数'!$E$31),J198&lt;='参数'!$E$31,FALSE)+IF(ISNUMBER('参数'!$G$31),K198&gt;='参数'!$G$31,FALSE)+IF(AND(ISNUMBER('参数'!$I$31),ISNUMBER(N198)),N198&gt;='参数'!$I$31,FALSE)+IF(AND(ISNUMBER('参数'!$K$31),ISNUMBER(Q198)),Q198&lt;='参数'!$K$31,FALSE)),"")</f>
        <v/>
      </c>
      <c r="U198" s="40" t="str">
        <f>IF(AND(ISNUMBER(J198),ISNUMBER(K198)),IF(N(ISNUMBER('参数'!$G$32))+N(ISNUMBER('参数'!$I$32))+N(ISNUMBER('参数'!$K$32))=0,"",IF(AND(ISNUMBER(J197),ISNUMBER(J196)),AND(J198&gt;J197,J197&gt;J196),FALSE)+IF(ISNUMBER('参数'!$G$32),J198&lt;'参数'!$G$32,FALSE)+IF(AND(ISNUMBER('参数'!$I$32),ISNUMBER(Q198)),Q198&gt;='参数'!$I$32,FALSE)+IF(AND(ISNUMBER('参数'!$K$32),ISNUMBER(S198)),S198&gt;='参数'!$K$32,FALSE)),"")</f>
        <v/>
      </c>
      <c r="V198" s="40" t="str">
        <f>IF(AND(ISNUMBER(J198),ISNUMBER(K198)),IF(N(ISNUMBER('参数'!$E$33))+N(ISNUMBER('参数'!$G$33))+N(ISNUMBER('参数'!$I$33))+N(ISNUMBER('参数'!$K$33))=0,"",IF(AND(ISNUMBER('参数'!$E$33),ISNUMBER(J197)),AND(J198&gt;='参数'!$E$33,J198&gt;J197),FALSE)+IF(AND(ISNUMBER('参数'!$G$33),ISNUMBER(N198)),N198&lt;='参数'!$G$33,FALSE)+IF(AND(ISNUMBER('参数'!$I$33),ISNUMBER(Q198)),Q198&gt;='参数'!$I$33,FALSE)+IF(AND(ISNUMBER('参数'!$K$33),ISNUMBER(S198)),S198&gt;='参数'!$K$33,FALSE)),"")</f>
        <v/>
      </c>
      <c r="W198" s="40" t="str">
        <f>IF(AND(ISNUMBER(J198),ISNUMBER(K198)),IF(N(ISNUMBER('参数'!$E$34))+N(ISNUMBER('参数'!$G$34))+N(ISNUMBER('参数'!$I$34))+N(ISNUMBER('参数'!$K$34))=0,"",IF(ISNUMBER('参数'!$E$34),J198&gt;='参数'!$E$34,FALSE)+IF(AND(ISNUMBER('参数'!$G$34),ISNUMBER(N198)),N198&lt;='参数'!$G$34,FALSE)+IF(AND(ISNUMBER('参数'!$I$34),ISNUMBER(S198)),S198&gt;='参数'!$I$34,FALSE)+IF(AND(ISNUMBER('参数'!$K$34),ISNUMBER(R198)),R198&gt;='参数'!$K$34,FALSE)),"")</f>
        <v/>
      </c>
      <c r="X198" s="40" t="str">
        <f>IF(AND(ISNUMBER(J198),ISNUMBER(K198)),IF(N(ISNUMBER('参数'!$E$35))+N(ISNUMBER('参数'!$G$35))+N(ISNUMBER('参数'!$I$35))=0,"",IF(AND(ISNUMBER('参数'!$E$35),ISNUMBER(N198),ISNUMBER(N197)),ROUND(N198-N197,6)&gt;='参数'!$E$35,FALSE)+IF(AND(ISNUMBER('参数'!$G$35),ISNUMBER(Q198),ISNUMBER(Q197)),ROUND(Q197-Q198,6)&gt;='参数'!$G$35,FALSE)+IF(AND(ISNUMBER('参数'!$I$35),ISNUMBER(S198),ISNUMBER(S197)),ROUND(S197-S198,6)&gt;='参数'!$I$35,FALSE)+IF(ISNUMBER(J197),J198&lt;J197,FALSE)),"")</f>
        <v/>
      </c>
      <c r="Y198" s="40" t="str">
        <f>IF(AND(ISNUMBER(J198),ISNUMBER(K198)),IF(N(ISNUMBER('参数'!$E$36))+N(ISNUMBER('参数'!$G$36))+N(ISNUMBER('参数'!$I$36))=0,"",IF(AND(ISNUMBER('参数'!$E$36),ISNUMBER(J197)),AND(J198&lt;='参数'!$E$36,J198&lt;J197),FALSE)+IF(ISNUMBER('参数'!$G$36),K198&gt;='参数'!$G$36,FALSE)+IF(AND(ISNUMBER('参数'!$I$36),ISNUMBER(S198)),S198&lt;'参数'!$I$36,FALSE)+IF(AND(ISNUMBER(R198),ISNUMBER(R197)),R198&lt;R197,FALSE)),"")</f>
        <v/>
      </c>
      <c r="Z198" s="41" t="str">
        <f>IF(NOT(AND(ISNUMBER(J198),ISNUMBER(K198))),"",IF(COUNT(T198:Y198)=0,"先填阈值",IF(MAX(AD198:AI198)=0,"不写",INDEX($T$4:$Y$4,MATCH(MAX(AD198:AI198),AD198:AI198,0))&amp;"·"&amp;IF(MAX(AD198:AI198)&gt;=200,"高","中")&amp;IF(LARGE(AD198:AI198,2)&gt;0,"（也像"&amp;INDEX($T$4:$Y$4,MATCH(LARGE(AD198:AI198,2),AD198:AI198,0))&amp;"·"&amp;IF(LARGE(AD198:AI198,2)&gt;=200,"高","中")&amp;"）",""))))</f>
        <v/>
      </c>
      <c r="AA198" s="27" t="n"/>
      <c r="AB198" s="32" t="n"/>
      <c r="AC198" s="16" t="n"/>
      <c r="AD198" s="40">
        <f>IF(N(T198)&gt;=3,IF(T198=4,2,1)*100+T198*10+6,0)</f>
        <v>0</v>
      </c>
      <c r="AE198" s="40">
        <f>IF(N(U198)&gt;=3,1*100+U198*10+1,0)</f>
        <v>0</v>
      </c>
      <c r="AF198" s="40">
        <f>IF(N(V198)&gt;=3,IF(V198=4,2,1)*100+V198*10+2,0)</f>
        <v>0</v>
      </c>
      <c r="AG198" s="40">
        <f>IF(N(W198)&gt;=3,1*100+W198*10+3,0)</f>
        <v>0</v>
      </c>
      <c r="AH198" s="40">
        <f>IF(N(X198)&gt;=3,1*100+X198*10+4,0)</f>
        <v>0</v>
      </c>
      <c r="AI198" s="40">
        <f>IF(N(Y198)&gt;=3,IF(AND(N(T198)&gt;=3,OR(N(T198)=4,N(Y198)&lt;=N(T198))),0,IF(Y198=4,2,1)*100+Y198*10+5),0)</f>
        <v>0</v>
      </c>
    </row>
    <row r="199">
      <c r="A199" s="31" t="n"/>
      <c r="B199" s="36" t="str">
        <f>IF(ISNUMBER(A199),"周"&amp;CHOOSE(WEEKDAY(A199,2),"一","二","三","四","五","六","日"),"")</f>
        <v/>
      </c>
      <c r="C199" s="37" t="n"/>
      <c r="D199" s="37" t="n"/>
      <c r="E199" s="37" t="n"/>
      <c r="F199" s="17" t="n"/>
      <c r="G199" s="38" t="str">
        <f>IF(AND(ISNUMBER(F199),ISNUMBER(F198)),IF(F198=0,"",F199/F198-1),"")</f>
        <v/>
      </c>
      <c r="H199" s="17" t="n"/>
      <c r="I199" s="17" t="n"/>
      <c r="J199" s="17" t="n"/>
      <c r="K199" s="17" t="n"/>
      <c r="L199" s="17" t="n"/>
      <c r="M199" s="17" t="n"/>
      <c r="N199" s="39" t="str">
        <f>IF(AND(ISNUMBER(L199),ISNUMBER(M199),N(L199)&gt;0),M199/L199,"")</f>
        <v/>
      </c>
      <c r="O199" s="17" t="n"/>
      <c r="P199" s="17" t="n"/>
      <c r="Q199" s="39" t="str">
        <f>IF(AND(ISNUMBER(O199),ISNUMBER(P199),N(O199)&gt;0),P199/O199,"")</f>
        <v/>
      </c>
      <c r="R199" s="17" t="n"/>
      <c r="S199" s="37" t="n"/>
      <c r="T199" s="40" t="str">
        <f>IF(AND(ISNUMBER(J199),ISNUMBER(K199)),IF(N(ISNUMBER('参数'!$E$31))+N(ISNUMBER('参数'!$G$31))+N(ISNUMBER('参数'!$I$31))+N(ISNUMBER('参数'!$K$31))=0,"",IF(ISNUMBER('参数'!$E$31),J199&lt;='参数'!$E$31,FALSE)+IF(ISNUMBER('参数'!$G$31),K199&gt;='参数'!$G$31,FALSE)+IF(AND(ISNUMBER('参数'!$I$31),ISNUMBER(N199)),N199&gt;='参数'!$I$31,FALSE)+IF(AND(ISNUMBER('参数'!$K$31),ISNUMBER(Q199)),Q199&lt;='参数'!$K$31,FALSE)),"")</f>
        <v/>
      </c>
      <c r="U199" s="40" t="str">
        <f>IF(AND(ISNUMBER(J199),ISNUMBER(K199)),IF(N(ISNUMBER('参数'!$G$32))+N(ISNUMBER('参数'!$I$32))+N(ISNUMBER('参数'!$K$32))=0,"",IF(AND(ISNUMBER(J198),ISNUMBER(J197)),AND(J199&gt;J198,J198&gt;J197),FALSE)+IF(ISNUMBER('参数'!$G$32),J199&lt;'参数'!$G$32,FALSE)+IF(AND(ISNUMBER('参数'!$I$32),ISNUMBER(Q199)),Q199&gt;='参数'!$I$32,FALSE)+IF(AND(ISNUMBER('参数'!$K$32),ISNUMBER(S199)),S199&gt;='参数'!$K$32,FALSE)),"")</f>
        <v/>
      </c>
      <c r="V199" s="40" t="str">
        <f>IF(AND(ISNUMBER(J199),ISNUMBER(K199)),IF(N(ISNUMBER('参数'!$E$33))+N(ISNUMBER('参数'!$G$33))+N(ISNUMBER('参数'!$I$33))+N(ISNUMBER('参数'!$K$33))=0,"",IF(AND(ISNUMBER('参数'!$E$33),ISNUMBER(J198)),AND(J199&gt;='参数'!$E$33,J199&gt;J198),FALSE)+IF(AND(ISNUMBER('参数'!$G$33),ISNUMBER(N199)),N199&lt;='参数'!$G$33,FALSE)+IF(AND(ISNUMBER('参数'!$I$33),ISNUMBER(Q199)),Q199&gt;='参数'!$I$33,FALSE)+IF(AND(ISNUMBER('参数'!$K$33),ISNUMBER(S199)),S199&gt;='参数'!$K$33,FALSE)),"")</f>
        <v/>
      </c>
      <c r="W199" s="40" t="str">
        <f>IF(AND(ISNUMBER(J199),ISNUMBER(K199)),IF(N(ISNUMBER('参数'!$E$34))+N(ISNUMBER('参数'!$G$34))+N(ISNUMBER('参数'!$I$34))+N(ISNUMBER('参数'!$K$34))=0,"",IF(ISNUMBER('参数'!$E$34),J199&gt;='参数'!$E$34,FALSE)+IF(AND(ISNUMBER('参数'!$G$34),ISNUMBER(N199)),N199&lt;='参数'!$G$34,FALSE)+IF(AND(ISNUMBER('参数'!$I$34),ISNUMBER(S199)),S199&gt;='参数'!$I$34,FALSE)+IF(AND(ISNUMBER('参数'!$K$34),ISNUMBER(R199)),R199&gt;='参数'!$K$34,FALSE)),"")</f>
        <v/>
      </c>
      <c r="X199" s="40" t="str">
        <f>IF(AND(ISNUMBER(J199),ISNUMBER(K199)),IF(N(ISNUMBER('参数'!$E$35))+N(ISNUMBER('参数'!$G$35))+N(ISNUMBER('参数'!$I$35))=0,"",IF(AND(ISNUMBER('参数'!$E$35),ISNUMBER(N199),ISNUMBER(N198)),ROUND(N199-N198,6)&gt;='参数'!$E$35,FALSE)+IF(AND(ISNUMBER('参数'!$G$35),ISNUMBER(Q199),ISNUMBER(Q198)),ROUND(Q198-Q199,6)&gt;='参数'!$G$35,FALSE)+IF(AND(ISNUMBER('参数'!$I$35),ISNUMBER(S199),ISNUMBER(S198)),ROUND(S198-S199,6)&gt;='参数'!$I$35,FALSE)+IF(ISNUMBER(J198),J199&lt;J198,FALSE)),"")</f>
        <v/>
      </c>
      <c r="Y199" s="40" t="str">
        <f>IF(AND(ISNUMBER(J199),ISNUMBER(K199)),IF(N(ISNUMBER('参数'!$E$36))+N(ISNUMBER('参数'!$G$36))+N(ISNUMBER('参数'!$I$36))=0,"",IF(AND(ISNUMBER('参数'!$E$36),ISNUMBER(J198)),AND(J199&lt;='参数'!$E$36,J199&lt;J198),FALSE)+IF(ISNUMBER('参数'!$G$36),K199&gt;='参数'!$G$36,FALSE)+IF(AND(ISNUMBER('参数'!$I$36),ISNUMBER(S199)),S199&lt;'参数'!$I$36,FALSE)+IF(AND(ISNUMBER(R199),ISNUMBER(R198)),R199&lt;R198,FALSE)),"")</f>
        <v/>
      </c>
      <c r="Z199" s="41" t="str">
        <f>IF(NOT(AND(ISNUMBER(J199),ISNUMBER(K199))),"",IF(COUNT(T199:Y199)=0,"先填阈值",IF(MAX(AD199:AI199)=0,"不写",INDEX($T$4:$Y$4,MATCH(MAX(AD199:AI199),AD199:AI199,0))&amp;"·"&amp;IF(MAX(AD199:AI199)&gt;=200,"高","中")&amp;IF(LARGE(AD199:AI199,2)&gt;0,"（也像"&amp;INDEX($T$4:$Y$4,MATCH(LARGE(AD199:AI199,2),AD199:AI199,0))&amp;"·"&amp;IF(LARGE(AD199:AI199,2)&gt;=200,"高","中")&amp;"）",""))))</f>
        <v/>
      </c>
      <c r="AA199" s="27" t="n"/>
      <c r="AB199" s="32" t="n"/>
      <c r="AC199" s="16" t="n"/>
      <c r="AD199" s="40">
        <f>IF(N(T199)&gt;=3,IF(T199=4,2,1)*100+T199*10+6,0)</f>
        <v>0</v>
      </c>
      <c r="AE199" s="40">
        <f>IF(N(U199)&gt;=3,1*100+U199*10+1,0)</f>
        <v>0</v>
      </c>
      <c r="AF199" s="40">
        <f>IF(N(V199)&gt;=3,IF(V199=4,2,1)*100+V199*10+2,0)</f>
        <v>0</v>
      </c>
      <c r="AG199" s="40">
        <f>IF(N(W199)&gt;=3,1*100+W199*10+3,0)</f>
        <v>0</v>
      </c>
      <c r="AH199" s="40">
        <f>IF(N(X199)&gt;=3,1*100+X199*10+4,0)</f>
        <v>0</v>
      </c>
      <c r="AI199" s="40">
        <f>IF(N(Y199)&gt;=3,IF(AND(N(T199)&gt;=3,OR(N(T199)=4,N(Y199)&lt;=N(T199))),0,IF(Y199=4,2,1)*100+Y199*10+5),0)</f>
        <v>0</v>
      </c>
    </row>
    <row r="200">
      <c r="A200" s="31" t="n"/>
      <c r="B200" s="36" t="str">
        <f>IF(ISNUMBER(A200),"周"&amp;CHOOSE(WEEKDAY(A200,2),"一","二","三","四","五","六","日"),"")</f>
        <v/>
      </c>
      <c r="C200" s="37" t="n"/>
      <c r="D200" s="37" t="n"/>
      <c r="E200" s="37" t="n"/>
      <c r="F200" s="17" t="n"/>
      <c r="G200" s="38" t="str">
        <f>IF(AND(ISNUMBER(F200),ISNUMBER(F199)),IF(F199=0,"",F200/F199-1),"")</f>
        <v/>
      </c>
      <c r="H200" s="17" t="n"/>
      <c r="I200" s="17" t="n"/>
      <c r="J200" s="17" t="n"/>
      <c r="K200" s="17" t="n"/>
      <c r="L200" s="17" t="n"/>
      <c r="M200" s="17" t="n"/>
      <c r="N200" s="39" t="str">
        <f>IF(AND(ISNUMBER(L200),ISNUMBER(M200),N(L200)&gt;0),M200/L200,"")</f>
        <v/>
      </c>
      <c r="O200" s="17" t="n"/>
      <c r="P200" s="17" t="n"/>
      <c r="Q200" s="39" t="str">
        <f>IF(AND(ISNUMBER(O200),ISNUMBER(P200),N(O200)&gt;0),P200/O200,"")</f>
        <v/>
      </c>
      <c r="R200" s="17" t="n"/>
      <c r="S200" s="37" t="n"/>
      <c r="T200" s="40" t="str">
        <f>IF(AND(ISNUMBER(J200),ISNUMBER(K200)),IF(N(ISNUMBER('参数'!$E$31))+N(ISNUMBER('参数'!$G$31))+N(ISNUMBER('参数'!$I$31))+N(ISNUMBER('参数'!$K$31))=0,"",IF(ISNUMBER('参数'!$E$31),J200&lt;='参数'!$E$31,FALSE)+IF(ISNUMBER('参数'!$G$31),K200&gt;='参数'!$G$31,FALSE)+IF(AND(ISNUMBER('参数'!$I$31),ISNUMBER(N200)),N200&gt;='参数'!$I$31,FALSE)+IF(AND(ISNUMBER('参数'!$K$31),ISNUMBER(Q200)),Q200&lt;='参数'!$K$31,FALSE)),"")</f>
        <v/>
      </c>
      <c r="U200" s="40" t="str">
        <f>IF(AND(ISNUMBER(J200),ISNUMBER(K200)),IF(N(ISNUMBER('参数'!$G$32))+N(ISNUMBER('参数'!$I$32))+N(ISNUMBER('参数'!$K$32))=0,"",IF(AND(ISNUMBER(J199),ISNUMBER(J198)),AND(J200&gt;J199,J199&gt;J198),FALSE)+IF(ISNUMBER('参数'!$G$32),J200&lt;'参数'!$G$32,FALSE)+IF(AND(ISNUMBER('参数'!$I$32),ISNUMBER(Q200)),Q200&gt;='参数'!$I$32,FALSE)+IF(AND(ISNUMBER('参数'!$K$32),ISNUMBER(S200)),S200&gt;='参数'!$K$32,FALSE)),"")</f>
        <v/>
      </c>
      <c r="V200" s="40" t="str">
        <f>IF(AND(ISNUMBER(J200),ISNUMBER(K200)),IF(N(ISNUMBER('参数'!$E$33))+N(ISNUMBER('参数'!$G$33))+N(ISNUMBER('参数'!$I$33))+N(ISNUMBER('参数'!$K$33))=0,"",IF(AND(ISNUMBER('参数'!$E$33),ISNUMBER(J199)),AND(J200&gt;='参数'!$E$33,J200&gt;J199),FALSE)+IF(AND(ISNUMBER('参数'!$G$33),ISNUMBER(N200)),N200&lt;='参数'!$G$33,FALSE)+IF(AND(ISNUMBER('参数'!$I$33),ISNUMBER(Q200)),Q200&gt;='参数'!$I$33,FALSE)+IF(AND(ISNUMBER('参数'!$K$33),ISNUMBER(S200)),S200&gt;='参数'!$K$33,FALSE)),"")</f>
        <v/>
      </c>
      <c r="W200" s="40" t="str">
        <f>IF(AND(ISNUMBER(J200),ISNUMBER(K200)),IF(N(ISNUMBER('参数'!$E$34))+N(ISNUMBER('参数'!$G$34))+N(ISNUMBER('参数'!$I$34))+N(ISNUMBER('参数'!$K$34))=0,"",IF(ISNUMBER('参数'!$E$34),J200&gt;='参数'!$E$34,FALSE)+IF(AND(ISNUMBER('参数'!$G$34),ISNUMBER(N200)),N200&lt;='参数'!$G$34,FALSE)+IF(AND(ISNUMBER('参数'!$I$34),ISNUMBER(S200)),S200&gt;='参数'!$I$34,FALSE)+IF(AND(ISNUMBER('参数'!$K$34),ISNUMBER(R200)),R200&gt;='参数'!$K$34,FALSE)),"")</f>
        <v/>
      </c>
      <c r="X200" s="40" t="str">
        <f>IF(AND(ISNUMBER(J200),ISNUMBER(K200)),IF(N(ISNUMBER('参数'!$E$35))+N(ISNUMBER('参数'!$G$35))+N(ISNUMBER('参数'!$I$35))=0,"",IF(AND(ISNUMBER('参数'!$E$35),ISNUMBER(N200),ISNUMBER(N199)),ROUND(N200-N199,6)&gt;='参数'!$E$35,FALSE)+IF(AND(ISNUMBER('参数'!$G$35),ISNUMBER(Q200),ISNUMBER(Q199)),ROUND(Q199-Q200,6)&gt;='参数'!$G$35,FALSE)+IF(AND(ISNUMBER('参数'!$I$35),ISNUMBER(S200),ISNUMBER(S199)),ROUND(S199-S200,6)&gt;='参数'!$I$35,FALSE)+IF(ISNUMBER(J199),J200&lt;J199,FALSE)),"")</f>
        <v/>
      </c>
      <c r="Y200" s="40" t="str">
        <f>IF(AND(ISNUMBER(J200),ISNUMBER(K200)),IF(N(ISNUMBER('参数'!$E$36))+N(ISNUMBER('参数'!$G$36))+N(ISNUMBER('参数'!$I$36))=0,"",IF(AND(ISNUMBER('参数'!$E$36),ISNUMBER(J199)),AND(J200&lt;='参数'!$E$36,J200&lt;J199),FALSE)+IF(ISNUMBER('参数'!$G$36),K200&gt;='参数'!$G$36,FALSE)+IF(AND(ISNUMBER('参数'!$I$36),ISNUMBER(S200)),S200&lt;'参数'!$I$36,FALSE)+IF(AND(ISNUMBER(R200),ISNUMBER(R199)),R200&lt;R199,FALSE)),"")</f>
        <v/>
      </c>
      <c r="Z200" s="41" t="str">
        <f>IF(NOT(AND(ISNUMBER(J200),ISNUMBER(K200))),"",IF(COUNT(T200:Y200)=0,"先填阈值",IF(MAX(AD200:AI200)=0,"不写",INDEX($T$4:$Y$4,MATCH(MAX(AD200:AI200),AD200:AI200,0))&amp;"·"&amp;IF(MAX(AD200:AI200)&gt;=200,"高","中")&amp;IF(LARGE(AD200:AI200,2)&gt;0,"（也像"&amp;INDEX($T$4:$Y$4,MATCH(LARGE(AD200:AI200,2),AD200:AI200,0))&amp;"·"&amp;IF(LARGE(AD200:AI200,2)&gt;=200,"高","中")&amp;"）",""))))</f>
        <v/>
      </c>
      <c r="AA200" s="27" t="n"/>
      <c r="AB200" s="32" t="n"/>
      <c r="AC200" s="16" t="n"/>
      <c r="AD200" s="40">
        <f>IF(N(T200)&gt;=3,IF(T200=4,2,1)*100+T200*10+6,0)</f>
        <v>0</v>
      </c>
      <c r="AE200" s="40">
        <f>IF(N(U200)&gt;=3,1*100+U200*10+1,0)</f>
        <v>0</v>
      </c>
      <c r="AF200" s="40">
        <f>IF(N(V200)&gt;=3,IF(V200=4,2,1)*100+V200*10+2,0)</f>
        <v>0</v>
      </c>
      <c r="AG200" s="40">
        <f>IF(N(W200)&gt;=3,1*100+W200*10+3,0)</f>
        <v>0</v>
      </c>
      <c r="AH200" s="40">
        <f>IF(N(X200)&gt;=3,1*100+X200*10+4,0)</f>
        <v>0</v>
      </c>
      <c r="AI200" s="40">
        <f>IF(N(Y200)&gt;=3,IF(AND(N(T200)&gt;=3,OR(N(T200)=4,N(Y200)&lt;=N(T200))),0,IF(Y200=4,2,1)*100+Y200*10+5),0)</f>
        <v>0</v>
      </c>
    </row>
    <row r="201">
      <c r="A201" s="31" t="n"/>
      <c r="B201" s="36" t="str">
        <f>IF(ISNUMBER(A201),"周"&amp;CHOOSE(WEEKDAY(A201,2),"一","二","三","四","五","六","日"),"")</f>
        <v/>
      </c>
      <c r="C201" s="37" t="n"/>
      <c r="D201" s="37" t="n"/>
      <c r="E201" s="37" t="n"/>
      <c r="F201" s="17" t="n"/>
      <c r="G201" s="38" t="str">
        <f>IF(AND(ISNUMBER(F201),ISNUMBER(F200)),IF(F200=0,"",F201/F200-1),"")</f>
        <v/>
      </c>
      <c r="H201" s="17" t="n"/>
      <c r="I201" s="17" t="n"/>
      <c r="J201" s="17" t="n"/>
      <c r="K201" s="17" t="n"/>
      <c r="L201" s="17" t="n"/>
      <c r="M201" s="17" t="n"/>
      <c r="N201" s="39" t="str">
        <f>IF(AND(ISNUMBER(L201),ISNUMBER(M201),N(L201)&gt;0),M201/L201,"")</f>
        <v/>
      </c>
      <c r="O201" s="17" t="n"/>
      <c r="P201" s="17" t="n"/>
      <c r="Q201" s="39" t="str">
        <f>IF(AND(ISNUMBER(O201),ISNUMBER(P201),N(O201)&gt;0),P201/O201,"")</f>
        <v/>
      </c>
      <c r="R201" s="17" t="n"/>
      <c r="S201" s="37" t="n"/>
      <c r="T201" s="40" t="str">
        <f>IF(AND(ISNUMBER(J201),ISNUMBER(K201)),IF(N(ISNUMBER('参数'!$E$31))+N(ISNUMBER('参数'!$G$31))+N(ISNUMBER('参数'!$I$31))+N(ISNUMBER('参数'!$K$31))=0,"",IF(ISNUMBER('参数'!$E$31),J201&lt;='参数'!$E$31,FALSE)+IF(ISNUMBER('参数'!$G$31),K201&gt;='参数'!$G$31,FALSE)+IF(AND(ISNUMBER('参数'!$I$31),ISNUMBER(N201)),N201&gt;='参数'!$I$31,FALSE)+IF(AND(ISNUMBER('参数'!$K$31),ISNUMBER(Q201)),Q201&lt;='参数'!$K$31,FALSE)),"")</f>
        <v/>
      </c>
      <c r="U201" s="40" t="str">
        <f>IF(AND(ISNUMBER(J201),ISNUMBER(K201)),IF(N(ISNUMBER('参数'!$G$32))+N(ISNUMBER('参数'!$I$32))+N(ISNUMBER('参数'!$K$32))=0,"",IF(AND(ISNUMBER(J200),ISNUMBER(J199)),AND(J201&gt;J200,J200&gt;J199),FALSE)+IF(ISNUMBER('参数'!$G$32),J201&lt;'参数'!$G$32,FALSE)+IF(AND(ISNUMBER('参数'!$I$32),ISNUMBER(Q201)),Q201&gt;='参数'!$I$32,FALSE)+IF(AND(ISNUMBER('参数'!$K$32),ISNUMBER(S201)),S201&gt;='参数'!$K$32,FALSE)),"")</f>
        <v/>
      </c>
      <c r="V201" s="40" t="str">
        <f>IF(AND(ISNUMBER(J201),ISNUMBER(K201)),IF(N(ISNUMBER('参数'!$E$33))+N(ISNUMBER('参数'!$G$33))+N(ISNUMBER('参数'!$I$33))+N(ISNUMBER('参数'!$K$33))=0,"",IF(AND(ISNUMBER('参数'!$E$33),ISNUMBER(J200)),AND(J201&gt;='参数'!$E$33,J201&gt;J200),FALSE)+IF(AND(ISNUMBER('参数'!$G$33),ISNUMBER(N201)),N201&lt;='参数'!$G$33,FALSE)+IF(AND(ISNUMBER('参数'!$I$33),ISNUMBER(Q201)),Q201&gt;='参数'!$I$33,FALSE)+IF(AND(ISNUMBER('参数'!$K$33),ISNUMBER(S201)),S201&gt;='参数'!$K$33,FALSE)),"")</f>
        <v/>
      </c>
      <c r="W201" s="40" t="str">
        <f>IF(AND(ISNUMBER(J201),ISNUMBER(K201)),IF(N(ISNUMBER('参数'!$E$34))+N(ISNUMBER('参数'!$G$34))+N(ISNUMBER('参数'!$I$34))+N(ISNUMBER('参数'!$K$34))=0,"",IF(ISNUMBER('参数'!$E$34),J201&gt;='参数'!$E$34,FALSE)+IF(AND(ISNUMBER('参数'!$G$34),ISNUMBER(N201)),N201&lt;='参数'!$G$34,FALSE)+IF(AND(ISNUMBER('参数'!$I$34),ISNUMBER(S201)),S201&gt;='参数'!$I$34,FALSE)+IF(AND(ISNUMBER('参数'!$K$34),ISNUMBER(R201)),R201&gt;='参数'!$K$34,FALSE)),"")</f>
        <v/>
      </c>
      <c r="X201" s="40" t="str">
        <f>IF(AND(ISNUMBER(J201),ISNUMBER(K201)),IF(N(ISNUMBER('参数'!$E$35))+N(ISNUMBER('参数'!$G$35))+N(ISNUMBER('参数'!$I$35))=0,"",IF(AND(ISNUMBER('参数'!$E$35),ISNUMBER(N201),ISNUMBER(N200)),ROUND(N201-N200,6)&gt;='参数'!$E$35,FALSE)+IF(AND(ISNUMBER('参数'!$G$35),ISNUMBER(Q201),ISNUMBER(Q200)),ROUND(Q200-Q201,6)&gt;='参数'!$G$35,FALSE)+IF(AND(ISNUMBER('参数'!$I$35),ISNUMBER(S201),ISNUMBER(S200)),ROUND(S200-S201,6)&gt;='参数'!$I$35,FALSE)+IF(ISNUMBER(J200),J201&lt;J200,FALSE)),"")</f>
        <v/>
      </c>
      <c r="Y201" s="40" t="str">
        <f>IF(AND(ISNUMBER(J201),ISNUMBER(K201)),IF(N(ISNUMBER('参数'!$E$36))+N(ISNUMBER('参数'!$G$36))+N(ISNUMBER('参数'!$I$36))=0,"",IF(AND(ISNUMBER('参数'!$E$36),ISNUMBER(J200)),AND(J201&lt;='参数'!$E$36,J201&lt;J200),FALSE)+IF(ISNUMBER('参数'!$G$36),K201&gt;='参数'!$G$36,FALSE)+IF(AND(ISNUMBER('参数'!$I$36),ISNUMBER(S201)),S201&lt;'参数'!$I$36,FALSE)+IF(AND(ISNUMBER(R201),ISNUMBER(R200)),R201&lt;R200,FALSE)),"")</f>
        <v/>
      </c>
      <c r="Z201" s="41" t="str">
        <f>IF(NOT(AND(ISNUMBER(J201),ISNUMBER(K201))),"",IF(COUNT(T201:Y201)=0,"先填阈值",IF(MAX(AD201:AI201)=0,"不写",INDEX($T$4:$Y$4,MATCH(MAX(AD201:AI201),AD201:AI201,0))&amp;"·"&amp;IF(MAX(AD201:AI201)&gt;=200,"高","中")&amp;IF(LARGE(AD201:AI201,2)&gt;0,"（也像"&amp;INDEX($T$4:$Y$4,MATCH(LARGE(AD201:AI201,2),AD201:AI201,0))&amp;"·"&amp;IF(LARGE(AD201:AI201,2)&gt;=200,"高","中")&amp;"）",""))))</f>
        <v/>
      </c>
      <c r="AA201" s="27" t="n"/>
      <c r="AB201" s="32" t="n"/>
      <c r="AC201" s="16" t="n"/>
      <c r="AD201" s="40">
        <f>IF(N(T201)&gt;=3,IF(T201=4,2,1)*100+T201*10+6,0)</f>
        <v>0</v>
      </c>
      <c r="AE201" s="40">
        <f>IF(N(U201)&gt;=3,1*100+U201*10+1,0)</f>
        <v>0</v>
      </c>
      <c r="AF201" s="40">
        <f>IF(N(V201)&gt;=3,IF(V201=4,2,1)*100+V201*10+2,0)</f>
        <v>0</v>
      </c>
      <c r="AG201" s="40">
        <f>IF(N(W201)&gt;=3,1*100+W201*10+3,0)</f>
        <v>0</v>
      </c>
      <c r="AH201" s="40">
        <f>IF(N(X201)&gt;=3,1*100+X201*10+4,0)</f>
        <v>0</v>
      </c>
      <c r="AI201" s="40">
        <f>IF(N(Y201)&gt;=3,IF(AND(N(T201)&gt;=3,OR(N(T201)=4,N(Y201)&lt;=N(T201))),0,IF(Y201=4,2,1)*100+Y201*10+5),0)</f>
        <v>0</v>
      </c>
    </row>
    <row r="202">
      <c r="A202" s="31" t="n"/>
      <c r="B202" s="36" t="str">
        <f>IF(ISNUMBER(A202),"周"&amp;CHOOSE(WEEKDAY(A202,2),"一","二","三","四","五","六","日"),"")</f>
        <v/>
      </c>
      <c r="C202" s="37" t="n"/>
      <c r="D202" s="37" t="n"/>
      <c r="E202" s="37" t="n"/>
      <c r="F202" s="17" t="n"/>
      <c r="G202" s="38" t="str">
        <f>IF(AND(ISNUMBER(F202),ISNUMBER(F201)),IF(F201=0,"",F202/F201-1),"")</f>
        <v/>
      </c>
      <c r="H202" s="17" t="n"/>
      <c r="I202" s="17" t="n"/>
      <c r="J202" s="17" t="n"/>
      <c r="K202" s="17" t="n"/>
      <c r="L202" s="17" t="n"/>
      <c r="M202" s="17" t="n"/>
      <c r="N202" s="39" t="str">
        <f>IF(AND(ISNUMBER(L202),ISNUMBER(M202),N(L202)&gt;0),M202/L202,"")</f>
        <v/>
      </c>
      <c r="O202" s="17" t="n"/>
      <c r="P202" s="17" t="n"/>
      <c r="Q202" s="39" t="str">
        <f>IF(AND(ISNUMBER(O202),ISNUMBER(P202),N(O202)&gt;0),P202/O202,"")</f>
        <v/>
      </c>
      <c r="R202" s="17" t="n"/>
      <c r="S202" s="37" t="n"/>
      <c r="T202" s="40" t="str">
        <f>IF(AND(ISNUMBER(J202),ISNUMBER(K202)),IF(N(ISNUMBER('参数'!$E$31))+N(ISNUMBER('参数'!$G$31))+N(ISNUMBER('参数'!$I$31))+N(ISNUMBER('参数'!$K$31))=0,"",IF(ISNUMBER('参数'!$E$31),J202&lt;='参数'!$E$31,FALSE)+IF(ISNUMBER('参数'!$G$31),K202&gt;='参数'!$G$31,FALSE)+IF(AND(ISNUMBER('参数'!$I$31),ISNUMBER(N202)),N202&gt;='参数'!$I$31,FALSE)+IF(AND(ISNUMBER('参数'!$K$31),ISNUMBER(Q202)),Q202&lt;='参数'!$K$31,FALSE)),"")</f>
        <v/>
      </c>
      <c r="U202" s="40" t="str">
        <f>IF(AND(ISNUMBER(J202),ISNUMBER(K202)),IF(N(ISNUMBER('参数'!$G$32))+N(ISNUMBER('参数'!$I$32))+N(ISNUMBER('参数'!$K$32))=0,"",IF(AND(ISNUMBER(J201),ISNUMBER(J200)),AND(J202&gt;J201,J201&gt;J200),FALSE)+IF(ISNUMBER('参数'!$G$32),J202&lt;'参数'!$G$32,FALSE)+IF(AND(ISNUMBER('参数'!$I$32),ISNUMBER(Q202)),Q202&gt;='参数'!$I$32,FALSE)+IF(AND(ISNUMBER('参数'!$K$32),ISNUMBER(S202)),S202&gt;='参数'!$K$32,FALSE)),"")</f>
        <v/>
      </c>
      <c r="V202" s="40" t="str">
        <f>IF(AND(ISNUMBER(J202),ISNUMBER(K202)),IF(N(ISNUMBER('参数'!$E$33))+N(ISNUMBER('参数'!$G$33))+N(ISNUMBER('参数'!$I$33))+N(ISNUMBER('参数'!$K$33))=0,"",IF(AND(ISNUMBER('参数'!$E$33),ISNUMBER(J201)),AND(J202&gt;='参数'!$E$33,J202&gt;J201),FALSE)+IF(AND(ISNUMBER('参数'!$G$33),ISNUMBER(N202)),N202&lt;='参数'!$G$33,FALSE)+IF(AND(ISNUMBER('参数'!$I$33),ISNUMBER(Q202)),Q202&gt;='参数'!$I$33,FALSE)+IF(AND(ISNUMBER('参数'!$K$33),ISNUMBER(S202)),S202&gt;='参数'!$K$33,FALSE)),"")</f>
        <v/>
      </c>
      <c r="W202" s="40" t="str">
        <f>IF(AND(ISNUMBER(J202),ISNUMBER(K202)),IF(N(ISNUMBER('参数'!$E$34))+N(ISNUMBER('参数'!$G$34))+N(ISNUMBER('参数'!$I$34))+N(ISNUMBER('参数'!$K$34))=0,"",IF(ISNUMBER('参数'!$E$34),J202&gt;='参数'!$E$34,FALSE)+IF(AND(ISNUMBER('参数'!$G$34),ISNUMBER(N202)),N202&lt;='参数'!$G$34,FALSE)+IF(AND(ISNUMBER('参数'!$I$34),ISNUMBER(S202)),S202&gt;='参数'!$I$34,FALSE)+IF(AND(ISNUMBER('参数'!$K$34),ISNUMBER(R202)),R202&gt;='参数'!$K$34,FALSE)),"")</f>
        <v/>
      </c>
      <c r="X202" s="40" t="str">
        <f>IF(AND(ISNUMBER(J202),ISNUMBER(K202)),IF(N(ISNUMBER('参数'!$E$35))+N(ISNUMBER('参数'!$G$35))+N(ISNUMBER('参数'!$I$35))=0,"",IF(AND(ISNUMBER('参数'!$E$35),ISNUMBER(N202),ISNUMBER(N201)),ROUND(N202-N201,6)&gt;='参数'!$E$35,FALSE)+IF(AND(ISNUMBER('参数'!$G$35),ISNUMBER(Q202),ISNUMBER(Q201)),ROUND(Q201-Q202,6)&gt;='参数'!$G$35,FALSE)+IF(AND(ISNUMBER('参数'!$I$35),ISNUMBER(S202),ISNUMBER(S201)),ROUND(S201-S202,6)&gt;='参数'!$I$35,FALSE)+IF(ISNUMBER(J201),J202&lt;J201,FALSE)),"")</f>
        <v/>
      </c>
      <c r="Y202" s="40" t="str">
        <f>IF(AND(ISNUMBER(J202),ISNUMBER(K202)),IF(N(ISNUMBER('参数'!$E$36))+N(ISNUMBER('参数'!$G$36))+N(ISNUMBER('参数'!$I$36))=0,"",IF(AND(ISNUMBER('参数'!$E$36),ISNUMBER(J201)),AND(J202&lt;='参数'!$E$36,J202&lt;J201),FALSE)+IF(ISNUMBER('参数'!$G$36),K202&gt;='参数'!$G$36,FALSE)+IF(AND(ISNUMBER('参数'!$I$36),ISNUMBER(S202)),S202&lt;'参数'!$I$36,FALSE)+IF(AND(ISNUMBER(R202),ISNUMBER(R201)),R202&lt;R201,FALSE)),"")</f>
        <v/>
      </c>
      <c r="Z202" s="41" t="str">
        <f>IF(NOT(AND(ISNUMBER(J202),ISNUMBER(K202))),"",IF(COUNT(T202:Y202)=0,"先填阈值",IF(MAX(AD202:AI202)=0,"不写",INDEX($T$4:$Y$4,MATCH(MAX(AD202:AI202),AD202:AI202,0))&amp;"·"&amp;IF(MAX(AD202:AI202)&gt;=200,"高","中")&amp;IF(LARGE(AD202:AI202,2)&gt;0,"（也像"&amp;INDEX($T$4:$Y$4,MATCH(LARGE(AD202:AI202,2),AD202:AI202,0))&amp;"·"&amp;IF(LARGE(AD202:AI202,2)&gt;=200,"高","中")&amp;"）",""))))</f>
        <v/>
      </c>
      <c r="AA202" s="27" t="n"/>
      <c r="AB202" s="32" t="n"/>
      <c r="AC202" s="16" t="n"/>
      <c r="AD202" s="40">
        <f>IF(N(T202)&gt;=3,IF(T202=4,2,1)*100+T202*10+6,0)</f>
        <v>0</v>
      </c>
      <c r="AE202" s="40">
        <f>IF(N(U202)&gt;=3,1*100+U202*10+1,0)</f>
        <v>0</v>
      </c>
      <c r="AF202" s="40">
        <f>IF(N(V202)&gt;=3,IF(V202=4,2,1)*100+V202*10+2,0)</f>
        <v>0</v>
      </c>
      <c r="AG202" s="40">
        <f>IF(N(W202)&gt;=3,1*100+W202*10+3,0)</f>
        <v>0</v>
      </c>
      <c r="AH202" s="40">
        <f>IF(N(X202)&gt;=3,1*100+X202*10+4,0)</f>
        <v>0</v>
      </c>
      <c r="AI202" s="40">
        <f>IF(N(Y202)&gt;=3,IF(AND(N(T202)&gt;=3,OR(N(T202)=4,N(Y202)&lt;=N(T202))),0,IF(Y202=4,2,1)*100+Y202*10+5),0)</f>
        <v>0</v>
      </c>
    </row>
    <row r="203">
      <c r="A203" s="31" t="n"/>
      <c r="B203" s="36" t="str">
        <f>IF(ISNUMBER(A203),"周"&amp;CHOOSE(WEEKDAY(A203,2),"一","二","三","四","五","六","日"),"")</f>
        <v/>
      </c>
      <c r="C203" s="37" t="n"/>
      <c r="D203" s="37" t="n"/>
      <c r="E203" s="37" t="n"/>
      <c r="F203" s="17" t="n"/>
      <c r="G203" s="38" t="str">
        <f>IF(AND(ISNUMBER(F203),ISNUMBER(F202)),IF(F202=0,"",F203/F202-1),"")</f>
        <v/>
      </c>
      <c r="H203" s="17" t="n"/>
      <c r="I203" s="17" t="n"/>
      <c r="J203" s="17" t="n"/>
      <c r="K203" s="17" t="n"/>
      <c r="L203" s="17" t="n"/>
      <c r="M203" s="17" t="n"/>
      <c r="N203" s="39" t="str">
        <f>IF(AND(ISNUMBER(L203),ISNUMBER(M203),N(L203)&gt;0),M203/L203,"")</f>
        <v/>
      </c>
      <c r="O203" s="17" t="n"/>
      <c r="P203" s="17" t="n"/>
      <c r="Q203" s="39" t="str">
        <f>IF(AND(ISNUMBER(O203),ISNUMBER(P203),N(O203)&gt;0),P203/O203,"")</f>
        <v/>
      </c>
      <c r="R203" s="17" t="n"/>
      <c r="S203" s="37" t="n"/>
      <c r="T203" s="40" t="str">
        <f>IF(AND(ISNUMBER(J203),ISNUMBER(K203)),IF(N(ISNUMBER('参数'!$E$31))+N(ISNUMBER('参数'!$G$31))+N(ISNUMBER('参数'!$I$31))+N(ISNUMBER('参数'!$K$31))=0,"",IF(ISNUMBER('参数'!$E$31),J203&lt;='参数'!$E$31,FALSE)+IF(ISNUMBER('参数'!$G$31),K203&gt;='参数'!$G$31,FALSE)+IF(AND(ISNUMBER('参数'!$I$31),ISNUMBER(N203)),N203&gt;='参数'!$I$31,FALSE)+IF(AND(ISNUMBER('参数'!$K$31),ISNUMBER(Q203)),Q203&lt;='参数'!$K$31,FALSE)),"")</f>
        <v/>
      </c>
      <c r="U203" s="40" t="str">
        <f>IF(AND(ISNUMBER(J203),ISNUMBER(K203)),IF(N(ISNUMBER('参数'!$G$32))+N(ISNUMBER('参数'!$I$32))+N(ISNUMBER('参数'!$K$32))=0,"",IF(AND(ISNUMBER(J202),ISNUMBER(J201)),AND(J203&gt;J202,J202&gt;J201),FALSE)+IF(ISNUMBER('参数'!$G$32),J203&lt;'参数'!$G$32,FALSE)+IF(AND(ISNUMBER('参数'!$I$32),ISNUMBER(Q203)),Q203&gt;='参数'!$I$32,FALSE)+IF(AND(ISNUMBER('参数'!$K$32),ISNUMBER(S203)),S203&gt;='参数'!$K$32,FALSE)),"")</f>
        <v/>
      </c>
      <c r="V203" s="40" t="str">
        <f>IF(AND(ISNUMBER(J203),ISNUMBER(K203)),IF(N(ISNUMBER('参数'!$E$33))+N(ISNUMBER('参数'!$G$33))+N(ISNUMBER('参数'!$I$33))+N(ISNUMBER('参数'!$K$33))=0,"",IF(AND(ISNUMBER('参数'!$E$33),ISNUMBER(J202)),AND(J203&gt;='参数'!$E$33,J203&gt;J202),FALSE)+IF(AND(ISNUMBER('参数'!$G$33),ISNUMBER(N203)),N203&lt;='参数'!$G$33,FALSE)+IF(AND(ISNUMBER('参数'!$I$33),ISNUMBER(Q203)),Q203&gt;='参数'!$I$33,FALSE)+IF(AND(ISNUMBER('参数'!$K$33),ISNUMBER(S203)),S203&gt;='参数'!$K$33,FALSE)),"")</f>
        <v/>
      </c>
      <c r="W203" s="40" t="str">
        <f>IF(AND(ISNUMBER(J203),ISNUMBER(K203)),IF(N(ISNUMBER('参数'!$E$34))+N(ISNUMBER('参数'!$G$34))+N(ISNUMBER('参数'!$I$34))+N(ISNUMBER('参数'!$K$34))=0,"",IF(ISNUMBER('参数'!$E$34),J203&gt;='参数'!$E$34,FALSE)+IF(AND(ISNUMBER('参数'!$G$34),ISNUMBER(N203)),N203&lt;='参数'!$G$34,FALSE)+IF(AND(ISNUMBER('参数'!$I$34),ISNUMBER(S203)),S203&gt;='参数'!$I$34,FALSE)+IF(AND(ISNUMBER('参数'!$K$34),ISNUMBER(R203)),R203&gt;='参数'!$K$34,FALSE)),"")</f>
        <v/>
      </c>
      <c r="X203" s="40" t="str">
        <f>IF(AND(ISNUMBER(J203),ISNUMBER(K203)),IF(N(ISNUMBER('参数'!$E$35))+N(ISNUMBER('参数'!$G$35))+N(ISNUMBER('参数'!$I$35))=0,"",IF(AND(ISNUMBER('参数'!$E$35),ISNUMBER(N203),ISNUMBER(N202)),ROUND(N203-N202,6)&gt;='参数'!$E$35,FALSE)+IF(AND(ISNUMBER('参数'!$G$35),ISNUMBER(Q203),ISNUMBER(Q202)),ROUND(Q202-Q203,6)&gt;='参数'!$G$35,FALSE)+IF(AND(ISNUMBER('参数'!$I$35),ISNUMBER(S203),ISNUMBER(S202)),ROUND(S202-S203,6)&gt;='参数'!$I$35,FALSE)+IF(ISNUMBER(J202),J203&lt;J202,FALSE)),"")</f>
        <v/>
      </c>
      <c r="Y203" s="40" t="str">
        <f>IF(AND(ISNUMBER(J203),ISNUMBER(K203)),IF(N(ISNUMBER('参数'!$E$36))+N(ISNUMBER('参数'!$G$36))+N(ISNUMBER('参数'!$I$36))=0,"",IF(AND(ISNUMBER('参数'!$E$36),ISNUMBER(J202)),AND(J203&lt;='参数'!$E$36,J203&lt;J202),FALSE)+IF(ISNUMBER('参数'!$G$36),K203&gt;='参数'!$G$36,FALSE)+IF(AND(ISNUMBER('参数'!$I$36),ISNUMBER(S203)),S203&lt;'参数'!$I$36,FALSE)+IF(AND(ISNUMBER(R203),ISNUMBER(R202)),R203&lt;R202,FALSE)),"")</f>
        <v/>
      </c>
      <c r="Z203" s="41" t="str">
        <f>IF(NOT(AND(ISNUMBER(J203),ISNUMBER(K203))),"",IF(COUNT(T203:Y203)=0,"先填阈值",IF(MAX(AD203:AI203)=0,"不写",INDEX($T$4:$Y$4,MATCH(MAX(AD203:AI203),AD203:AI203,0))&amp;"·"&amp;IF(MAX(AD203:AI203)&gt;=200,"高","中")&amp;IF(LARGE(AD203:AI203,2)&gt;0,"（也像"&amp;INDEX($T$4:$Y$4,MATCH(LARGE(AD203:AI203,2),AD203:AI203,0))&amp;"·"&amp;IF(LARGE(AD203:AI203,2)&gt;=200,"高","中")&amp;"）",""))))</f>
        <v/>
      </c>
      <c r="AA203" s="27" t="n"/>
      <c r="AB203" s="32" t="n"/>
      <c r="AC203" s="16" t="n"/>
      <c r="AD203" s="40">
        <f>IF(N(T203)&gt;=3,IF(T203=4,2,1)*100+T203*10+6,0)</f>
        <v>0</v>
      </c>
      <c r="AE203" s="40">
        <f>IF(N(U203)&gt;=3,1*100+U203*10+1,0)</f>
        <v>0</v>
      </c>
      <c r="AF203" s="40">
        <f>IF(N(V203)&gt;=3,IF(V203=4,2,1)*100+V203*10+2,0)</f>
        <v>0</v>
      </c>
      <c r="AG203" s="40">
        <f>IF(N(W203)&gt;=3,1*100+W203*10+3,0)</f>
        <v>0</v>
      </c>
      <c r="AH203" s="40">
        <f>IF(N(X203)&gt;=3,1*100+X203*10+4,0)</f>
        <v>0</v>
      </c>
      <c r="AI203" s="40">
        <f>IF(N(Y203)&gt;=3,IF(AND(N(T203)&gt;=3,OR(N(T203)=4,N(Y203)&lt;=N(T203))),0,IF(Y203=4,2,1)*100+Y203*10+5),0)</f>
        <v>0</v>
      </c>
    </row>
    <row r="204">
      <c r="A204" s="31" t="n"/>
      <c r="B204" s="36" t="str">
        <f>IF(ISNUMBER(A204),"周"&amp;CHOOSE(WEEKDAY(A204,2),"一","二","三","四","五","六","日"),"")</f>
        <v/>
      </c>
      <c r="C204" s="37" t="n"/>
      <c r="D204" s="37" t="n"/>
      <c r="E204" s="37" t="n"/>
      <c r="F204" s="17" t="n"/>
      <c r="G204" s="38" t="str">
        <f>IF(AND(ISNUMBER(F204),ISNUMBER(F203)),IF(F203=0,"",F204/F203-1),"")</f>
        <v/>
      </c>
      <c r="H204" s="17" t="n"/>
      <c r="I204" s="17" t="n"/>
      <c r="J204" s="17" t="n"/>
      <c r="K204" s="17" t="n"/>
      <c r="L204" s="17" t="n"/>
      <c r="M204" s="17" t="n"/>
      <c r="N204" s="39" t="str">
        <f>IF(AND(ISNUMBER(L204),ISNUMBER(M204),N(L204)&gt;0),M204/L204,"")</f>
        <v/>
      </c>
      <c r="O204" s="17" t="n"/>
      <c r="P204" s="17" t="n"/>
      <c r="Q204" s="39" t="str">
        <f>IF(AND(ISNUMBER(O204),ISNUMBER(P204),N(O204)&gt;0),P204/O204,"")</f>
        <v/>
      </c>
      <c r="R204" s="17" t="n"/>
      <c r="S204" s="37" t="n"/>
      <c r="T204" s="40" t="str">
        <f>IF(AND(ISNUMBER(J204),ISNUMBER(K204)),IF(N(ISNUMBER('参数'!$E$31))+N(ISNUMBER('参数'!$G$31))+N(ISNUMBER('参数'!$I$31))+N(ISNUMBER('参数'!$K$31))=0,"",IF(ISNUMBER('参数'!$E$31),J204&lt;='参数'!$E$31,FALSE)+IF(ISNUMBER('参数'!$G$31),K204&gt;='参数'!$G$31,FALSE)+IF(AND(ISNUMBER('参数'!$I$31),ISNUMBER(N204)),N204&gt;='参数'!$I$31,FALSE)+IF(AND(ISNUMBER('参数'!$K$31),ISNUMBER(Q204)),Q204&lt;='参数'!$K$31,FALSE)),"")</f>
        <v/>
      </c>
      <c r="U204" s="40" t="str">
        <f>IF(AND(ISNUMBER(J204),ISNUMBER(K204)),IF(N(ISNUMBER('参数'!$G$32))+N(ISNUMBER('参数'!$I$32))+N(ISNUMBER('参数'!$K$32))=0,"",IF(AND(ISNUMBER(J203),ISNUMBER(J202)),AND(J204&gt;J203,J203&gt;J202),FALSE)+IF(ISNUMBER('参数'!$G$32),J204&lt;'参数'!$G$32,FALSE)+IF(AND(ISNUMBER('参数'!$I$32),ISNUMBER(Q204)),Q204&gt;='参数'!$I$32,FALSE)+IF(AND(ISNUMBER('参数'!$K$32),ISNUMBER(S204)),S204&gt;='参数'!$K$32,FALSE)),"")</f>
        <v/>
      </c>
      <c r="V204" s="40" t="str">
        <f>IF(AND(ISNUMBER(J204),ISNUMBER(K204)),IF(N(ISNUMBER('参数'!$E$33))+N(ISNUMBER('参数'!$G$33))+N(ISNUMBER('参数'!$I$33))+N(ISNUMBER('参数'!$K$33))=0,"",IF(AND(ISNUMBER('参数'!$E$33),ISNUMBER(J203)),AND(J204&gt;='参数'!$E$33,J204&gt;J203),FALSE)+IF(AND(ISNUMBER('参数'!$G$33),ISNUMBER(N204)),N204&lt;='参数'!$G$33,FALSE)+IF(AND(ISNUMBER('参数'!$I$33),ISNUMBER(Q204)),Q204&gt;='参数'!$I$33,FALSE)+IF(AND(ISNUMBER('参数'!$K$33),ISNUMBER(S204)),S204&gt;='参数'!$K$33,FALSE)),"")</f>
        <v/>
      </c>
      <c r="W204" s="40" t="str">
        <f>IF(AND(ISNUMBER(J204),ISNUMBER(K204)),IF(N(ISNUMBER('参数'!$E$34))+N(ISNUMBER('参数'!$G$34))+N(ISNUMBER('参数'!$I$34))+N(ISNUMBER('参数'!$K$34))=0,"",IF(ISNUMBER('参数'!$E$34),J204&gt;='参数'!$E$34,FALSE)+IF(AND(ISNUMBER('参数'!$G$34),ISNUMBER(N204)),N204&lt;='参数'!$G$34,FALSE)+IF(AND(ISNUMBER('参数'!$I$34),ISNUMBER(S204)),S204&gt;='参数'!$I$34,FALSE)+IF(AND(ISNUMBER('参数'!$K$34),ISNUMBER(R204)),R204&gt;='参数'!$K$34,FALSE)),"")</f>
        <v/>
      </c>
      <c r="X204" s="40" t="str">
        <f>IF(AND(ISNUMBER(J204),ISNUMBER(K204)),IF(N(ISNUMBER('参数'!$E$35))+N(ISNUMBER('参数'!$G$35))+N(ISNUMBER('参数'!$I$35))=0,"",IF(AND(ISNUMBER('参数'!$E$35),ISNUMBER(N204),ISNUMBER(N203)),ROUND(N204-N203,6)&gt;='参数'!$E$35,FALSE)+IF(AND(ISNUMBER('参数'!$G$35),ISNUMBER(Q204),ISNUMBER(Q203)),ROUND(Q203-Q204,6)&gt;='参数'!$G$35,FALSE)+IF(AND(ISNUMBER('参数'!$I$35),ISNUMBER(S204),ISNUMBER(S203)),ROUND(S203-S204,6)&gt;='参数'!$I$35,FALSE)+IF(ISNUMBER(J203),J204&lt;J203,FALSE)),"")</f>
        <v/>
      </c>
      <c r="Y204" s="40" t="str">
        <f>IF(AND(ISNUMBER(J204),ISNUMBER(K204)),IF(N(ISNUMBER('参数'!$E$36))+N(ISNUMBER('参数'!$G$36))+N(ISNUMBER('参数'!$I$36))=0,"",IF(AND(ISNUMBER('参数'!$E$36),ISNUMBER(J203)),AND(J204&lt;='参数'!$E$36,J204&lt;J203),FALSE)+IF(ISNUMBER('参数'!$G$36),K204&gt;='参数'!$G$36,FALSE)+IF(AND(ISNUMBER('参数'!$I$36),ISNUMBER(S204)),S204&lt;'参数'!$I$36,FALSE)+IF(AND(ISNUMBER(R204),ISNUMBER(R203)),R204&lt;R203,FALSE)),"")</f>
        <v/>
      </c>
      <c r="Z204" s="41" t="str">
        <f>IF(NOT(AND(ISNUMBER(J204),ISNUMBER(K204))),"",IF(COUNT(T204:Y204)=0,"先填阈值",IF(MAX(AD204:AI204)=0,"不写",INDEX($T$4:$Y$4,MATCH(MAX(AD204:AI204),AD204:AI204,0))&amp;"·"&amp;IF(MAX(AD204:AI204)&gt;=200,"高","中")&amp;IF(LARGE(AD204:AI204,2)&gt;0,"（也像"&amp;INDEX($T$4:$Y$4,MATCH(LARGE(AD204:AI204,2),AD204:AI204,0))&amp;"·"&amp;IF(LARGE(AD204:AI204,2)&gt;=200,"高","中")&amp;"）",""))))</f>
        <v/>
      </c>
      <c r="AA204" s="27" t="n"/>
      <c r="AB204" s="32" t="n"/>
      <c r="AC204" s="16" t="n"/>
      <c r="AD204" s="40">
        <f>IF(N(T204)&gt;=3,IF(T204=4,2,1)*100+T204*10+6,0)</f>
        <v>0</v>
      </c>
      <c r="AE204" s="40">
        <f>IF(N(U204)&gt;=3,1*100+U204*10+1,0)</f>
        <v>0</v>
      </c>
      <c r="AF204" s="40">
        <f>IF(N(V204)&gt;=3,IF(V204=4,2,1)*100+V204*10+2,0)</f>
        <v>0</v>
      </c>
      <c r="AG204" s="40">
        <f>IF(N(W204)&gt;=3,1*100+W204*10+3,0)</f>
        <v>0</v>
      </c>
      <c r="AH204" s="40">
        <f>IF(N(X204)&gt;=3,1*100+X204*10+4,0)</f>
        <v>0</v>
      </c>
      <c r="AI204" s="40">
        <f>IF(N(Y204)&gt;=3,IF(AND(N(T204)&gt;=3,OR(N(T204)=4,N(Y204)&lt;=N(T204))),0,IF(Y204=4,2,1)*100+Y204*10+5),0)</f>
        <v>0</v>
      </c>
    </row>
    <row r="205">
      <c r="A205" s="31" t="n"/>
      <c r="B205" s="36" t="str">
        <f>IF(ISNUMBER(A205),"周"&amp;CHOOSE(WEEKDAY(A205,2),"一","二","三","四","五","六","日"),"")</f>
        <v/>
      </c>
      <c r="C205" s="37" t="n"/>
      <c r="D205" s="37" t="n"/>
      <c r="E205" s="37" t="n"/>
      <c r="F205" s="17" t="n"/>
      <c r="G205" s="38" t="str">
        <f>IF(AND(ISNUMBER(F205),ISNUMBER(F204)),IF(F204=0,"",F205/F204-1),"")</f>
        <v/>
      </c>
      <c r="H205" s="17" t="n"/>
      <c r="I205" s="17" t="n"/>
      <c r="J205" s="17" t="n"/>
      <c r="K205" s="17" t="n"/>
      <c r="L205" s="17" t="n"/>
      <c r="M205" s="17" t="n"/>
      <c r="N205" s="39" t="str">
        <f>IF(AND(ISNUMBER(L205),ISNUMBER(M205),N(L205)&gt;0),M205/L205,"")</f>
        <v/>
      </c>
      <c r="O205" s="17" t="n"/>
      <c r="P205" s="17" t="n"/>
      <c r="Q205" s="39" t="str">
        <f>IF(AND(ISNUMBER(O205),ISNUMBER(P205),N(O205)&gt;0),P205/O205,"")</f>
        <v/>
      </c>
      <c r="R205" s="17" t="n"/>
      <c r="S205" s="37" t="n"/>
      <c r="T205" s="40" t="str">
        <f>IF(AND(ISNUMBER(J205),ISNUMBER(K205)),IF(N(ISNUMBER('参数'!$E$31))+N(ISNUMBER('参数'!$G$31))+N(ISNUMBER('参数'!$I$31))+N(ISNUMBER('参数'!$K$31))=0,"",IF(ISNUMBER('参数'!$E$31),J205&lt;='参数'!$E$31,FALSE)+IF(ISNUMBER('参数'!$G$31),K205&gt;='参数'!$G$31,FALSE)+IF(AND(ISNUMBER('参数'!$I$31),ISNUMBER(N205)),N205&gt;='参数'!$I$31,FALSE)+IF(AND(ISNUMBER('参数'!$K$31),ISNUMBER(Q205)),Q205&lt;='参数'!$K$31,FALSE)),"")</f>
        <v/>
      </c>
      <c r="U205" s="40" t="str">
        <f>IF(AND(ISNUMBER(J205),ISNUMBER(K205)),IF(N(ISNUMBER('参数'!$G$32))+N(ISNUMBER('参数'!$I$32))+N(ISNUMBER('参数'!$K$32))=0,"",IF(AND(ISNUMBER(J204),ISNUMBER(J203)),AND(J205&gt;J204,J204&gt;J203),FALSE)+IF(ISNUMBER('参数'!$G$32),J205&lt;'参数'!$G$32,FALSE)+IF(AND(ISNUMBER('参数'!$I$32),ISNUMBER(Q205)),Q205&gt;='参数'!$I$32,FALSE)+IF(AND(ISNUMBER('参数'!$K$32),ISNUMBER(S205)),S205&gt;='参数'!$K$32,FALSE)),"")</f>
        <v/>
      </c>
      <c r="V205" s="40" t="str">
        <f>IF(AND(ISNUMBER(J205),ISNUMBER(K205)),IF(N(ISNUMBER('参数'!$E$33))+N(ISNUMBER('参数'!$G$33))+N(ISNUMBER('参数'!$I$33))+N(ISNUMBER('参数'!$K$33))=0,"",IF(AND(ISNUMBER('参数'!$E$33),ISNUMBER(J204)),AND(J205&gt;='参数'!$E$33,J205&gt;J204),FALSE)+IF(AND(ISNUMBER('参数'!$G$33),ISNUMBER(N205)),N205&lt;='参数'!$G$33,FALSE)+IF(AND(ISNUMBER('参数'!$I$33),ISNUMBER(Q205)),Q205&gt;='参数'!$I$33,FALSE)+IF(AND(ISNUMBER('参数'!$K$33),ISNUMBER(S205)),S205&gt;='参数'!$K$33,FALSE)),"")</f>
        <v/>
      </c>
      <c r="W205" s="40" t="str">
        <f>IF(AND(ISNUMBER(J205),ISNUMBER(K205)),IF(N(ISNUMBER('参数'!$E$34))+N(ISNUMBER('参数'!$G$34))+N(ISNUMBER('参数'!$I$34))+N(ISNUMBER('参数'!$K$34))=0,"",IF(ISNUMBER('参数'!$E$34),J205&gt;='参数'!$E$34,FALSE)+IF(AND(ISNUMBER('参数'!$G$34),ISNUMBER(N205)),N205&lt;='参数'!$G$34,FALSE)+IF(AND(ISNUMBER('参数'!$I$34),ISNUMBER(S205)),S205&gt;='参数'!$I$34,FALSE)+IF(AND(ISNUMBER('参数'!$K$34),ISNUMBER(R205)),R205&gt;='参数'!$K$34,FALSE)),"")</f>
        <v/>
      </c>
      <c r="X205" s="40" t="str">
        <f>IF(AND(ISNUMBER(J205),ISNUMBER(K205)),IF(N(ISNUMBER('参数'!$E$35))+N(ISNUMBER('参数'!$G$35))+N(ISNUMBER('参数'!$I$35))=0,"",IF(AND(ISNUMBER('参数'!$E$35),ISNUMBER(N205),ISNUMBER(N204)),ROUND(N205-N204,6)&gt;='参数'!$E$35,FALSE)+IF(AND(ISNUMBER('参数'!$G$35),ISNUMBER(Q205),ISNUMBER(Q204)),ROUND(Q204-Q205,6)&gt;='参数'!$G$35,FALSE)+IF(AND(ISNUMBER('参数'!$I$35),ISNUMBER(S205),ISNUMBER(S204)),ROUND(S204-S205,6)&gt;='参数'!$I$35,FALSE)+IF(ISNUMBER(J204),J205&lt;J204,FALSE)),"")</f>
        <v/>
      </c>
      <c r="Y205" s="40" t="str">
        <f>IF(AND(ISNUMBER(J205),ISNUMBER(K205)),IF(N(ISNUMBER('参数'!$E$36))+N(ISNUMBER('参数'!$G$36))+N(ISNUMBER('参数'!$I$36))=0,"",IF(AND(ISNUMBER('参数'!$E$36),ISNUMBER(J204)),AND(J205&lt;='参数'!$E$36,J205&lt;J204),FALSE)+IF(ISNUMBER('参数'!$G$36),K205&gt;='参数'!$G$36,FALSE)+IF(AND(ISNUMBER('参数'!$I$36),ISNUMBER(S205)),S205&lt;'参数'!$I$36,FALSE)+IF(AND(ISNUMBER(R205),ISNUMBER(R204)),R205&lt;R204,FALSE)),"")</f>
        <v/>
      </c>
      <c r="Z205" s="41" t="str">
        <f>IF(NOT(AND(ISNUMBER(J205),ISNUMBER(K205))),"",IF(COUNT(T205:Y205)=0,"先填阈值",IF(MAX(AD205:AI205)=0,"不写",INDEX($T$4:$Y$4,MATCH(MAX(AD205:AI205),AD205:AI205,0))&amp;"·"&amp;IF(MAX(AD205:AI205)&gt;=200,"高","中")&amp;IF(LARGE(AD205:AI205,2)&gt;0,"（也像"&amp;INDEX($T$4:$Y$4,MATCH(LARGE(AD205:AI205,2),AD205:AI205,0))&amp;"·"&amp;IF(LARGE(AD205:AI205,2)&gt;=200,"高","中")&amp;"）",""))))</f>
        <v/>
      </c>
      <c r="AA205" s="27" t="n"/>
      <c r="AB205" s="32" t="n"/>
      <c r="AC205" s="16" t="n"/>
      <c r="AD205" s="40">
        <f>IF(N(T205)&gt;=3,IF(T205=4,2,1)*100+T205*10+6,0)</f>
        <v>0</v>
      </c>
      <c r="AE205" s="40">
        <f>IF(N(U205)&gt;=3,1*100+U205*10+1,0)</f>
        <v>0</v>
      </c>
      <c r="AF205" s="40">
        <f>IF(N(V205)&gt;=3,IF(V205=4,2,1)*100+V205*10+2,0)</f>
        <v>0</v>
      </c>
      <c r="AG205" s="40">
        <f>IF(N(W205)&gt;=3,1*100+W205*10+3,0)</f>
        <v>0</v>
      </c>
      <c r="AH205" s="40">
        <f>IF(N(X205)&gt;=3,1*100+X205*10+4,0)</f>
        <v>0</v>
      </c>
      <c r="AI205" s="40">
        <f>IF(N(Y205)&gt;=3,IF(AND(N(T205)&gt;=3,OR(N(T205)=4,N(Y205)&lt;=N(T205))),0,IF(Y205=4,2,1)*100+Y205*10+5),0)</f>
        <v>0</v>
      </c>
    </row>
    <row r="206">
      <c r="A206" s="31" t="n"/>
      <c r="B206" s="36" t="str">
        <f>IF(ISNUMBER(A206),"周"&amp;CHOOSE(WEEKDAY(A206,2),"一","二","三","四","五","六","日"),"")</f>
        <v/>
      </c>
      <c r="C206" s="37" t="n"/>
      <c r="D206" s="37" t="n"/>
      <c r="E206" s="37" t="n"/>
      <c r="F206" s="17" t="n"/>
      <c r="G206" s="38" t="str">
        <f>IF(AND(ISNUMBER(F206),ISNUMBER(F205)),IF(F205=0,"",F206/F205-1),"")</f>
        <v/>
      </c>
      <c r="H206" s="17" t="n"/>
      <c r="I206" s="17" t="n"/>
      <c r="J206" s="17" t="n"/>
      <c r="K206" s="17" t="n"/>
      <c r="L206" s="17" t="n"/>
      <c r="M206" s="17" t="n"/>
      <c r="N206" s="39" t="str">
        <f>IF(AND(ISNUMBER(L206),ISNUMBER(M206),N(L206)&gt;0),M206/L206,"")</f>
        <v/>
      </c>
      <c r="O206" s="17" t="n"/>
      <c r="P206" s="17" t="n"/>
      <c r="Q206" s="39" t="str">
        <f>IF(AND(ISNUMBER(O206),ISNUMBER(P206),N(O206)&gt;0),P206/O206,"")</f>
        <v/>
      </c>
      <c r="R206" s="17" t="n"/>
      <c r="S206" s="37" t="n"/>
      <c r="T206" s="40" t="str">
        <f>IF(AND(ISNUMBER(J206),ISNUMBER(K206)),IF(N(ISNUMBER('参数'!$E$31))+N(ISNUMBER('参数'!$G$31))+N(ISNUMBER('参数'!$I$31))+N(ISNUMBER('参数'!$K$31))=0,"",IF(ISNUMBER('参数'!$E$31),J206&lt;='参数'!$E$31,FALSE)+IF(ISNUMBER('参数'!$G$31),K206&gt;='参数'!$G$31,FALSE)+IF(AND(ISNUMBER('参数'!$I$31),ISNUMBER(N206)),N206&gt;='参数'!$I$31,FALSE)+IF(AND(ISNUMBER('参数'!$K$31),ISNUMBER(Q206)),Q206&lt;='参数'!$K$31,FALSE)),"")</f>
        <v/>
      </c>
      <c r="U206" s="40" t="str">
        <f>IF(AND(ISNUMBER(J206),ISNUMBER(K206)),IF(N(ISNUMBER('参数'!$G$32))+N(ISNUMBER('参数'!$I$32))+N(ISNUMBER('参数'!$K$32))=0,"",IF(AND(ISNUMBER(J205),ISNUMBER(J204)),AND(J206&gt;J205,J205&gt;J204),FALSE)+IF(ISNUMBER('参数'!$G$32),J206&lt;'参数'!$G$32,FALSE)+IF(AND(ISNUMBER('参数'!$I$32),ISNUMBER(Q206)),Q206&gt;='参数'!$I$32,FALSE)+IF(AND(ISNUMBER('参数'!$K$32),ISNUMBER(S206)),S206&gt;='参数'!$K$32,FALSE)),"")</f>
        <v/>
      </c>
      <c r="V206" s="40" t="str">
        <f>IF(AND(ISNUMBER(J206),ISNUMBER(K206)),IF(N(ISNUMBER('参数'!$E$33))+N(ISNUMBER('参数'!$G$33))+N(ISNUMBER('参数'!$I$33))+N(ISNUMBER('参数'!$K$33))=0,"",IF(AND(ISNUMBER('参数'!$E$33),ISNUMBER(J205)),AND(J206&gt;='参数'!$E$33,J206&gt;J205),FALSE)+IF(AND(ISNUMBER('参数'!$G$33),ISNUMBER(N206)),N206&lt;='参数'!$G$33,FALSE)+IF(AND(ISNUMBER('参数'!$I$33),ISNUMBER(Q206)),Q206&gt;='参数'!$I$33,FALSE)+IF(AND(ISNUMBER('参数'!$K$33),ISNUMBER(S206)),S206&gt;='参数'!$K$33,FALSE)),"")</f>
        <v/>
      </c>
      <c r="W206" s="40" t="str">
        <f>IF(AND(ISNUMBER(J206),ISNUMBER(K206)),IF(N(ISNUMBER('参数'!$E$34))+N(ISNUMBER('参数'!$G$34))+N(ISNUMBER('参数'!$I$34))+N(ISNUMBER('参数'!$K$34))=0,"",IF(ISNUMBER('参数'!$E$34),J206&gt;='参数'!$E$34,FALSE)+IF(AND(ISNUMBER('参数'!$G$34),ISNUMBER(N206)),N206&lt;='参数'!$G$34,FALSE)+IF(AND(ISNUMBER('参数'!$I$34),ISNUMBER(S206)),S206&gt;='参数'!$I$34,FALSE)+IF(AND(ISNUMBER('参数'!$K$34),ISNUMBER(R206)),R206&gt;='参数'!$K$34,FALSE)),"")</f>
        <v/>
      </c>
      <c r="X206" s="40" t="str">
        <f>IF(AND(ISNUMBER(J206),ISNUMBER(K206)),IF(N(ISNUMBER('参数'!$E$35))+N(ISNUMBER('参数'!$G$35))+N(ISNUMBER('参数'!$I$35))=0,"",IF(AND(ISNUMBER('参数'!$E$35),ISNUMBER(N206),ISNUMBER(N205)),ROUND(N206-N205,6)&gt;='参数'!$E$35,FALSE)+IF(AND(ISNUMBER('参数'!$G$35),ISNUMBER(Q206),ISNUMBER(Q205)),ROUND(Q205-Q206,6)&gt;='参数'!$G$35,FALSE)+IF(AND(ISNUMBER('参数'!$I$35),ISNUMBER(S206),ISNUMBER(S205)),ROUND(S205-S206,6)&gt;='参数'!$I$35,FALSE)+IF(ISNUMBER(J205),J206&lt;J205,FALSE)),"")</f>
        <v/>
      </c>
      <c r="Y206" s="40" t="str">
        <f>IF(AND(ISNUMBER(J206),ISNUMBER(K206)),IF(N(ISNUMBER('参数'!$E$36))+N(ISNUMBER('参数'!$G$36))+N(ISNUMBER('参数'!$I$36))=0,"",IF(AND(ISNUMBER('参数'!$E$36),ISNUMBER(J205)),AND(J206&lt;='参数'!$E$36,J206&lt;J205),FALSE)+IF(ISNUMBER('参数'!$G$36),K206&gt;='参数'!$G$36,FALSE)+IF(AND(ISNUMBER('参数'!$I$36),ISNUMBER(S206)),S206&lt;'参数'!$I$36,FALSE)+IF(AND(ISNUMBER(R206),ISNUMBER(R205)),R206&lt;R205,FALSE)),"")</f>
        <v/>
      </c>
      <c r="Z206" s="41" t="str">
        <f>IF(NOT(AND(ISNUMBER(J206),ISNUMBER(K206))),"",IF(COUNT(T206:Y206)=0,"先填阈值",IF(MAX(AD206:AI206)=0,"不写",INDEX($T$4:$Y$4,MATCH(MAX(AD206:AI206),AD206:AI206,0))&amp;"·"&amp;IF(MAX(AD206:AI206)&gt;=200,"高","中")&amp;IF(LARGE(AD206:AI206,2)&gt;0,"（也像"&amp;INDEX($T$4:$Y$4,MATCH(LARGE(AD206:AI206,2),AD206:AI206,0))&amp;"·"&amp;IF(LARGE(AD206:AI206,2)&gt;=200,"高","中")&amp;"）",""))))</f>
        <v/>
      </c>
      <c r="AA206" s="27" t="n"/>
      <c r="AB206" s="32" t="n"/>
      <c r="AC206" s="16" t="n"/>
      <c r="AD206" s="40">
        <f>IF(N(T206)&gt;=3,IF(T206=4,2,1)*100+T206*10+6,0)</f>
        <v>0</v>
      </c>
      <c r="AE206" s="40">
        <f>IF(N(U206)&gt;=3,1*100+U206*10+1,0)</f>
        <v>0</v>
      </c>
      <c r="AF206" s="40">
        <f>IF(N(V206)&gt;=3,IF(V206=4,2,1)*100+V206*10+2,0)</f>
        <v>0</v>
      </c>
      <c r="AG206" s="40">
        <f>IF(N(W206)&gt;=3,1*100+W206*10+3,0)</f>
        <v>0</v>
      </c>
      <c r="AH206" s="40">
        <f>IF(N(X206)&gt;=3,1*100+X206*10+4,0)</f>
        <v>0</v>
      </c>
      <c r="AI206" s="40">
        <f>IF(N(Y206)&gt;=3,IF(AND(N(T206)&gt;=3,OR(N(T206)=4,N(Y206)&lt;=N(T206))),0,IF(Y206=4,2,1)*100+Y206*10+5),0)</f>
        <v>0</v>
      </c>
    </row>
    <row r="207">
      <c r="A207" s="31" t="n"/>
      <c r="B207" s="36" t="str">
        <f>IF(ISNUMBER(A207),"周"&amp;CHOOSE(WEEKDAY(A207,2),"一","二","三","四","五","六","日"),"")</f>
        <v/>
      </c>
      <c r="C207" s="37" t="n"/>
      <c r="D207" s="37" t="n"/>
      <c r="E207" s="37" t="n"/>
      <c r="F207" s="17" t="n"/>
      <c r="G207" s="38" t="str">
        <f>IF(AND(ISNUMBER(F207),ISNUMBER(F206)),IF(F206=0,"",F207/F206-1),"")</f>
        <v/>
      </c>
      <c r="H207" s="17" t="n"/>
      <c r="I207" s="17" t="n"/>
      <c r="J207" s="17" t="n"/>
      <c r="K207" s="17" t="n"/>
      <c r="L207" s="17" t="n"/>
      <c r="M207" s="17" t="n"/>
      <c r="N207" s="39" t="str">
        <f>IF(AND(ISNUMBER(L207),ISNUMBER(M207),N(L207)&gt;0),M207/L207,"")</f>
        <v/>
      </c>
      <c r="O207" s="17" t="n"/>
      <c r="P207" s="17" t="n"/>
      <c r="Q207" s="39" t="str">
        <f>IF(AND(ISNUMBER(O207),ISNUMBER(P207),N(O207)&gt;0),P207/O207,"")</f>
        <v/>
      </c>
      <c r="R207" s="17" t="n"/>
      <c r="S207" s="37" t="n"/>
      <c r="T207" s="40" t="str">
        <f>IF(AND(ISNUMBER(J207),ISNUMBER(K207)),IF(N(ISNUMBER('参数'!$E$31))+N(ISNUMBER('参数'!$G$31))+N(ISNUMBER('参数'!$I$31))+N(ISNUMBER('参数'!$K$31))=0,"",IF(ISNUMBER('参数'!$E$31),J207&lt;='参数'!$E$31,FALSE)+IF(ISNUMBER('参数'!$G$31),K207&gt;='参数'!$G$31,FALSE)+IF(AND(ISNUMBER('参数'!$I$31),ISNUMBER(N207)),N207&gt;='参数'!$I$31,FALSE)+IF(AND(ISNUMBER('参数'!$K$31),ISNUMBER(Q207)),Q207&lt;='参数'!$K$31,FALSE)),"")</f>
        <v/>
      </c>
      <c r="U207" s="40" t="str">
        <f>IF(AND(ISNUMBER(J207),ISNUMBER(K207)),IF(N(ISNUMBER('参数'!$G$32))+N(ISNUMBER('参数'!$I$32))+N(ISNUMBER('参数'!$K$32))=0,"",IF(AND(ISNUMBER(J206),ISNUMBER(J205)),AND(J207&gt;J206,J206&gt;J205),FALSE)+IF(ISNUMBER('参数'!$G$32),J207&lt;'参数'!$G$32,FALSE)+IF(AND(ISNUMBER('参数'!$I$32),ISNUMBER(Q207)),Q207&gt;='参数'!$I$32,FALSE)+IF(AND(ISNUMBER('参数'!$K$32),ISNUMBER(S207)),S207&gt;='参数'!$K$32,FALSE)),"")</f>
        <v/>
      </c>
      <c r="V207" s="40" t="str">
        <f>IF(AND(ISNUMBER(J207),ISNUMBER(K207)),IF(N(ISNUMBER('参数'!$E$33))+N(ISNUMBER('参数'!$G$33))+N(ISNUMBER('参数'!$I$33))+N(ISNUMBER('参数'!$K$33))=0,"",IF(AND(ISNUMBER('参数'!$E$33),ISNUMBER(J206)),AND(J207&gt;='参数'!$E$33,J207&gt;J206),FALSE)+IF(AND(ISNUMBER('参数'!$G$33),ISNUMBER(N207)),N207&lt;='参数'!$G$33,FALSE)+IF(AND(ISNUMBER('参数'!$I$33),ISNUMBER(Q207)),Q207&gt;='参数'!$I$33,FALSE)+IF(AND(ISNUMBER('参数'!$K$33),ISNUMBER(S207)),S207&gt;='参数'!$K$33,FALSE)),"")</f>
        <v/>
      </c>
      <c r="W207" s="40" t="str">
        <f>IF(AND(ISNUMBER(J207),ISNUMBER(K207)),IF(N(ISNUMBER('参数'!$E$34))+N(ISNUMBER('参数'!$G$34))+N(ISNUMBER('参数'!$I$34))+N(ISNUMBER('参数'!$K$34))=0,"",IF(ISNUMBER('参数'!$E$34),J207&gt;='参数'!$E$34,FALSE)+IF(AND(ISNUMBER('参数'!$G$34),ISNUMBER(N207)),N207&lt;='参数'!$G$34,FALSE)+IF(AND(ISNUMBER('参数'!$I$34),ISNUMBER(S207)),S207&gt;='参数'!$I$34,FALSE)+IF(AND(ISNUMBER('参数'!$K$34),ISNUMBER(R207)),R207&gt;='参数'!$K$34,FALSE)),"")</f>
        <v/>
      </c>
      <c r="X207" s="40" t="str">
        <f>IF(AND(ISNUMBER(J207),ISNUMBER(K207)),IF(N(ISNUMBER('参数'!$E$35))+N(ISNUMBER('参数'!$G$35))+N(ISNUMBER('参数'!$I$35))=0,"",IF(AND(ISNUMBER('参数'!$E$35),ISNUMBER(N207),ISNUMBER(N206)),ROUND(N207-N206,6)&gt;='参数'!$E$35,FALSE)+IF(AND(ISNUMBER('参数'!$G$35),ISNUMBER(Q207),ISNUMBER(Q206)),ROUND(Q206-Q207,6)&gt;='参数'!$G$35,FALSE)+IF(AND(ISNUMBER('参数'!$I$35),ISNUMBER(S207),ISNUMBER(S206)),ROUND(S206-S207,6)&gt;='参数'!$I$35,FALSE)+IF(ISNUMBER(J206),J207&lt;J206,FALSE)),"")</f>
        <v/>
      </c>
      <c r="Y207" s="40" t="str">
        <f>IF(AND(ISNUMBER(J207),ISNUMBER(K207)),IF(N(ISNUMBER('参数'!$E$36))+N(ISNUMBER('参数'!$G$36))+N(ISNUMBER('参数'!$I$36))=0,"",IF(AND(ISNUMBER('参数'!$E$36),ISNUMBER(J206)),AND(J207&lt;='参数'!$E$36,J207&lt;J206),FALSE)+IF(ISNUMBER('参数'!$G$36),K207&gt;='参数'!$G$36,FALSE)+IF(AND(ISNUMBER('参数'!$I$36),ISNUMBER(S207)),S207&lt;'参数'!$I$36,FALSE)+IF(AND(ISNUMBER(R207),ISNUMBER(R206)),R207&lt;R206,FALSE)),"")</f>
        <v/>
      </c>
      <c r="Z207" s="41" t="str">
        <f>IF(NOT(AND(ISNUMBER(J207),ISNUMBER(K207))),"",IF(COUNT(T207:Y207)=0,"先填阈值",IF(MAX(AD207:AI207)=0,"不写",INDEX($T$4:$Y$4,MATCH(MAX(AD207:AI207),AD207:AI207,0))&amp;"·"&amp;IF(MAX(AD207:AI207)&gt;=200,"高","中")&amp;IF(LARGE(AD207:AI207,2)&gt;0,"（也像"&amp;INDEX($T$4:$Y$4,MATCH(LARGE(AD207:AI207,2),AD207:AI207,0))&amp;"·"&amp;IF(LARGE(AD207:AI207,2)&gt;=200,"高","中")&amp;"）",""))))</f>
        <v/>
      </c>
      <c r="AA207" s="27" t="n"/>
      <c r="AB207" s="32" t="n"/>
      <c r="AC207" s="16" t="n"/>
      <c r="AD207" s="40">
        <f>IF(N(T207)&gt;=3,IF(T207=4,2,1)*100+T207*10+6,0)</f>
        <v>0</v>
      </c>
      <c r="AE207" s="40">
        <f>IF(N(U207)&gt;=3,1*100+U207*10+1,0)</f>
        <v>0</v>
      </c>
      <c r="AF207" s="40">
        <f>IF(N(V207)&gt;=3,IF(V207=4,2,1)*100+V207*10+2,0)</f>
        <v>0</v>
      </c>
      <c r="AG207" s="40">
        <f>IF(N(W207)&gt;=3,1*100+W207*10+3,0)</f>
        <v>0</v>
      </c>
      <c r="AH207" s="40">
        <f>IF(N(X207)&gt;=3,1*100+X207*10+4,0)</f>
        <v>0</v>
      </c>
      <c r="AI207" s="40">
        <f>IF(N(Y207)&gt;=3,IF(AND(N(T207)&gt;=3,OR(N(T207)=4,N(Y207)&lt;=N(T207))),0,IF(Y207=4,2,1)*100+Y207*10+5),0)</f>
        <v>0</v>
      </c>
    </row>
    <row r="208">
      <c r="A208" s="31" t="n"/>
      <c r="B208" s="36" t="str">
        <f>IF(ISNUMBER(A208),"周"&amp;CHOOSE(WEEKDAY(A208,2),"一","二","三","四","五","六","日"),"")</f>
        <v/>
      </c>
      <c r="C208" s="37" t="n"/>
      <c r="D208" s="37" t="n"/>
      <c r="E208" s="37" t="n"/>
      <c r="F208" s="17" t="n"/>
      <c r="G208" s="38" t="str">
        <f>IF(AND(ISNUMBER(F208),ISNUMBER(F207)),IF(F207=0,"",F208/F207-1),"")</f>
        <v/>
      </c>
      <c r="H208" s="17" t="n"/>
      <c r="I208" s="17" t="n"/>
      <c r="J208" s="17" t="n"/>
      <c r="K208" s="17" t="n"/>
      <c r="L208" s="17" t="n"/>
      <c r="M208" s="17" t="n"/>
      <c r="N208" s="39" t="str">
        <f>IF(AND(ISNUMBER(L208),ISNUMBER(M208),N(L208)&gt;0),M208/L208,"")</f>
        <v/>
      </c>
      <c r="O208" s="17" t="n"/>
      <c r="P208" s="17" t="n"/>
      <c r="Q208" s="39" t="str">
        <f>IF(AND(ISNUMBER(O208),ISNUMBER(P208),N(O208)&gt;0),P208/O208,"")</f>
        <v/>
      </c>
      <c r="R208" s="17" t="n"/>
      <c r="S208" s="37" t="n"/>
      <c r="T208" s="40" t="str">
        <f>IF(AND(ISNUMBER(J208),ISNUMBER(K208)),IF(N(ISNUMBER('参数'!$E$31))+N(ISNUMBER('参数'!$G$31))+N(ISNUMBER('参数'!$I$31))+N(ISNUMBER('参数'!$K$31))=0,"",IF(ISNUMBER('参数'!$E$31),J208&lt;='参数'!$E$31,FALSE)+IF(ISNUMBER('参数'!$G$31),K208&gt;='参数'!$G$31,FALSE)+IF(AND(ISNUMBER('参数'!$I$31),ISNUMBER(N208)),N208&gt;='参数'!$I$31,FALSE)+IF(AND(ISNUMBER('参数'!$K$31),ISNUMBER(Q208)),Q208&lt;='参数'!$K$31,FALSE)),"")</f>
        <v/>
      </c>
      <c r="U208" s="40" t="str">
        <f>IF(AND(ISNUMBER(J208),ISNUMBER(K208)),IF(N(ISNUMBER('参数'!$G$32))+N(ISNUMBER('参数'!$I$32))+N(ISNUMBER('参数'!$K$32))=0,"",IF(AND(ISNUMBER(J207),ISNUMBER(J206)),AND(J208&gt;J207,J207&gt;J206),FALSE)+IF(ISNUMBER('参数'!$G$32),J208&lt;'参数'!$G$32,FALSE)+IF(AND(ISNUMBER('参数'!$I$32),ISNUMBER(Q208)),Q208&gt;='参数'!$I$32,FALSE)+IF(AND(ISNUMBER('参数'!$K$32),ISNUMBER(S208)),S208&gt;='参数'!$K$32,FALSE)),"")</f>
        <v/>
      </c>
      <c r="V208" s="40" t="str">
        <f>IF(AND(ISNUMBER(J208),ISNUMBER(K208)),IF(N(ISNUMBER('参数'!$E$33))+N(ISNUMBER('参数'!$G$33))+N(ISNUMBER('参数'!$I$33))+N(ISNUMBER('参数'!$K$33))=0,"",IF(AND(ISNUMBER('参数'!$E$33),ISNUMBER(J207)),AND(J208&gt;='参数'!$E$33,J208&gt;J207),FALSE)+IF(AND(ISNUMBER('参数'!$G$33),ISNUMBER(N208)),N208&lt;='参数'!$G$33,FALSE)+IF(AND(ISNUMBER('参数'!$I$33),ISNUMBER(Q208)),Q208&gt;='参数'!$I$33,FALSE)+IF(AND(ISNUMBER('参数'!$K$33),ISNUMBER(S208)),S208&gt;='参数'!$K$33,FALSE)),"")</f>
        <v/>
      </c>
      <c r="W208" s="40" t="str">
        <f>IF(AND(ISNUMBER(J208),ISNUMBER(K208)),IF(N(ISNUMBER('参数'!$E$34))+N(ISNUMBER('参数'!$G$34))+N(ISNUMBER('参数'!$I$34))+N(ISNUMBER('参数'!$K$34))=0,"",IF(ISNUMBER('参数'!$E$34),J208&gt;='参数'!$E$34,FALSE)+IF(AND(ISNUMBER('参数'!$G$34),ISNUMBER(N208)),N208&lt;='参数'!$G$34,FALSE)+IF(AND(ISNUMBER('参数'!$I$34),ISNUMBER(S208)),S208&gt;='参数'!$I$34,FALSE)+IF(AND(ISNUMBER('参数'!$K$34),ISNUMBER(R208)),R208&gt;='参数'!$K$34,FALSE)),"")</f>
        <v/>
      </c>
      <c r="X208" s="40" t="str">
        <f>IF(AND(ISNUMBER(J208),ISNUMBER(K208)),IF(N(ISNUMBER('参数'!$E$35))+N(ISNUMBER('参数'!$G$35))+N(ISNUMBER('参数'!$I$35))=0,"",IF(AND(ISNUMBER('参数'!$E$35),ISNUMBER(N208),ISNUMBER(N207)),ROUND(N208-N207,6)&gt;='参数'!$E$35,FALSE)+IF(AND(ISNUMBER('参数'!$G$35),ISNUMBER(Q208),ISNUMBER(Q207)),ROUND(Q207-Q208,6)&gt;='参数'!$G$35,FALSE)+IF(AND(ISNUMBER('参数'!$I$35),ISNUMBER(S208),ISNUMBER(S207)),ROUND(S207-S208,6)&gt;='参数'!$I$35,FALSE)+IF(ISNUMBER(J207),J208&lt;J207,FALSE)),"")</f>
        <v/>
      </c>
      <c r="Y208" s="40" t="str">
        <f>IF(AND(ISNUMBER(J208),ISNUMBER(K208)),IF(N(ISNUMBER('参数'!$E$36))+N(ISNUMBER('参数'!$G$36))+N(ISNUMBER('参数'!$I$36))=0,"",IF(AND(ISNUMBER('参数'!$E$36),ISNUMBER(J207)),AND(J208&lt;='参数'!$E$36,J208&lt;J207),FALSE)+IF(ISNUMBER('参数'!$G$36),K208&gt;='参数'!$G$36,FALSE)+IF(AND(ISNUMBER('参数'!$I$36),ISNUMBER(S208)),S208&lt;'参数'!$I$36,FALSE)+IF(AND(ISNUMBER(R208),ISNUMBER(R207)),R208&lt;R207,FALSE)),"")</f>
        <v/>
      </c>
      <c r="Z208" s="41" t="str">
        <f>IF(NOT(AND(ISNUMBER(J208),ISNUMBER(K208))),"",IF(COUNT(T208:Y208)=0,"先填阈值",IF(MAX(AD208:AI208)=0,"不写",INDEX($T$4:$Y$4,MATCH(MAX(AD208:AI208),AD208:AI208,0))&amp;"·"&amp;IF(MAX(AD208:AI208)&gt;=200,"高","中")&amp;IF(LARGE(AD208:AI208,2)&gt;0,"（也像"&amp;INDEX($T$4:$Y$4,MATCH(LARGE(AD208:AI208,2),AD208:AI208,0))&amp;"·"&amp;IF(LARGE(AD208:AI208,2)&gt;=200,"高","中")&amp;"）",""))))</f>
        <v/>
      </c>
      <c r="AA208" s="27" t="n"/>
      <c r="AB208" s="32" t="n"/>
      <c r="AC208" s="16" t="n"/>
      <c r="AD208" s="40">
        <f>IF(N(T208)&gt;=3,IF(T208=4,2,1)*100+T208*10+6,0)</f>
        <v>0</v>
      </c>
      <c r="AE208" s="40">
        <f>IF(N(U208)&gt;=3,1*100+U208*10+1,0)</f>
        <v>0</v>
      </c>
      <c r="AF208" s="40">
        <f>IF(N(V208)&gt;=3,IF(V208=4,2,1)*100+V208*10+2,0)</f>
        <v>0</v>
      </c>
      <c r="AG208" s="40">
        <f>IF(N(W208)&gt;=3,1*100+W208*10+3,0)</f>
        <v>0</v>
      </c>
      <c r="AH208" s="40">
        <f>IF(N(X208)&gt;=3,1*100+X208*10+4,0)</f>
        <v>0</v>
      </c>
      <c r="AI208" s="40">
        <f>IF(N(Y208)&gt;=3,IF(AND(N(T208)&gt;=3,OR(N(T208)=4,N(Y208)&lt;=N(T208))),0,IF(Y208=4,2,1)*100+Y208*10+5),0)</f>
        <v>0</v>
      </c>
    </row>
    <row r="209">
      <c r="A209" s="31" t="n"/>
      <c r="B209" s="36" t="str">
        <f>IF(ISNUMBER(A209),"周"&amp;CHOOSE(WEEKDAY(A209,2),"一","二","三","四","五","六","日"),"")</f>
        <v/>
      </c>
      <c r="C209" s="37" t="n"/>
      <c r="D209" s="37" t="n"/>
      <c r="E209" s="37" t="n"/>
      <c r="F209" s="17" t="n"/>
      <c r="G209" s="38" t="str">
        <f>IF(AND(ISNUMBER(F209),ISNUMBER(F208)),IF(F208=0,"",F209/F208-1),"")</f>
        <v/>
      </c>
      <c r="H209" s="17" t="n"/>
      <c r="I209" s="17" t="n"/>
      <c r="J209" s="17" t="n"/>
      <c r="K209" s="17" t="n"/>
      <c r="L209" s="17" t="n"/>
      <c r="M209" s="17" t="n"/>
      <c r="N209" s="39" t="str">
        <f>IF(AND(ISNUMBER(L209),ISNUMBER(M209),N(L209)&gt;0),M209/L209,"")</f>
        <v/>
      </c>
      <c r="O209" s="17" t="n"/>
      <c r="P209" s="17" t="n"/>
      <c r="Q209" s="39" t="str">
        <f>IF(AND(ISNUMBER(O209),ISNUMBER(P209),N(O209)&gt;0),P209/O209,"")</f>
        <v/>
      </c>
      <c r="R209" s="17" t="n"/>
      <c r="S209" s="37" t="n"/>
      <c r="T209" s="40" t="str">
        <f>IF(AND(ISNUMBER(J209),ISNUMBER(K209)),IF(N(ISNUMBER('参数'!$E$31))+N(ISNUMBER('参数'!$G$31))+N(ISNUMBER('参数'!$I$31))+N(ISNUMBER('参数'!$K$31))=0,"",IF(ISNUMBER('参数'!$E$31),J209&lt;='参数'!$E$31,FALSE)+IF(ISNUMBER('参数'!$G$31),K209&gt;='参数'!$G$31,FALSE)+IF(AND(ISNUMBER('参数'!$I$31),ISNUMBER(N209)),N209&gt;='参数'!$I$31,FALSE)+IF(AND(ISNUMBER('参数'!$K$31),ISNUMBER(Q209)),Q209&lt;='参数'!$K$31,FALSE)),"")</f>
        <v/>
      </c>
      <c r="U209" s="40" t="str">
        <f>IF(AND(ISNUMBER(J209),ISNUMBER(K209)),IF(N(ISNUMBER('参数'!$G$32))+N(ISNUMBER('参数'!$I$32))+N(ISNUMBER('参数'!$K$32))=0,"",IF(AND(ISNUMBER(J208),ISNUMBER(J207)),AND(J209&gt;J208,J208&gt;J207),FALSE)+IF(ISNUMBER('参数'!$G$32),J209&lt;'参数'!$G$32,FALSE)+IF(AND(ISNUMBER('参数'!$I$32),ISNUMBER(Q209)),Q209&gt;='参数'!$I$32,FALSE)+IF(AND(ISNUMBER('参数'!$K$32),ISNUMBER(S209)),S209&gt;='参数'!$K$32,FALSE)),"")</f>
        <v/>
      </c>
      <c r="V209" s="40" t="str">
        <f>IF(AND(ISNUMBER(J209),ISNUMBER(K209)),IF(N(ISNUMBER('参数'!$E$33))+N(ISNUMBER('参数'!$G$33))+N(ISNUMBER('参数'!$I$33))+N(ISNUMBER('参数'!$K$33))=0,"",IF(AND(ISNUMBER('参数'!$E$33),ISNUMBER(J208)),AND(J209&gt;='参数'!$E$33,J209&gt;J208),FALSE)+IF(AND(ISNUMBER('参数'!$G$33),ISNUMBER(N209)),N209&lt;='参数'!$G$33,FALSE)+IF(AND(ISNUMBER('参数'!$I$33),ISNUMBER(Q209)),Q209&gt;='参数'!$I$33,FALSE)+IF(AND(ISNUMBER('参数'!$K$33),ISNUMBER(S209)),S209&gt;='参数'!$K$33,FALSE)),"")</f>
        <v/>
      </c>
      <c r="W209" s="40" t="str">
        <f>IF(AND(ISNUMBER(J209),ISNUMBER(K209)),IF(N(ISNUMBER('参数'!$E$34))+N(ISNUMBER('参数'!$G$34))+N(ISNUMBER('参数'!$I$34))+N(ISNUMBER('参数'!$K$34))=0,"",IF(ISNUMBER('参数'!$E$34),J209&gt;='参数'!$E$34,FALSE)+IF(AND(ISNUMBER('参数'!$G$34),ISNUMBER(N209)),N209&lt;='参数'!$G$34,FALSE)+IF(AND(ISNUMBER('参数'!$I$34),ISNUMBER(S209)),S209&gt;='参数'!$I$34,FALSE)+IF(AND(ISNUMBER('参数'!$K$34),ISNUMBER(R209)),R209&gt;='参数'!$K$34,FALSE)),"")</f>
        <v/>
      </c>
      <c r="X209" s="40" t="str">
        <f>IF(AND(ISNUMBER(J209),ISNUMBER(K209)),IF(N(ISNUMBER('参数'!$E$35))+N(ISNUMBER('参数'!$G$35))+N(ISNUMBER('参数'!$I$35))=0,"",IF(AND(ISNUMBER('参数'!$E$35),ISNUMBER(N209),ISNUMBER(N208)),ROUND(N209-N208,6)&gt;='参数'!$E$35,FALSE)+IF(AND(ISNUMBER('参数'!$G$35),ISNUMBER(Q209),ISNUMBER(Q208)),ROUND(Q208-Q209,6)&gt;='参数'!$G$35,FALSE)+IF(AND(ISNUMBER('参数'!$I$35),ISNUMBER(S209),ISNUMBER(S208)),ROUND(S208-S209,6)&gt;='参数'!$I$35,FALSE)+IF(ISNUMBER(J208),J209&lt;J208,FALSE)),"")</f>
        <v/>
      </c>
      <c r="Y209" s="40" t="str">
        <f>IF(AND(ISNUMBER(J209),ISNUMBER(K209)),IF(N(ISNUMBER('参数'!$E$36))+N(ISNUMBER('参数'!$G$36))+N(ISNUMBER('参数'!$I$36))=0,"",IF(AND(ISNUMBER('参数'!$E$36),ISNUMBER(J208)),AND(J209&lt;='参数'!$E$36,J209&lt;J208),FALSE)+IF(ISNUMBER('参数'!$G$36),K209&gt;='参数'!$G$36,FALSE)+IF(AND(ISNUMBER('参数'!$I$36),ISNUMBER(S209)),S209&lt;'参数'!$I$36,FALSE)+IF(AND(ISNUMBER(R209),ISNUMBER(R208)),R209&lt;R208,FALSE)),"")</f>
        <v/>
      </c>
      <c r="Z209" s="41" t="str">
        <f>IF(NOT(AND(ISNUMBER(J209),ISNUMBER(K209))),"",IF(COUNT(T209:Y209)=0,"先填阈值",IF(MAX(AD209:AI209)=0,"不写",INDEX($T$4:$Y$4,MATCH(MAX(AD209:AI209),AD209:AI209,0))&amp;"·"&amp;IF(MAX(AD209:AI209)&gt;=200,"高","中")&amp;IF(LARGE(AD209:AI209,2)&gt;0,"（也像"&amp;INDEX($T$4:$Y$4,MATCH(LARGE(AD209:AI209,2),AD209:AI209,0))&amp;"·"&amp;IF(LARGE(AD209:AI209,2)&gt;=200,"高","中")&amp;"）",""))))</f>
        <v/>
      </c>
      <c r="AA209" s="27" t="n"/>
      <c r="AB209" s="32" t="n"/>
      <c r="AC209" s="16" t="n"/>
      <c r="AD209" s="40">
        <f>IF(N(T209)&gt;=3,IF(T209=4,2,1)*100+T209*10+6,0)</f>
        <v>0</v>
      </c>
      <c r="AE209" s="40">
        <f>IF(N(U209)&gt;=3,1*100+U209*10+1,0)</f>
        <v>0</v>
      </c>
      <c r="AF209" s="40">
        <f>IF(N(V209)&gt;=3,IF(V209=4,2,1)*100+V209*10+2,0)</f>
        <v>0</v>
      </c>
      <c r="AG209" s="40">
        <f>IF(N(W209)&gt;=3,1*100+W209*10+3,0)</f>
        <v>0</v>
      </c>
      <c r="AH209" s="40">
        <f>IF(N(X209)&gt;=3,1*100+X209*10+4,0)</f>
        <v>0</v>
      </c>
      <c r="AI209" s="40">
        <f>IF(N(Y209)&gt;=3,IF(AND(N(T209)&gt;=3,OR(N(T209)=4,N(Y209)&lt;=N(T209))),0,IF(Y209=4,2,1)*100+Y209*10+5),0)</f>
        <v>0</v>
      </c>
    </row>
    <row r="210">
      <c r="A210" s="31" t="n"/>
      <c r="B210" s="36" t="str">
        <f>IF(ISNUMBER(A210),"周"&amp;CHOOSE(WEEKDAY(A210,2),"一","二","三","四","五","六","日"),"")</f>
        <v/>
      </c>
      <c r="C210" s="37" t="n"/>
      <c r="D210" s="37" t="n"/>
      <c r="E210" s="37" t="n"/>
      <c r="F210" s="17" t="n"/>
      <c r="G210" s="38" t="str">
        <f>IF(AND(ISNUMBER(F210),ISNUMBER(F209)),IF(F209=0,"",F210/F209-1),"")</f>
        <v/>
      </c>
      <c r="H210" s="17" t="n"/>
      <c r="I210" s="17" t="n"/>
      <c r="J210" s="17" t="n"/>
      <c r="K210" s="17" t="n"/>
      <c r="L210" s="17" t="n"/>
      <c r="M210" s="17" t="n"/>
      <c r="N210" s="39" t="str">
        <f>IF(AND(ISNUMBER(L210),ISNUMBER(M210),N(L210)&gt;0),M210/L210,"")</f>
        <v/>
      </c>
      <c r="O210" s="17" t="n"/>
      <c r="P210" s="17" t="n"/>
      <c r="Q210" s="39" t="str">
        <f>IF(AND(ISNUMBER(O210),ISNUMBER(P210),N(O210)&gt;0),P210/O210,"")</f>
        <v/>
      </c>
      <c r="R210" s="17" t="n"/>
      <c r="S210" s="37" t="n"/>
      <c r="T210" s="40" t="str">
        <f>IF(AND(ISNUMBER(J210),ISNUMBER(K210)),IF(N(ISNUMBER('参数'!$E$31))+N(ISNUMBER('参数'!$G$31))+N(ISNUMBER('参数'!$I$31))+N(ISNUMBER('参数'!$K$31))=0,"",IF(ISNUMBER('参数'!$E$31),J210&lt;='参数'!$E$31,FALSE)+IF(ISNUMBER('参数'!$G$31),K210&gt;='参数'!$G$31,FALSE)+IF(AND(ISNUMBER('参数'!$I$31),ISNUMBER(N210)),N210&gt;='参数'!$I$31,FALSE)+IF(AND(ISNUMBER('参数'!$K$31),ISNUMBER(Q210)),Q210&lt;='参数'!$K$31,FALSE)),"")</f>
        <v/>
      </c>
      <c r="U210" s="40" t="str">
        <f>IF(AND(ISNUMBER(J210),ISNUMBER(K210)),IF(N(ISNUMBER('参数'!$G$32))+N(ISNUMBER('参数'!$I$32))+N(ISNUMBER('参数'!$K$32))=0,"",IF(AND(ISNUMBER(J209),ISNUMBER(J208)),AND(J210&gt;J209,J209&gt;J208),FALSE)+IF(ISNUMBER('参数'!$G$32),J210&lt;'参数'!$G$32,FALSE)+IF(AND(ISNUMBER('参数'!$I$32),ISNUMBER(Q210)),Q210&gt;='参数'!$I$32,FALSE)+IF(AND(ISNUMBER('参数'!$K$32),ISNUMBER(S210)),S210&gt;='参数'!$K$32,FALSE)),"")</f>
        <v/>
      </c>
      <c r="V210" s="40" t="str">
        <f>IF(AND(ISNUMBER(J210),ISNUMBER(K210)),IF(N(ISNUMBER('参数'!$E$33))+N(ISNUMBER('参数'!$G$33))+N(ISNUMBER('参数'!$I$33))+N(ISNUMBER('参数'!$K$33))=0,"",IF(AND(ISNUMBER('参数'!$E$33),ISNUMBER(J209)),AND(J210&gt;='参数'!$E$33,J210&gt;J209),FALSE)+IF(AND(ISNUMBER('参数'!$G$33),ISNUMBER(N210)),N210&lt;='参数'!$G$33,FALSE)+IF(AND(ISNUMBER('参数'!$I$33),ISNUMBER(Q210)),Q210&gt;='参数'!$I$33,FALSE)+IF(AND(ISNUMBER('参数'!$K$33),ISNUMBER(S210)),S210&gt;='参数'!$K$33,FALSE)),"")</f>
        <v/>
      </c>
      <c r="W210" s="40" t="str">
        <f>IF(AND(ISNUMBER(J210),ISNUMBER(K210)),IF(N(ISNUMBER('参数'!$E$34))+N(ISNUMBER('参数'!$G$34))+N(ISNUMBER('参数'!$I$34))+N(ISNUMBER('参数'!$K$34))=0,"",IF(ISNUMBER('参数'!$E$34),J210&gt;='参数'!$E$34,FALSE)+IF(AND(ISNUMBER('参数'!$G$34),ISNUMBER(N210)),N210&lt;='参数'!$G$34,FALSE)+IF(AND(ISNUMBER('参数'!$I$34),ISNUMBER(S210)),S210&gt;='参数'!$I$34,FALSE)+IF(AND(ISNUMBER('参数'!$K$34),ISNUMBER(R210)),R210&gt;='参数'!$K$34,FALSE)),"")</f>
        <v/>
      </c>
      <c r="X210" s="40" t="str">
        <f>IF(AND(ISNUMBER(J210),ISNUMBER(K210)),IF(N(ISNUMBER('参数'!$E$35))+N(ISNUMBER('参数'!$G$35))+N(ISNUMBER('参数'!$I$35))=0,"",IF(AND(ISNUMBER('参数'!$E$35),ISNUMBER(N210),ISNUMBER(N209)),ROUND(N210-N209,6)&gt;='参数'!$E$35,FALSE)+IF(AND(ISNUMBER('参数'!$G$35),ISNUMBER(Q210),ISNUMBER(Q209)),ROUND(Q209-Q210,6)&gt;='参数'!$G$35,FALSE)+IF(AND(ISNUMBER('参数'!$I$35),ISNUMBER(S210),ISNUMBER(S209)),ROUND(S209-S210,6)&gt;='参数'!$I$35,FALSE)+IF(ISNUMBER(J209),J210&lt;J209,FALSE)),"")</f>
        <v/>
      </c>
      <c r="Y210" s="40" t="str">
        <f>IF(AND(ISNUMBER(J210),ISNUMBER(K210)),IF(N(ISNUMBER('参数'!$E$36))+N(ISNUMBER('参数'!$G$36))+N(ISNUMBER('参数'!$I$36))=0,"",IF(AND(ISNUMBER('参数'!$E$36),ISNUMBER(J209)),AND(J210&lt;='参数'!$E$36,J210&lt;J209),FALSE)+IF(ISNUMBER('参数'!$G$36),K210&gt;='参数'!$G$36,FALSE)+IF(AND(ISNUMBER('参数'!$I$36),ISNUMBER(S210)),S210&lt;'参数'!$I$36,FALSE)+IF(AND(ISNUMBER(R210),ISNUMBER(R209)),R210&lt;R209,FALSE)),"")</f>
        <v/>
      </c>
      <c r="Z210" s="41" t="str">
        <f>IF(NOT(AND(ISNUMBER(J210),ISNUMBER(K210))),"",IF(COUNT(T210:Y210)=0,"先填阈值",IF(MAX(AD210:AI210)=0,"不写",INDEX($T$4:$Y$4,MATCH(MAX(AD210:AI210),AD210:AI210,0))&amp;"·"&amp;IF(MAX(AD210:AI210)&gt;=200,"高","中")&amp;IF(LARGE(AD210:AI210,2)&gt;0,"（也像"&amp;INDEX($T$4:$Y$4,MATCH(LARGE(AD210:AI210,2),AD210:AI210,0))&amp;"·"&amp;IF(LARGE(AD210:AI210,2)&gt;=200,"高","中")&amp;"）",""))))</f>
        <v/>
      </c>
      <c r="AA210" s="27" t="n"/>
      <c r="AB210" s="32" t="n"/>
      <c r="AC210" s="16" t="n"/>
      <c r="AD210" s="40">
        <f>IF(N(T210)&gt;=3,IF(T210=4,2,1)*100+T210*10+6,0)</f>
        <v>0</v>
      </c>
      <c r="AE210" s="40">
        <f>IF(N(U210)&gt;=3,1*100+U210*10+1,0)</f>
        <v>0</v>
      </c>
      <c r="AF210" s="40">
        <f>IF(N(V210)&gt;=3,IF(V210=4,2,1)*100+V210*10+2,0)</f>
        <v>0</v>
      </c>
      <c r="AG210" s="40">
        <f>IF(N(W210)&gt;=3,1*100+W210*10+3,0)</f>
        <v>0</v>
      </c>
      <c r="AH210" s="40">
        <f>IF(N(X210)&gt;=3,1*100+X210*10+4,0)</f>
        <v>0</v>
      </c>
      <c r="AI210" s="40">
        <f>IF(N(Y210)&gt;=3,IF(AND(N(T210)&gt;=3,OR(N(T210)=4,N(Y210)&lt;=N(T210))),0,IF(Y210=4,2,1)*100+Y210*10+5),0)</f>
        <v>0</v>
      </c>
    </row>
    <row r="211">
      <c r="A211" s="31" t="n"/>
      <c r="B211" s="36" t="str">
        <f>IF(ISNUMBER(A211),"周"&amp;CHOOSE(WEEKDAY(A211,2),"一","二","三","四","五","六","日"),"")</f>
        <v/>
      </c>
      <c r="C211" s="37" t="n"/>
      <c r="D211" s="37" t="n"/>
      <c r="E211" s="37" t="n"/>
      <c r="F211" s="17" t="n"/>
      <c r="G211" s="38" t="str">
        <f>IF(AND(ISNUMBER(F211),ISNUMBER(F210)),IF(F210=0,"",F211/F210-1),"")</f>
        <v/>
      </c>
      <c r="H211" s="17" t="n"/>
      <c r="I211" s="17" t="n"/>
      <c r="J211" s="17" t="n"/>
      <c r="K211" s="17" t="n"/>
      <c r="L211" s="17" t="n"/>
      <c r="M211" s="17" t="n"/>
      <c r="N211" s="39" t="str">
        <f>IF(AND(ISNUMBER(L211),ISNUMBER(M211),N(L211)&gt;0),M211/L211,"")</f>
        <v/>
      </c>
      <c r="O211" s="17" t="n"/>
      <c r="P211" s="17" t="n"/>
      <c r="Q211" s="39" t="str">
        <f>IF(AND(ISNUMBER(O211),ISNUMBER(P211),N(O211)&gt;0),P211/O211,"")</f>
        <v/>
      </c>
      <c r="R211" s="17" t="n"/>
      <c r="S211" s="37" t="n"/>
      <c r="T211" s="40" t="str">
        <f>IF(AND(ISNUMBER(J211),ISNUMBER(K211)),IF(N(ISNUMBER('参数'!$E$31))+N(ISNUMBER('参数'!$G$31))+N(ISNUMBER('参数'!$I$31))+N(ISNUMBER('参数'!$K$31))=0,"",IF(ISNUMBER('参数'!$E$31),J211&lt;='参数'!$E$31,FALSE)+IF(ISNUMBER('参数'!$G$31),K211&gt;='参数'!$G$31,FALSE)+IF(AND(ISNUMBER('参数'!$I$31),ISNUMBER(N211)),N211&gt;='参数'!$I$31,FALSE)+IF(AND(ISNUMBER('参数'!$K$31),ISNUMBER(Q211)),Q211&lt;='参数'!$K$31,FALSE)),"")</f>
        <v/>
      </c>
      <c r="U211" s="40" t="str">
        <f>IF(AND(ISNUMBER(J211),ISNUMBER(K211)),IF(N(ISNUMBER('参数'!$G$32))+N(ISNUMBER('参数'!$I$32))+N(ISNUMBER('参数'!$K$32))=0,"",IF(AND(ISNUMBER(J210),ISNUMBER(J209)),AND(J211&gt;J210,J210&gt;J209),FALSE)+IF(ISNUMBER('参数'!$G$32),J211&lt;'参数'!$G$32,FALSE)+IF(AND(ISNUMBER('参数'!$I$32),ISNUMBER(Q211)),Q211&gt;='参数'!$I$32,FALSE)+IF(AND(ISNUMBER('参数'!$K$32),ISNUMBER(S211)),S211&gt;='参数'!$K$32,FALSE)),"")</f>
        <v/>
      </c>
      <c r="V211" s="40" t="str">
        <f>IF(AND(ISNUMBER(J211),ISNUMBER(K211)),IF(N(ISNUMBER('参数'!$E$33))+N(ISNUMBER('参数'!$G$33))+N(ISNUMBER('参数'!$I$33))+N(ISNUMBER('参数'!$K$33))=0,"",IF(AND(ISNUMBER('参数'!$E$33),ISNUMBER(J210)),AND(J211&gt;='参数'!$E$33,J211&gt;J210),FALSE)+IF(AND(ISNUMBER('参数'!$G$33),ISNUMBER(N211)),N211&lt;='参数'!$G$33,FALSE)+IF(AND(ISNUMBER('参数'!$I$33),ISNUMBER(Q211)),Q211&gt;='参数'!$I$33,FALSE)+IF(AND(ISNUMBER('参数'!$K$33),ISNUMBER(S211)),S211&gt;='参数'!$K$33,FALSE)),"")</f>
        <v/>
      </c>
      <c r="W211" s="40" t="str">
        <f>IF(AND(ISNUMBER(J211),ISNUMBER(K211)),IF(N(ISNUMBER('参数'!$E$34))+N(ISNUMBER('参数'!$G$34))+N(ISNUMBER('参数'!$I$34))+N(ISNUMBER('参数'!$K$34))=0,"",IF(ISNUMBER('参数'!$E$34),J211&gt;='参数'!$E$34,FALSE)+IF(AND(ISNUMBER('参数'!$G$34),ISNUMBER(N211)),N211&lt;='参数'!$G$34,FALSE)+IF(AND(ISNUMBER('参数'!$I$34),ISNUMBER(S211)),S211&gt;='参数'!$I$34,FALSE)+IF(AND(ISNUMBER('参数'!$K$34),ISNUMBER(R211)),R211&gt;='参数'!$K$34,FALSE)),"")</f>
        <v/>
      </c>
      <c r="X211" s="40" t="str">
        <f>IF(AND(ISNUMBER(J211),ISNUMBER(K211)),IF(N(ISNUMBER('参数'!$E$35))+N(ISNUMBER('参数'!$G$35))+N(ISNUMBER('参数'!$I$35))=0,"",IF(AND(ISNUMBER('参数'!$E$35),ISNUMBER(N211),ISNUMBER(N210)),ROUND(N211-N210,6)&gt;='参数'!$E$35,FALSE)+IF(AND(ISNUMBER('参数'!$G$35),ISNUMBER(Q211),ISNUMBER(Q210)),ROUND(Q210-Q211,6)&gt;='参数'!$G$35,FALSE)+IF(AND(ISNUMBER('参数'!$I$35),ISNUMBER(S211),ISNUMBER(S210)),ROUND(S210-S211,6)&gt;='参数'!$I$35,FALSE)+IF(ISNUMBER(J210),J211&lt;J210,FALSE)),"")</f>
        <v/>
      </c>
      <c r="Y211" s="40" t="str">
        <f>IF(AND(ISNUMBER(J211),ISNUMBER(K211)),IF(N(ISNUMBER('参数'!$E$36))+N(ISNUMBER('参数'!$G$36))+N(ISNUMBER('参数'!$I$36))=0,"",IF(AND(ISNUMBER('参数'!$E$36),ISNUMBER(J210)),AND(J211&lt;='参数'!$E$36,J211&lt;J210),FALSE)+IF(ISNUMBER('参数'!$G$36),K211&gt;='参数'!$G$36,FALSE)+IF(AND(ISNUMBER('参数'!$I$36),ISNUMBER(S211)),S211&lt;'参数'!$I$36,FALSE)+IF(AND(ISNUMBER(R211),ISNUMBER(R210)),R211&lt;R210,FALSE)),"")</f>
        <v/>
      </c>
      <c r="Z211" s="41" t="str">
        <f>IF(NOT(AND(ISNUMBER(J211),ISNUMBER(K211))),"",IF(COUNT(T211:Y211)=0,"先填阈值",IF(MAX(AD211:AI211)=0,"不写",INDEX($T$4:$Y$4,MATCH(MAX(AD211:AI211),AD211:AI211,0))&amp;"·"&amp;IF(MAX(AD211:AI211)&gt;=200,"高","中")&amp;IF(LARGE(AD211:AI211,2)&gt;0,"（也像"&amp;INDEX($T$4:$Y$4,MATCH(LARGE(AD211:AI211,2),AD211:AI211,0))&amp;"·"&amp;IF(LARGE(AD211:AI211,2)&gt;=200,"高","中")&amp;"）",""))))</f>
        <v/>
      </c>
      <c r="AA211" s="27" t="n"/>
      <c r="AB211" s="32" t="n"/>
      <c r="AC211" s="16" t="n"/>
      <c r="AD211" s="40">
        <f>IF(N(T211)&gt;=3,IF(T211=4,2,1)*100+T211*10+6,0)</f>
        <v>0</v>
      </c>
      <c r="AE211" s="40">
        <f>IF(N(U211)&gt;=3,1*100+U211*10+1,0)</f>
        <v>0</v>
      </c>
      <c r="AF211" s="40">
        <f>IF(N(V211)&gt;=3,IF(V211=4,2,1)*100+V211*10+2,0)</f>
        <v>0</v>
      </c>
      <c r="AG211" s="40">
        <f>IF(N(W211)&gt;=3,1*100+W211*10+3,0)</f>
        <v>0</v>
      </c>
      <c r="AH211" s="40">
        <f>IF(N(X211)&gt;=3,1*100+X211*10+4,0)</f>
        <v>0</v>
      </c>
      <c r="AI211" s="40">
        <f>IF(N(Y211)&gt;=3,IF(AND(N(T211)&gt;=3,OR(N(T211)=4,N(Y211)&lt;=N(T211))),0,IF(Y211=4,2,1)*100+Y211*10+5),0)</f>
        <v>0</v>
      </c>
    </row>
    <row r="212">
      <c r="A212" s="31" t="n"/>
      <c r="B212" s="36" t="str">
        <f>IF(ISNUMBER(A212),"周"&amp;CHOOSE(WEEKDAY(A212,2),"一","二","三","四","五","六","日"),"")</f>
        <v/>
      </c>
      <c r="C212" s="37" t="n"/>
      <c r="D212" s="37" t="n"/>
      <c r="E212" s="37" t="n"/>
      <c r="F212" s="17" t="n"/>
      <c r="G212" s="38" t="str">
        <f>IF(AND(ISNUMBER(F212),ISNUMBER(F211)),IF(F211=0,"",F212/F211-1),"")</f>
        <v/>
      </c>
      <c r="H212" s="17" t="n"/>
      <c r="I212" s="17" t="n"/>
      <c r="J212" s="17" t="n"/>
      <c r="K212" s="17" t="n"/>
      <c r="L212" s="17" t="n"/>
      <c r="M212" s="17" t="n"/>
      <c r="N212" s="39" t="str">
        <f>IF(AND(ISNUMBER(L212),ISNUMBER(M212),N(L212)&gt;0),M212/L212,"")</f>
        <v/>
      </c>
      <c r="O212" s="17" t="n"/>
      <c r="P212" s="17" t="n"/>
      <c r="Q212" s="39" t="str">
        <f>IF(AND(ISNUMBER(O212),ISNUMBER(P212),N(O212)&gt;0),P212/O212,"")</f>
        <v/>
      </c>
      <c r="R212" s="17" t="n"/>
      <c r="S212" s="37" t="n"/>
      <c r="T212" s="40" t="str">
        <f>IF(AND(ISNUMBER(J212),ISNUMBER(K212)),IF(N(ISNUMBER('参数'!$E$31))+N(ISNUMBER('参数'!$G$31))+N(ISNUMBER('参数'!$I$31))+N(ISNUMBER('参数'!$K$31))=0,"",IF(ISNUMBER('参数'!$E$31),J212&lt;='参数'!$E$31,FALSE)+IF(ISNUMBER('参数'!$G$31),K212&gt;='参数'!$G$31,FALSE)+IF(AND(ISNUMBER('参数'!$I$31),ISNUMBER(N212)),N212&gt;='参数'!$I$31,FALSE)+IF(AND(ISNUMBER('参数'!$K$31),ISNUMBER(Q212)),Q212&lt;='参数'!$K$31,FALSE)),"")</f>
        <v/>
      </c>
      <c r="U212" s="40" t="str">
        <f>IF(AND(ISNUMBER(J212),ISNUMBER(K212)),IF(N(ISNUMBER('参数'!$G$32))+N(ISNUMBER('参数'!$I$32))+N(ISNUMBER('参数'!$K$32))=0,"",IF(AND(ISNUMBER(J211),ISNUMBER(J210)),AND(J212&gt;J211,J211&gt;J210),FALSE)+IF(ISNUMBER('参数'!$G$32),J212&lt;'参数'!$G$32,FALSE)+IF(AND(ISNUMBER('参数'!$I$32),ISNUMBER(Q212)),Q212&gt;='参数'!$I$32,FALSE)+IF(AND(ISNUMBER('参数'!$K$32),ISNUMBER(S212)),S212&gt;='参数'!$K$32,FALSE)),"")</f>
        <v/>
      </c>
      <c r="V212" s="40" t="str">
        <f>IF(AND(ISNUMBER(J212),ISNUMBER(K212)),IF(N(ISNUMBER('参数'!$E$33))+N(ISNUMBER('参数'!$G$33))+N(ISNUMBER('参数'!$I$33))+N(ISNUMBER('参数'!$K$33))=0,"",IF(AND(ISNUMBER('参数'!$E$33),ISNUMBER(J211)),AND(J212&gt;='参数'!$E$33,J212&gt;J211),FALSE)+IF(AND(ISNUMBER('参数'!$G$33),ISNUMBER(N212)),N212&lt;='参数'!$G$33,FALSE)+IF(AND(ISNUMBER('参数'!$I$33),ISNUMBER(Q212)),Q212&gt;='参数'!$I$33,FALSE)+IF(AND(ISNUMBER('参数'!$K$33),ISNUMBER(S212)),S212&gt;='参数'!$K$33,FALSE)),"")</f>
        <v/>
      </c>
      <c r="W212" s="40" t="str">
        <f>IF(AND(ISNUMBER(J212),ISNUMBER(K212)),IF(N(ISNUMBER('参数'!$E$34))+N(ISNUMBER('参数'!$G$34))+N(ISNUMBER('参数'!$I$34))+N(ISNUMBER('参数'!$K$34))=0,"",IF(ISNUMBER('参数'!$E$34),J212&gt;='参数'!$E$34,FALSE)+IF(AND(ISNUMBER('参数'!$G$34),ISNUMBER(N212)),N212&lt;='参数'!$G$34,FALSE)+IF(AND(ISNUMBER('参数'!$I$34),ISNUMBER(S212)),S212&gt;='参数'!$I$34,FALSE)+IF(AND(ISNUMBER('参数'!$K$34),ISNUMBER(R212)),R212&gt;='参数'!$K$34,FALSE)),"")</f>
        <v/>
      </c>
      <c r="X212" s="40" t="str">
        <f>IF(AND(ISNUMBER(J212),ISNUMBER(K212)),IF(N(ISNUMBER('参数'!$E$35))+N(ISNUMBER('参数'!$G$35))+N(ISNUMBER('参数'!$I$35))=0,"",IF(AND(ISNUMBER('参数'!$E$35),ISNUMBER(N212),ISNUMBER(N211)),ROUND(N212-N211,6)&gt;='参数'!$E$35,FALSE)+IF(AND(ISNUMBER('参数'!$G$35),ISNUMBER(Q212),ISNUMBER(Q211)),ROUND(Q211-Q212,6)&gt;='参数'!$G$35,FALSE)+IF(AND(ISNUMBER('参数'!$I$35),ISNUMBER(S212),ISNUMBER(S211)),ROUND(S211-S212,6)&gt;='参数'!$I$35,FALSE)+IF(ISNUMBER(J211),J212&lt;J211,FALSE)),"")</f>
        <v/>
      </c>
      <c r="Y212" s="40" t="str">
        <f>IF(AND(ISNUMBER(J212),ISNUMBER(K212)),IF(N(ISNUMBER('参数'!$E$36))+N(ISNUMBER('参数'!$G$36))+N(ISNUMBER('参数'!$I$36))=0,"",IF(AND(ISNUMBER('参数'!$E$36),ISNUMBER(J211)),AND(J212&lt;='参数'!$E$36,J212&lt;J211),FALSE)+IF(ISNUMBER('参数'!$G$36),K212&gt;='参数'!$G$36,FALSE)+IF(AND(ISNUMBER('参数'!$I$36),ISNUMBER(S212)),S212&lt;'参数'!$I$36,FALSE)+IF(AND(ISNUMBER(R212),ISNUMBER(R211)),R212&lt;R211,FALSE)),"")</f>
        <v/>
      </c>
      <c r="Z212" s="41" t="str">
        <f>IF(NOT(AND(ISNUMBER(J212),ISNUMBER(K212))),"",IF(COUNT(T212:Y212)=0,"先填阈值",IF(MAX(AD212:AI212)=0,"不写",INDEX($T$4:$Y$4,MATCH(MAX(AD212:AI212),AD212:AI212,0))&amp;"·"&amp;IF(MAX(AD212:AI212)&gt;=200,"高","中")&amp;IF(LARGE(AD212:AI212,2)&gt;0,"（也像"&amp;INDEX($T$4:$Y$4,MATCH(LARGE(AD212:AI212,2),AD212:AI212,0))&amp;"·"&amp;IF(LARGE(AD212:AI212,2)&gt;=200,"高","中")&amp;"）",""))))</f>
        <v/>
      </c>
      <c r="AA212" s="27" t="n"/>
      <c r="AB212" s="32" t="n"/>
      <c r="AC212" s="16" t="n"/>
      <c r="AD212" s="40">
        <f>IF(N(T212)&gt;=3,IF(T212=4,2,1)*100+T212*10+6,0)</f>
        <v>0</v>
      </c>
      <c r="AE212" s="40">
        <f>IF(N(U212)&gt;=3,1*100+U212*10+1,0)</f>
        <v>0</v>
      </c>
      <c r="AF212" s="40">
        <f>IF(N(V212)&gt;=3,IF(V212=4,2,1)*100+V212*10+2,0)</f>
        <v>0</v>
      </c>
      <c r="AG212" s="40">
        <f>IF(N(W212)&gt;=3,1*100+W212*10+3,0)</f>
        <v>0</v>
      </c>
      <c r="AH212" s="40">
        <f>IF(N(X212)&gt;=3,1*100+X212*10+4,0)</f>
        <v>0</v>
      </c>
      <c r="AI212" s="40">
        <f>IF(N(Y212)&gt;=3,IF(AND(N(T212)&gt;=3,OR(N(T212)=4,N(Y212)&lt;=N(T212))),0,IF(Y212=4,2,1)*100+Y212*10+5),0)</f>
        <v>0</v>
      </c>
    </row>
    <row r="213">
      <c r="A213" s="31" t="n"/>
      <c r="B213" s="36" t="str">
        <f>IF(ISNUMBER(A213),"周"&amp;CHOOSE(WEEKDAY(A213,2),"一","二","三","四","五","六","日"),"")</f>
        <v/>
      </c>
      <c r="C213" s="37" t="n"/>
      <c r="D213" s="37" t="n"/>
      <c r="E213" s="37" t="n"/>
      <c r="F213" s="17" t="n"/>
      <c r="G213" s="38" t="str">
        <f>IF(AND(ISNUMBER(F213),ISNUMBER(F212)),IF(F212=0,"",F213/F212-1),"")</f>
        <v/>
      </c>
      <c r="H213" s="17" t="n"/>
      <c r="I213" s="17" t="n"/>
      <c r="J213" s="17" t="n"/>
      <c r="K213" s="17" t="n"/>
      <c r="L213" s="17" t="n"/>
      <c r="M213" s="17" t="n"/>
      <c r="N213" s="39" t="str">
        <f>IF(AND(ISNUMBER(L213),ISNUMBER(M213),N(L213)&gt;0),M213/L213,"")</f>
        <v/>
      </c>
      <c r="O213" s="17" t="n"/>
      <c r="P213" s="17" t="n"/>
      <c r="Q213" s="39" t="str">
        <f>IF(AND(ISNUMBER(O213),ISNUMBER(P213),N(O213)&gt;0),P213/O213,"")</f>
        <v/>
      </c>
      <c r="R213" s="17" t="n"/>
      <c r="S213" s="37" t="n"/>
      <c r="T213" s="40" t="str">
        <f>IF(AND(ISNUMBER(J213),ISNUMBER(K213)),IF(N(ISNUMBER('参数'!$E$31))+N(ISNUMBER('参数'!$G$31))+N(ISNUMBER('参数'!$I$31))+N(ISNUMBER('参数'!$K$31))=0,"",IF(ISNUMBER('参数'!$E$31),J213&lt;='参数'!$E$31,FALSE)+IF(ISNUMBER('参数'!$G$31),K213&gt;='参数'!$G$31,FALSE)+IF(AND(ISNUMBER('参数'!$I$31),ISNUMBER(N213)),N213&gt;='参数'!$I$31,FALSE)+IF(AND(ISNUMBER('参数'!$K$31),ISNUMBER(Q213)),Q213&lt;='参数'!$K$31,FALSE)),"")</f>
        <v/>
      </c>
      <c r="U213" s="40" t="str">
        <f>IF(AND(ISNUMBER(J213),ISNUMBER(K213)),IF(N(ISNUMBER('参数'!$G$32))+N(ISNUMBER('参数'!$I$32))+N(ISNUMBER('参数'!$K$32))=0,"",IF(AND(ISNUMBER(J212),ISNUMBER(J211)),AND(J213&gt;J212,J212&gt;J211),FALSE)+IF(ISNUMBER('参数'!$G$32),J213&lt;'参数'!$G$32,FALSE)+IF(AND(ISNUMBER('参数'!$I$32),ISNUMBER(Q213)),Q213&gt;='参数'!$I$32,FALSE)+IF(AND(ISNUMBER('参数'!$K$32),ISNUMBER(S213)),S213&gt;='参数'!$K$32,FALSE)),"")</f>
        <v/>
      </c>
      <c r="V213" s="40" t="str">
        <f>IF(AND(ISNUMBER(J213),ISNUMBER(K213)),IF(N(ISNUMBER('参数'!$E$33))+N(ISNUMBER('参数'!$G$33))+N(ISNUMBER('参数'!$I$33))+N(ISNUMBER('参数'!$K$33))=0,"",IF(AND(ISNUMBER('参数'!$E$33),ISNUMBER(J212)),AND(J213&gt;='参数'!$E$33,J213&gt;J212),FALSE)+IF(AND(ISNUMBER('参数'!$G$33),ISNUMBER(N213)),N213&lt;='参数'!$G$33,FALSE)+IF(AND(ISNUMBER('参数'!$I$33),ISNUMBER(Q213)),Q213&gt;='参数'!$I$33,FALSE)+IF(AND(ISNUMBER('参数'!$K$33),ISNUMBER(S213)),S213&gt;='参数'!$K$33,FALSE)),"")</f>
        <v/>
      </c>
      <c r="W213" s="40" t="str">
        <f>IF(AND(ISNUMBER(J213),ISNUMBER(K213)),IF(N(ISNUMBER('参数'!$E$34))+N(ISNUMBER('参数'!$G$34))+N(ISNUMBER('参数'!$I$34))+N(ISNUMBER('参数'!$K$34))=0,"",IF(ISNUMBER('参数'!$E$34),J213&gt;='参数'!$E$34,FALSE)+IF(AND(ISNUMBER('参数'!$G$34),ISNUMBER(N213)),N213&lt;='参数'!$G$34,FALSE)+IF(AND(ISNUMBER('参数'!$I$34),ISNUMBER(S213)),S213&gt;='参数'!$I$34,FALSE)+IF(AND(ISNUMBER('参数'!$K$34),ISNUMBER(R213)),R213&gt;='参数'!$K$34,FALSE)),"")</f>
        <v/>
      </c>
      <c r="X213" s="40" t="str">
        <f>IF(AND(ISNUMBER(J213),ISNUMBER(K213)),IF(N(ISNUMBER('参数'!$E$35))+N(ISNUMBER('参数'!$G$35))+N(ISNUMBER('参数'!$I$35))=0,"",IF(AND(ISNUMBER('参数'!$E$35),ISNUMBER(N213),ISNUMBER(N212)),ROUND(N213-N212,6)&gt;='参数'!$E$35,FALSE)+IF(AND(ISNUMBER('参数'!$G$35),ISNUMBER(Q213),ISNUMBER(Q212)),ROUND(Q212-Q213,6)&gt;='参数'!$G$35,FALSE)+IF(AND(ISNUMBER('参数'!$I$35),ISNUMBER(S213),ISNUMBER(S212)),ROUND(S212-S213,6)&gt;='参数'!$I$35,FALSE)+IF(ISNUMBER(J212),J213&lt;J212,FALSE)),"")</f>
        <v/>
      </c>
      <c r="Y213" s="40" t="str">
        <f>IF(AND(ISNUMBER(J213),ISNUMBER(K213)),IF(N(ISNUMBER('参数'!$E$36))+N(ISNUMBER('参数'!$G$36))+N(ISNUMBER('参数'!$I$36))=0,"",IF(AND(ISNUMBER('参数'!$E$36),ISNUMBER(J212)),AND(J213&lt;='参数'!$E$36,J213&lt;J212),FALSE)+IF(ISNUMBER('参数'!$G$36),K213&gt;='参数'!$G$36,FALSE)+IF(AND(ISNUMBER('参数'!$I$36),ISNUMBER(S213)),S213&lt;'参数'!$I$36,FALSE)+IF(AND(ISNUMBER(R213),ISNUMBER(R212)),R213&lt;R212,FALSE)),"")</f>
        <v/>
      </c>
      <c r="Z213" s="41" t="str">
        <f>IF(NOT(AND(ISNUMBER(J213),ISNUMBER(K213))),"",IF(COUNT(T213:Y213)=0,"先填阈值",IF(MAX(AD213:AI213)=0,"不写",INDEX($T$4:$Y$4,MATCH(MAX(AD213:AI213),AD213:AI213,0))&amp;"·"&amp;IF(MAX(AD213:AI213)&gt;=200,"高","中")&amp;IF(LARGE(AD213:AI213,2)&gt;0,"（也像"&amp;INDEX($T$4:$Y$4,MATCH(LARGE(AD213:AI213,2),AD213:AI213,0))&amp;"·"&amp;IF(LARGE(AD213:AI213,2)&gt;=200,"高","中")&amp;"）",""))))</f>
        <v/>
      </c>
      <c r="AA213" s="27" t="n"/>
      <c r="AB213" s="32" t="n"/>
      <c r="AC213" s="16" t="n"/>
      <c r="AD213" s="40">
        <f>IF(N(T213)&gt;=3,IF(T213=4,2,1)*100+T213*10+6,0)</f>
        <v>0</v>
      </c>
      <c r="AE213" s="40">
        <f>IF(N(U213)&gt;=3,1*100+U213*10+1,0)</f>
        <v>0</v>
      </c>
      <c r="AF213" s="40">
        <f>IF(N(V213)&gt;=3,IF(V213=4,2,1)*100+V213*10+2,0)</f>
        <v>0</v>
      </c>
      <c r="AG213" s="40">
        <f>IF(N(W213)&gt;=3,1*100+W213*10+3,0)</f>
        <v>0</v>
      </c>
      <c r="AH213" s="40">
        <f>IF(N(X213)&gt;=3,1*100+X213*10+4,0)</f>
        <v>0</v>
      </c>
      <c r="AI213" s="40">
        <f>IF(N(Y213)&gt;=3,IF(AND(N(T213)&gt;=3,OR(N(T213)=4,N(Y213)&lt;=N(T213))),0,IF(Y213=4,2,1)*100+Y213*10+5),0)</f>
        <v>0</v>
      </c>
    </row>
    <row r="214">
      <c r="A214" s="31" t="n"/>
      <c r="B214" s="36" t="str">
        <f>IF(ISNUMBER(A214),"周"&amp;CHOOSE(WEEKDAY(A214,2),"一","二","三","四","五","六","日"),"")</f>
        <v/>
      </c>
      <c r="C214" s="37" t="n"/>
      <c r="D214" s="37" t="n"/>
      <c r="E214" s="37" t="n"/>
      <c r="F214" s="17" t="n"/>
      <c r="G214" s="38" t="str">
        <f>IF(AND(ISNUMBER(F214),ISNUMBER(F213)),IF(F213=0,"",F214/F213-1),"")</f>
        <v/>
      </c>
      <c r="H214" s="17" t="n"/>
      <c r="I214" s="17" t="n"/>
      <c r="J214" s="17" t="n"/>
      <c r="K214" s="17" t="n"/>
      <c r="L214" s="17" t="n"/>
      <c r="M214" s="17" t="n"/>
      <c r="N214" s="39" t="str">
        <f>IF(AND(ISNUMBER(L214),ISNUMBER(M214),N(L214)&gt;0),M214/L214,"")</f>
        <v/>
      </c>
      <c r="O214" s="17" t="n"/>
      <c r="P214" s="17" t="n"/>
      <c r="Q214" s="39" t="str">
        <f>IF(AND(ISNUMBER(O214),ISNUMBER(P214),N(O214)&gt;0),P214/O214,"")</f>
        <v/>
      </c>
      <c r="R214" s="17" t="n"/>
      <c r="S214" s="37" t="n"/>
      <c r="T214" s="40" t="str">
        <f>IF(AND(ISNUMBER(J214),ISNUMBER(K214)),IF(N(ISNUMBER('参数'!$E$31))+N(ISNUMBER('参数'!$G$31))+N(ISNUMBER('参数'!$I$31))+N(ISNUMBER('参数'!$K$31))=0,"",IF(ISNUMBER('参数'!$E$31),J214&lt;='参数'!$E$31,FALSE)+IF(ISNUMBER('参数'!$G$31),K214&gt;='参数'!$G$31,FALSE)+IF(AND(ISNUMBER('参数'!$I$31),ISNUMBER(N214)),N214&gt;='参数'!$I$31,FALSE)+IF(AND(ISNUMBER('参数'!$K$31),ISNUMBER(Q214)),Q214&lt;='参数'!$K$31,FALSE)),"")</f>
        <v/>
      </c>
      <c r="U214" s="40" t="str">
        <f>IF(AND(ISNUMBER(J214),ISNUMBER(K214)),IF(N(ISNUMBER('参数'!$G$32))+N(ISNUMBER('参数'!$I$32))+N(ISNUMBER('参数'!$K$32))=0,"",IF(AND(ISNUMBER(J213),ISNUMBER(J212)),AND(J214&gt;J213,J213&gt;J212),FALSE)+IF(ISNUMBER('参数'!$G$32),J214&lt;'参数'!$G$32,FALSE)+IF(AND(ISNUMBER('参数'!$I$32),ISNUMBER(Q214)),Q214&gt;='参数'!$I$32,FALSE)+IF(AND(ISNUMBER('参数'!$K$32),ISNUMBER(S214)),S214&gt;='参数'!$K$32,FALSE)),"")</f>
        <v/>
      </c>
      <c r="V214" s="40" t="str">
        <f>IF(AND(ISNUMBER(J214),ISNUMBER(K214)),IF(N(ISNUMBER('参数'!$E$33))+N(ISNUMBER('参数'!$G$33))+N(ISNUMBER('参数'!$I$33))+N(ISNUMBER('参数'!$K$33))=0,"",IF(AND(ISNUMBER('参数'!$E$33),ISNUMBER(J213)),AND(J214&gt;='参数'!$E$33,J214&gt;J213),FALSE)+IF(AND(ISNUMBER('参数'!$G$33),ISNUMBER(N214)),N214&lt;='参数'!$G$33,FALSE)+IF(AND(ISNUMBER('参数'!$I$33),ISNUMBER(Q214)),Q214&gt;='参数'!$I$33,FALSE)+IF(AND(ISNUMBER('参数'!$K$33),ISNUMBER(S214)),S214&gt;='参数'!$K$33,FALSE)),"")</f>
        <v/>
      </c>
      <c r="W214" s="40" t="str">
        <f>IF(AND(ISNUMBER(J214),ISNUMBER(K214)),IF(N(ISNUMBER('参数'!$E$34))+N(ISNUMBER('参数'!$G$34))+N(ISNUMBER('参数'!$I$34))+N(ISNUMBER('参数'!$K$34))=0,"",IF(ISNUMBER('参数'!$E$34),J214&gt;='参数'!$E$34,FALSE)+IF(AND(ISNUMBER('参数'!$G$34),ISNUMBER(N214)),N214&lt;='参数'!$G$34,FALSE)+IF(AND(ISNUMBER('参数'!$I$34),ISNUMBER(S214)),S214&gt;='参数'!$I$34,FALSE)+IF(AND(ISNUMBER('参数'!$K$34),ISNUMBER(R214)),R214&gt;='参数'!$K$34,FALSE)),"")</f>
        <v/>
      </c>
      <c r="X214" s="40" t="str">
        <f>IF(AND(ISNUMBER(J214),ISNUMBER(K214)),IF(N(ISNUMBER('参数'!$E$35))+N(ISNUMBER('参数'!$G$35))+N(ISNUMBER('参数'!$I$35))=0,"",IF(AND(ISNUMBER('参数'!$E$35),ISNUMBER(N214),ISNUMBER(N213)),ROUND(N214-N213,6)&gt;='参数'!$E$35,FALSE)+IF(AND(ISNUMBER('参数'!$G$35),ISNUMBER(Q214),ISNUMBER(Q213)),ROUND(Q213-Q214,6)&gt;='参数'!$G$35,FALSE)+IF(AND(ISNUMBER('参数'!$I$35),ISNUMBER(S214),ISNUMBER(S213)),ROUND(S213-S214,6)&gt;='参数'!$I$35,FALSE)+IF(ISNUMBER(J213),J214&lt;J213,FALSE)),"")</f>
        <v/>
      </c>
      <c r="Y214" s="40" t="str">
        <f>IF(AND(ISNUMBER(J214),ISNUMBER(K214)),IF(N(ISNUMBER('参数'!$E$36))+N(ISNUMBER('参数'!$G$36))+N(ISNUMBER('参数'!$I$36))=0,"",IF(AND(ISNUMBER('参数'!$E$36),ISNUMBER(J213)),AND(J214&lt;='参数'!$E$36,J214&lt;J213),FALSE)+IF(ISNUMBER('参数'!$G$36),K214&gt;='参数'!$G$36,FALSE)+IF(AND(ISNUMBER('参数'!$I$36),ISNUMBER(S214)),S214&lt;'参数'!$I$36,FALSE)+IF(AND(ISNUMBER(R214),ISNUMBER(R213)),R214&lt;R213,FALSE)),"")</f>
        <v/>
      </c>
      <c r="Z214" s="41" t="str">
        <f>IF(NOT(AND(ISNUMBER(J214),ISNUMBER(K214))),"",IF(COUNT(T214:Y214)=0,"先填阈值",IF(MAX(AD214:AI214)=0,"不写",INDEX($T$4:$Y$4,MATCH(MAX(AD214:AI214),AD214:AI214,0))&amp;"·"&amp;IF(MAX(AD214:AI214)&gt;=200,"高","中")&amp;IF(LARGE(AD214:AI214,2)&gt;0,"（也像"&amp;INDEX($T$4:$Y$4,MATCH(LARGE(AD214:AI214,2),AD214:AI214,0))&amp;"·"&amp;IF(LARGE(AD214:AI214,2)&gt;=200,"高","中")&amp;"）",""))))</f>
        <v/>
      </c>
      <c r="AA214" s="27" t="n"/>
      <c r="AB214" s="32" t="n"/>
      <c r="AC214" s="16" t="n"/>
      <c r="AD214" s="40">
        <f>IF(N(T214)&gt;=3,IF(T214=4,2,1)*100+T214*10+6,0)</f>
        <v>0</v>
      </c>
      <c r="AE214" s="40">
        <f>IF(N(U214)&gt;=3,1*100+U214*10+1,0)</f>
        <v>0</v>
      </c>
      <c r="AF214" s="40">
        <f>IF(N(V214)&gt;=3,IF(V214=4,2,1)*100+V214*10+2,0)</f>
        <v>0</v>
      </c>
      <c r="AG214" s="40">
        <f>IF(N(W214)&gt;=3,1*100+W214*10+3,0)</f>
        <v>0</v>
      </c>
      <c r="AH214" s="40">
        <f>IF(N(X214)&gt;=3,1*100+X214*10+4,0)</f>
        <v>0</v>
      </c>
      <c r="AI214" s="40">
        <f>IF(N(Y214)&gt;=3,IF(AND(N(T214)&gt;=3,OR(N(T214)=4,N(Y214)&lt;=N(T214))),0,IF(Y214=4,2,1)*100+Y214*10+5),0)</f>
        <v>0</v>
      </c>
    </row>
    <row r="215">
      <c r="A215" s="31" t="n"/>
      <c r="B215" s="36" t="str">
        <f>IF(ISNUMBER(A215),"周"&amp;CHOOSE(WEEKDAY(A215,2),"一","二","三","四","五","六","日"),"")</f>
        <v/>
      </c>
      <c r="C215" s="37" t="n"/>
      <c r="D215" s="37" t="n"/>
      <c r="E215" s="37" t="n"/>
      <c r="F215" s="17" t="n"/>
      <c r="G215" s="38" t="str">
        <f>IF(AND(ISNUMBER(F215),ISNUMBER(F214)),IF(F214=0,"",F215/F214-1),"")</f>
        <v/>
      </c>
      <c r="H215" s="17" t="n"/>
      <c r="I215" s="17" t="n"/>
      <c r="J215" s="17" t="n"/>
      <c r="K215" s="17" t="n"/>
      <c r="L215" s="17" t="n"/>
      <c r="M215" s="17" t="n"/>
      <c r="N215" s="39" t="str">
        <f>IF(AND(ISNUMBER(L215),ISNUMBER(M215),N(L215)&gt;0),M215/L215,"")</f>
        <v/>
      </c>
      <c r="O215" s="17" t="n"/>
      <c r="P215" s="17" t="n"/>
      <c r="Q215" s="39" t="str">
        <f>IF(AND(ISNUMBER(O215),ISNUMBER(P215),N(O215)&gt;0),P215/O215,"")</f>
        <v/>
      </c>
      <c r="R215" s="17" t="n"/>
      <c r="S215" s="37" t="n"/>
      <c r="T215" s="40" t="str">
        <f>IF(AND(ISNUMBER(J215),ISNUMBER(K215)),IF(N(ISNUMBER('参数'!$E$31))+N(ISNUMBER('参数'!$G$31))+N(ISNUMBER('参数'!$I$31))+N(ISNUMBER('参数'!$K$31))=0,"",IF(ISNUMBER('参数'!$E$31),J215&lt;='参数'!$E$31,FALSE)+IF(ISNUMBER('参数'!$G$31),K215&gt;='参数'!$G$31,FALSE)+IF(AND(ISNUMBER('参数'!$I$31),ISNUMBER(N215)),N215&gt;='参数'!$I$31,FALSE)+IF(AND(ISNUMBER('参数'!$K$31),ISNUMBER(Q215)),Q215&lt;='参数'!$K$31,FALSE)),"")</f>
        <v/>
      </c>
      <c r="U215" s="40" t="str">
        <f>IF(AND(ISNUMBER(J215),ISNUMBER(K215)),IF(N(ISNUMBER('参数'!$G$32))+N(ISNUMBER('参数'!$I$32))+N(ISNUMBER('参数'!$K$32))=0,"",IF(AND(ISNUMBER(J214),ISNUMBER(J213)),AND(J215&gt;J214,J214&gt;J213),FALSE)+IF(ISNUMBER('参数'!$G$32),J215&lt;'参数'!$G$32,FALSE)+IF(AND(ISNUMBER('参数'!$I$32),ISNUMBER(Q215)),Q215&gt;='参数'!$I$32,FALSE)+IF(AND(ISNUMBER('参数'!$K$32),ISNUMBER(S215)),S215&gt;='参数'!$K$32,FALSE)),"")</f>
        <v/>
      </c>
      <c r="V215" s="40" t="str">
        <f>IF(AND(ISNUMBER(J215),ISNUMBER(K215)),IF(N(ISNUMBER('参数'!$E$33))+N(ISNUMBER('参数'!$G$33))+N(ISNUMBER('参数'!$I$33))+N(ISNUMBER('参数'!$K$33))=0,"",IF(AND(ISNUMBER('参数'!$E$33),ISNUMBER(J214)),AND(J215&gt;='参数'!$E$33,J215&gt;J214),FALSE)+IF(AND(ISNUMBER('参数'!$G$33),ISNUMBER(N215)),N215&lt;='参数'!$G$33,FALSE)+IF(AND(ISNUMBER('参数'!$I$33),ISNUMBER(Q215)),Q215&gt;='参数'!$I$33,FALSE)+IF(AND(ISNUMBER('参数'!$K$33),ISNUMBER(S215)),S215&gt;='参数'!$K$33,FALSE)),"")</f>
        <v/>
      </c>
      <c r="W215" s="40" t="str">
        <f>IF(AND(ISNUMBER(J215),ISNUMBER(K215)),IF(N(ISNUMBER('参数'!$E$34))+N(ISNUMBER('参数'!$G$34))+N(ISNUMBER('参数'!$I$34))+N(ISNUMBER('参数'!$K$34))=0,"",IF(ISNUMBER('参数'!$E$34),J215&gt;='参数'!$E$34,FALSE)+IF(AND(ISNUMBER('参数'!$G$34),ISNUMBER(N215)),N215&lt;='参数'!$G$34,FALSE)+IF(AND(ISNUMBER('参数'!$I$34),ISNUMBER(S215)),S215&gt;='参数'!$I$34,FALSE)+IF(AND(ISNUMBER('参数'!$K$34),ISNUMBER(R215)),R215&gt;='参数'!$K$34,FALSE)),"")</f>
        <v/>
      </c>
      <c r="X215" s="40" t="str">
        <f>IF(AND(ISNUMBER(J215),ISNUMBER(K215)),IF(N(ISNUMBER('参数'!$E$35))+N(ISNUMBER('参数'!$G$35))+N(ISNUMBER('参数'!$I$35))=0,"",IF(AND(ISNUMBER('参数'!$E$35),ISNUMBER(N215),ISNUMBER(N214)),ROUND(N215-N214,6)&gt;='参数'!$E$35,FALSE)+IF(AND(ISNUMBER('参数'!$G$35),ISNUMBER(Q215),ISNUMBER(Q214)),ROUND(Q214-Q215,6)&gt;='参数'!$G$35,FALSE)+IF(AND(ISNUMBER('参数'!$I$35),ISNUMBER(S215),ISNUMBER(S214)),ROUND(S214-S215,6)&gt;='参数'!$I$35,FALSE)+IF(ISNUMBER(J214),J215&lt;J214,FALSE)),"")</f>
        <v/>
      </c>
      <c r="Y215" s="40" t="str">
        <f>IF(AND(ISNUMBER(J215),ISNUMBER(K215)),IF(N(ISNUMBER('参数'!$E$36))+N(ISNUMBER('参数'!$G$36))+N(ISNUMBER('参数'!$I$36))=0,"",IF(AND(ISNUMBER('参数'!$E$36),ISNUMBER(J214)),AND(J215&lt;='参数'!$E$36,J215&lt;J214),FALSE)+IF(ISNUMBER('参数'!$G$36),K215&gt;='参数'!$G$36,FALSE)+IF(AND(ISNUMBER('参数'!$I$36),ISNUMBER(S215)),S215&lt;'参数'!$I$36,FALSE)+IF(AND(ISNUMBER(R215),ISNUMBER(R214)),R215&lt;R214,FALSE)),"")</f>
        <v/>
      </c>
      <c r="Z215" s="41" t="str">
        <f>IF(NOT(AND(ISNUMBER(J215),ISNUMBER(K215))),"",IF(COUNT(T215:Y215)=0,"先填阈值",IF(MAX(AD215:AI215)=0,"不写",INDEX($T$4:$Y$4,MATCH(MAX(AD215:AI215),AD215:AI215,0))&amp;"·"&amp;IF(MAX(AD215:AI215)&gt;=200,"高","中")&amp;IF(LARGE(AD215:AI215,2)&gt;0,"（也像"&amp;INDEX($T$4:$Y$4,MATCH(LARGE(AD215:AI215,2),AD215:AI215,0))&amp;"·"&amp;IF(LARGE(AD215:AI215,2)&gt;=200,"高","中")&amp;"）",""))))</f>
        <v/>
      </c>
      <c r="AA215" s="27" t="n"/>
      <c r="AB215" s="32" t="n"/>
      <c r="AC215" s="16" t="n"/>
      <c r="AD215" s="40">
        <f>IF(N(T215)&gt;=3,IF(T215=4,2,1)*100+T215*10+6,0)</f>
        <v>0</v>
      </c>
      <c r="AE215" s="40">
        <f>IF(N(U215)&gt;=3,1*100+U215*10+1,0)</f>
        <v>0</v>
      </c>
      <c r="AF215" s="40">
        <f>IF(N(V215)&gt;=3,IF(V215=4,2,1)*100+V215*10+2,0)</f>
        <v>0</v>
      </c>
      <c r="AG215" s="40">
        <f>IF(N(W215)&gt;=3,1*100+W215*10+3,0)</f>
        <v>0</v>
      </c>
      <c r="AH215" s="40">
        <f>IF(N(X215)&gt;=3,1*100+X215*10+4,0)</f>
        <v>0</v>
      </c>
      <c r="AI215" s="40">
        <f>IF(N(Y215)&gt;=3,IF(AND(N(T215)&gt;=3,OR(N(T215)=4,N(Y215)&lt;=N(T215))),0,IF(Y215=4,2,1)*100+Y215*10+5),0)</f>
        <v>0</v>
      </c>
    </row>
    <row r="216">
      <c r="A216" s="31" t="n"/>
      <c r="B216" s="36" t="str">
        <f>IF(ISNUMBER(A216),"周"&amp;CHOOSE(WEEKDAY(A216,2),"一","二","三","四","五","六","日"),"")</f>
        <v/>
      </c>
      <c r="C216" s="37" t="n"/>
      <c r="D216" s="37" t="n"/>
      <c r="E216" s="37" t="n"/>
      <c r="F216" s="17" t="n"/>
      <c r="G216" s="38" t="str">
        <f>IF(AND(ISNUMBER(F216),ISNUMBER(F215)),IF(F215=0,"",F216/F215-1),"")</f>
        <v/>
      </c>
      <c r="H216" s="17" t="n"/>
      <c r="I216" s="17" t="n"/>
      <c r="J216" s="17" t="n"/>
      <c r="K216" s="17" t="n"/>
      <c r="L216" s="17" t="n"/>
      <c r="M216" s="17" t="n"/>
      <c r="N216" s="39" t="str">
        <f>IF(AND(ISNUMBER(L216),ISNUMBER(M216),N(L216)&gt;0),M216/L216,"")</f>
        <v/>
      </c>
      <c r="O216" s="17" t="n"/>
      <c r="P216" s="17" t="n"/>
      <c r="Q216" s="39" t="str">
        <f>IF(AND(ISNUMBER(O216),ISNUMBER(P216),N(O216)&gt;0),P216/O216,"")</f>
        <v/>
      </c>
      <c r="R216" s="17" t="n"/>
      <c r="S216" s="37" t="n"/>
      <c r="T216" s="40" t="str">
        <f>IF(AND(ISNUMBER(J216),ISNUMBER(K216)),IF(N(ISNUMBER('参数'!$E$31))+N(ISNUMBER('参数'!$G$31))+N(ISNUMBER('参数'!$I$31))+N(ISNUMBER('参数'!$K$31))=0,"",IF(ISNUMBER('参数'!$E$31),J216&lt;='参数'!$E$31,FALSE)+IF(ISNUMBER('参数'!$G$31),K216&gt;='参数'!$G$31,FALSE)+IF(AND(ISNUMBER('参数'!$I$31),ISNUMBER(N216)),N216&gt;='参数'!$I$31,FALSE)+IF(AND(ISNUMBER('参数'!$K$31),ISNUMBER(Q216)),Q216&lt;='参数'!$K$31,FALSE)),"")</f>
        <v/>
      </c>
      <c r="U216" s="40" t="str">
        <f>IF(AND(ISNUMBER(J216),ISNUMBER(K216)),IF(N(ISNUMBER('参数'!$G$32))+N(ISNUMBER('参数'!$I$32))+N(ISNUMBER('参数'!$K$32))=0,"",IF(AND(ISNUMBER(J215),ISNUMBER(J214)),AND(J216&gt;J215,J215&gt;J214),FALSE)+IF(ISNUMBER('参数'!$G$32),J216&lt;'参数'!$G$32,FALSE)+IF(AND(ISNUMBER('参数'!$I$32),ISNUMBER(Q216)),Q216&gt;='参数'!$I$32,FALSE)+IF(AND(ISNUMBER('参数'!$K$32),ISNUMBER(S216)),S216&gt;='参数'!$K$32,FALSE)),"")</f>
        <v/>
      </c>
      <c r="V216" s="40" t="str">
        <f>IF(AND(ISNUMBER(J216),ISNUMBER(K216)),IF(N(ISNUMBER('参数'!$E$33))+N(ISNUMBER('参数'!$G$33))+N(ISNUMBER('参数'!$I$33))+N(ISNUMBER('参数'!$K$33))=0,"",IF(AND(ISNUMBER('参数'!$E$33),ISNUMBER(J215)),AND(J216&gt;='参数'!$E$33,J216&gt;J215),FALSE)+IF(AND(ISNUMBER('参数'!$G$33),ISNUMBER(N216)),N216&lt;='参数'!$G$33,FALSE)+IF(AND(ISNUMBER('参数'!$I$33),ISNUMBER(Q216)),Q216&gt;='参数'!$I$33,FALSE)+IF(AND(ISNUMBER('参数'!$K$33),ISNUMBER(S216)),S216&gt;='参数'!$K$33,FALSE)),"")</f>
        <v/>
      </c>
      <c r="W216" s="40" t="str">
        <f>IF(AND(ISNUMBER(J216),ISNUMBER(K216)),IF(N(ISNUMBER('参数'!$E$34))+N(ISNUMBER('参数'!$G$34))+N(ISNUMBER('参数'!$I$34))+N(ISNUMBER('参数'!$K$34))=0,"",IF(ISNUMBER('参数'!$E$34),J216&gt;='参数'!$E$34,FALSE)+IF(AND(ISNUMBER('参数'!$G$34),ISNUMBER(N216)),N216&lt;='参数'!$G$34,FALSE)+IF(AND(ISNUMBER('参数'!$I$34),ISNUMBER(S216)),S216&gt;='参数'!$I$34,FALSE)+IF(AND(ISNUMBER('参数'!$K$34),ISNUMBER(R216)),R216&gt;='参数'!$K$34,FALSE)),"")</f>
        <v/>
      </c>
      <c r="X216" s="40" t="str">
        <f>IF(AND(ISNUMBER(J216),ISNUMBER(K216)),IF(N(ISNUMBER('参数'!$E$35))+N(ISNUMBER('参数'!$G$35))+N(ISNUMBER('参数'!$I$35))=0,"",IF(AND(ISNUMBER('参数'!$E$35),ISNUMBER(N216),ISNUMBER(N215)),ROUND(N216-N215,6)&gt;='参数'!$E$35,FALSE)+IF(AND(ISNUMBER('参数'!$G$35),ISNUMBER(Q216),ISNUMBER(Q215)),ROUND(Q215-Q216,6)&gt;='参数'!$G$35,FALSE)+IF(AND(ISNUMBER('参数'!$I$35),ISNUMBER(S216),ISNUMBER(S215)),ROUND(S215-S216,6)&gt;='参数'!$I$35,FALSE)+IF(ISNUMBER(J215),J216&lt;J215,FALSE)),"")</f>
        <v/>
      </c>
      <c r="Y216" s="40" t="str">
        <f>IF(AND(ISNUMBER(J216),ISNUMBER(K216)),IF(N(ISNUMBER('参数'!$E$36))+N(ISNUMBER('参数'!$G$36))+N(ISNUMBER('参数'!$I$36))=0,"",IF(AND(ISNUMBER('参数'!$E$36),ISNUMBER(J215)),AND(J216&lt;='参数'!$E$36,J216&lt;J215),FALSE)+IF(ISNUMBER('参数'!$G$36),K216&gt;='参数'!$G$36,FALSE)+IF(AND(ISNUMBER('参数'!$I$36),ISNUMBER(S216)),S216&lt;'参数'!$I$36,FALSE)+IF(AND(ISNUMBER(R216),ISNUMBER(R215)),R216&lt;R215,FALSE)),"")</f>
        <v/>
      </c>
      <c r="Z216" s="41" t="str">
        <f>IF(NOT(AND(ISNUMBER(J216),ISNUMBER(K216))),"",IF(COUNT(T216:Y216)=0,"先填阈值",IF(MAX(AD216:AI216)=0,"不写",INDEX($T$4:$Y$4,MATCH(MAX(AD216:AI216),AD216:AI216,0))&amp;"·"&amp;IF(MAX(AD216:AI216)&gt;=200,"高","中")&amp;IF(LARGE(AD216:AI216,2)&gt;0,"（也像"&amp;INDEX($T$4:$Y$4,MATCH(LARGE(AD216:AI216,2),AD216:AI216,0))&amp;"·"&amp;IF(LARGE(AD216:AI216,2)&gt;=200,"高","中")&amp;"）",""))))</f>
        <v/>
      </c>
      <c r="AA216" s="27" t="n"/>
      <c r="AB216" s="32" t="n"/>
      <c r="AC216" s="16" t="n"/>
      <c r="AD216" s="40">
        <f>IF(N(T216)&gt;=3,IF(T216=4,2,1)*100+T216*10+6,0)</f>
        <v>0</v>
      </c>
      <c r="AE216" s="40">
        <f>IF(N(U216)&gt;=3,1*100+U216*10+1,0)</f>
        <v>0</v>
      </c>
      <c r="AF216" s="40">
        <f>IF(N(V216)&gt;=3,IF(V216=4,2,1)*100+V216*10+2,0)</f>
        <v>0</v>
      </c>
      <c r="AG216" s="40">
        <f>IF(N(W216)&gt;=3,1*100+W216*10+3,0)</f>
        <v>0</v>
      </c>
      <c r="AH216" s="40">
        <f>IF(N(X216)&gt;=3,1*100+X216*10+4,0)</f>
        <v>0</v>
      </c>
      <c r="AI216" s="40">
        <f>IF(N(Y216)&gt;=3,IF(AND(N(T216)&gt;=3,OR(N(T216)=4,N(Y216)&lt;=N(T216))),0,IF(Y216=4,2,1)*100+Y216*10+5),0)</f>
        <v>0</v>
      </c>
    </row>
    <row r="217">
      <c r="A217" s="31" t="n"/>
      <c r="B217" s="36" t="str">
        <f>IF(ISNUMBER(A217),"周"&amp;CHOOSE(WEEKDAY(A217,2),"一","二","三","四","五","六","日"),"")</f>
        <v/>
      </c>
      <c r="C217" s="37" t="n"/>
      <c r="D217" s="37" t="n"/>
      <c r="E217" s="37" t="n"/>
      <c r="F217" s="17" t="n"/>
      <c r="G217" s="38" t="str">
        <f>IF(AND(ISNUMBER(F217),ISNUMBER(F216)),IF(F216=0,"",F217/F216-1),"")</f>
        <v/>
      </c>
      <c r="H217" s="17" t="n"/>
      <c r="I217" s="17" t="n"/>
      <c r="J217" s="17" t="n"/>
      <c r="K217" s="17" t="n"/>
      <c r="L217" s="17" t="n"/>
      <c r="M217" s="17" t="n"/>
      <c r="N217" s="39" t="str">
        <f>IF(AND(ISNUMBER(L217),ISNUMBER(M217),N(L217)&gt;0),M217/L217,"")</f>
        <v/>
      </c>
      <c r="O217" s="17" t="n"/>
      <c r="P217" s="17" t="n"/>
      <c r="Q217" s="39" t="str">
        <f>IF(AND(ISNUMBER(O217),ISNUMBER(P217),N(O217)&gt;0),P217/O217,"")</f>
        <v/>
      </c>
      <c r="R217" s="17" t="n"/>
      <c r="S217" s="37" t="n"/>
      <c r="T217" s="40" t="str">
        <f>IF(AND(ISNUMBER(J217),ISNUMBER(K217)),IF(N(ISNUMBER('参数'!$E$31))+N(ISNUMBER('参数'!$G$31))+N(ISNUMBER('参数'!$I$31))+N(ISNUMBER('参数'!$K$31))=0,"",IF(ISNUMBER('参数'!$E$31),J217&lt;='参数'!$E$31,FALSE)+IF(ISNUMBER('参数'!$G$31),K217&gt;='参数'!$G$31,FALSE)+IF(AND(ISNUMBER('参数'!$I$31),ISNUMBER(N217)),N217&gt;='参数'!$I$31,FALSE)+IF(AND(ISNUMBER('参数'!$K$31),ISNUMBER(Q217)),Q217&lt;='参数'!$K$31,FALSE)),"")</f>
        <v/>
      </c>
      <c r="U217" s="40" t="str">
        <f>IF(AND(ISNUMBER(J217),ISNUMBER(K217)),IF(N(ISNUMBER('参数'!$G$32))+N(ISNUMBER('参数'!$I$32))+N(ISNUMBER('参数'!$K$32))=0,"",IF(AND(ISNUMBER(J216),ISNUMBER(J215)),AND(J217&gt;J216,J216&gt;J215),FALSE)+IF(ISNUMBER('参数'!$G$32),J217&lt;'参数'!$G$32,FALSE)+IF(AND(ISNUMBER('参数'!$I$32),ISNUMBER(Q217)),Q217&gt;='参数'!$I$32,FALSE)+IF(AND(ISNUMBER('参数'!$K$32),ISNUMBER(S217)),S217&gt;='参数'!$K$32,FALSE)),"")</f>
        <v/>
      </c>
      <c r="V217" s="40" t="str">
        <f>IF(AND(ISNUMBER(J217),ISNUMBER(K217)),IF(N(ISNUMBER('参数'!$E$33))+N(ISNUMBER('参数'!$G$33))+N(ISNUMBER('参数'!$I$33))+N(ISNUMBER('参数'!$K$33))=0,"",IF(AND(ISNUMBER('参数'!$E$33),ISNUMBER(J216)),AND(J217&gt;='参数'!$E$33,J217&gt;J216),FALSE)+IF(AND(ISNUMBER('参数'!$G$33),ISNUMBER(N217)),N217&lt;='参数'!$G$33,FALSE)+IF(AND(ISNUMBER('参数'!$I$33),ISNUMBER(Q217)),Q217&gt;='参数'!$I$33,FALSE)+IF(AND(ISNUMBER('参数'!$K$33),ISNUMBER(S217)),S217&gt;='参数'!$K$33,FALSE)),"")</f>
        <v/>
      </c>
      <c r="W217" s="40" t="str">
        <f>IF(AND(ISNUMBER(J217),ISNUMBER(K217)),IF(N(ISNUMBER('参数'!$E$34))+N(ISNUMBER('参数'!$G$34))+N(ISNUMBER('参数'!$I$34))+N(ISNUMBER('参数'!$K$34))=0,"",IF(ISNUMBER('参数'!$E$34),J217&gt;='参数'!$E$34,FALSE)+IF(AND(ISNUMBER('参数'!$G$34),ISNUMBER(N217)),N217&lt;='参数'!$G$34,FALSE)+IF(AND(ISNUMBER('参数'!$I$34),ISNUMBER(S217)),S217&gt;='参数'!$I$34,FALSE)+IF(AND(ISNUMBER('参数'!$K$34),ISNUMBER(R217)),R217&gt;='参数'!$K$34,FALSE)),"")</f>
        <v/>
      </c>
      <c r="X217" s="40" t="str">
        <f>IF(AND(ISNUMBER(J217),ISNUMBER(K217)),IF(N(ISNUMBER('参数'!$E$35))+N(ISNUMBER('参数'!$G$35))+N(ISNUMBER('参数'!$I$35))=0,"",IF(AND(ISNUMBER('参数'!$E$35),ISNUMBER(N217),ISNUMBER(N216)),ROUND(N217-N216,6)&gt;='参数'!$E$35,FALSE)+IF(AND(ISNUMBER('参数'!$G$35),ISNUMBER(Q217),ISNUMBER(Q216)),ROUND(Q216-Q217,6)&gt;='参数'!$G$35,FALSE)+IF(AND(ISNUMBER('参数'!$I$35),ISNUMBER(S217),ISNUMBER(S216)),ROUND(S216-S217,6)&gt;='参数'!$I$35,FALSE)+IF(ISNUMBER(J216),J217&lt;J216,FALSE)),"")</f>
        <v/>
      </c>
      <c r="Y217" s="40" t="str">
        <f>IF(AND(ISNUMBER(J217),ISNUMBER(K217)),IF(N(ISNUMBER('参数'!$E$36))+N(ISNUMBER('参数'!$G$36))+N(ISNUMBER('参数'!$I$36))=0,"",IF(AND(ISNUMBER('参数'!$E$36),ISNUMBER(J216)),AND(J217&lt;='参数'!$E$36,J217&lt;J216),FALSE)+IF(ISNUMBER('参数'!$G$36),K217&gt;='参数'!$G$36,FALSE)+IF(AND(ISNUMBER('参数'!$I$36),ISNUMBER(S217)),S217&lt;'参数'!$I$36,FALSE)+IF(AND(ISNUMBER(R217),ISNUMBER(R216)),R217&lt;R216,FALSE)),"")</f>
        <v/>
      </c>
      <c r="Z217" s="41" t="str">
        <f>IF(NOT(AND(ISNUMBER(J217),ISNUMBER(K217))),"",IF(COUNT(T217:Y217)=0,"先填阈值",IF(MAX(AD217:AI217)=0,"不写",INDEX($T$4:$Y$4,MATCH(MAX(AD217:AI217),AD217:AI217,0))&amp;"·"&amp;IF(MAX(AD217:AI217)&gt;=200,"高","中")&amp;IF(LARGE(AD217:AI217,2)&gt;0,"（也像"&amp;INDEX($T$4:$Y$4,MATCH(LARGE(AD217:AI217,2),AD217:AI217,0))&amp;"·"&amp;IF(LARGE(AD217:AI217,2)&gt;=200,"高","中")&amp;"）",""))))</f>
        <v/>
      </c>
      <c r="AA217" s="27" t="n"/>
      <c r="AB217" s="32" t="n"/>
      <c r="AC217" s="16" t="n"/>
      <c r="AD217" s="40">
        <f>IF(N(T217)&gt;=3,IF(T217=4,2,1)*100+T217*10+6,0)</f>
        <v>0</v>
      </c>
      <c r="AE217" s="40">
        <f>IF(N(U217)&gt;=3,1*100+U217*10+1,0)</f>
        <v>0</v>
      </c>
      <c r="AF217" s="40">
        <f>IF(N(V217)&gt;=3,IF(V217=4,2,1)*100+V217*10+2,0)</f>
        <v>0</v>
      </c>
      <c r="AG217" s="40">
        <f>IF(N(W217)&gt;=3,1*100+W217*10+3,0)</f>
        <v>0</v>
      </c>
      <c r="AH217" s="40">
        <f>IF(N(X217)&gt;=3,1*100+X217*10+4,0)</f>
        <v>0</v>
      </c>
      <c r="AI217" s="40">
        <f>IF(N(Y217)&gt;=3,IF(AND(N(T217)&gt;=3,OR(N(T217)=4,N(Y217)&lt;=N(T217))),0,IF(Y217=4,2,1)*100+Y217*10+5),0)</f>
        <v>0</v>
      </c>
    </row>
    <row r="218">
      <c r="A218" s="31" t="n"/>
      <c r="B218" s="36" t="str">
        <f>IF(ISNUMBER(A218),"周"&amp;CHOOSE(WEEKDAY(A218,2),"一","二","三","四","五","六","日"),"")</f>
        <v/>
      </c>
      <c r="C218" s="37" t="n"/>
      <c r="D218" s="37" t="n"/>
      <c r="E218" s="37" t="n"/>
      <c r="F218" s="17" t="n"/>
      <c r="G218" s="38" t="str">
        <f>IF(AND(ISNUMBER(F218),ISNUMBER(F217)),IF(F217=0,"",F218/F217-1),"")</f>
        <v/>
      </c>
      <c r="H218" s="17" t="n"/>
      <c r="I218" s="17" t="n"/>
      <c r="J218" s="17" t="n"/>
      <c r="K218" s="17" t="n"/>
      <c r="L218" s="17" t="n"/>
      <c r="M218" s="17" t="n"/>
      <c r="N218" s="39" t="str">
        <f>IF(AND(ISNUMBER(L218),ISNUMBER(M218),N(L218)&gt;0),M218/L218,"")</f>
        <v/>
      </c>
      <c r="O218" s="17" t="n"/>
      <c r="P218" s="17" t="n"/>
      <c r="Q218" s="39" t="str">
        <f>IF(AND(ISNUMBER(O218),ISNUMBER(P218),N(O218)&gt;0),P218/O218,"")</f>
        <v/>
      </c>
      <c r="R218" s="17" t="n"/>
      <c r="S218" s="37" t="n"/>
      <c r="T218" s="40" t="str">
        <f>IF(AND(ISNUMBER(J218),ISNUMBER(K218)),IF(N(ISNUMBER('参数'!$E$31))+N(ISNUMBER('参数'!$G$31))+N(ISNUMBER('参数'!$I$31))+N(ISNUMBER('参数'!$K$31))=0,"",IF(ISNUMBER('参数'!$E$31),J218&lt;='参数'!$E$31,FALSE)+IF(ISNUMBER('参数'!$G$31),K218&gt;='参数'!$G$31,FALSE)+IF(AND(ISNUMBER('参数'!$I$31),ISNUMBER(N218)),N218&gt;='参数'!$I$31,FALSE)+IF(AND(ISNUMBER('参数'!$K$31),ISNUMBER(Q218)),Q218&lt;='参数'!$K$31,FALSE)),"")</f>
        <v/>
      </c>
      <c r="U218" s="40" t="str">
        <f>IF(AND(ISNUMBER(J218),ISNUMBER(K218)),IF(N(ISNUMBER('参数'!$G$32))+N(ISNUMBER('参数'!$I$32))+N(ISNUMBER('参数'!$K$32))=0,"",IF(AND(ISNUMBER(J217),ISNUMBER(J216)),AND(J218&gt;J217,J217&gt;J216),FALSE)+IF(ISNUMBER('参数'!$G$32),J218&lt;'参数'!$G$32,FALSE)+IF(AND(ISNUMBER('参数'!$I$32),ISNUMBER(Q218)),Q218&gt;='参数'!$I$32,FALSE)+IF(AND(ISNUMBER('参数'!$K$32),ISNUMBER(S218)),S218&gt;='参数'!$K$32,FALSE)),"")</f>
        <v/>
      </c>
      <c r="V218" s="40" t="str">
        <f>IF(AND(ISNUMBER(J218),ISNUMBER(K218)),IF(N(ISNUMBER('参数'!$E$33))+N(ISNUMBER('参数'!$G$33))+N(ISNUMBER('参数'!$I$33))+N(ISNUMBER('参数'!$K$33))=0,"",IF(AND(ISNUMBER('参数'!$E$33),ISNUMBER(J217)),AND(J218&gt;='参数'!$E$33,J218&gt;J217),FALSE)+IF(AND(ISNUMBER('参数'!$G$33),ISNUMBER(N218)),N218&lt;='参数'!$G$33,FALSE)+IF(AND(ISNUMBER('参数'!$I$33),ISNUMBER(Q218)),Q218&gt;='参数'!$I$33,FALSE)+IF(AND(ISNUMBER('参数'!$K$33),ISNUMBER(S218)),S218&gt;='参数'!$K$33,FALSE)),"")</f>
        <v/>
      </c>
      <c r="W218" s="40" t="str">
        <f>IF(AND(ISNUMBER(J218),ISNUMBER(K218)),IF(N(ISNUMBER('参数'!$E$34))+N(ISNUMBER('参数'!$G$34))+N(ISNUMBER('参数'!$I$34))+N(ISNUMBER('参数'!$K$34))=0,"",IF(ISNUMBER('参数'!$E$34),J218&gt;='参数'!$E$34,FALSE)+IF(AND(ISNUMBER('参数'!$G$34),ISNUMBER(N218)),N218&lt;='参数'!$G$34,FALSE)+IF(AND(ISNUMBER('参数'!$I$34),ISNUMBER(S218)),S218&gt;='参数'!$I$34,FALSE)+IF(AND(ISNUMBER('参数'!$K$34),ISNUMBER(R218)),R218&gt;='参数'!$K$34,FALSE)),"")</f>
        <v/>
      </c>
      <c r="X218" s="40" t="str">
        <f>IF(AND(ISNUMBER(J218),ISNUMBER(K218)),IF(N(ISNUMBER('参数'!$E$35))+N(ISNUMBER('参数'!$G$35))+N(ISNUMBER('参数'!$I$35))=0,"",IF(AND(ISNUMBER('参数'!$E$35),ISNUMBER(N218),ISNUMBER(N217)),ROUND(N218-N217,6)&gt;='参数'!$E$35,FALSE)+IF(AND(ISNUMBER('参数'!$G$35),ISNUMBER(Q218),ISNUMBER(Q217)),ROUND(Q217-Q218,6)&gt;='参数'!$G$35,FALSE)+IF(AND(ISNUMBER('参数'!$I$35),ISNUMBER(S218),ISNUMBER(S217)),ROUND(S217-S218,6)&gt;='参数'!$I$35,FALSE)+IF(ISNUMBER(J217),J218&lt;J217,FALSE)),"")</f>
        <v/>
      </c>
      <c r="Y218" s="40" t="str">
        <f>IF(AND(ISNUMBER(J218),ISNUMBER(K218)),IF(N(ISNUMBER('参数'!$E$36))+N(ISNUMBER('参数'!$G$36))+N(ISNUMBER('参数'!$I$36))=0,"",IF(AND(ISNUMBER('参数'!$E$36),ISNUMBER(J217)),AND(J218&lt;='参数'!$E$36,J218&lt;J217),FALSE)+IF(ISNUMBER('参数'!$G$36),K218&gt;='参数'!$G$36,FALSE)+IF(AND(ISNUMBER('参数'!$I$36),ISNUMBER(S218)),S218&lt;'参数'!$I$36,FALSE)+IF(AND(ISNUMBER(R218),ISNUMBER(R217)),R218&lt;R217,FALSE)),"")</f>
        <v/>
      </c>
      <c r="Z218" s="41" t="str">
        <f>IF(NOT(AND(ISNUMBER(J218),ISNUMBER(K218))),"",IF(COUNT(T218:Y218)=0,"先填阈值",IF(MAX(AD218:AI218)=0,"不写",INDEX($T$4:$Y$4,MATCH(MAX(AD218:AI218),AD218:AI218,0))&amp;"·"&amp;IF(MAX(AD218:AI218)&gt;=200,"高","中")&amp;IF(LARGE(AD218:AI218,2)&gt;0,"（也像"&amp;INDEX($T$4:$Y$4,MATCH(LARGE(AD218:AI218,2),AD218:AI218,0))&amp;"·"&amp;IF(LARGE(AD218:AI218,2)&gt;=200,"高","中")&amp;"）",""))))</f>
        <v/>
      </c>
      <c r="AA218" s="27" t="n"/>
      <c r="AB218" s="32" t="n"/>
      <c r="AC218" s="16" t="n"/>
      <c r="AD218" s="40">
        <f>IF(N(T218)&gt;=3,IF(T218=4,2,1)*100+T218*10+6,0)</f>
        <v>0</v>
      </c>
      <c r="AE218" s="40">
        <f>IF(N(U218)&gt;=3,1*100+U218*10+1,0)</f>
        <v>0</v>
      </c>
      <c r="AF218" s="40">
        <f>IF(N(V218)&gt;=3,IF(V218=4,2,1)*100+V218*10+2,0)</f>
        <v>0</v>
      </c>
      <c r="AG218" s="40">
        <f>IF(N(W218)&gt;=3,1*100+W218*10+3,0)</f>
        <v>0</v>
      </c>
      <c r="AH218" s="40">
        <f>IF(N(X218)&gt;=3,1*100+X218*10+4,0)</f>
        <v>0</v>
      </c>
      <c r="AI218" s="40">
        <f>IF(N(Y218)&gt;=3,IF(AND(N(T218)&gt;=3,OR(N(T218)=4,N(Y218)&lt;=N(T218))),0,IF(Y218=4,2,1)*100+Y218*10+5),0)</f>
        <v>0</v>
      </c>
    </row>
    <row r="219">
      <c r="A219" s="31" t="n"/>
      <c r="B219" s="36" t="str">
        <f>IF(ISNUMBER(A219),"周"&amp;CHOOSE(WEEKDAY(A219,2),"一","二","三","四","五","六","日"),"")</f>
        <v/>
      </c>
      <c r="C219" s="37" t="n"/>
      <c r="D219" s="37" t="n"/>
      <c r="E219" s="37" t="n"/>
      <c r="F219" s="17" t="n"/>
      <c r="G219" s="38" t="str">
        <f>IF(AND(ISNUMBER(F219),ISNUMBER(F218)),IF(F218=0,"",F219/F218-1),"")</f>
        <v/>
      </c>
      <c r="H219" s="17" t="n"/>
      <c r="I219" s="17" t="n"/>
      <c r="J219" s="17" t="n"/>
      <c r="K219" s="17" t="n"/>
      <c r="L219" s="17" t="n"/>
      <c r="M219" s="17" t="n"/>
      <c r="N219" s="39" t="str">
        <f>IF(AND(ISNUMBER(L219),ISNUMBER(M219),N(L219)&gt;0),M219/L219,"")</f>
        <v/>
      </c>
      <c r="O219" s="17" t="n"/>
      <c r="P219" s="17" t="n"/>
      <c r="Q219" s="39" t="str">
        <f>IF(AND(ISNUMBER(O219),ISNUMBER(P219),N(O219)&gt;0),P219/O219,"")</f>
        <v/>
      </c>
      <c r="R219" s="17" t="n"/>
      <c r="S219" s="37" t="n"/>
      <c r="T219" s="40" t="str">
        <f>IF(AND(ISNUMBER(J219),ISNUMBER(K219)),IF(N(ISNUMBER('参数'!$E$31))+N(ISNUMBER('参数'!$G$31))+N(ISNUMBER('参数'!$I$31))+N(ISNUMBER('参数'!$K$31))=0,"",IF(ISNUMBER('参数'!$E$31),J219&lt;='参数'!$E$31,FALSE)+IF(ISNUMBER('参数'!$G$31),K219&gt;='参数'!$G$31,FALSE)+IF(AND(ISNUMBER('参数'!$I$31),ISNUMBER(N219)),N219&gt;='参数'!$I$31,FALSE)+IF(AND(ISNUMBER('参数'!$K$31),ISNUMBER(Q219)),Q219&lt;='参数'!$K$31,FALSE)),"")</f>
        <v/>
      </c>
      <c r="U219" s="40" t="str">
        <f>IF(AND(ISNUMBER(J219),ISNUMBER(K219)),IF(N(ISNUMBER('参数'!$G$32))+N(ISNUMBER('参数'!$I$32))+N(ISNUMBER('参数'!$K$32))=0,"",IF(AND(ISNUMBER(J218),ISNUMBER(J217)),AND(J219&gt;J218,J218&gt;J217),FALSE)+IF(ISNUMBER('参数'!$G$32),J219&lt;'参数'!$G$32,FALSE)+IF(AND(ISNUMBER('参数'!$I$32),ISNUMBER(Q219)),Q219&gt;='参数'!$I$32,FALSE)+IF(AND(ISNUMBER('参数'!$K$32),ISNUMBER(S219)),S219&gt;='参数'!$K$32,FALSE)),"")</f>
        <v/>
      </c>
      <c r="V219" s="40" t="str">
        <f>IF(AND(ISNUMBER(J219),ISNUMBER(K219)),IF(N(ISNUMBER('参数'!$E$33))+N(ISNUMBER('参数'!$G$33))+N(ISNUMBER('参数'!$I$33))+N(ISNUMBER('参数'!$K$33))=0,"",IF(AND(ISNUMBER('参数'!$E$33),ISNUMBER(J218)),AND(J219&gt;='参数'!$E$33,J219&gt;J218),FALSE)+IF(AND(ISNUMBER('参数'!$G$33),ISNUMBER(N219)),N219&lt;='参数'!$G$33,FALSE)+IF(AND(ISNUMBER('参数'!$I$33),ISNUMBER(Q219)),Q219&gt;='参数'!$I$33,FALSE)+IF(AND(ISNUMBER('参数'!$K$33),ISNUMBER(S219)),S219&gt;='参数'!$K$33,FALSE)),"")</f>
        <v/>
      </c>
      <c r="W219" s="40" t="str">
        <f>IF(AND(ISNUMBER(J219),ISNUMBER(K219)),IF(N(ISNUMBER('参数'!$E$34))+N(ISNUMBER('参数'!$G$34))+N(ISNUMBER('参数'!$I$34))+N(ISNUMBER('参数'!$K$34))=0,"",IF(ISNUMBER('参数'!$E$34),J219&gt;='参数'!$E$34,FALSE)+IF(AND(ISNUMBER('参数'!$G$34),ISNUMBER(N219)),N219&lt;='参数'!$G$34,FALSE)+IF(AND(ISNUMBER('参数'!$I$34),ISNUMBER(S219)),S219&gt;='参数'!$I$34,FALSE)+IF(AND(ISNUMBER('参数'!$K$34),ISNUMBER(R219)),R219&gt;='参数'!$K$34,FALSE)),"")</f>
        <v/>
      </c>
      <c r="X219" s="40" t="str">
        <f>IF(AND(ISNUMBER(J219),ISNUMBER(K219)),IF(N(ISNUMBER('参数'!$E$35))+N(ISNUMBER('参数'!$G$35))+N(ISNUMBER('参数'!$I$35))=0,"",IF(AND(ISNUMBER('参数'!$E$35),ISNUMBER(N219),ISNUMBER(N218)),ROUND(N219-N218,6)&gt;='参数'!$E$35,FALSE)+IF(AND(ISNUMBER('参数'!$G$35),ISNUMBER(Q219),ISNUMBER(Q218)),ROUND(Q218-Q219,6)&gt;='参数'!$G$35,FALSE)+IF(AND(ISNUMBER('参数'!$I$35),ISNUMBER(S219),ISNUMBER(S218)),ROUND(S218-S219,6)&gt;='参数'!$I$35,FALSE)+IF(ISNUMBER(J218),J219&lt;J218,FALSE)),"")</f>
        <v/>
      </c>
      <c r="Y219" s="40" t="str">
        <f>IF(AND(ISNUMBER(J219),ISNUMBER(K219)),IF(N(ISNUMBER('参数'!$E$36))+N(ISNUMBER('参数'!$G$36))+N(ISNUMBER('参数'!$I$36))=0,"",IF(AND(ISNUMBER('参数'!$E$36),ISNUMBER(J218)),AND(J219&lt;='参数'!$E$36,J219&lt;J218),FALSE)+IF(ISNUMBER('参数'!$G$36),K219&gt;='参数'!$G$36,FALSE)+IF(AND(ISNUMBER('参数'!$I$36),ISNUMBER(S219)),S219&lt;'参数'!$I$36,FALSE)+IF(AND(ISNUMBER(R219),ISNUMBER(R218)),R219&lt;R218,FALSE)),"")</f>
        <v/>
      </c>
      <c r="Z219" s="41" t="str">
        <f>IF(NOT(AND(ISNUMBER(J219),ISNUMBER(K219))),"",IF(COUNT(T219:Y219)=0,"先填阈值",IF(MAX(AD219:AI219)=0,"不写",INDEX($T$4:$Y$4,MATCH(MAX(AD219:AI219),AD219:AI219,0))&amp;"·"&amp;IF(MAX(AD219:AI219)&gt;=200,"高","中")&amp;IF(LARGE(AD219:AI219,2)&gt;0,"（也像"&amp;INDEX($T$4:$Y$4,MATCH(LARGE(AD219:AI219,2),AD219:AI219,0))&amp;"·"&amp;IF(LARGE(AD219:AI219,2)&gt;=200,"高","中")&amp;"）",""))))</f>
        <v/>
      </c>
      <c r="AA219" s="27" t="n"/>
      <c r="AB219" s="32" t="n"/>
      <c r="AC219" s="16" t="n"/>
      <c r="AD219" s="40">
        <f>IF(N(T219)&gt;=3,IF(T219=4,2,1)*100+T219*10+6,0)</f>
        <v>0</v>
      </c>
      <c r="AE219" s="40">
        <f>IF(N(U219)&gt;=3,1*100+U219*10+1,0)</f>
        <v>0</v>
      </c>
      <c r="AF219" s="40">
        <f>IF(N(V219)&gt;=3,IF(V219=4,2,1)*100+V219*10+2,0)</f>
        <v>0</v>
      </c>
      <c r="AG219" s="40">
        <f>IF(N(W219)&gt;=3,1*100+W219*10+3,0)</f>
        <v>0</v>
      </c>
      <c r="AH219" s="40">
        <f>IF(N(X219)&gt;=3,1*100+X219*10+4,0)</f>
        <v>0</v>
      </c>
      <c r="AI219" s="40">
        <f>IF(N(Y219)&gt;=3,IF(AND(N(T219)&gt;=3,OR(N(T219)=4,N(Y219)&lt;=N(T219))),0,IF(Y219=4,2,1)*100+Y219*10+5),0)</f>
        <v>0</v>
      </c>
    </row>
    <row r="220">
      <c r="A220" s="31" t="n"/>
      <c r="B220" s="36" t="str">
        <f>IF(ISNUMBER(A220),"周"&amp;CHOOSE(WEEKDAY(A220,2),"一","二","三","四","五","六","日"),"")</f>
        <v/>
      </c>
      <c r="C220" s="37" t="n"/>
      <c r="D220" s="37" t="n"/>
      <c r="E220" s="37" t="n"/>
      <c r="F220" s="17" t="n"/>
      <c r="G220" s="38" t="str">
        <f>IF(AND(ISNUMBER(F220),ISNUMBER(F219)),IF(F219=0,"",F220/F219-1),"")</f>
        <v/>
      </c>
      <c r="H220" s="17" t="n"/>
      <c r="I220" s="17" t="n"/>
      <c r="J220" s="17" t="n"/>
      <c r="K220" s="17" t="n"/>
      <c r="L220" s="17" t="n"/>
      <c r="M220" s="17" t="n"/>
      <c r="N220" s="39" t="str">
        <f>IF(AND(ISNUMBER(L220),ISNUMBER(M220),N(L220)&gt;0),M220/L220,"")</f>
        <v/>
      </c>
      <c r="O220" s="17" t="n"/>
      <c r="P220" s="17" t="n"/>
      <c r="Q220" s="39" t="str">
        <f>IF(AND(ISNUMBER(O220),ISNUMBER(P220),N(O220)&gt;0),P220/O220,"")</f>
        <v/>
      </c>
      <c r="R220" s="17" t="n"/>
      <c r="S220" s="37" t="n"/>
      <c r="T220" s="40" t="str">
        <f>IF(AND(ISNUMBER(J220),ISNUMBER(K220)),IF(N(ISNUMBER('参数'!$E$31))+N(ISNUMBER('参数'!$G$31))+N(ISNUMBER('参数'!$I$31))+N(ISNUMBER('参数'!$K$31))=0,"",IF(ISNUMBER('参数'!$E$31),J220&lt;='参数'!$E$31,FALSE)+IF(ISNUMBER('参数'!$G$31),K220&gt;='参数'!$G$31,FALSE)+IF(AND(ISNUMBER('参数'!$I$31),ISNUMBER(N220)),N220&gt;='参数'!$I$31,FALSE)+IF(AND(ISNUMBER('参数'!$K$31),ISNUMBER(Q220)),Q220&lt;='参数'!$K$31,FALSE)),"")</f>
        <v/>
      </c>
      <c r="U220" s="40" t="str">
        <f>IF(AND(ISNUMBER(J220),ISNUMBER(K220)),IF(N(ISNUMBER('参数'!$G$32))+N(ISNUMBER('参数'!$I$32))+N(ISNUMBER('参数'!$K$32))=0,"",IF(AND(ISNUMBER(J219),ISNUMBER(J218)),AND(J220&gt;J219,J219&gt;J218),FALSE)+IF(ISNUMBER('参数'!$G$32),J220&lt;'参数'!$G$32,FALSE)+IF(AND(ISNUMBER('参数'!$I$32),ISNUMBER(Q220)),Q220&gt;='参数'!$I$32,FALSE)+IF(AND(ISNUMBER('参数'!$K$32),ISNUMBER(S220)),S220&gt;='参数'!$K$32,FALSE)),"")</f>
        <v/>
      </c>
      <c r="V220" s="40" t="str">
        <f>IF(AND(ISNUMBER(J220),ISNUMBER(K220)),IF(N(ISNUMBER('参数'!$E$33))+N(ISNUMBER('参数'!$G$33))+N(ISNUMBER('参数'!$I$33))+N(ISNUMBER('参数'!$K$33))=0,"",IF(AND(ISNUMBER('参数'!$E$33),ISNUMBER(J219)),AND(J220&gt;='参数'!$E$33,J220&gt;J219),FALSE)+IF(AND(ISNUMBER('参数'!$G$33),ISNUMBER(N220)),N220&lt;='参数'!$G$33,FALSE)+IF(AND(ISNUMBER('参数'!$I$33),ISNUMBER(Q220)),Q220&gt;='参数'!$I$33,FALSE)+IF(AND(ISNUMBER('参数'!$K$33),ISNUMBER(S220)),S220&gt;='参数'!$K$33,FALSE)),"")</f>
        <v/>
      </c>
      <c r="W220" s="40" t="str">
        <f>IF(AND(ISNUMBER(J220),ISNUMBER(K220)),IF(N(ISNUMBER('参数'!$E$34))+N(ISNUMBER('参数'!$G$34))+N(ISNUMBER('参数'!$I$34))+N(ISNUMBER('参数'!$K$34))=0,"",IF(ISNUMBER('参数'!$E$34),J220&gt;='参数'!$E$34,FALSE)+IF(AND(ISNUMBER('参数'!$G$34),ISNUMBER(N220)),N220&lt;='参数'!$G$34,FALSE)+IF(AND(ISNUMBER('参数'!$I$34),ISNUMBER(S220)),S220&gt;='参数'!$I$34,FALSE)+IF(AND(ISNUMBER('参数'!$K$34),ISNUMBER(R220)),R220&gt;='参数'!$K$34,FALSE)),"")</f>
        <v/>
      </c>
      <c r="X220" s="40" t="str">
        <f>IF(AND(ISNUMBER(J220),ISNUMBER(K220)),IF(N(ISNUMBER('参数'!$E$35))+N(ISNUMBER('参数'!$G$35))+N(ISNUMBER('参数'!$I$35))=0,"",IF(AND(ISNUMBER('参数'!$E$35),ISNUMBER(N220),ISNUMBER(N219)),ROUND(N220-N219,6)&gt;='参数'!$E$35,FALSE)+IF(AND(ISNUMBER('参数'!$G$35),ISNUMBER(Q220),ISNUMBER(Q219)),ROUND(Q219-Q220,6)&gt;='参数'!$G$35,FALSE)+IF(AND(ISNUMBER('参数'!$I$35),ISNUMBER(S220),ISNUMBER(S219)),ROUND(S219-S220,6)&gt;='参数'!$I$35,FALSE)+IF(ISNUMBER(J219),J220&lt;J219,FALSE)),"")</f>
        <v/>
      </c>
      <c r="Y220" s="40" t="str">
        <f>IF(AND(ISNUMBER(J220),ISNUMBER(K220)),IF(N(ISNUMBER('参数'!$E$36))+N(ISNUMBER('参数'!$G$36))+N(ISNUMBER('参数'!$I$36))=0,"",IF(AND(ISNUMBER('参数'!$E$36),ISNUMBER(J219)),AND(J220&lt;='参数'!$E$36,J220&lt;J219),FALSE)+IF(ISNUMBER('参数'!$G$36),K220&gt;='参数'!$G$36,FALSE)+IF(AND(ISNUMBER('参数'!$I$36),ISNUMBER(S220)),S220&lt;'参数'!$I$36,FALSE)+IF(AND(ISNUMBER(R220),ISNUMBER(R219)),R220&lt;R219,FALSE)),"")</f>
        <v/>
      </c>
      <c r="Z220" s="41" t="str">
        <f>IF(NOT(AND(ISNUMBER(J220),ISNUMBER(K220))),"",IF(COUNT(T220:Y220)=0,"先填阈值",IF(MAX(AD220:AI220)=0,"不写",INDEX($T$4:$Y$4,MATCH(MAX(AD220:AI220),AD220:AI220,0))&amp;"·"&amp;IF(MAX(AD220:AI220)&gt;=200,"高","中")&amp;IF(LARGE(AD220:AI220,2)&gt;0,"（也像"&amp;INDEX($T$4:$Y$4,MATCH(LARGE(AD220:AI220,2),AD220:AI220,0))&amp;"·"&amp;IF(LARGE(AD220:AI220,2)&gt;=200,"高","中")&amp;"）",""))))</f>
        <v/>
      </c>
      <c r="AA220" s="27" t="n"/>
      <c r="AB220" s="32" t="n"/>
      <c r="AC220" s="16" t="n"/>
      <c r="AD220" s="40">
        <f>IF(N(T220)&gt;=3,IF(T220=4,2,1)*100+T220*10+6,0)</f>
        <v>0</v>
      </c>
      <c r="AE220" s="40">
        <f>IF(N(U220)&gt;=3,1*100+U220*10+1,0)</f>
        <v>0</v>
      </c>
      <c r="AF220" s="40">
        <f>IF(N(V220)&gt;=3,IF(V220=4,2,1)*100+V220*10+2,0)</f>
        <v>0</v>
      </c>
      <c r="AG220" s="40">
        <f>IF(N(W220)&gt;=3,1*100+W220*10+3,0)</f>
        <v>0</v>
      </c>
      <c r="AH220" s="40">
        <f>IF(N(X220)&gt;=3,1*100+X220*10+4,0)</f>
        <v>0</v>
      </c>
      <c r="AI220" s="40">
        <f>IF(N(Y220)&gt;=3,IF(AND(N(T220)&gt;=3,OR(N(T220)=4,N(Y220)&lt;=N(T220))),0,IF(Y220=4,2,1)*100+Y220*10+5),0)</f>
        <v>0</v>
      </c>
    </row>
    <row r="221">
      <c r="A221" s="31" t="n"/>
      <c r="B221" s="36" t="str">
        <f>IF(ISNUMBER(A221),"周"&amp;CHOOSE(WEEKDAY(A221,2),"一","二","三","四","五","六","日"),"")</f>
        <v/>
      </c>
      <c r="C221" s="37" t="n"/>
      <c r="D221" s="37" t="n"/>
      <c r="E221" s="37" t="n"/>
      <c r="F221" s="17" t="n"/>
      <c r="G221" s="38" t="str">
        <f>IF(AND(ISNUMBER(F221),ISNUMBER(F220)),IF(F220=0,"",F221/F220-1),"")</f>
        <v/>
      </c>
      <c r="H221" s="17" t="n"/>
      <c r="I221" s="17" t="n"/>
      <c r="J221" s="17" t="n"/>
      <c r="K221" s="17" t="n"/>
      <c r="L221" s="17" t="n"/>
      <c r="M221" s="17" t="n"/>
      <c r="N221" s="39" t="str">
        <f>IF(AND(ISNUMBER(L221),ISNUMBER(M221),N(L221)&gt;0),M221/L221,"")</f>
        <v/>
      </c>
      <c r="O221" s="17" t="n"/>
      <c r="P221" s="17" t="n"/>
      <c r="Q221" s="39" t="str">
        <f>IF(AND(ISNUMBER(O221),ISNUMBER(P221),N(O221)&gt;0),P221/O221,"")</f>
        <v/>
      </c>
      <c r="R221" s="17" t="n"/>
      <c r="S221" s="37" t="n"/>
      <c r="T221" s="40" t="str">
        <f>IF(AND(ISNUMBER(J221),ISNUMBER(K221)),IF(N(ISNUMBER('参数'!$E$31))+N(ISNUMBER('参数'!$G$31))+N(ISNUMBER('参数'!$I$31))+N(ISNUMBER('参数'!$K$31))=0,"",IF(ISNUMBER('参数'!$E$31),J221&lt;='参数'!$E$31,FALSE)+IF(ISNUMBER('参数'!$G$31),K221&gt;='参数'!$G$31,FALSE)+IF(AND(ISNUMBER('参数'!$I$31),ISNUMBER(N221)),N221&gt;='参数'!$I$31,FALSE)+IF(AND(ISNUMBER('参数'!$K$31),ISNUMBER(Q221)),Q221&lt;='参数'!$K$31,FALSE)),"")</f>
        <v/>
      </c>
      <c r="U221" s="40" t="str">
        <f>IF(AND(ISNUMBER(J221),ISNUMBER(K221)),IF(N(ISNUMBER('参数'!$G$32))+N(ISNUMBER('参数'!$I$32))+N(ISNUMBER('参数'!$K$32))=0,"",IF(AND(ISNUMBER(J220),ISNUMBER(J219)),AND(J221&gt;J220,J220&gt;J219),FALSE)+IF(ISNUMBER('参数'!$G$32),J221&lt;'参数'!$G$32,FALSE)+IF(AND(ISNUMBER('参数'!$I$32),ISNUMBER(Q221)),Q221&gt;='参数'!$I$32,FALSE)+IF(AND(ISNUMBER('参数'!$K$32),ISNUMBER(S221)),S221&gt;='参数'!$K$32,FALSE)),"")</f>
        <v/>
      </c>
      <c r="V221" s="40" t="str">
        <f>IF(AND(ISNUMBER(J221),ISNUMBER(K221)),IF(N(ISNUMBER('参数'!$E$33))+N(ISNUMBER('参数'!$G$33))+N(ISNUMBER('参数'!$I$33))+N(ISNUMBER('参数'!$K$33))=0,"",IF(AND(ISNUMBER('参数'!$E$33),ISNUMBER(J220)),AND(J221&gt;='参数'!$E$33,J221&gt;J220),FALSE)+IF(AND(ISNUMBER('参数'!$G$33),ISNUMBER(N221)),N221&lt;='参数'!$G$33,FALSE)+IF(AND(ISNUMBER('参数'!$I$33),ISNUMBER(Q221)),Q221&gt;='参数'!$I$33,FALSE)+IF(AND(ISNUMBER('参数'!$K$33),ISNUMBER(S221)),S221&gt;='参数'!$K$33,FALSE)),"")</f>
        <v/>
      </c>
      <c r="W221" s="40" t="str">
        <f>IF(AND(ISNUMBER(J221),ISNUMBER(K221)),IF(N(ISNUMBER('参数'!$E$34))+N(ISNUMBER('参数'!$G$34))+N(ISNUMBER('参数'!$I$34))+N(ISNUMBER('参数'!$K$34))=0,"",IF(ISNUMBER('参数'!$E$34),J221&gt;='参数'!$E$34,FALSE)+IF(AND(ISNUMBER('参数'!$G$34),ISNUMBER(N221)),N221&lt;='参数'!$G$34,FALSE)+IF(AND(ISNUMBER('参数'!$I$34),ISNUMBER(S221)),S221&gt;='参数'!$I$34,FALSE)+IF(AND(ISNUMBER('参数'!$K$34),ISNUMBER(R221)),R221&gt;='参数'!$K$34,FALSE)),"")</f>
        <v/>
      </c>
      <c r="X221" s="40" t="str">
        <f>IF(AND(ISNUMBER(J221),ISNUMBER(K221)),IF(N(ISNUMBER('参数'!$E$35))+N(ISNUMBER('参数'!$G$35))+N(ISNUMBER('参数'!$I$35))=0,"",IF(AND(ISNUMBER('参数'!$E$35),ISNUMBER(N221),ISNUMBER(N220)),ROUND(N221-N220,6)&gt;='参数'!$E$35,FALSE)+IF(AND(ISNUMBER('参数'!$G$35),ISNUMBER(Q221),ISNUMBER(Q220)),ROUND(Q220-Q221,6)&gt;='参数'!$G$35,FALSE)+IF(AND(ISNUMBER('参数'!$I$35),ISNUMBER(S221),ISNUMBER(S220)),ROUND(S220-S221,6)&gt;='参数'!$I$35,FALSE)+IF(ISNUMBER(J220),J221&lt;J220,FALSE)),"")</f>
        <v/>
      </c>
      <c r="Y221" s="40" t="str">
        <f>IF(AND(ISNUMBER(J221),ISNUMBER(K221)),IF(N(ISNUMBER('参数'!$E$36))+N(ISNUMBER('参数'!$G$36))+N(ISNUMBER('参数'!$I$36))=0,"",IF(AND(ISNUMBER('参数'!$E$36),ISNUMBER(J220)),AND(J221&lt;='参数'!$E$36,J221&lt;J220),FALSE)+IF(ISNUMBER('参数'!$G$36),K221&gt;='参数'!$G$36,FALSE)+IF(AND(ISNUMBER('参数'!$I$36),ISNUMBER(S221)),S221&lt;'参数'!$I$36,FALSE)+IF(AND(ISNUMBER(R221),ISNUMBER(R220)),R221&lt;R220,FALSE)),"")</f>
        <v/>
      </c>
      <c r="Z221" s="41" t="str">
        <f>IF(NOT(AND(ISNUMBER(J221),ISNUMBER(K221))),"",IF(COUNT(T221:Y221)=0,"先填阈值",IF(MAX(AD221:AI221)=0,"不写",INDEX($T$4:$Y$4,MATCH(MAX(AD221:AI221),AD221:AI221,0))&amp;"·"&amp;IF(MAX(AD221:AI221)&gt;=200,"高","中")&amp;IF(LARGE(AD221:AI221,2)&gt;0,"（也像"&amp;INDEX($T$4:$Y$4,MATCH(LARGE(AD221:AI221,2),AD221:AI221,0))&amp;"·"&amp;IF(LARGE(AD221:AI221,2)&gt;=200,"高","中")&amp;"）",""))))</f>
        <v/>
      </c>
      <c r="AA221" s="27" t="n"/>
      <c r="AB221" s="32" t="n"/>
      <c r="AC221" s="16" t="n"/>
      <c r="AD221" s="40">
        <f>IF(N(T221)&gt;=3,IF(T221=4,2,1)*100+T221*10+6,0)</f>
        <v>0</v>
      </c>
      <c r="AE221" s="40">
        <f>IF(N(U221)&gt;=3,1*100+U221*10+1,0)</f>
        <v>0</v>
      </c>
      <c r="AF221" s="40">
        <f>IF(N(V221)&gt;=3,IF(V221=4,2,1)*100+V221*10+2,0)</f>
        <v>0</v>
      </c>
      <c r="AG221" s="40">
        <f>IF(N(W221)&gt;=3,1*100+W221*10+3,0)</f>
        <v>0</v>
      </c>
      <c r="AH221" s="40">
        <f>IF(N(X221)&gt;=3,1*100+X221*10+4,0)</f>
        <v>0</v>
      </c>
      <c r="AI221" s="40">
        <f>IF(N(Y221)&gt;=3,IF(AND(N(T221)&gt;=3,OR(N(T221)=4,N(Y221)&lt;=N(T221))),0,IF(Y221=4,2,1)*100+Y221*10+5),0)</f>
        <v>0</v>
      </c>
    </row>
    <row r="222">
      <c r="A222" s="31" t="n"/>
      <c r="B222" s="36" t="str">
        <f>IF(ISNUMBER(A222),"周"&amp;CHOOSE(WEEKDAY(A222,2),"一","二","三","四","五","六","日"),"")</f>
        <v/>
      </c>
      <c r="C222" s="37" t="n"/>
      <c r="D222" s="37" t="n"/>
      <c r="E222" s="37" t="n"/>
      <c r="F222" s="17" t="n"/>
      <c r="G222" s="38" t="str">
        <f>IF(AND(ISNUMBER(F222),ISNUMBER(F221)),IF(F221=0,"",F222/F221-1),"")</f>
        <v/>
      </c>
      <c r="H222" s="17" t="n"/>
      <c r="I222" s="17" t="n"/>
      <c r="J222" s="17" t="n"/>
      <c r="K222" s="17" t="n"/>
      <c r="L222" s="17" t="n"/>
      <c r="M222" s="17" t="n"/>
      <c r="N222" s="39" t="str">
        <f>IF(AND(ISNUMBER(L222),ISNUMBER(M222),N(L222)&gt;0),M222/L222,"")</f>
        <v/>
      </c>
      <c r="O222" s="17" t="n"/>
      <c r="P222" s="17" t="n"/>
      <c r="Q222" s="39" t="str">
        <f>IF(AND(ISNUMBER(O222),ISNUMBER(P222),N(O222)&gt;0),P222/O222,"")</f>
        <v/>
      </c>
      <c r="R222" s="17" t="n"/>
      <c r="S222" s="37" t="n"/>
      <c r="T222" s="40" t="str">
        <f>IF(AND(ISNUMBER(J222),ISNUMBER(K222)),IF(N(ISNUMBER('参数'!$E$31))+N(ISNUMBER('参数'!$G$31))+N(ISNUMBER('参数'!$I$31))+N(ISNUMBER('参数'!$K$31))=0,"",IF(ISNUMBER('参数'!$E$31),J222&lt;='参数'!$E$31,FALSE)+IF(ISNUMBER('参数'!$G$31),K222&gt;='参数'!$G$31,FALSE)+IF(AND(ISNUMBER('参数'!$I$31),ISNUMBER(N222)),N222&gt;='参数'!$I$31,FALSE)+IF(AND(ISNUMBER('参数'!$K$31),ISNUMBER(Q222)),Q222&lt;='参数'!$K$31,FALSE)),"")</f>
        <v/>
      </c>
      <c r="U222" s="40" t="str">
        <f>IF(AND(ISNUMBER(J222),ISNUMBER(K222)),IF(N(ISNUMBER('参数'!$G$32))+N(ISNUMBER('参数'!$I$32))+N(ISNUMBER('参数'!$K$32))=0,"",IF(AND(ISNUMBER(J221),ISNUMBER(J220)),AND(J222&gt;J221,J221&gt;J220),FALSE)+IF(ISNUMBER('参数'!$G$32),J222&lt;'参数'!$G$32,FALSE)+IF(AND(ISNUMBER('参数'!$I$32),ISNUMBER(Q222)),Q222&gt;='参数'!$I$32,FALSE)+IF(AND(ISNUMBER('参数'!$K$32),ISNUMBER(S222)),S222&gt;='参数'!$K$32,FALSE)),"")</f>
        <v/>
      </c>
      <c r="V222" s="40" t="str">
        <f>IF(AND(ISNUMBER(J222),ISNUMBER(K222)),IF(N(ISNUMBER('参数'!$E$33))+N(ISNUMBER('参数'!$G$33))+N(ISNUMBER('参数'!$I$33))+N(ISNUMBER('参数'!$K$33))=0,"",IF(AND(ISNUMBER('参数'!$E$33),ISNUMBER(J221)),AND(J222&gt;='参数'!$E$33,J222&gt;J221),FALSE)+IF(AND(ISNUMBER('参数'!$G$33),ISNUMBER(N222)),N222&lt;='参数'!$G$33,FALSE)+IF(AND(ISNUMBER('参数'!$I$33),ISNUMBER(Q222)),Q222&gt;='参数'!$I$33,FALSE)+IF(AND(ISNUMBER('参数'!$K$33),ISNUMBER(S222)),S222&gt;='参数'!$K$33,FALSE)),"")</f>
        <v/>
      </c>
      <c r="W222" s="40" t="str">
        <f>IF(AND(ISNUMBER(J222),ISNUMBER(K222)),IF(N(ISNUMBER('参数'!$E$34))+N(ISNUMBER('参数'!$G$34))+N(ISNUMBER('参数'!$I$34))+N(ISNUMBER('参数'!$K$34))=0,"",IF(ISNUMBER('参数'!$E$34),J222&gt;='参数'!$E$34,FALSE)+IF(AND(ISNUMBER('参数'!$G$34),ISNUMBER(N222)),N222&lt;='参数'!$G$34,FALSE)+IF(AND(ISNUMBER('参数'!$I$34),ISNUMBER(S222)),S222&gt;='参数'!$I$34,FALSE)+IF(AND(ISNUMBER('参数'!$K$34),ISNUMBER(R222)),R222&gt;='参数'!$K$34,FALSE)),"")</f>
        <v/>
      </c>
      <c r="X222" s="40" t="str">
        <f>IF(AND(ISNUMBER(J222),ISNUMBER(K222)),IF(N(ISNUMBER('参数'!$E$35))+N(ISNUMBER('参数'!$G$35))+N(ISNUMBER('参数'!$I$35))=0,"",IF(AND(ISNUMBER('参数'!$E$35),ISNUMBER(N222),ISNUMBER(N221)),ROUND(N222-N221,6)&gt;='参数'!$E$35,FALSE)+IF(AND(ISNUMBER('参数'!$G$35),ISNUMBER(Q222),ISNUMBER(Q221)),ROUND(Q221-Q222,6)&gt;='参数'!$G$35,FALSE)+IF(AND(ISNUMBER('参数'!$I$35),ISNUMBER(S222),ISNUMBER(S221)),ROUND(S221-S222,6)&gt;='参数'!$I$35,FALSE)+IF(ISNUMBER(J221),J222&lt;J221,FALSE)),"")</f>
        <v/>
      </c>
      <c r="Y222" s="40" t="str">
        <f>IF(AND(ISNUMBER(J222),ISNUMBER(K222)),IF(N(ISNUMBER('参数'!$E$36))+N(ISNUMBER('参数'!$G$36))+N(ISNUMBER('参数'!$I$36))=0,"",IF(AND(ISNUMBER('参数'!$E$36),ISNUMBER(J221)),AND(J222&lt;='参数'!$E$36,J222&lt;J221),FALSE)+IF(ISNUMBER('参数'!$G$36),K222&gt;='参数'!$G$36,FALSE)+IF(AND(ISNUMBER('参数'!$I$36),ISNUMBER(S222)),S222&lt;'参数'!$I$36,FALSE)+IF(AND(ISNUMBER(R222),ISNUMBER(R221)),R222&lt;R221,FALSE)),"")</f>
        <v/>
      </c>
      <c r="Z222" s="41" t="str">
        <f>IF(NOT(AND(ISNUMBER(J222),ISNUMBER(K222))),"",IF(COUNT(T222:Y222)=0,"先填阈值",IF(MAX(AD222:AI222)=0,"不写",INDEX($T$4:$Y$4,MATCH(MAX(AD222:AI222),AD222:AI222,0))&amp;"·"&amp;IF(MAX(AD222:AI222)&gt;=200,"高","中")&amp;IF(LARGE(AD222:AI222,2)&gt;0,"（也像"&amp;INDEX($T$4:$Y$4,MATCH(LARGE(AD222:AI222,2),AD222:AI222,0))&amp;"·"&amp;IF(LARGE(AD222:AI222,2)&gt;=200,"高","中")&amp;"）",""))))</f>
        <v/>
      </c>
      <c r="AA222" s="27" t="n"/>
      <c r="AB222" s="32" t="n"/>
      <c r="AC222" s="16" t="n"/>
      <c r="AD222" s="40">
        <f>IF(N(T222)&gt;=3,IF(T222=4,2,1)*100+T222*10+6,0)</f>
        <v>0</v>
      </c>
      <c r="AE222" s="40">
        <f>IF(N(U222)&gt;=3,1*100+U222*10+1,0)</f>
        <v>0</v>
      </c>
      <c r="AF222" s="40">
        <f>IF(N(V222)&gt;=3,IF(V222=4,2,1)*100+V222*10+2,0)</f>
        <v>0</v>
      </c>
      <c r="AG222" s="40">
        <f>IF(N(W222)&gt;=3,1*100+W222*10+3,0)</f>
        <v>0</v>
      </c>
      <c r="AH222" s="40">
        <f>IF(N(X222)&gt;=3,1*100+X222*10+4,0)</f>
        <v>0</v>
      </c>
      <c r="AI222" s="40">
        <f>IF(N(Y222)&gt;=3,IF(AND(N(T222)&gt;=3,OR(N(T222)=4,N(Y222)&lt;=N(T222))),0,IF(Y222=4,2,1)*100+Y222*10+5),0)</f>
        <v>0</v>
      </c>
    </row>
    <row r="223">
      <c r="A223" s="31" t="n"/>
      <c r="B223" s="36" t="str">
        <f>IF(ISNUMBER(A223),"周"&amp;CHOOSE(WEEKDAY(A223,2),"一","二","三","四","五","六","日"),"")</f>
        <v/>
      </c>
      <c r="C223" s="37" t="n"/>
      <c r="D223" s="37" t="n"/>
      <c r="E223" s="37" t="n"/>
      <c r="F223" s="17" t="n"/>
      <c r="G223" s="38" t="str">
        <f>IF(AND(ISNUMBER(F223),ISNUMBER(F222)),IF(F222=0,"",F223/F222-1),"")</f>
        <v/>
      </c>
      <c r="H223" s="17" t="n"/>
      <c r="I223" s="17" t="n"/>
      <c r="J223" s="17" t="n"/>
      <c r="K223" s="17" t="n"/>
      <c r="L223" s="17" t="n"/>
      <c r="M223" s="17" t="n"/>
      <c r="N223" s="39" t="str">
        <f>IF(AND(ISNUMBER(L223),ISNUMBER(M223),N(L223)&gt;0),M223/L223,"")</f>
        <v/>
      </c>
      <c r="O223" s="17" t="n"/>
      <c r="P223" s="17" t="n"/>
      <c r="Q223" s="39" t="str">
        <f>IF(AND(ISNUMBER(O223),ISNUMBER(P223),N(O223)&gt;0),P223/O223,"")</f>
        <v/>
      </c>
      <c r="R223" s="17" t="n"/>
      <c r="S223" s="37" t="n"/>
      <c r="T223" s="40" t="str">
        <f>IF(AND(ISNUMBER(J223),ISNUMBER(K223)),IF(N(ISNUMBER('参数'!$E$31))+N(ISNUMBER('参数'!$G$31))+N(ISNUMBER('参数'!$I$31))+N(ISNUMBER('参数'!$K$31))=0,"",IF(ISNUMBER('参数'!$E$31),J223&lt;='参数'!$E$31,FALSE)+IF(ISNUMBER('参数'!$G$31),K223&gt;='参数'!$G$31,FALSE)+IF(AND(ISNUMBER('参数'!$I$31),ISNUMBER(N223)),N223&gt;='参数'!$I$31,FALSE)+IF(AND(ISNUMBER('参数'!$K$31),ISNUMBER(Q223)),Q223&lt;='参数'!$K$31,FALSE)),"")</f>
        <v/>
      </c>
      <c r="U223" s="40" t="str">
        <f>IF(AND(ISNUMBER(J223),ISNUMBER(K223)),IF(N(ISNUMBER('参数'!$G$32))+N(ISNUMBER('参数'!$I$32))+N(ISNUMBER('参数'!$K$32))=0,"",IF(AND(ISNUMBER(J222),ISNUMBER(J221)),AND(J223&gt;J222,J222&gt;J221),FALSE)+IF(ISNUMBER('参数'!$G$32),J223&lt;'参数'!$G$32,FALSE)+IF(AND(ISNUMBER('参数'!$I$32),ISNUMBER(Q223)),Q223&gt;='参数'!$I$32,FALSE)+IF(AND(ISNUMBER('参数'!$K$32),ISNUMBER(S223)),S223&gt;='参数'!$K$32,FALSE)),"")</f>
        <v/>
      </c>
      <c r="V223" s="40" t="str">
        <f>IF(AND(ISNUMBER(J223),ISNUMBER(K223)),IF(N(ISNUMBER('参数'!$E$33))+N(ISNUMBER('参数'!$G$33))+N(ISNUMBER('参数'!$I$33))+N(ISNUMBER('参数'!$K$33))=0,"",IF(AND(ISNUMBER('参数'!$E$33),ISNUMBER(J222)),AND(J223&gt;='参数'!$E$33,J223&gt;J222),FALSE)+IF(AND(ISNUMBER('参数'!$G$33),ISNUMBER(N223)),N223&lt;='参数'!$G$33,FALSE)+IF(AND(ISNUMBER('参数'!$I$33),ISNUMBER(Q223)),Q223&gt;='参数'!$I$33,FALSE)+IF(AND(ISNUMBER('参数'!$K$33),ISNUMBER(S223)),S223&gt;='参数'!$K$33,FALSE)),"")</f>
        <v/>
      </c>
      <c r="W223" s="40" t="str">
        <f>IF(AND(ISNUMBER(J223),ISNUMBER(K223)),IF(N(ISNUMBER('参数'!$E$34))+N(ISNUMBER('参数'!$G$34))+N(ISNUMBER('参数'!$I$34))+N(ISNUMBER('参数'!$K$34))=0,"",IF(ISNUMBER('参数'!$E$34),J223&gt;='参数'!$E$34,FALSE)+IF(AND(ISNUMBER('参数'!$G$34),ISNUMBER(N223)),N223&lt;='参数'!$G$34,FALSE)+IF(AND(ISNUMBER('参数'!$I$34),ISNUMBER(S223)),S223&gt;='参数'!$I$34,FALSE)+IF(AND(ISNUMBER('参数'!$K$34),ISNUMBER(R223)),R223&gt;='参数'!$K$34,FALSE)),"")</f>
        <v/>
      </c>
      <c r="X223" s="40" t="str">
        <f>IF(AND(ISNUMBER(J223),ISNUMBER(K223)),IF(N(ISNUMBER('参数'!$E$35))+N(ISNUMBER('参数'!$G$35))+N(ISNUMBER('参数'!$I$35))=0,"",IF(AND(ISNUMBER('参数'!$E$35),ISNUMBER(N223),ISNUMBER(N222)),ROUND(N223-N222,6)&gt;='参数'!$E$35,FALSE)+IF(AND(ISNUMBER('参数'!$G$35),ISNUMBER(Q223),ISNUMBER(Q222)),ROUND(Q222-Q223,6)&gt;='参数'!$G$35,FALSE)+IF(AND(ISNUMBER('参数'!$I$35),ISNUMBER(S223),ISNUMBER(S222)),ROUND(S222-S223,6)&gt;='参数'!$I$35,FALSE)+IF(ISNUMBER(J222),J223&lt;J222,FALSE)),"")</f>
        <v/>
      </c>
      <c r="Y223" s="40" t="str">
        <f>IF(AND(ISNUMBER(J223),ISNUMBER(K223)),IF(N(ISNUMBER('参数'!$E$36))+N(ISNUMBER('参数'!$G$36))+N(ISNUMBER('参数'!$I$36))=0,"",IF(AND(ISNUMBER('参数'!$E$36),ISNUMBER(J222)),AND(J223&lt;='参数'!$E$36,J223&lt;J222),FALSE)+IF(ISNUMBER('参数'!$G$36),K223&gt;='参数'!$G$36,FALSE)+IF(AND(ISNUMBER('参数'!$I$36),ISNUMBER(S223)),S223&lt;'参数'!$I$36,FALSE)+IF(AND(ISNUMBER(R223),ISNUMBER(R222)),R223&lt;R222,FALSE)),"")</f>
        <v/>
      </c>
      <c r="Z223" s="41" t="str">
        <f>IF(NOT(AND(ISNUMBER(J223),ISNUMBER(K223))),"",IF(COUNT(T223:Y223)=0,"先填阈值",IF(MAX(AD223:AI223)=0,"不写",INDEX($T$4:$Y$4,MATCH(MAX(AD223:AI223),AD223:AI223,0))&amp;"·"&amp;IF(MAX(AD223:AI223)&gt;=200,"高","中")&amp;IF(LARGE(AD223:AI223,2)&gt;0,"（也像"&amp;INDEX($T$4:$Y$4,MATCH(LARGE(AD223:AI223,2),AD223:AI223,0))&amp;"·"&amp;IF(LARGE(AD223:AI223,2)&gt;=200,"高","中")&amp;"）",""))))</f>
        <v/>
      </c>
      <c r="AA223" s="27" t="n"/>
      <c r="AB223" s="32" t="n"/>
      <c r="AC223" s="16" t="n"/>
      <c r="AD223" s="40">
        <f>IF(N(T223)&gt;=3,IF(T223=4,2,1)*100+T223*10+6,0)</f>
        <v>0</v>
      </c>
      <c r="AE223" s="40">
        <f>IF(N(U223)&gt;=3,1*100+U223*10+1,0)</f>
        <v>0</v>
      </c>
      <c r="AF223" s="40">
        <f>IF(N(V223)&gt;=3,IF(V223=4,2,1)*100+V223*10+2,0)</f>
        <v>0</v>
      </c>
      <c r="AG223" s="40">
        <f>IF(N(W223)&gt;=3,1*100+W223*10+3,0)</f>
        <v>0</v>
      </c>
      <c r="AH223" s="40">
        <f>IF(N(X223)&gt;=3,1*100+X223*10+4,0)</f>
        <v>0</v>
      </c>
      <c r="AI223" s="40">
        <f>IF(N(Y223)&gt;=3,IF(AND(N(T223)&gt;=3,OR(N(T223)=4,N(Y223)&lt;=N(T223))),0,IF(Y223=4,2,1)*100+Y223*10+5),0)</f>
        <v>0</v>
      </c>
    </row>
    <row r="224">
      <c r="A224" s="31" t="n"/>
      <c r="B224" s="36" t="str">
        <f>IF(ISNUMBER(A224),"周"&amp;CHOOSE(WEEKDAY(A224,2),"一","二","三","四","五","六","日"),"")</f>
        <v/>
      </c>
      <c r="C224" s="37" t="n"/>
      <c r="D224" s="37" t="n"/>
      <c r="E224" s="37" t="n"/>
      <c r="F224" s="17" t="n"/>
      <c r="G224" s="38" t="str">
        <f>IF(AND(ISNUMBER(F224),ISNUMBER(F223)),IF(F223=0,"",F224/F223-1),"")</f>
        <v/>
      </c>
      <c r="H224" s="17" t="n"/>
      <c r="I224" s="17" t="n"/>
      <c r="J224" s="17" t="n"/>
      <c r="K224" s="17" t="n"/>
      <c r="L224" s="17" t="n"/>
      <c r="M224" s="17" t="n"/>
      <c r="N224" s="39" t="str">
        <f>IF(AND(ISNUMBER(L224),ISNUMBER(M224),N(L224)&gt;0),M224/L224,"")</f>
        <v/>
      </c>
      <c r="O224" s="17" t="n"/>
      <c r="P224" s="17" t="n"/>
      <c r="Q224" s="39" t="str">
        <f>IF(AND(ISNUMBER(O224),ISNUMBER(P224),N(O224)&gt;0),P224/O224,"")</f>
        <v/>
      </c>
      <c r="R224" s="17" t="n"/>
      <c r="S224" s="37" t="n"/>
      <c r="T224" s="40" t="str">
        <f>IF(AND(ISNUMBER(J224),ISNUMBER(K224)),IF(N(ISNUMBER('参数'!$E$31))+N(ISNUMBER('参数'!$G$31))+N(ISNUMBER('参数'!$I$31))+N(ISNUMBER('参数'!$K$31))=0,"",IF(ISNUMBER('参数'!$E$31),J224&lt;='参数'!$E$31,FALSE)+IF(ISNUMBER('参数'!$G$31),K224&gt;='参数'!$G$31,FALSE)+IF(AND(ISNUMBER('参数'!$I$31),ISNUMBER(N224)),N224&gt;='参数'!$I$31,FALSE)+IF(AND(ISNUMBER('参数'!$K$31),ISNUMBER(Q224)),Q224&lt;='参数'!$K$31,FALSE)),"")</f>
        <v/>
      </c>
      <c r="U224" s="40" t="str">
        <f>IF(AND(ISNUMBER(J224),ISNUMBER(K224)),IF(N(ISNUMBER('参数'!$G$32))+N(ISNUMBER('参数'!$I$32))+N(ISNUMBER('参数'!$K$32))=0,"",IF(AND(ISNUMBER(J223),ISNUMBER(J222)),AND(J224&gt;J223,J223&gt;J222),FALSE)+IF(ISNUMBER('参数'!$G$32),J224&lt;'参数'!$G$32,FALSE)+IF(AND(ISNUMBER('参数'!$I$32),ISNUMBER(Q224)),Q224&gt;='参数'!$I$32,FALSE)+IF(AND(ISNUMBER('参数'!$K$32),ISNUMBER(S224)),S224&gt;='参数'!$K$32,FALSE)),"")</f>
        <v/>
      </c>
      <c r="V224" s="40" t="str">
        <f>IF(AND(ISNUMBER(J224),ISNUMBER(K224)),IF(N(ISNUMBER('参数'!$E$33))+N(ISNUMBER('参数'!$G$33))+N(ISNUMBER('参数'!$I$33))+N(ISNUMBER('参数'!$K$33))=0,"",IF(AND(ISNUMBER('参数'!$E$33),ISNUMBER(J223)),AND(J224&gt;='参数'!$E$33,J224&gt;J223),FALSE)+IF(AND(ISNUMBER('参数'!$G$33),ISNUMBER(N224)),N224&lt;='参数'!$G$33,FALSE)+IF(AND(ISNUMBER('参数'!$I$33),ISNUMBER(Q224)),Q224&gt;='参数'!$I$33,FALSE)+IF(AND(ISNUMBER('参数'!$K$33),ISNUMBER(S224)),S224&gt;='参数'!$K$33,FALSE)),"")</f>
        <v/>
      </c>
      <c r="W224" s="40" t="str">
        <f>IF(AND(ISNUMBER(J224),ISNUMBER(K224)),IF(N(ISNUMBER('参数'!$E$34))+N(ISNUMBER('参数'!$G$34))+N(ISNUMBER('参数'!$I$34))+N(ISNUMBER('参数'!$K$34))=0,"",IF(ISNUMBER('参数'!$E$34),J224&gt;='参数'!$E$34,FALSE)+IF(AND(ISNUMBER('参数'!$G$34),ISNUMBER(N224)),N224&lt;='参数'!$G$34,FALSE)+IF(AND(ISNUMBER('参数'!$I$34),ISNUMBER(S224)),S224&gt;='参数'!$I$34,FALSE)+IF(AND(ISNUMBER('参数'!$K$34),ISNUMBER(R224)),R224&gt;='参数'!$K$34,FALSE)),"")</f>
        <v/>
      </c>
      <c r="X224" s="40" t="str">
        <f>IF(AND(ISNUMBER(J224),ISNUMBER(K224)),IF(N(ISNUMBER('参数'!$E$35))+N(ISNUMBER('参数'!$G$35))+N(ISNUMBER('参数'!$I$35))=0,"",IF(AND(ISNUMBER('参数'!$E$35),ISNUMBER(N224),ISNUMBER(N223)),ROUND(N224-N223,6)&gt;='参数'!$E$35,FALSE)+IF(AND(ISNUMBER('参数'!$G$35),ISNUMBER(Q224),ISNUMBER(Q223)),ROUND(Q223-Q224,6)&gt;='参数'!$G$35,FALSE)+IF(AND(ISNUMBER('参数'!$I$35),ISNUMBER(S224),ISNUMBER(S223)),ROUND(S223-S224,6)&gt;='参数'!$I$35,FALSE)+IF(ISNUMBER(J223),J224&lt;J223,FALSE)),"")</f>
        <v/>
      </c>
      <c r="Y224" s="40" t="str">
        <f>IF(AND(ISNUMBER(J224),ISNUMBER(K224)),IF(N(ISNUMBER('参数'!$E$36))+N(ISNUMBER('参数'!$G$36))+N(ISNUMBER('参数'!$I$36))=0,"",IF(AND(ISNUMBER('参数'!$E$36),ISNUMBER(J223)),AND(J224&lt;='参数'!$E$36,J224&lt;J223),FALSE)+IF(ISNUMBER('参数'!$G$36),K224&gt;='参数'!$G$36,FALSE)+IF(AND(ISNUMBER('参数'!$I$36),ISNUMBER(S224)),S224&lt;'参数'!$I$36,FALSE)+IF(AND(ISNUMBER(R224),ISNUMBER(R223)),R224&lt;R223,FALSE)),"")</f>
        <v/>
      </c>
      <c r="Z224" s="41" t="str">
        <f>IF(NOT(AND(ISNUMBER(J224),ISNUMBER(K224))),"",IF(COUNT(T224:Y224)=0,"先填阈值",IF(MAX(AD224:AI224)=0,"不写",INDEX($T$4:$Y$4,MATCH(MAX(AD224:AI224),AD224:AI224,0))&amp;"·"&amp;IF(MAX(AD224:AI224)&gt;=200,"高","中")&amp;IF(LARGE(AD224:AI224,2)&gt;0,"（也像"&amp;INDEX($T$4:$Y$4,MATCH(LARGE(AD224:AI224,2),AD224:AI224,0))&amp;"·"&amp;IF(LARGE(AD224:AI224,2)&gt;=200,"高","中")&amp;"）",""))))</f>
        <v/>
      </c>
      <c r="AA224" s="27" t="n"/>
      <c r="AB224" s="32" t="n"/>
      <c r="AC224" s="16" t="n"/>
      <c r="AD224" s="40">
        <f>IF(N(T224)&gt;=3,IF(T224=4,2,1)*100+T224*10+6,0)</f>
        <v>0</v>
      </c>
      <c r="AE224" s="40">
        <f>IF(N(U224)&gt;=3,1*100+U224*10+1,0)</f>
        <v>0</v>
      </c>
      <c r="AF224" s="40">
        <f>IF(N(V224)&gt;=3,IF(V224=4,2,1)*100+V224*10+2,0)</f>
        <v>0</v>
      </c>
      <c r="AG224" s="40">
        <f>IF(N(W224)&gt;=3,1*100+W224*10+3,0)</f>
        <v>0</v>
      </c>
      <c r="AH224" s="40">
        <f>IF(N(X224)&gt;=3,1*100+X224*10+4,0)</f>
        <v>0</v>
      </c>
      <c r="AI224" s="40">
        <f>IF(N(Y224)&gt;=3,IF(AND(N(T224)&gt;=3,OR(N(T224)=4,N(Y224)&lt;=N(T224))),0,IF(Y224=4,2,1)*100+Y224*10+5),0)</f>
        <v>0</v>
      </c>
    </row>
    <row r="225">
      <c r="A225" s="31" t="n"/>
      <c r="B225" s="36" t="str">
        <f>IF(ISNUMBER(A225),"周"&amp;CHOOSE(WEEKDAY(A225,2),"一","二","三","四","五","六","日"),"")</f>
        <v/>
      </c>
      <c r="C225" s="37" t="n"/>
      <c r="D225" s="37" t="n"/>
      <c r="E225" s="37" t="n"/>
      <c r="F225" s="17" t="n"/>
      <c r="G225" s="38" t="str">
        <f>IF(AND(ISNUMBER(F225),ISNUMBER(F224)),IF(F224=0,"",F225/F224-1),"")</f>
        <v/>
      </c>
      <c r="H225" s="17" t="n"/>
      <c r="I225" s="17" t="n"/>
      <c r="J225" s="17" t="n"/>
      <c r="K225" s="17" t="n"/>
      <c r="L225" s="17" t="n"/>
      <c r="M225" s="17" t="n"/>
      <c r="N225" s="39" t="str">
        <f>IF(AND(ISNUMBER(L225),ISNUMBER(M225),N(L225)&gt;0),M225/L225,"")</f>
        <v/>
      </c>
      <c r="O225" s="17" t="n"/>
      <c r="P225" s="17" t="n"/>
      <c r="Q225" s="39" t="str">
        <f>IF(AND(ISNUMBER(O225),ISNUMBER(P225),N(O225)&gt;0),P225/O225,"")</f>
        <v/>
      </c>
      <c r="R225" s="17" t="n"/>
      <c r="S225" s="37" t="n"/>
      <c r="T225" s="40" t="str">
        <f>IF(AND(ISNUMBER(J225),ISNUMBER(K225)),IF(N(ISNUMBER('参数'!$E$31))+N(ISNUMBER('参数'!$G$31))+N(ISNUMBER('参数'!$I$31))+N(ISNUMBER('参数'!$K$31))=0,"",IF(ISNUMBER('参数'!$E$31),J225&lt;='参数'!$E$31,FALSE)+IF(ISNUMBER('参数'!$G$31),K225&gt;='参数'!$G$31,FALSE)+IF(AND(ISNUMBER('参数'!$I$31),ISNUMBER(N225)),N225&gt;='参数'!$I$31,FALSE)+IF(AND(ISNUMBER('参数'!$K$31),ISNUMBER(Q225)),Q225&lt;='参数'!$K$31,FALSE)),"")</f>
        <v/>
      </c>
      <c r="U225" s="40" t="str">
        <f>IF(AND(ISNUMBER(J225),ISNUMBER(K225)),IF(N(ISNUMBER('参数'!$G$32))+N(ISNUMBER('参数'!$I$32))+N(ISNUMBER('参数'!$K$32))=0,"",IF(AND(ISNUMBER(J224),ISNUMBER(J223)),AND(J225&gt;J224,J224&gt;J223),FALSE)+IF(ISNUMBER('参数'!$G$32),J225&lt;'参数'!$G$32,FALSE)+IF(AND(ISNUMBER('参数'!$I$32),ISNUMBER(Q225)),Q225&gt;='参数'!$I$32,FALSE)+IF(AND(ISNUMBER('参数'!$K$32),ISNUMBER(S225)),S225&gt;='参数'!$K$32,FALSE)),"")</f>
        <v/>
      </c>
      <c r="V225" s="40" t="str">
        <f>IF(AND(ISNUMBER(J225),ISNUMBER(K225)),IF(N(ISNUMBER('参数'!$E$33))+N(ISNUMBER('参数'!$G$33))+N(ISNUMBER('参数'!$I$33))+N(ISNUMBER('参数'!$K$33))=0,"",IF(AND(ISNUMBER('参数'!$E$33),ISNUMBER(J224)),AND(J225&gt;='参数'!$E$33,J225&gt;J224),FALSE)+IF(AND(ISNUMBER('参数'!$G$33),ISNUMBER(N225)),N225&lt;='参数'!$G$33,FALSE)+IF(AND(ISNUMBER('参数'!$I$33),ISNUMBER(Q225)),Q225&gt;='参数'!$I$33,FALSE)+IF(AND(ISNUMBER('参数'!$K$33),ISNUMBER(S225)),S225&gt;='参数'!$K$33,FALSE)),"")</f>
        <v/>
      </c>
      <c r="W225" s="40" t="str">
        <f>IF(AND(ISNUMBER(J225),ISNUMBER(K225)),IF(N(ISNUMBER('参数'!$E$34))+N(ISNUMBER('参数'!$G$34))+N(ISNUMBER('参数'!$I$34))+N(ISNUMBER('参数'!$K$34))=0,"",IF(ISNUMBER('参数'!$E$34),J225&gt;='参数'!$E$34,FALSE)+IF(AND(ISNUMBER('参数'!$G$34),ISNUMBER(N225)),N225&lt;='参数'!$G$34,FALSE)+IF(AND(ISNUMBER('参数'!$I$34),ISNUMBER(S225)),S225&gt;='参数'!$I$34,FALSE)+IF(AND(ISNUMBER('参数'!$K$34),ISNUMBER(R225)),R225&gt;='参数'!$K$34,FALSE)),"")</f>
        <v/>
      </c>
      <c r="X225" s="40" t="str">
        <f>IF(AND(ISNUMBER(J225),ISNUMBER(K225)),IF(N(ISNUMBER('参数'!$E$35))+N(ISNUMBER('参数'!$G$35))+N(ISNUMBER('参数'!$I$35))=0,"",IF(AND(ISNUMBER('参数'!$E$35),ISNUMBER(N225),ISNUMBER(N224)),ROUND(N225-N224,6)&gt;='参数'!$E$35,FALSE)+IF(AND(ISNUMBER('参数'!$G$35),ISNUMBER(Q225),ISNUMBER(Q224)),ROUND(Q224-Q225,6)&gt;='参数'!$G$35,FALSE)+IF(AND(ISNUMBER('参数'!$I$35),ISNUMBER(S225),ISNUMBER(S224)),ROUND(S224-S225,6)&gt;='参数'!$I$35,FALSE)+IF(ISNUMBER(J224),J225&lt;J224,FALSE)),"")</f>
        <v/>
      </c>
      <c r="Y225" s="40" t="str">
        <f>IF(AND(ISNUMBER(J225),ISNUMBER(K225)),IF(N(ISNUMBER('参数'!$E$36))+N(ISNUMBER('参数'!$G$36))+N(ISNUMBER('参数'!$I$36))=0,"",IF(AND(ISNUMBER('参数'!$E$36),ISNUMBER(J224)),AND(J225&lt;='参数'!$E$36,J225&lt;J224),FALSE)+IF(ISNUMBER('参数'!$G$36),K225&gt;='参数'!$G$36,FALSE)+IF(AND(ISNUMBER('参数'!$I$36),ISNUMBER(S225)),S225&lt;'参数'!$I$36,FALSE)+IF(AND(ISNUMBER(R225),ISNUMBER(R224)),R225&lt;R224,FALSE)),"")</f>
        <v/>
      </c>
      <c r="Z225" s="41" t="str">
        <f>IF(NOT(AND(ISNUMBER(J225),ISNUMBER(K225))),"",IF(COUNT(T225:Y225)=0,"先填阈值",IF(MAX(AD225:AI225)=0,"不写",INDEX($T$4:$Y$4,MATCH(MAX(AD225:AI225),AD225:AI225,0))&amp;"·"&amp;IF(MAX(AD225:AI225)&gt;=200,"高","中")&amp;IF(LARGE(AD225:AI225,2)&gt;0,"（也像"&amp;INDEX($T$4:$Y$4,MATCH(LARGE(AD225:AI225,2),AD225:AI225,0))&amp;"·"&amp;IF(LARGE(AD225:AI225,2)&gt;=200,"高","中")&amp;"）",""))))</f>
        <v/>
      </c>
      <c r="AA225" s="27" t="n"/>
      <c r="AB225" s="32" t="n"/>
      <c r="AC225" s="16" t="n"/>
      <c r="AD225" s="40">
        <f>IF(N(T225)&gt;=3,IF(T225=4,2,1)*100+T225*10+6,0)</f>
        <v>0</v>
      </c>
      <c r="AE225" s="40">
        <f>IF(N(U225)&gt;=3,1*100+U225*10+1,0)</f>
        <v>0</v>
      </c>
      <c r="AF225" s="40">
        <f>IF(N(V225)&gt;=3,IF(V225=4,2,1)*100+V225*10+2,0)</f>
        <v>0</v>
      </c>
      <c r="AG225" s="40">
        <f>IF(N(W225)&gt;=3,1*100+W225*10+3,0)</f>
        <v>0</v>
      </c>
      <c r="AH225" s="40">
        <f>IF(N(X225)&gt;=3,1*100+X225*10+4,0)</f>
        <v>0</v>
      </c>
      <c r="AI225" s="40">
        <f>IF(N(Y225)&gt;=3,IF(AND(N(T225)&gt;=3,OR(N(T225)=4,N(Y225)&lt;=N(T225))),0,IF(Y225=4,2,1)*100+Y225*10+5),0)</f>
        <v>0</v>
      </c>
    </row>
    <row r="226">
      <c r="A226" s="31" t="n"/>
      <c r="B226" s="36" t="str">
        <f>IF(ISNUMBER(A226),"周"&amp;CHOOSE(WEEKDAY(A226,2),"一","二","三","四","五","六","日"),"")</f>
        <v/>
      </c>
      <c r="C226" s="37" t="n"/>
      <c r="D226" s="37" t="n"/>
      <c r="E226" s="37" t="n"/>
      <c r="F226" s="17" t="n"/>
      <c r="G226" s="38" t="str">
        <f>IF(AND(ISNUMBER(F226),ISNUMBER(F225)),IF(F225=0,"",F226/F225-1),"")</f>
        <v/>
      </c>
      <c r="H226" s="17" t="n"/>
      <c r="I226" s="17" t="n"/>
      <c r="J226" s="17" t="n"/>
      <c r="K226" s="17" t="n"/>
      <c r="L226" s="17" t="n"/>
      <c r="M226" s="17" t="n"/>
      <c r="N226" s="39" t="str">
        <f>IF(AND(ISNUMBER(L226),ISNUMBER(M226),N(L226)&gt;0),M226/L226,"")</f>
        <v/>
      </c>
      <c r="O226" s="17" t="n"/>
      <c r="P226" s="17" t="n"/>
      <c r="Q226" s="39" t="str">
        <f>IF(AND(ISNUMBER(O226),ISNUMBER(P226),N(O226)&gt;0),P226/O226,"")</f>
        <v/>
      </c>
      <c r="R226" s="17" t="n"/>
      <c r="S226" s="37" t="n"/>
      <c r="T226" s="40" t="str">
        <f>IF(AND(ISNUMBER(J226),ISNUMBER(K226)),IF(N(ISNUMBER('参数'!$E$31))+N(ISNUMBER('参数'!$G$31))+N(ISNUMBER('参数'!$I$31))+N(ISNUMBER('参数'!$K$31))=0,"",IF(ISNUMBER('参数'!$E$31),J226&lt;='参数'!$E$31,FALSE)+IF(ISNUMBER('参数'!$G$31),K226&gt;='参数'!$G$31,FALSE)+IF(AND(ISNUMBER('参数'!$I$31),ISNUMBER(N226)),N226&gt;='参数'!$I$31,FALSE)+IF(AND(ISNUMBER('参数'!$K$31),ISNUMBER(Q226)),Q226&lt;='参数'!$K$31,FALSE)),"")</f>
        <v/>
      </c>
      <c r="U226" s="40" t="str">
        <f>IF(AND(ISNUMBER(J226),ISNUMBER(K226)),IF(N(ISNUMBER('参数'!$G$32))+N(ISNUMBER('参数'!$I$32))+N(ISNUMBER('参数'!$K$32))=0,"",IF(AND(ISNUMBER(J225),ISNUMBER(J224)),AND(J226&gt;J225,J225&gt;J224),FALSE)+IF(ISNUMBER('参数'!$G$32),J226&lt;'参数'!$G$32,FALSE)+IF(AND(ISNUMBER('参数'!$I$32),ISNUMBER(Q226)),Q226&gt;='参数'!$I$32,FALSE)+IF(AND(ISNUMBER('参数'!$K$32),ISNUMBER(S226)),S226&gt;='参数'!$K$32,FALSE)),"")</f>
        <v/>
      </c>
      <c r="V226" s="40" t="str">
        <f>IF(AND(ISNUMBER(J226),ISNUMBER(K226)),IF(N(ISNUMBER('参数'!$E$33))+N(ISNUMBER('参数'!$G$33))+N(ISNUMBER('参数'!$I$33))+N(ISNUMBER('参数'!$K$33))=0,"",IF(AND(ISNUMBER('参数'!$E$33),ISNUMBER(J225)),AND(J226&gt;='参数'!$E$33,J226&gt;J225),FALSE)+IF(AND(ISNUMBER('参数'!$G$33),ISNUMBER(N226)),N226&lt;='参数'!$G$33,FALSE)+IF(AND(ISNUMBER('参数'!$I$33),ISNUMBER(Q226)),Q226&gt;='参数'!$I$33,FALSE)+IF(AND(ISNUMBER('参数'!$K$33),ISNUMBER(S226)),S226&gt;='参数'!$K$33,FALSE)),"")</f>
        <v/>
      </c>
      <c r="W226" s="40" t="str">
        <f>IF(AND(ISNUMBER(J226),ISNUMBER(K226)),IF(N(ISNUMBER('参数'!$E$34))+N(ISNUMBER('参数'!$G$34))+N(ISNUMBER('参数'!$I$34))+N(ISNUMBER('参数'!$K$34))=0,"",IF(ISNUMBER('参数'!$E$34),J226&gt;='参数'!$E$34,FALSE)+IF(AND(ISNUMBER('参数'!$G$34),ISNUMBER(N226)),N226&lt;='参数'!$G$34,FALSE)+IF(AND(ISNUMBER('参数'!$I$34),ISNUMBER(S226)),S226&gt;='参数'!$I$34,FALSE)+IF(AND(ISNUMBER('参数'!$K$34),ISNUMBER(R226)),R226&gt;='参数'!$K$34,FALSE)),"")</f>
        <v/>
      </c>
      <c r="X226" s="40" t="str">
        <f>IF(AND(ISNUMBER(J226),ISNUMBER(K226)),IF(N(ISNUMBER('参数'!$E$35))+N(ISNUMBER('参数'!$G$35))+N(ISNUMBER('参数'!$I$35))=0,"",IF(AND(ISNUMBER('参数'!$E$35),ISNUMBER(N226),ISNUMBER(N225)),ROUND(N226-N225,6)&gt;='参数'!$E$35,FALSE)+IF(AND(ISNUMBER('参数'!$G$35),ISNUMBER(Q226),ISNUMBER(Q225)),ROUND(Q225-Q226,6)&gt;='参数'!$G$35,FALSE)+IF(AND(ISNUMBER('参数'!$I$35),ISNUMBER(S226),ISNUMBER(S225)),ROUND(S225-S226,6)&gt;='参数'!$I$35,FALSE)+IF(ISNUMBER(J225),J226&lt;J225,FALSE)),"")</f>
        <v/>
      </c>
      <c r="Y226" s="40" t="str">
        <f>IF(AND(ISNUMBER(J226),ISNUMBER(K226)),IF(N(ISNUMBER('参数'!$E$36))+N(ISNUMBER('参数'!$G$36))+N(ISNUMBER('参数'!$I$36))=0,"",IF(AND(ISNUMBER('参数'!$E$36),ISNUMBER(J225)),AND(J226&lt;='参数'!$E$36,J226&lt;J225),FALSE)+IF(ISNUMBER('参数'!$G$36),K226&gt;='参数'!$G$36,FALSE)+IF(AND(ISNUMBER('参数'!$I$36),ISNUMBER(S226)),S226&lt;'参数'!$I$36,FALSE)+IF(AND(ISNUMBER(R226),ISNUMBER(R225)),R226&lt;R225,FALSE)),"")</f>
        <v/>
      </c>
      <c r="Z226" s="41" t="str">
        <f>IF(NOT(AND(ISNUMBER(J226),ISNUMBER(K226))),"",IF(COUNT(T226:Y226)=0,"先填阈值",IF(MAX(AD226:AI226)=0,"不写",INDEX($T$4:$Y$4,MATCH(MAX(AD226:AI226),AD226:AI226,0))&amp;"·"&amp;IF(MAX(AD226:AI226)&gt;=200,"高","中")&amp;IF(LARGE(AD226:AI226,2)&gt;0,"（也像"&amp;INDEX($T$4:$Y$4,MATCH(LARGE(AD226:AI226,2),AD226:AI226,0))&amp;"·"&amp;IF(LARGE(AD226:AI226,2)&gt;=200,"高","中")&amp;"）",""))))</f>
        <v/>
      </c>
      <c r="AA226" s="27" t="n"/>
      <c r="AB226" s="32" t="n"/>
      <c r="AC226" s="16" t="n"/>
      <c r="AD226" s="40">
        <f>IF(N(T226)&gt;=3,IF(T226=4,2,1)*100+T226*10+6,0)</f>
        <v>0</v>
      </c>
      <c r="AE226" s="40">
        <f>IF(N(U226)&gt;=3,1*100+U226*10+1,0)</f>
        <v>0</v>
      </c>
      <c r="AF226" s="40">
        <f>IF(N(V226)&gt;=3,IF(V226=4,2,1)*100+V226*10+2,0)</f>
        <v>0</v>
      </c>
      <c r="AG226" s="40">
        <f>IF(N(W226)&gt;=3,1*100+W226*10+3,0)</f>
        <v>0</v>
      </c>
      <c r="AH226" s="40">
        <f>IF(N(X226)&gt;=3,1*100+X226*10+4,0)</f>
        <v>0</v>
      </c>
      <c r="AI226" s="40">
        <f>IF(N(Y226)&gt;=3,IF(AND(N(T226)&gt;=3,OR(N(T226)=4,N(Y226)&lt;=N(T226))),0,IF(Y226=4,2,1)*100+Y226*10+5),0)</f>
        <v>0</v>
      </c>
    </row>
    <row r="227">
      <c r="A227" s="31" t="n"/>
      <c r="B227" s="36" t="str">
        <f>IF(ISNUMBER(A227),"周"&amp;CHOOSE(WEEKDAY(A227,2),"一","二","三","四","五","六","日"),"")</f>
        <v/>
      </c>
      <c r="C227" s="37" t="n"/>
      <c r="D227" s="37" t="n"/>
      <c r="E227" s="37" t="n"/>
      <c r="F227" s="17" t="n"/>
      <c r="G227" s="38" t="str">
        <f>IF(AND(ISNUMBER(F227),ISNUMBER(F226)),IF(F226=0,"",F227/F226-1),"")</f>
        <v/>
      </c>
      <c r="H227" s="17" t="n"/>
      <c r="I227" s="17" t="n"/>
      <c r="J227" s="17" t="n"/>
      <c r="K227" s="17" t="n"/>
      <c r="L227" s="17" t="n"/>
      <c r="M227" s="17" t="n"/>
      <c r="N227" s="39" t="str">
        <f>IF(AND(ISNUMBER(L227),ISNUMBER(M227),N(L227)&gt;0),M227/L227,"")</f>
        <v/>
      </c>
      <c r="O227" s="17" t="n"/>
      <c r="P227" s="17" t="n"/>
      <c r="Q227" s="39" t="str">
        <f>IF(AND(ISNUMBER(O227),ISNUMBER(P227),N(O227)&gt;0),P227/O227,"")</f>
        <v/>
      </c>
      <c r="R227" s="17" t="n"/>
      <c r="S227" s="37" t="n"/>
      <c r="T227" s="40" t="str">
        <f>IF(AND(ISNUMBER(J227),ISNUMBER(K227)),IF(N(ISNUMBER('参数'!$E$31))+N(ISNUMBER('参数'!$G$31))+N(ISNUMBER('参数'!$I$31))+N(ISNUMBER('参数'!$K$31))=0,"",IF(ISNUMBER('参数'!$E$31),J227&lt;='参数'!$E$31,FALSE)+IF(ISNUMBER('参数'!$G$31),K227&gt;='参数'!$G$31,FALSE)+IF(AND(ISNUMBER('参数'!$I$31),ISNUMBER(N227)),N227&gt;='参数'!$I$31,FALSE)+IF(AND(ISNUMBER('参数'!$K$31),ISNUMBER(Q227)),Q227&lt;='参数'!$K$31,FALSE)),"")</f>
        <v/>
      </c>
      <c r="U227" s="40" t="str">
        <f>IF(AND(ISNUMBER(J227),ISNUMBER(K227)),IF(N(ISNUMBER('参数'!$G$32))+N(ISNUMBER('参数'!$I$32))+N(ISNUMBER('参数'!$K$32))=0,"",IF(AND(ISNUMBER(J226),ISNUMBER(J225)),AND(J227&gt;J226,J226&gt;J225),FALSE)+IF(ISNUMBER('参数'!$G$32),J227&lt;'参数'!$G$32,FALSE)+IF(AND(ISNUMBER('参数'!$I$32),ISNUMBER(Q227)),Q227&gt;='参数'!$I$32,FALSE)+IF(AND(ISNUMBER('参数'!$K$32),ISNUMBER(S227)),S227&gt;='参数'!$K$32,FALSE)),"")</f>
        <v/>
      </c>
      <c r="V227" s="40" t="str">
        <f>IF(AND(ISNUMBER(J227),ISNUMBER(K227)),IF(N(ISNUMBER('参数'!$E$33))+N(ISNUMBER('参数'!$G$33))+N(ISNUMBER('参数'!$I$33))+N(ISNUMBER('参数'!$K$33))=0,"",IF(AND(ISNUMBER('参数'!$E$33),ISNUMBER(J226)),AND(J227&gt;='参数'!$E$33,J227&gt;J226),FALSE)+IF(AND(ISNUMBER('参数'!$G$33),ISNUMBER(N227)),N227&lt;='参数'!$G$33,FALSE)+IF(AND(ISNUMBER('参数'!$I$33),ISNUMBER(Q227)),Q227&gt;='参数'!$I$33,FALSE)+IF(AND(ISNUMBER('参数'!$K$33),ISNUMBER(S227)),S227&gt;='参数'!$K$33,FALSE)),"")</f>
        <v/>
      </c>
      <c r="W227" s="40" t="str">
        <f>IF(AND(ISNUMBER(J227),ISNUMBER(K227)),IF(N(ISNUMBER('参数'!$E$34))+N(ISNUMBER('参数'!$G$34))+N(ISNUMBER('参数'!$I$34))+N(ISNUMBER('参数'!$K$34))=0,"",IF(ISNUMBER('参数'!$E$34),J227&gt;='参数'!$E$34,FALSE)+IF(AND(ISNUMBER('参数'!$G$34),ISNUMBER(N227)),N227&lt;='参数'!$G$34,FALSE)+IF(AND(ISNUMBER('参数'!$I$34),ISNUMBER(S227)),S227&gt;='参数'!$I$34,FALSE)+IF(AND(ISNUMBER('参数'!$K$34),ISNUMBER(R227)),R227&gt;='参数'!$K$34,FALSE)),"")</f>
        <v/>
      </c>
      <c r="X227" s="40" t="str">
        <f>IF(AND(ISNUMBER(J227),ISNUMBER(K227)),IF(N(ISNUMBER('参数'!$E$35))+N(ISNUMBER('参数'!$G$35))+N(ISNUMBER('参数'!$I$35))=0,"",IF(AND(ISNUMBER('参数'!$E$35),ISNUMBER(N227),ISNUMBER(N226)),ROUND(N227-N226,6)&gt;='参数'!$E$35,FALSE)+IF(AND(ISNUMBER('参数'!$G$35),ISNUMBER(Q227),ISNUMBER(Q226)),ROUND(Q226-Q227,6)&gt;='参数'!$G$35,FALSE)+IF(AND(ISNUMBER('参数'!$I$35),ISNUMBER(S227),ISNUMBER(S226)),ROUND(S226-S227,6)&gt;='参数'!$I$35,FALSE)+IF(ISNUMBER(J226),J227&lt;J226,FALSE)),"")</f>
        <v/>
      </c>
      <c r="Y227" s="40" t="str">
        <f>IF(AND(ISNUMBER(J227),ISNUMBER(K227)),IF(N(ISNUMBER('参数'!$E$36))+N(ISNUMBER('参数'!$G$36))+N(ISNUMBER('参数'!$I$36))=0,"",IF(AND(ISNUMBER('参数'!$E$36),ISNUMBER(J226)),AND(J227&lt;='参数'!$E$36,J227&lt;J226),FALSE)+IF(ISNUMBER('参数'!$G$36),K227&gt;='参数'!$G$36,FALSE)+IF(AND(ISNUMBER('参数'!$I$36),ISNUMBER(S227)),S227&lt;'参数'!$I$36,FALSE)+IF(AND(ISNUMBER(R227),ISNUMBER(R226)),R227&lt;R226,FALSE)),"")</f>
        <v/>
      </c>
      <c r="Z227" s="41" t="str">
        <f>IF(NOT(AND(ISNUMBER(J227),ISNUMBER(K227))),"",IF(COUNT(T227:Y227)=0,"先填阈值",IF(MAX(AD227:AI227)=0,"不写",INDEX($T$4:$Y$4,MATCH(MAX(AD227:AI227),AD227:AI227,0))&amp;"·"&amp;IF(MAX(AD227:AI227)&gt;=200,"高","中")&amp;IF(LARGE(AD227:AI227,2)&gt;0,"（也像"&amp;INDEX($T$4:$Y$4,MATCH(LARGE(AD227:AI227,2),AD227:AI227,0))&amp;"·"&amp;IF(LARGE(AD227:AI227,2)&gt;=200,"高","中")&amp;"）",""))))</f>
        <v/>
      </c>
      <c r="AA227" s="27" t="n"/>
      <c r="AB227" s="32" t="n"/>
      <c r="AC227" s="16" t="n"/>
      <c r="AD227" s="40">
        <f>IF(N(T227)&gt;=3,IF(T227=4,2,1)*100+T227*10+6,0)</f>
        <v>0</v>
      </c>
      <c r="AE227" s="40">
        <f>IF(N(U227)&gt;=3,1*100+U227*10+1,0)</f>
        <v>0</v>
      </c>
      <c r="AF227" s="40">
        <f>IF(N(V227)&gt;=3,IF(V227=4,2,1)*100+V227*10+2,0)</f>
        <v>0</v>
      </c>
      <c r="AG227" s="40">
        <f>IF(N(W227)&gt;=3,1*100+W227*10+3,0)</f>
        <v>0</v>
      </c>
      <c r="AH227" s="40">
        <f>IF(N(X227)&gt;=3,1*100+X227*10+4,0)</f>
        <v>0</v>
      </c>
      <c r="AI227" s="40">
        <f>IF(N(Y227)&gt;=3,IF(AND(N(T227)&gt;=3,OR(N(T227)=4,N(Y227)&lt;=N(T227))),0,IF(Y227=4,2,1)*100+Y227*10+5),0)</f>
        <v>0</v>
      </c>
    </row>
    <row r="228">
      <c r="A228" s="31" t="n"/>
      <c r="B228" s="36" t="str">
        <f>IF(ISNUMBER(A228),"周"&amp;CHOOSE(WEEKDAY(A228,2),"一","二","三","四","五","六","日"),"")</f>
        <v/>
      </c>
      <c r="C228" s="37" t="n"/>
      <c r="D228" s="37" t="n"/>
      <c r="E228" s="37" t="n"/>
      <c r="F228" s="17" t="n"/>
      <c r="G228" s="38" t="str">
        <f>IF(AND(ISNUMBER(F228),ISNUMBER(F227)),IF(F227=0,"",F228/F227-1),"")</f>
        <v/>
      </c>
      <c r="H228" s="17" t="n"/>
      <c r="I228" s="17" t="n"/>
      <c r="J228" s="17" t="n"/>
      <c r="K228" s="17" t="n"/>
      <c r="L228" s="17" t="n"/>
      <c r="M228" s="17" t="n"/>
      <c r="N228" s="39" t="str">
        <f>IF(AND(ISNUMBER(L228),ISNUMBER(M228),N(L228)&gt;0),M228/L228,"")</f>
        <v/>
      </c>
      <c r="O228" s="17" t="n"/>
      <c r="P228" s="17" t="n"/>
      <c r="Q228" s="39" t="str">
        <f>IF(AND(ISNUMBER(O228),ISNUMBER(P228),N(O228)&gt;0),P228/O228,"")</f>
        <v/>
      </c>
      <c r="R228" s="17" t="n"/>
      <c r="S228" s="37" t="n"/>
      <c r="T228" s="40" t="str">
        <f>IF(AND(ISNUMBER(J228),ISNUMBER(K228)),IF(N(ISNUMBER('参数'!$E$31))+N(ISNUMBER('参数'!$G$31))+N(ISNUMBER('参数'!$I$31))+N(ISNUMBER('参数'!$K$31))=0,"",IF(ISNUMBER('参数'!$E$31),J228&lt;='参数'!$E$31,FALSE)+IF(ISNUMBER('参数'!$G$31),K228&gt;='参数'!$G$31,FALSE)+IF(AND(ISNUMBER('参数'!$I$31),ISNUMBER(N228)),N228&gt;='参数'!$I$31,FALSE)+IF(AND(ISNUMBER('参数'!$K$31),ISNUMBER(Q228)),Q228&lt;='参数'!$K$31,FALSE)),"")</f>
        <v/>
      </c>
      <c r="U228" s="40" t="str">
        <f>IF(AND(ISNUMBER(J228),ISNUMBER(K228)),IF(N(ISNUMBER('参数'!$G$32))+N(ISNUMBER('参数'!$I$32))+N(ISNUMBER('参数'!$K$32))=0,"",IF(AND(ISNUMBER(J227),ISNUMBER(J226)),AND(J228&gt;J227,J227&gt;J226),FALSE)+IF(ISNUMBER('参数'!$G$32),J228&lt;'参数'!$G$32,FALSE)+IF(AND(ISNUMBER('参数'!$I$32),ISNUMBER(Q228)),Q228&gt;='参数'!$I$32,FALSE)+IF(AND(ISNUMBER('参数'!$K$32),ISNUMBER(S228)),S228&gt;='参数'!$K$32,FALSE)),"")</f>
        <v/>
      </c>
      <c r="V228" s="40" t="str">
        <f>IF(AND(ISNUMBER(J228),ISNUMBER(K228)),IF(N(ISNUMBER('参数'!$E$33))+N(ISNUMBER('参数'!$G$33))+N(ISNUMBER('参数'!$I$33))+N(ISNUMBER('参数'!$K$33))=0,"",IF(AND(ISNUMBER('参数'!$E$33),ISNUMBER(J227)),AND(J228&gt;='参数'!$E$33,J228&gt;J227),FALSE)+IF(AND(ISNUMBER('参数'!$G$33),ISNUMBER(N228)),N228&lt;='参数'!$G$33,FALSE)+IF(AND(ISNUMBER('参数'!$I$33),ISNUMBER(Q228)),Q228&gt;='参数'!$I$33,FALSE)+IF(AND(ISNUMBER('参数'!$K$33),ISNUMBER(S228)),S228&gt;='参数'!$K$33,FALSE)),"")</f>
        <v/>
      </c>
      <c r="W228" s="40" t="str">
        <f>IF(AND(ISNUMBER(J228),ISNUMBER(K228)),IF(N(ISNUMBER('参数'!$E$34))+N(ISNUMBER('参数'!$G$34))+N(ISNUMBER('参数'!$I$34))+N(ISNUMBER('参数'!$K$34))=0,"",IF(ISNUMBER('参数'!$E$34),J228&gt;='参数'!$E$34,FALSE)+IF(AND(ISNUMBER('参数'!$G$34),ISNUMBER(N228)),N228&lt;='参数'!$G$34,FALSE)+IF(AND(ISNUMBER('参数'!$I$34),ISNUMBER(S228)),S228&gt;='参数'!$I$34,FALSE)+IF(AND(ISNUMBER('参数'!$K$34),ISNUMBER(R228)),R228&gt;='参数'!$K$34,FALSE)),"")</f>
        <v/>
      </c>
      <c r="X228" s="40" t="str">
        <f>IF(AND(ISNUMBER(J228),ISNUMBER(K228)),IF(N(ISNUMBER('参数'!$E$35))+N(ISNUMBER('参数'!$G$35))+N(ISNUMBER('参数'!$I$35))=0,"",IF(AND(ISNUMBER('参数'!$E$35),ISNUMBER(N228),ISNUMBER(N227)),ROUND(N228-N227,6)&gt;='参数'!$E$35,FALSE)+IF(AND(ISNUMBER('参数'!$G$35),ISNUMBER(Q228),ISNUMBER(Q227)),ROUND(Q227-Q228,6)&gt;='参数'!$G$35,FALSE)+IF(AND(ISNUMBER('参数'!$I$35),ISNUMBER(S228),ISNUMBER(S227)),ROUND(S227-S228,6)&gt;='参数'!$I$35,FALSE)+IF(ISNUMBER(J227),J228&lt;J227,FALSE)),"")</f>
        <v/>
      </c>
      <c r="Y228" s="40" t="str">
        <f>IF(AND(ISNUMBER(J228),ISNUMBER(K228)),IF(N(ISNUMBER('参数'!$E$36))+N(ISNUMBER('参数'!$G$36))+N(ISNUMBER('参数'!$I$36))=0,"",IF(AND(ISNUMBER('参数'!$E$36),ISNUMBER(J227)),AND(J228&lt;='参数'!$E$36,J228&lt;J227),FALSE)+IF(ISNUMBER('参数'!$G$36),K228&gt;='参数'!$G$36,FALSE)+IF(AND(ISNUMBER('参数'!$I$36),ISNUMBER(S228)),S228&lt;'参数'!$I$36,FALSE)+IF(AND(ISNUMBER(R228),ISNUMBER(R227)),R228&lt;R227,FALSE)),"")</f>
        <v/>
      </c>
      <c r="Z228" s="41" t="str">
        <f>IF(NOT(AND(ISNUMBER(J228),ISNUMBER(K228))),"",IF(COUNT(T228:Y228)=0,"先填阈值",IF(MAX(AD228:AI228)=0,"不写",INDEX($T$4:$Y$4,MATCH(MAX(AD228:AI228),AD228:AI228,0))&amp;"·"&amp;IF(MAX(AD228:AI228)&gt;=200,"高","中")&amp;IF(LARGE(AD228:AI228,2)&gt;0,"（也像"&amp;INDEX($T$4:$Y$4,MATCH(LARGE(AD228:AI228,2),AD228:AI228,0))&amp;"·"&amp;IF(LARGE(AD228:AI228,2)&gt;=200,"高","中")&amp;"）",""))))</f>
        <v/>
      </c>
      <c r="AA228" s="27" t="n"/>
      <c r="AB228" s="32" t="n"/>
      <c r="AC228" s="16" t="n"/>
      <c r="AD228" s="40">
        <f>IF(N(T228)&gt;=3,IF(T228=4,2,1)*100+T228*10+6,0)</f>
        <v>0</v>
      </c>
      <c r="AE228" s="40">
        <f>IF(N(U228)&gt;=3,1*100+U228*10+1,0)</f>
        <v>0</v>
      </c>
      <c r="AF228" s="40">
        <f>IF(N(V228)&gt;=3,IF(V228=4,2,1)*100+V228*10+2,0)</f>
        <v>0</v>
      </c>
      <c r="AG228" s="40">
        <f>IF(N(W228)&gt;=3,1*100+W228*10+3,0)</f>
        <v>0</v>
      </c>
      <c r="AH228" s="40">
        <f>IF(N(X228)&gt;=3,1*100+X228*10+4,0)</f>
        <v>0</v>
      </c>
      <c r="AI228" s="40">
        <f>IF(N(Y228)&gt;=3,IF(AND(N(T228)&gt;=3,OR(N(T228)=4,N(Y228)&lt;=N(T228))),0,IF(Y228=4,2,1)*100+Y228*10+5),0)</f>
        <v>0</v>
      </c>
    </row>
    <row r="229">
      <c r="A229" s="31" t="n"/>
      <c r="B229" s="36" t="str">
        <f>IF(ISNUMBER(A229),"周"&amp;CHOOSE(WEEKDAY(A229,2),"一","二","三","四","五","六","日"),"")</f>
        <v/>
      </c>
      <c r="C229" s="37" t="n"/>
      <c r="D229" s="37" t="n"/>
      <c r="E229" s="37" t="n"/>
      <c r="F229" s="17" t="n"/>
      <c r="G229" s="38" t="str">
        <f>IF(AND(ISNUMBER(F229),ISNUMBER(F228)),IF(F228=0,"",F229/F228-1),"")</f>
        <v/>
      </c>
      <c r="H229" s="17" t="n"/>
      <c r="I229" s="17" t="n"/>
      <c r="J229" s="17" t="n"/>
      <c r="K229" s="17" t="n"/>
      <c r="L229" s="17" t="n"/>
      <c r="M229" s="17" t="n"/>
      <c r="N229" s="39" t="str">
        <f>IF(AND(ISNUMBER(L229),ISNUMBER(M229),N(L229)&gt;0),M229/L229,"")</f>
        <v/>
      </c>
      <c r="O229" s="17" t="n"/>
      <c r="P229" s="17" t="n"/>
      <c r="Q229" s="39" t="str">
        <f>IF(AND(ISNUMBER(O229),ISNUMBER(P229),N(O229)&gt;0),P229/O229,"")</f>
        <v/>
      </c>
      <c r="R229" s="17" t="n"/>
      <c r="S229" s="37" t="n"/>
      <c r="T229" s="40" t="str">
        <f>IF(AND(ISNUMBER(J229),ISNUMBER(K229)),IF(N(ISNUMBER('参数'!$E$31))+N(ISNUMBER('参数'!$G$31))+N(ISNUMBER('参数'!$I$31))+N(ISNUMBER('参数'!$K$31))=0,"",IF(ISNUMBER('参数'!$E$31),J229&lt;='参数'!$E$31,FALSE)+IF(ISNUMBER('参数'!$G$31),K229&gt;='参数'!$G$31,FALSE)+IF(AND(ISNUMBER('参数'!$I$31),ISNUMBER(N229)),N229&gt;='参数'!$I$31,FALSE)+IF(AND(ISNUMBER('参数'!$K$31),ISNUMBER(Q229)),Q229&lt;='参数'!$K$31,FALSE)),"")</f>
        <v/>
      </c>
      <c r="U229" s="40" t="str">
        <f>IF(AND(ISNUMBER(J229),ISNUMBER(K229)),IF(N(ISNUMBER('参数'!$G$32))+N(ISNUMBER('参数'!$I$32))+N(ISNUMBER('参数'!$K$32))=0,"",IF(AND(ISNUMBER(J228),ISNUMBER(J227)),AND(J229&gt;J228,J228&gt;J227),FALSE)+IF(ISNUMBER('参数'!$G$32),J229&lt;'参数'!$G$32,FALSE)+IF(AND(ISNUMBER('参数'!$I$32),ISNUMBER(Q229)),Q229&gt;='参数'!$I$32,FALSE)+IF(AND(ISNUMBER('参数'!$K$32),ISNUMBER(S229)),S229&gt;='参数'!$K$32,FALSE)),"")</f>
        <v/>
      </c>
      <c r="V229" s="40" t="str">
        <f>IF(AND(ISNUMBER(J229),ISNUMBER(K229)),IF(N(ISNUMBER('参数'!$E$33))+N(ISNUMBER('参数'!$G$33))+N(ISNUMBER('参数'!$I$33))+N(ISNUMBER('参数'!$K$33))=0,"",IF(AND(ISNUMBER('参数'!$E$33),ISNUMBER(J228)),AND(J229&gt;='参数'!$E$33,J229&gt;J228),FALSE)+IF(AND(ISNUMBER('参数'!$G$33),ISNUMBER(N229)),N229&lt;='参数'!$G$33,FALSE)+IF(AND(ISNUMBER('参数'!$I$33),ISNUMBER(Q229)),Q229&gt;='参数'!$I$33,FALSE)+IF(AND(ISNUMBER('参数'!$K$33),ISNUMBER(S229)),S229&gt;='参数'!$K$33,FALSE)),"")</f>
        <v/>
      </c>
      <c r="W229" s="40" t="str">
        <f>IF(AND(ISNUMBER(J229),ISNUMBER(K229)),IF(N(ISNUMBER('参数'!$E$34))+N(ISNUMBER('参数'!$G$34))+N(ISNUMBER('参数'!$I$34))+N(ISNUMBER('参数'!$K$34))=0,"",IF(ISNUMBER('参数'!$E$34),J229&gt;='参数'!$E$34,FALSE)+IF(AND(ISNUMBER('参数'!$G$34),ISNUMBER(N229)),N229&lt;='参数'!$G$34,FALSE)+IF(AND(ISNUMBER('参数'!$I$34),ISNUMBER(S229)),S229&gt;='参数'!$I$34,FALSE)+IF(AND(ISNUMBER('参数'!$K$34),ISNUMBER(R229)),R229&gt;='参数'!$K$34,FALSE)),"")</f>
        <v/>
      </c>
      <c r="X229" s="40" t="str">
        <f>IF(AND(ISNUMBER(J229),ISNUMBER(K229)),IF(N(ISNUMBER('参数'!$E$35))+N(ISNUMBER('参数'!$G$35))+N(ISNUMBER('参数'!$I$35))=0,"",IF(AND(ISNUMBER('参数'!$E$35),ISNUMBER(N229),ISNUMBER(N228)),ROUND(N229-N228,6)&gt;='参数'!$E$35,FALSE)+IF(AND(ISNUMBER('参数'!$G$35),ISNUMBER(Q229),ISNUMBER(Q228)),ROUND(Q228-Q229,6)&gt;='参数'!$G$35,FALSE)+IF(AND(ISNUMBER('参数'!$I$35),ISNUMBER(S229),ISNUMBER(S228)),ROUND(S228-S229,6)&gt;='参数'!$I$35,FALSE)+IF(ISNUMBER(J228),J229&lt;J228,FALSE)),"")</f>
        <v/>
      </c>
      <c r="Y229" s="40" t="str">
        <f>IF(AND(ISNUMBER(J229),ISNUMBER(K229)),IF(N(ISNUMBER('参数'!$E$36))+N(ISNUMBER('参数'!$G$36))+N(ISNUMBER('参数'!$I$36))=0,"",IF(AND(ISNUMBER('参数'!$E$36),ISNUMBER(J228)),AND(J229&lt;='参数'!$E$36,J229&lt;J228),FALSE)+IF(ISNUMBER('参数'!$G$36),K229&gt;='参数'!$G$36,FALSE)+IF(AND(ISNUMBER('参数'!$I$36),ISNUMBER(S229)),S229&lt;'参数'!$I$36,FALSE)+IF(AND(ISNUMBER(R229),ISNUMBER(R228)),R229&lt;R228,FALSE)),"")</f>
        <v/>
      </c>
      <c r="Z229" s="41" t="str">
        <f>IF(NOT(AND(ISNUMBER(J229),ISNUMBER(K229))),"",IF(COUNT(T229:Y229)=0,"先填阈值",IF(MAX(AD229:AI229)=0,"不写",INDEX($T$4:$Y$4,MATCH(MAX(AD229:AI229),AD229:AI229,0))&amp;"·"&amp;IF(MAX(AD229:AI229)&gt;=200,"高","中")&amp;IF(LARGE(AD229:AI229,2)&gt;0,"（也像"&amp;INDEX($T$4:$Y$4,MATCH(LARGE(AD229:AI229,2),AD229:AI229,0))&amp;"·"&amp;IF(LARGE(AD229:AI229,2)&gt;=200,"高","中")&amp;"）",""))))</f>
        <v/>
      </c>
      <c r="AA229" s="27" t="n"/>
      <c r="AB229" s="32" t="n"/>
      <c r="AC229" s="16" t="n"/>
      <c r="AD229" s="40">
        <f>IF(N(T229)&gt;=3,IF(T229=4,2,1)*100+T229*10+6,0)</f>
        <v>0</v>
      </c>
      <c r="AE229" s="40">
        <f>IF(N(U229)&gt;=3,1*100+U229*10+1,0)</f>
        <v>0</v>
      </c>
      <c r="AF229" s="40">
        <f>IF(N(V229)&gt;=3,IF(V229=4,2,1)*100+V229*10+2,0)</f>
        <v>0</v>
      </c>
      <c r="AG229" s="40">
        <f>IF(N(W229)&gt;=3,1*100+W229*10+3,0)</f>
        <v>0</v>
      </c>
      <c r="AH229" s="40">
        <f>IF(N(X229)&gt;=3,1*100+X229*10+4,0)</f>
        <v>0</v>
      </c>
      <c r="AI229" s="40">
        <f>IF(N(Y229)&gt;=3,IF(AND(N(T229)&gt;=3,OR(N(T229)=4,N(Y229)&lt;=N(T229))),0,IF(Y229=4,2,1)*100+Y229*10+5),0)</f>
        <v>0</v>
      </c>
    </row>
    <row r="230">
      <c r="A230" s="31" t="n"/>
      <c r="B230" s="36" t="str">
        <f>IF(ISNUMBER(A230),"周"&amp;CHOOSE(WEEKDAY(A230,2),"一","二","三","四","五","六","日"),"")</f>
        <v/>
      </c>
      <c r="C230" s="37" t="n"/>
      <c r="D230" s="37" t="n"/>
      <c r="E230" s="37" t="n"/>
      <c r="F230" s="17" t="n"/>
      <c r="G230" s="38" t="str">
        <f>IF(AND(ISNUMBER(F230),ISNUMBER(F229)),IF(F229=0,"",F230/F229-1),"")</f>
        <v/>
      </c>
      <c r="H230" s="17" t="n"/>
      <c r="I230" s="17" t="n"/>
      <c r="J230" s="17" t="n"/>
      <c r="K230" s="17" t="n"/>
      <c r="L230" s="17" t="n"/>
      <c r="M230" s="17" t="n"/>
      <c r="N230" s="39" t="str">
        <f>IF(AND(ISNUMBER(L230),ISNUMBER(M230),N(L230)&gt;0),M230/L230,"")</f>
        <v/>
      </c>
      <c r="O230" s="17" t="n"/>
      <c r="P230" s="17" t="n"/>
      <c r="Q230" s="39" t="str">
        <f>IF(AND(ISNUMBER(O230),ISNUMBER(P230),N(O230)&gt;0),P230/O230,"")</f>
        <v/>
      </c>
      <c r="R230" s="17" t="n"/>
      <c r="S230" s="37" t="n"/>
      <c r="T230" s="40" t="str">
        <f>IF(AND(ISNUMBER(J230),ISNUMBER(K230)),IF(N(ISNUMBER('参数'!$E$31))+N(ISNUMBER('参数'!$G$31))+N(ISNUMBER('参数'!$I$31))+N(ISNUMBER('参数'!$K$31))=0,"",IF(ISNUMBER('参数'!$E$31),J230&lt;='参数'!$E$31,FALSE)+IF(ISNUMBER('参数'!$G$31),K230&gt;='参数'!$G$31,FALSE)+IF(AND(ISNUMBER('参数'!$I$31),ISNUMBER(N230)),N230&gt;='参数'!$I$31,FALSE)+IF(AND(ISNUMBER('参数'!$K$31),ISNUMBER(Q230)),Q230&lt;='参数'!$K$31,FALSE)),"")</f>
        <v/>
      </c>
      <c r="U230" s="40" t="str">
        <f>IF(AND(ISNUMBER(J230),ISNUMBER(K230)),IF(N(ISNUMBER('参数'!$G$32))+N(ISNUMBER('参数'!$I$32))+N(ISNUMBER('参数'!$K$32))=0,"",IF(AND(ISNUMBER(J229),ISNUMBER(J228)),AND(J230&gt;J229,J229&gt;J228),FALSE)+IF(ISNUMBER('参数'!$G$32),J230&lt;'参数'!$G$32,FALSE)+IF(AND(ISNUMBER('参数'!$I$32),ISNUMBER(Q230)),Q230&gt;='参数'!$I$32,FALSE)+IF(AND(ISNUMBER('参数'!$K$32),ISNUMBER(S230)),S230&gt;='参数'!$K$32,FALSE)),"")</f>
        <v/>
      </c>
      <c r="V230" s="40" t="str">
        <f>IF(AND(ISNUMBER(J230),ISNUMBER(K230)),IF(N(ISNUMBER('参数'!$E$33))+N(ISNUMBER('参数'!$G$33))+N(ISNUMBER('参数'!$I$33))+N(ISNUMBER('参数'!$K$33))=0,"",IF(AND(ISNUMBER('参数'!$E$33),ISNUMBER(J229)),AND(J230&gt;='参数'!$E$33,J230&gt;J229),FALSE)+IF(AND(ISNUMBER('参数'!$G$33),ISNUMBER(N230)),N230&lt;='参数'!$G$33,FALSE)+IF(AND(ISNUMBER('参数'!$I$33),ISNUMBER(Q230)),Q230&gt;='参数'!$I$33,FALSE)+IF(AND(ISNUMBER('参数'!$K$33),ISNUMBER(S230)),S230&gt;='参数'!$K$33,FALSE)),"")</f>
        <v/>
      </c>
      <c r="W230" s="40" t="str">
        <f>IF(AND(ISNUMBER(J230),ISNUMBER(K230)),IF(N(ISNUMBER('参数'!$E$34))+N(ISNUMBER('参数'!$G$34))+N(ISNUMBER('参数'!$I$34))+N(ISNUMBER('参数'!$K$34))=0,"",IF(ISNUMBER('参数'!$E$34),J230&gt;='参数'!$E$34,FALSE)+IF(AND(ISNUMBER('参数'!$G$34),ISNUMBER(N230)),N230&lt;='参数'!$G$34,FALSE)+IF(AND(ISNUMBER('参数'!$I$34),ISNUMBER(S230)),S230&gt;='参数'!$I$34,FALSE)+IF(AND(ISNUMBER('参数'!$K$34),ISNUMBER(R230)),R230&gt;='参数'!$K$34,FALSE)),"")</f>
        <v/>
      </c>
      <c r="X230" s="40" t="str">
        <f>IF(AND(ISNUMBER(J230),ISNUMBER(K230)),IF(N(ISNUMBER('参数'!$E$35))+N(ISNUMBER('参数'!$G$35))+N(ISNUMBER('参数'!$I$35))=0,"",IF(AND(ISNUMBER('参数'!$E$35),ISNUMBER(N230),ISNUMBER(N229)),ROUND(N230-N229,6)&gt;='参数'!$E$35,FALSE)+IF(AND(ISNUMBER('参数'!$G$35),ISNUMBER(Q230),ISNUMBER(Q229)),ROUND(Q229-Q230,6)&gt;='参数'!$G$35,FALSE)+IF(AND(ISNUMBER('参数'!$I$35),ISNUMBER(S230),ISNUMBER(S229)),ROUND(S229-S230,6)&gt;='参数'!$I$35,FALSE)+IF(ISNUMBER(J229),J230&lt;J229,FALSE)),"")</f>
        <v/>
      </c>
      <c r="Y230" s="40" t="str">
        <f>IF(AND(ISNUMBER(J230),ISNUMBER(K230)),IF(N(ISNUMBER('参数'!$E$36))+N(ISNUMBER('参数'!$G$36))+N(ISNUMBER('参数'!$I$36))=0,"",IF(AND(ISNUMBER('参数'!$E$36),ISNUMBER(J229)),AND(J230&lt;='参数'!$E$36,J230&lt;J229),FALSE)+IF(ISNUMBER('参数'!$G$36),K230&gt;='参数'!$G$36,FALSE)+IF(AND(ISNUMBER('参数'!$I$36),ISNUMBER(S230)),S230&lt;'参数'!$I$36,FALSE)+IF(AND(ISNUMBER(R230),ISNUMBER(R229)),R230&lt;R229,FALSE)),"")</f>
        <v/>
      </c>
      <c r="Z230" s="41" t="str">
        <f>IF(NOT(AND(ISNUMBER(J230),ISNUMBER(K230))),"",IF(COUNT(T230:Y230)=0,"先填阈值",IF(MAX(AD230:AI230)=0,"不写",INDEX($T$4:$Y$4,MATCH(MAX(AD230:AI230),AD230:AI230,0))&amp;"·"&amp;IF(MAX(AD230:AI230)&gt;=200,"高","中")&amp;IF(LARGE(AD230:AI230,2)&gt;0,"（也像"&amp;INDEX($T$4:$Y$4,MATCH(LARGE(AD230:AI230,2),AD230:AI230,0))&amp;"·"&amp;IF(LARGE(AD230:AI230,2)&gt;=200,"高","中")&amp;"）",""))))</f>
        <v/>
      </c>
      <c r="AA230" s="27" t="n"/>
      <c r="AB230" s="32" t="n"/>
      <c r="AC230" s="16" t="n"/>
      <c r="AD230" s="40">
        <f>IF(N(T230)&gt;=3,IF(T230=4,2,1)*100+T230*10+6,0)</f>
        <v>0</v>
      </c>
      <c r="AE230" s="40">
        <f>IF(N(U230)&gt;=3,1*100+U230*10+1,0)</f>
        <v>0</v>
      </c>
      <c r="AF230" s="40">
        <f>IF(N(V230)&gt;=3,IF(V230=4,2,1)*100+V230*10+2,0)</f>
        <v>0</v>
      </c>
      <c r="AG230" s="40">
        <f>IF(N(W230)&gt;=3,1*100+W230*10+3,0)</f>
        <v>0</v>
      </c>
      <c r="AH230" s="40">
        <f>IF(N(X230)&gt;=3,1*100+X230*10+4,0)</f>
        <v>0</v>
      </c>
      <c r="AI230" s="40">
        <f>IF(N(Y230)&gt;=3,IF(AND(N(T230)&gt;=3,OR(N(T230)=4,N(Y230)&lt;=N(T230))),0,IF(Y230=4,2,1)*100+Y230*10+5),0)</f>
        <v>0</v>
      </c>
    </row>
    <row r="231">
      <c r="A231" s="31" t="n"/>
      <c r="B231" s="36" t="str">
        <f>IF(ISNUMBER(A231),"周"&amp;CHOOSE(WEEKDAY(A231,2),"一","二","三","四","五","六","日"),"")</f>
        <v/>
      </c>
      <c r="C231" s="37" t="n"/>
      <c r="D231" s="37" t="n"/>
      <c r="E231" s="37" t="n"/>
      <c r="F231" s="17" t="n"/>
      <c r="G231" s="38" t="str">
        <f>IF(AND(ISNUMBER(F231),ISNUMBER(F230)),IF(F230=0,"",F231/F230-1),"")</f>
        <v/>
      </c>
      <c r="H231" s="17" t="n"/>
      <c r="I231" s="17" t="n"/>
      <c r="J231" s="17" t="n"/>
      <c r="K231" s="17" t="n"/>
      <c r="L231" s="17" t="n"/>
      <c r="M231" s="17" t="n"/>
      <c r="N231" s="39" t="str">
        <f>IF(AND(ISNUMBER(L231),ISNUMBER(M231),N(L231)&gt;0),M231/L231,"")</f>
        <v/>
      </c>
      <c r="O231" s="17" t="n"/>
      <c r="P231" s="17" t="n"/>
      <c r="Q231" s="39" t="str">
        <f>IF(AND(ISNUMBER(O231),ISNUMBER(P231),N(O231)&gt;0),P231/O231,"")</f>
        <v/>
      </c>
      <c r="R231" s="17" t="n"/>
      <c r="S231" s="37" t="n"/>
      <c r="T231" s="40" t="str">
        <f>IF(AND(ISNUMBER(J231),ISNUMBER(K231)),IF(N(ISNUMBER('参数'!$E$31))+N(ISNUMBER('参数'!$G$31))+N(ISNUMBER('参数'!$I$31))+N(ISNUMBER('参数'!$K$31))=0,"",IF(ISNUMBER('参数'!$E$31),J231&lt;='参数'!$E$31,FALSE)+IF(ISNUMBER('参数'!$G$31),K231&gt;='参数'!$G$31,FALSE)+IF(AND(ISNUMBER('参数'!$I$31),ISNUMBER(N231)),N231&gt;='参数'!$I$31,FALSE)+IF(AND(ISNUMBER('参数'!$K$31),ISNUMBER(Q231)),Q231&lt;='参数'!$K$31,FALSE)),"")</f>
        <v/>
      </c>
      <c r="U231" s="40" t="str">
        <f>IF(AND(ISNUMBER(J231),ISNUMBER(K231)),IF(N(ISNUMBER('参数'!$G$32))+N(ISNUMBER('参数'!$I$32))+N(ISNUMBER('参数'!$K$32))=0,"",IF(AND(ISNUMBER(J230),ISNUMBER(J229)),AND(J231&gt;J230,J230&gt;J229),FALSE)+IF(ISNUMBER('参数'!$G$32),J231&lt;'参数'!$G$32,FALSE)+IF(AND(ISNUMBER('参数'!$I$32),ISNUMBER(Q231)),Q231&gt;='参数'!$I$32,FALSE)+IF(AND(ISNUMBER('参数'!$K$32),ISNUMBER(S231)),S231&gt;='参数'!$K$32,FALSE)),"")</f>
        <v/>
      </c>
      <c r="V231" s="40" t="str">
        <f>IF(AND(ISNUMBER(J231),ISNUMBER(K231)),IF(N(ISNUMBER('参数'!$E$33))+N(ISNUMBER('参数'!$G$33))+N(ISNUMBER('参数'!$I$33))+N(ISNUMBER('参数'!$K$33))=0,"",IF(AND(ISNUMBER('参数'!$E$33),ISNUMBER(J230)),AND(J231&gt;='参数'!$E$33,J231&gt;J230),FALSE)+IF(AND(ISNUMBER('参数'!$G$33),ISNUMBER(N231)),N231&lt;='参数'!$G$33,FALSE)+IF(AND(ISNUMBER('参数'!$I$33),ISNUMBER(Q231)),Q231&gt;='参数'!$I$33,FALSE)+IF(AND(ISNUMBER('参数'!$K$33),ISNUMBER(S231)),S231&gt;='参数'!$K$33,FALSE)),"")</f>
        <v/>
      </c>
      <c r="W231" s="40" t="str">
        <f>IF(AND(ISNUMBER(J231),ISNUMBER(K231)),IF(N(ISNUMBER('参数'!$E$34))+N(ISNUMBER('参数'!$G$34))+N(ISNUMBER('参数'!$I$34))+N(ISNUMBER('参数'!$K$34))=0,"",IF(ISNUMBER('参数'!$E$34),J231&gt;='参数'!$E$34,FALSE)+IF(AND(ISNUMBER('参数'!$G$34),ISNUMBER(N231)),N231&lt;='参数'!$G$34,FALSE)+IF(AND(ISNUMBER('参数'!$I$34),ISNUMBER(S231)),S231&gt;='参数'!$I$34,FALSE)+IF(AND(ISNUMBER('参数'!$K$34),ISNUMBER(R231)),R231&gt;='参数'!$K$34,FALSE)),"")</f>
        <v/>
      </c>
      <c r="X231" s="40" t="str">
        <f>IF(AND(ISNUMBER(J231),ISNUMBER(K231)),IF(N(ISNUMBER('参数'!$E$35))+N(ISNUMBER('参数'!$G$35))+N(ISNUMBER('参数'!$I$35))=0,"",IF(AND(ISNUMBER('参数'!$E$35),ISNUMBER(N231),ISNUMBER(N230)),ROUND(N231-N230,6)&gt;='参数'!$E$35,FALSE)+IF(AND(ISNUMBER('参数'!$G$35),ISNUMBER(Q231),ISNUMBER(Q230)),ROUND(Q230-Q231,6)&gt;='参数'!$G$35,FALSE)+IF(AND(ISNUMBER('参数'!$I$35),ISNUMBER(S231),ISNUMBER(S230)),ROUND(S230-S231,6)&gt;='参数'!$I$35,FALSE)+IF(ISNUMBER(J230),J231&lt;J230,FALSE)),"")</f>
        <v/>
      </c>
      <c r="Y231" s="40" t="str">
        <f>IF(AND(ISNUMBER(J231),ISNUMBER(K231)),IF(N(ISNUMBER('参数'!$E$36))+N(ISNUMBER('参数'!$G$36))+N(ISNUMBER('参数'!$I$36))=0,"",IF(AND(ISNUMBER('参数'!$E$36),ISNUMBER(J230)),AND(J231&lt;='参数'!$E$36,J231&lt;J230),FALSE)+IF(ISNUMBER('参数'!$G$36),K231&gt;='参数'!$G$36,FALSE)+IF(AND(ISNUMBER('参数'!$I$36),ISNUMBER(S231)),S231&lt;'参数'!$I$36,FALSE)+IF(AND(ISNUMBER(R231),ISNUMBER(R230)),R231&lt;R230,FALSE)),"")</f>
        <v/>
      </c>
      <c r="Z231" s="41" t="str">
        <f>IF(NOT(AND(ISNUMBER(J231),ISNUMBER(K231))),"",IF(COUNT(T231:Y231)=0,"先填阈值",IF(MAX(AD231:AI231)=0,"不写",INDEX($T$4:$Y$4,MATCH(MAX(AD231:AI231),AD231:AI231,0))&amp;"·"&amp;IF(MAX(AD231:AI231)&gt;=200,"高","中")&amp;IF(LARGE(AD231:AI231,2)&gt;0,"（也像"&amp;INDEX($T$4:$Y$4,MATCH(LARGE(AD231:AI231,2),AD231:AI231,0))&amp;"·"&amp;IF(LARGE(AD231:AI231,2)&gt;=200,"高","中")&amp;"）",""))))</f>
        <v/>
      </c>
      <c r="AA231" s="27" t="n"/>
      <c r="AB231" s="32" t="n"/>
      <c r="AC231" s="16" t="n"/>
      <c r="AD231" s="40">
        <f>IF(N(T231)&gt;=3,IF(T231=4,2,1)*100+T231*10+6,0)</f>
        <v>0</v>
      </c>
      <c r="AE231" s="40">
        <f>IF(N(U231)&gt;=3,1*100+U231*10+1,0)</f>
        <v>0</v>
      </c>
      <c r="AF231" s="40">
        <f>IF(N(V231)&gt;=3,IF(V231=4,2,1)*100+V231*10+2,0)</f>
        <v>0</v>
      </c>
      <c r="AG231" s="40">
        <f>IF(N(W231)&gt;=3,1*100+W231*10+3,0)</f>
        <v>0</v>
      </c>
      <c r="AH231" s="40">
        <f>IF(N(X231)&gt;=3,1*100+X231*10+4,0)</f>
        <v>0</v>
      </c>
      <c r="AI231" s="40">
        <f>IF(N(Y231)&gt;=3,IF(AND(N(T231)&gt;=3,OR(N(T231)=4,N(Y231)&lt;=N(T231))),0,IF(Y231=4,2,1)*100+Y231*10+5),0)</f>
        <v>0</v>
      </c>
    </row>
    <row r="232">
      <c r="A232" s="31" t="n"/>
      <c r="B232" s="36" t="str">
        <f>IF(ISNUMBER(A232),"周"&amp;CHOOSE(WEEKDAY(A232,2),"一","二","三","四","五","六","日"),"")</f>
        <v/>
      </c>
      <c r="C232" s="37" t="n"/>
      <c r="D232" s="37" t="n"/>
      <c r="E232" s="37" t="n"/>
      <c r="F232" s="17" t="n"/>
      <c r="G232" s="38" t="str">
        <f>IF(AND(ISNUMBER(F232),ISNUMBER(F231)),IF(F231=0,"",F232/F231-1),"")</f>
        <v/>
      </c>
      <c r="H232" s="17" t="n"/>
      <c r="I232" s="17" t="n"/>
      <c r="J232" s="17" t="n"/>
      <c r="K232" s="17" t="n"/>
      <c r="L232" s="17" t="n"/>
      <c r="M232" s="17" t="n"/>
      <c r="N232" s="39" t="str">
        <f>IF(AND(ISNUMBER(L232),ISNUMBER(M232),N(L232)&gt;0),M232/L232,"")</f>
        <v/>
      </c>
      <c r="O232" s="17" t="n"/>
      <c r="P232" s="17" t="n"/>
      <c r="Q232" s="39" t="str">
        <f>IF(AND(ISNUMBER(O232),ISNUMBER(P232),N(O232)&gt;0),P232/O232,"")</f>
        <v/>
      </c>
      <c r="R232" s="17" t="n"/>
      <c r="S232" s="37" t="n"/>
      <c r="T232" s="40" t="str">
        <f>IF(AND(ISNUMBER(J232),ISNUMBER(K232)),IF(N(ISNUMBER('参数'!$E$31))+N(ISNUMBER('参数'!$G$31))+N(ISNUMBER('参数'!$I$31))+N(ISNUMBER('参数'!$K$31))=0,"",IF(ISNUMBER('参数'!$E$31),J232&lt;='参数'!$E$31,FALSE)+IF(ISNUMBER('参数'!$G$31),K232&gt;='参数'!$G$31,FALSE)+IF(AND(ISNUMBER('参数'!$I$31),ISNUMBER(N232)),N232&gt;='参数'!$I$31,FALSE)+IF(AND(ISNUMBER('参数'!$K$31),ISNUMBER(Q232)),Q232&lt;='参数'!$K$31,FALSE)),"")</f>
        <v/>
      </c>
      <c r="U232" s="40" t="str">
        <f>IF(AND(ISNUMBER(J232),ISNUMBER(K232)),IF(N(ISNUMBER('参数'!$G$32))+N(ISNUMBER('参数'!$I$32))+N(ISNUMBER('参数'!$K$32))=0,"",IF(AND(ISNUMBER(J231),ISNUMBER(J230)),AND(J232&gt;J231,J231&gt;J230),FALSE)+IF(ISNUMBER('参数'!$G$32),J232&lt;'参数'!$G$32,FALSE)+IF(AND(ISNUMBER('参数'!$I$32),ISNUMBER(Q232)),Q232&gt;='参数'!$I$32,FALSE)+IF(AND(ISNUMBER('参数'!$K$32),ISNUMBER(S232)),S232&gt;='参数'!$K$32,FALSE)),"")</f>
        <v/>
      </c>
      <c r="V232" s="40" t="str">
        <f>IF(AND(ISNUMBER(J232),ISNUMBER(K232)),IF(N(ISNUMBER('参数'!$E$33))+N(ISNUMBER('参数'!$G$33))+N(ISNUMBER('参数'!$I$33))+N(ISNUMBER('参数'!$K$33))=0,"",IF(AND(ISNUMBER('参数'!$E$33),ISNUMBER(J231)),AND(J232&gt;='参数'!$E$33,J232&gt;J231),FALSE)+IF(AND(ISNUMBER('参数'!$G$33),ISNUMBER(N232)),N232&lt;='参数'!$G$33,FALSE)+IF(AND(ISNUMBER('参数'!$I$33),ISNUMBER(Q232)),Q232&gt;='参数'!$I$33,FALSE)+IF(AND(ISNUMBER('参数'!$K$33),ISNUMBER(S232)),S232&gt;='参数'!$K$33,FALSE)),"")</f>
        <v/>
      </c>
      <c r="W232" s="40" t="str">
        <f>IF(AND(ISNUMBER(J232),ISNUMBER(K232)),IF(N(ISNUMBER('参数'!$E$34))+N(ISNUMBER('参数'!$G$34))+N(ISNUMBER('参数'!$I$34))+N(ISNUMBER('参数'!$K$34))=0,"",IF(ISNUMBER('参数'!$E$34),J232&gt;='参数'!$E$34,FALSE)+IF(AND(ISNUMBER('参数'!$G$34),ISNUMBER(N232)),N232&lt;='参数'!$G$34,FALSE)+IF(AND(ISNUMBER('参数'!$I$34),ISNUMBER(S232)),S232&gt;='参数'!$I$34,FALSE)+IF(AND(ISNUMBER('参数'!$K$34),ISNUMBER(R232)),R232&gt;='参数'!$K$34,FALSE)),"")</f>
        <v/>
      </c>
      <c r="X232" s="40" t="str">
        <f>IF(AND(ISNUMBER(J232),ISNUMBER(K232)),IF(N(ISNUMBER('参数'!$E$35))+N(ISNUMBER('参数'!$G$35))+N(ISNUMBER('参数'!$I$35))=0,"",IF(AND(ISNUMBER('参数'!$E$35),ISNUMBER(N232),ISNUMBER(N231)),ROUND(N232-N231,6)&gt;='参数'!$E$35,FALSE)+IF(AND(ISNUMBER('参数'!$G$35),ISNUMBER(Q232),ISNUMBER(Q231)),ROUND(Q231-Q232,6)&gt;='参数'!$G$35,FALSE)+IF(AND(ISNUMBER('参数'!$I$35),ISNUMBER(S232),ISNUMBER(S231)),ROUND(S231-S232,6)&gt;='参数'!$I$35,FALSE)+IF(ISNUMBER(J231),J232&lt;J231,FALSE)),"")</f>
        <v/>
      </c>
      <c r="Y232" s="40" t="str">
        <f>IF(AND(ISNUMBER(J232),ISNUMBER(K232)),IF(N(ISNUMBER('参数'!$E$36))+N(ISNUMBER('参数'!$G$36))+N(ISNUMBER('参数'!$I$36))=0,"",IF(AND(ISNUMBER('参数'!$E$36),ISNUMBER(J231)),AND(J232&lt;='参数'!$E$36,J232&lt;J231),FALSE)+IF(ISNUMBER('参数'!$G$36),K232&gt;='参数'!$G$36,FALSE)+IF(AND(ISNUMBER('参数'!$I$36),ISNUMBER(S232)),S232&lt;'参数'!$I$36,FALSE)+IF(AND(ISNUMBER(R232),ISNUMBER(R231)),R232&lt;R231,FALSE)),"")</f>
        <v/>
      </c>
      <c r="Z232" s="41" t="str">
        <f>IF(NOT(AND(ISNUMBER(J232),ISNUMBER(K232))),"",IF(COUNT(T232:Y232)=0,"先填阈值",IF(MAX(AD232:AI232)=0,"不写",INDEX($T$4:$Y$4,MATCH(MAX(AD232:AI232),AD232:AI232,0))&amp;"·"&amp;IF(MAX(AD232:AI232)&gt;=200,"高","中")&amp;IF(LARGE(AD232:AI232,2)&gt;0,"（也像"&amp;INDEX($T$4:$Y$4,MATCH(LARGE(AD232:AI232,2),AD232:AI232,0))&amp;"·"&amp;IF(LARGE(AD232:AI232,2)&gt;=200,"高","中")&amp;"）",""))))</f>
        <v/>
      </c>
      <c r="AA232" s="27" t="n"/>
      <c r="AB232" s="32" t="n"/>
      <c r="AC232" s="16" t="n"/>
      <c r="AD232" s="40">
        <f>IF(N(T232)&gt;=3,IF(T232=4,2,1)*100+T232*10+6,0)</f>
        <v>0</v>
      </c>
      <c r="AE232" s="40">
        <f>IF(N(U232)&gt;=3,1*100+U232*10+1,0)</f>
        <v>0</v>
      </c>
      <c r="AF232" s="40">
        <f>IF(N(V232)&gt;=3,IF(V232=4,2,1)*100+V232*10+2,0)</f>
        <v>0</v>
      </c>
      <c r="AG232" s="40">
        <f>IF(N(W232)&gt;=3,1*100+W232*10+3,0)</f>
        <v>0</v>
      </c>
      <c r="AH232" s="40">
        <f>IF(N(X232)&gt;=3,1*100+X232*10+4,0)</f>
        <v>0</v>
      </c>
      <c r="AI232" s="40">
        <f>IF(N(Y232)&gt;=3,IF(AND(N(T232)&gt;=3,OR(N(T232)=4,N(Y232)&lt;=N(T232))),0,IF(Y232=4,2,1)*100+Y232*10+5),0)</f>
        <v>0</v>
      </c>
    </row>
    <row r="233">
      <c r="A233" s="31" t="n"/>
      <c r="B233" s="36" t="str">
        <f>IF(ISNUMBER(A233),"周"&amp;CHOOSE(WEEKDAY(A233,2),"一","二","三","四","五","六","日"),"")</f>
        <v/>
      </c>
      <c r="C233" s="37" t="n"/>
      <c r="D233" s="37" t="n"/>
      <c r="E233" s="37" t="n"/>
      <c r="F233" s="17" t="n"/>
      <c r="G233" s="38" t="str">
        <f>IF(AND(ISNUMBER(F233),ISNUMBER(F232)),IF(F232=0,"",F233/F232-1),"")</f>
        <v/>
      </c>
      <c r="H233" s="17" t="n"/>
      <c r="I233" s="17" t="n"/>
      <c r="J233" s="17" t="n"/>
      <c r="K233" s="17" t="n"/>
      <c r="L233" s="17" t="n"/>
      <c r="M233" s="17" t="n"/>
      <c r="N233" s="39" t="str">
        <f>IF(AND(ISNUMBER(L233),ISNUMBER(M233),N(L233)&gt;0),M233/L233,"")</f>
        <v/>
      </c>
      <c r="O233" s="17" t="n"/>
      <c r="P233" s="17" t="n"/>
      <c r="Q233" s="39" t="str">
        <f>IF(AND(ISNUMBER(O233),ISNUMBER(P233),N(O233)&gt;0),P233/O233,"")</f>
        <v/>
      </c>
      <c r="R233" s="17" t="n"/>
      <c r="S233" s="37" t="n"/>
      <c r="T233" s="40" t="str">
        <f>IF(AND(ISNUMBER(J233),ISNUMBER(K233)),IF(N(ISNUMBER('参数'!$E$31))+N(ISNUMBER('参数'!$G$31))+N(ISNUMBER('参数'!$I$31))+N(ISNUMBER('参数'!$K$31))=0,"",IF(ISNUMBER('参数'!$E$31),J233&lt;='参数'!$E$31,FALSE)+IF(ISNUMBER('参数'!$G$31),K233&gt;='参数'!$G$31,FALSE)+IF(AND(ISNUMBER('参数'!$I$31),ISNUMBER(N233)),N233&gt;='参数'!$I$31,FALSE)+IF(AND(ISNUMBER('参数'!$K$31),ISNUMBER(Q233)),Q233&lt;='参数'!$K$31,FALSE)),"")</f>
        <v/>
      </c>
      <c r="U233" s="40" t="str">
        <f>IF(AND(ISNUMBER(J233),ISNUMBER(K233)),IF(N(ISNUMBER('参数'!$G$32))+N(ISNUMBER('参数'!$I$32))+N(ISNUMBER('参数'!$K$32))=0,"",IF(AND(ISNUMBER(J232),ISNUMBER(J231)),AND(J233&gt;J232,J232&gt;J231),FALSE)+IF(ISNUMBER('参数'!$G$32),J233&lt;'参数'!$G$32,FALSE)+IF(AND(ISNUMBER('参数'!$I$32),ISNUMBER(Q233)),Q233&gt;='参数'!$I$32,FALSE)+IF(AND(ISNUMBER('参数'!$K$32),ISNUMBER(S233)),S233&gt;='参数'!$K$32,FALSE)),"")</f>
        <v/>
      </c>
      <c r="V233" s="40" t="str">
        <f>IF(AND(ISNUMBER(J233),ISNUMBER(K233)),IF(N(ISNUMBER('参数'!$E$33))+N(ISNUMBER('参数'!$G$33))+N(ISNUMBER('参数'!$I$33))+N(ISNUMBER('参数'!$K$33))=0,"",IF(AND(ISNUMBER('参数'!$E$33),ISNUMBER(J232)),AND(J233&gt;='参数'!$E$33,J233&gt;J232),FALSE)+IF(AND(ISNUMBER('参数'!$G$33),ISNUMBER(N233)),N233&lt;='参数'!$G$33,FALSE)+IF(AND(ISNUMBER('参数'!$I$33),ISNUMBER(Q233)),Q233&gt;='参数'!$I$33,FALSE)+IF(AND(ISNUMBER('参数'!$K$33),ISNUMBER(S233)),S233&gt;='参数'!$K$33,FALSE)),"")</f>
        <v/>
      </c>
      <c r="W233" s="40" t="str">
        <f>IF(AND(ISNUMBER(J233),ISNUMBER(K233)),IF(N(ISNUMBER('参数'!$E$34))+N(ISNUMBER('参数'!$G$34))+N(ISNUMBER('参数'!$I$34))+N(ISNUMBER('参数'!$K$34))=0,"",IF(ISNUMBER('参数'!$E$34),J233&gt;='参数'!$E$34,FALSE)+IF(AND(ISNUMBER('参数'!$G$34),ISNUMBER(N233)),N233&lt;='参数'!$G$34,FALSE)+IF(AND(ISNUMBER('参数'!$I$34),ISNUMBER(S233)),S233&gt;='参数'!$I$34,FALSE)+IF(AND(ISNUMBER('参数'!$K$34),ISNUMBER(R233)),R233&gt;='参数'!$K$34,FALSE)),"")</f>
        <v/>
      </c>
      <c r="X233" s="40" t="str">
        <f>IF(AND(ISNUMBER(J233),ISNUMBER(K233)),IF(N(ISNUMBER('参数'!$E$35))+N(ISNUMBER('参数'!$G$35))+N(ISNUMBER('参数'!$I$35))=0,"",IF(AND(ISNUMBER('参数'!$E$35),ISNUMBER(N233),ISNUMBER(N232)),ROUND(N233-N232,6)&gt;='参数'!$E$35,FALSE)+IF(AND(ISNUMBER('参数'!$G$35),ISNUMBER(Q233),ISNUMBER(Q232)),ROUND(Q232-Q233,6)&gt;='参数'!$G$35,FALSE)+IF(AND(ISNUMBER('参数'!$I$35),ISNUMBER(S233),ISNUMBER(S232)),ROUND(S232-S233,6)&gt;='参数'!$I$35,FALSE)+IF(ISNUMBER(J232),J233&lt;J232,FALSE)),"")</f>
        <v/>
      </c>
      <c r="Y233" s="40" t="str">
        <f>IF(AND(ISNUMBER(J233),ISNUMBER(K233)),IF(N(ISNUMBER('参数'!$E$36))+N(ISNUMBER('参数'!$G$36))+N(ISNUMBER('参数'!$I$36))=0,"",IF(AND(ISNUMBER('参数'!$E$36),ISNUMBER(J232)),AND(J233&lt;='参数'!$E$36,J233&lt;J232),FALSE)+IF(ISNUMBER('参数'!$G$36),K233&gt;='参数'!$G$36,FALSE)+IF(AND(ISNUMBER('参数'!$I$36),ISNUMBER(S233)),S233&lt;'参数'!$I$36,FALSE)+IF(AND(ISNUMBER(R233),ISNUMBER(R232)),R233&lt;R232,FALSE)),"")</f>
        <v/>
      </c>
      <c r="Z233" s="41" t="str">
        <f>IF(NOT(AND(ISNUMBER(J233),ISNUMBER(K233))),"",IF(COUNT(T233:Y233)=0,"先填阈值",IF(MAX(AD233:AI233)=0,"不写",INDEX($T$4:$Y$4,MATCH(MAX(AD233:AI233),AD233:AI233,0))&amp;"·"&amp;IF(MAX(AD233:AI233)&gt;=200,"高","中")&amp;IF(LARGE(AD233:AI233,2)&gt;0,"（也像"&amp;INDEX($T$4:$Y$4,MATCH(LARGE(AD233:AI233,2),AD233:AI233,0))&amp;"·"&amp;IF(LARGE(AD233:AI233,2)&gt;=200,"高","中")&amp;"）",""))))</f>
        <v/>
      </c>
      <c r="AA233" s="27" t="n"/>
      <c r="AB233" s="32" t="n"/>
      <c r="AC233" s="16" t="n"/>
      <c r="AD233" s="40">
        <f>IF(N(T233)&gt;=3,IF(T233=4,2,1)*100+T233*10+6,0)</f>
        <v>0</v>
      </c>
      <c r="AE233" s="40">
        <f>IF(N(U233)&gt;=3,1*100+U233*10+1,0)</f>
        <v>0</v>
      </c>
      <c r="AF233" s="40">
        <f>IF(N(V233)&gt;=3,IF(V233=4,2,1)*100+V233*10+2,0)</f>
        <v>0</v>
      </c>
      <c r="AG233" s="40">
        <f>IF(N(W233)&gt;=3,1*100+W233*10+3,0)</f>
        <v>0</v>
      </c>
      <c r="AH233" s="40">
        <f>IF(N(X233)&gt;=3,1*100+X233*10+4,0)</f>
        <v>0</v>
      </c>
      <c r="AI233" s="40">
        <f>IF(N(Y233)&gt;=3,IF(AND(N(T233)&gt;=3,OR(N(T233)=4,N(Y233)&lt;=N(T233))),0,IF(Y233=4,2,1)*100+Y233*10+5),0)</f>
        <v>0</v>
      </c>
    </row>
    <row r="234">
      <c r="A234" s="31" t="n"/>
      <c r="B234" s="36" t="str">
        <f>IF(ISNUMBER(A234),"周"&amp;CHOOSE(WEEKDAY(A234,2),"一","二","三","四","五","六","日"),"")</f>
        <v/>
      </c>
      <c r="C234" s="37" t="n"/>
      <c r="D234" s="37" t="n"/>
      <c r="E234" s="37" t="n"/>
      <c r="F234" s="17" t="n"/>
      <c r="G234" s="38" t="str">
        <f>IF(AND(ISNUMBER(F234),ISNUMBER(F233)),IF(F233=0,"",F234/F233-1),"")</f>
        <v/>
      </c>
      <c r="H234" s="17" t="n"/>
      <c r="I234" s="17" t="n"/>
      <c r="J234" s="17" t="n"/>
      <c r="K234" s="17" t="n"/>
      <c r="L234" s="17" t="n"/>
      <c r="M234" s="17" t="n"/>
      <c r="N234" s="39" t="str">
        <f>IF(AND(ISNUMBER(L234),ISNUMBER(M234),N(L234)&gt;0),M234/L234,"")</f>
        <v/>
      </c>
      <c r="O234" s="17" t="n"/>
      <c r="P234" s="17" t="n"/>
      <c r="Q234" s="39" t="str">
        <f>IF(AND(ISNUMBER(O234),ISNUMBER(P234),N(O234)&gt;0),P234/O234,"")</f>
        <v/>
      </c>
      <c r="R234" s="17" t="n"/>
      <c r="S234" s="37" t="n"/>
      <c r="T234" s="40" t="str">
        <f>IF(AND(ISNUMBER(J234),ISNUMBER(K234)),IF(N(ISNUMBER('参数'!$E$31))+N(ISNUMBER('参数'!$G$31))+N(ISNUMBER('参数'!$I$31))+N(ISNUMBER('参数'!$K$31))=0,"",IF(ISNUMBER('参数'!$E$31),J234&lt;='参数'!$E$31,FALSE)+IF(ISNUMBER('参数'!$G$31),K234&gt;='参数'!$G$31,FALSE)+IF(AND(ISNUMBER('参数'!$I$31),ISNUMBER(N234)),N234&gt;='参数'!$I$31,FALSE)+IF(AND(ISNUMBER('参数'!$K$31),ISNUMBER(Q234)),Q234&lt;='参数'!$K$31,FALSE)),"")</f>
        <v/>
      </c>
      <c r="U234" s="40" t="str">
        <f>IF(AND(ISNUMBER(J234),ISNUMBER(K234)),IF(N(ISNUMBER('参数'!$G$32))+N(ISNUMBER('参数'!$I$32))+N(ISNUMBER('参数'!$K$32))=0,"",IF(AND(ISNUMBER(J233),ISNUMBER(J232)),AND(J234&gt;J233,J233&gt;J232),FALSE)+IF(ISNUMBER('参数'!$G$32),J234&lt;'参数'!$G$32,FALSE)+IF(AND(ISNUMBER('参数'!$I$32),ISNUMBER(Q234)),Q234&gt;='参数'!$I$32,FALSE)+IF(AND(ISNUMBER('参数'!$K$32),ISNUMBER(S234)),S234&gt;='参数'!$K$32,FALSE)),"")</f>
        <v/>
      </c>
      <c r="V234" s="40" t="str">
        <f>IF(AND(ISNUMBER(J234),ISNUMBER(K234)),IF(N(ISNUMBER('参数'!$E$33))+N(ISNUMBER('参数'!$G$33))+N(ISNUMBER('参数'!$I$33))+N(ISNUMBER('参数'!$K$33))=0,"",IF(AND(ISNUMBER('参数'!$E$33),ISNUMBER(J233)),AND(J234&gt;='参数'!$E$33,J234&gt;J233),FALSE)+IF(AND(ISNUMBER('参数'!$G$33),ISNUMBER(N234)),N234&lt;='参数'!$G$33,FALSE)+IF(AND(ISNUMBER('参数'!$I$33),ISNUMBER(Q234)),Q234&gt;='参数'!$I$33,FALSE)+IF(AND(ISNUMBER('参数'!$K$33),ISNUMBER(S234)),S234&gt;='参数'!$K$33,FALSE)),"")</f>
        <v/>
      </c>
      <c r="W234" s="40" t="str">
        <f>IF(AND(ISNUMBER(J234),ISNUMBER(K234)),IF(N(ISNUMBER('参数'!$E$34))+N(ISNUMBER('参数'!$G$34))+N(ISNUMBER('参数'!$I$34))+N(ISNUMBER('参数'!$K$34))=0,"",IF(ISNUMBER('参数'!$E$34),J234&gt;='参数'!$E$34,FALSE)+IF(AND(ISNUMBER('参数'!$G$34),ISNUMBER(N234)),N234&lt;='参数'!$G$34,FALSE)+IF(AND(ISNUMBER('参数'!$I$34),ISNUMBER(S234)),S234&gt;='参数'!$I$34,FALSE)+IF(AND(ISNUMBER('参数'!$K$34),ISNUMBER(R234)),R234&gt;='参数'!$K$34,FALSE)),"")</f>
        <v/>
      </c>
      <c r="X234" s="40" t="str">
        <f>IF(AND(ISNUMBER(J234),ISNUMBER(K234)),IF(N(ISNUMBER('参数'!$E$35))+N(ISNUMBER('参数'!$G$35))+N(ISNUMBER('参数'!$I$35))=0,"",IF(AND(ISNUMBER('参数'!$E$35),ISNUMBER(N234),ISNUMBER(N233)),ROUND(N234-N233,6)&gt;='参数'!$E$35,FALSE)+IF(AND(ISNUMBER('参数'!$G$35),ISNUMBER(Q234),ISNUMBER(Q233)),ROUND(Q233-Q234,6)&gt;='参数'!$G$35,FALSE)+IF(AND(ISNUMBER('参数'!$I$35),ISNUMBER(S234),ISNUMBER(S233)),ROUND(S233-S234,6)&gt;='参数'!$I$35,FALSE)+IF(ISNUMBER(J233),J234&lt;J233,FALSE)),"")</f>
        <v/>
      </c>
      <c r="Y234" s="40" t="str">
        <f>IF(AND(ISNUMBER(J234),ISNUMBER(K234)),IF(N(ISNUMBER('参数'!$E$36))+N(ISNUMBER('参数'!$G$36))+N(ISNUMBER('参数'!$I$36))=0,"",IF(AND(ISNUMBER('参数'!$E$36),ISNUMBER(J233)),AND(J234&lt;='参数'!$E$36,J234&lt;J233),FALSE)+IF(ISNUMBER('参数'!$G$36),K234&gt;='参数'!$G$36,FALSE)+IF(AND(ISNUMBER('参数'!$I$36),ISNUMBER(S234)),S234&lt;'参数'!$I$36,FALSE)+IF(AND(ISNUMBER(R234),ISNUMBER(R233)),R234&lt;R233,FALSE)),"")</f>
        <v/>
      </c>
      <c r="Z234" s="41" t="str">
        <f>IF(NOT(AND(ISNUMBER(J234),ISNUMBER(K234))),"",IF(COUNT(T234:Y234)=0,"先填阈值",IF(MAX(AD234:AI234)=0,"不写",INDEX($T$4:$Y$4,MATCH(MAX(AD234:AI234),AD234:AI234,0))&amp;"·"&amp;IF(MAX(AD234:AI234)&gt;=200,"高","中")&amp;IF(LARGE(AD234:AI234,2)&gt;0,"（也像"&amp;INDEX($T$4:$Y$4,MATCH(LARGE(AD234:AI234,2),AD234:AI234,0))&amp;"·"&amp;IF(LARGE(AD234:AI234,2)&gt;=200,"高","中")&amp;"）",""))))</f>
        <v/>
      </c>
      <c r="AA234" s="27" t="n"/>
      <c r="AB234" s="32" t="n"/>
      <c r="AC234" s="16" t="n"/>
      <c r="AD234" s="40">
        <f>IF(N(T234)&gt;=3,IF(T234=4,2,1)*100+T234*10+6,0)</f>
        <v>0</v>
      </c>
      <c r="AE234" s="40">
        <f>IF(N(U234)&gt;=3,1*100+U234*10+1,0)</f>
        <v>0</v>
      </c>
      <c r="AF234" s="40">
        <f>IF(N(V234)&gt;=3,IF(V234=4,2,1)*100+V234*10+2,0)</f>
        <v>0</v>
      </c>
      <c r="AG234" s="40">
        <f>IF(N(W234)&gt;=3,1*100+W234*10+3,0)</f>
        <v>0</v>
      </c>
      <c r="AH234" s="40">
        <f>IF(N(X234)&gt;=3,1*100+X234*10+4,0)</f>
        <v>0</v>
      </c>
      <c r="AI234" s="40">
        <f>IF(N(Y234)&gt;=3,IF(AND(N(T234)&gt;=3,OR(N(T234)=4,N(Y234)&lt;=N(T234))),0,IF(Y234=4,2,1)*100+Y234*10+5),0)</f>
        <v>0</v>
      </c>
    </row>
    <row r="235">
      <c r="A235" s="31" t="n"/>
      <c r="B235" s="36" t="str">
        <f>IF(ISNUMBER(A235),"周"&amp;CHOOSE(WEEKDAY(A235,2),"一","二","三","四","五","六","日"),"")</f>
        <v/>
      </c>
      <c r="C235" s="37" t="n"/>
      <c r="D235" s="37" t="n"/>
      <c r="E235" s="37" t="n"/>
      <c r="F235" s="17" t="n"/>
      <c r="G235" s="38" t="str">
        <f>IF(AND(ISNUMBER(F235),ISNUMBER(F234)),IF(F234=0,"",F235/F234-1),"")</f>
        <v/>
      </c>
      <c r="H235" s="17" t="n"/>
      <c r="I235" s="17" t="n"/>
      <c r="J235" s="17" t="n"/>
      <c r="K235" s="17" t="n"/>
      <c r="L235" s="17" t="n"/>
      <c r="M235" s="17" t="n"/>
      <c r="N235" s="39" t="str">
        <f>IF(AND(ISNUMBER(L235),ISNUMBER(M235),N(L235)&gt;0),M235/L235,"")</f>
        <v/>
      </c>
      <c r="O235" s="17" t="n"/>
      <c r="P235" s="17" t="n"/>
      <c r="Q235" s="39" t="str">
        <f>IF(AND(ISNUMBER(O235),ISNUMBER(P235),N(O235)&gt;0),P235/O235,"")</f>
        <v/>
      </c>
      <c r="R235" s="17" t="n"/>
      <c r="S235" s="37" t="n"/>
      <c r="T235" s="40" t="str">
        <f>IF(AND(ISNUMBER(J235),ISNUMBER(K235)),IF(N(ISNUMBER('参数'!$E$31))+N(ISNUMBER('参数'!$G$31))+N(ISNUMBER('参数'!$I$31))+N(ISNUMBER('参数'!$K$31))=0,"",IF(ISNUMBER('参数'!$E$31),J235&lt;='参数'!$E$31,FALSE)+IF(ISNUMBER('参数'!$G$31),K235&gt;='参数'!$G$31,FALSE)+IF(AND(ISNUMBER('参数'!$I$31),ISNUMBER(N235)),N235&gt;='参数'!$I$31,FALSE)+IF(AND(ISNUMBER('参数'!$K$31),ISNUMBER(Q235)),Q235&lt;='参数'!$K$31,FALSE)),"")</f>
        <v/>
      </c>
      <c r="U235" s="40" t="str">
        <f>IF(AND(ISNUMBER(J235),ISNUMBER(K235)),IF(N(ISNUMBER('参数'!$G$32))+N(ISNUMBER('参数'!$I$32))+N(ISNUMBER('参数'!$K$32))=0,"",IF(AND(ISNUMBER(J234),ISNUMBER(J233)),AND(J235&gt;J234,J234&gt;J233),FALSE)+IF(ISNUMBER('参数'!$G$32),J235&lt;'参数'!$G$32,FALSE)+IF(AND(ISNUMBER('参数'!$I$32),ISNUMBER(Q235)),Q235&gt;='参数'!$I$32,FALSE)+IF(AND(ISNUMBER('参数'!$K$32),ISNUMBER(S235)),S235&gt;='参数'!$K$32,FALSE)),"")</f>
        <v/>
      </c>
      <c r="V235" s="40" t="str">
        <f>IF(AND(ISNUMBER(J235),ISNUMBER(K235)),IF(N(ISNUMBER('参数'!$E$33))+N(ISNUMBER('参数'!$G$33))+N(ISNUMBER('参数'!$I$33))+N(ISNUMBER('参数'!$K$33))=0,"",IF(AND(ISNUMBER('参数'!$E$33),ISNUMBER(J234)),AND(J235&gt;='参数'!$E$33,J235&gt;J234),FALSE)+IF(AND(ISNUMBER('参数'!$G$33),ISNUMBER(N235)),N235&lt;='参数'!$G$33,FALSE)+IF(AND(ISNUMBER('参数'!$I$33),ISNUMBER(Q235)),Q235&gt;='参数'!$I$33,FALSE)+IF(AND(ISNUMBER('参数'!$K$33),ISNUMBER(S235)),S235&gt;='参数'!$K$33,FALSE)),"")</f>
        <v/>
      </c>
      <c r="W235" s="40" t="str">
        <f>IF(AND(ISNUMBER(J235),ISNUMBER(K235)),IF(N(ISNUMBER('参数'!$E$34))+N(ISNUMBER('参数'!$G$34))+N(ISNUMBER('参数'!$I$34))+N(ISNUMBER('参数'!$K$34))=0,"",IF(ISNUMBER('参数'!$E$34),J235&gt;='参数'!$E$34,FALSE)+IF(AND(ISNUMBER('参数'!$G$34),ISNUMBER(N235)),N235&lt;='参数'!$G$34,FALSE)+IF(AND(ISNUMBER('参数'!$I$34),ISNUMBER(S235)),S235&gt;='参数'!$I$34,FALSE)+IF(AND(ISNUMBER('参数'!$K$34),ISNUMBER(R235)),R235&gt;='参数'!$K$34,FALSE)),"")</f>
        <v/>
      </c>
      <c r="X235" s="40" t="str">
        <f>IF(AND(ISNUMBER(J235),ISNUMBER(K235)),IF(N(ISNUMBER('参数'!$E$35))+N(ISNUMBER('参数'!$G$35))+N(ISNUMBER('参数'!$I$35))=0,"",IF(AND(ISNUMBER('参数'!$E$35),ISNUMBER(N235),ISNUMBER(N234)),ROUND(N235-N234,6)&gt;='参数'!$E$35,FALSE)+IF(AND(ISNUMBER('参数'!$G$35),ISNUMBER(Q235),ISNUMBER(Q234)),ROUND(Q234-Q235,6)&gt;='参数'!$G$35,FALSE)+IF(AND(ISNUMBER('参数'!$I$35),ISNUMBER(S235),ISNUMBER(S234)),ROUND(S234-S235,6)&gt;='参数'!$I$35,FALSE)+IF(ISNUMBER(J234),J235&lt;J234,FALSE)),"")</f>
        <v/>
      </c>
      <c r="Y235" s="40" t="str">
        <f>IF(AND(ISNUMBER(J235),ISNUMBER(K235)),IF(N(ISNUMBER('参数'!$E$36))+N(ISNUMBER('参数'!$G$36))+N(ISNUMBER('参数'!$I$36))=0,"",IF(AND(ISNUMBER('参数'!$E$36),ISNUMBER(J234)),AND(J235&lt;='参数'!$E$36,J235&lt;J234),FALSE)+IF(ISNUMBER('参数'!$G$36),K235&gt;='参数'!$G$36,FALSE)+IF(AND(ISNUMBER('参数'!$I$36),ISNUMBER(S235)),S235&lt;'参数'!$I$36,FALSE)+IF(AND(ISNUMBER(R235),ISNUMBER(R234)),R235&lt;R234,FALSE)),"")</f>
        <v/>
      </c>
      <c r="Z235" s="41" t="str">
        <f>IF(NOT(AND(ISNUMBER(J235),ISNUMBER(K235))),"",IF(COUNT(T235:Y235)=0,"先填阈值",IF(MAX(AD235:AI235)=0,"不写",INDEX($T$4:$Y$4,MATCH(MAX(AD235:AI235),AD235:AI235,0))&amp;"·"&amp;IF(MAX(AD235:AI235)&gt;=200,"高","中")&amp;IF(LARGE(AD235:AI235,2)&gt;0,"（也像"&amp;INDEX($T$4:$Y$4,MATCH(LARGE(AD235:AI235,2),AD235:AI235,0))&amp;"·"&amp;IF(LARGE(AD235:AI235,2)&gt;=200,"高","中")&amp;"）",""))))</f>
        <v/>
      </c>
      <c r="AA235" s="27" t="n"/>
      <c r="AB235" s="32" t="n"/>
      <c r="AC235" s="16" t="n"/>
      <c r="AD235" s="40">
        <f>IF(N(T235)&gt;=3,IF(T235=4,2,1)*100+T235*10+6,0)</f>
        <v>0</v>
      </c>
      <c r="AE235" s="40">
        <f>IF(N(U235)&gt;=3,1*100+U235*10+1,0)</f>
        <v>0</v>
      </c>
      <c r="AF235" s="40">
        <f>IF(N(V235)&gt;=3,IF(V235=4,2,1)*100+V235*10+2,0)</f>
        <v>0</v>
      </c>
      <c r="AG235" s="40">
        <f>IF(N(W235)&gt;=3,1*100+W235*10+3,0)</f>
        <v>0</v>
      </c>
      <c r="AH235" s="40">
        <f>IF(N(X235)&gt;=3,1*100+X235*10+4,0)</f>
        <v>0</v>
      </c>
      <c r="AI235" s="40">
        <f>IF(N(Y235)&gt;=3,IF(AND(N(T235)&gt;=3,OR(N(T235)=4,N(Y235)&lt;=N(T235))),0,IF(Y235=4,2,1)*100+Y235*10+5),0)</f>
        <v>0</v>
      </c>
    </row>
    <row r="236">
      <c r="A236" s="31" t="n"/>
      <c r="B236" s="36" t="str">
        <f>IF(ISNUMBER(A236),"周"&amp;CHOOSE(WEEKDAY(A236,2),"一","二","三","四","五","六","日"),"")</f>
        <v/>
      </c>
      <c r="C236" s="37" t="n"/>
      <c r="D236" s="37" t="n"/>
      <c r="E236" s="37" t="n"/>
      <c r="F236" s="17" t="n"/>
      <c r="G236" s="38" t="str">
        <f>IF(AND(ISNUMBER(F236),ISNUMBER(F235)),IF(F235=0,"",F236/F235-1),"")</f>
        <v/>
      </c>
      <c r="H236" s="17" t="n"/>
      <c r="I236" s="17" t="n"/>
      <c r="J236" s="17" t="n"/>
      <c r="K236" s="17" t="n"/>
      <c r="L236" s="17" t="n"/>
      <c r="M236" s="17" t="n"/>
      <c r="N236" s="39" t="str">
        <f>IF(AND(ISNUMBER(L236),ISNUMBER(M236),N(L236)&gt;0),M236/L236,"")</f>
        <v/>
      </c>
      <c r="O236" s="17" t="n"/>
      <c r="P236" s="17" t="n"/>
      <c r="Q236" s="39" t="str">
        <f>IF(AND(ISNUMBER(O236),ISNUMBER(P236),N(O236)&gt;0),P236/O236,"")</f>
        <v/>
      </c>
      <c r="R236" s="17" t="n"/>
      <c r="S236" s="37" t="n"/>
      <c r="T236" s="40" t="str">
        <f>IF(AND(ISNUMBER(J236),ISNUMBER(K236)),IF(N(ISNUMBER('参数'!$E$31))+N(ISNUMBER('参数'!$G$31))+N(ISNUMBER('参数'!$I$31))+N(ISNUMBER('参数'!$K$31))=0,"",IF(ISNUMBER('参数'!$E$31),J236&lt;='参数'!$E$31,FALSE)+IF(ISNUMBER('参数'!$G$31),K236&gt;='参数'!$G$31,FALSE)+IF(AND(ISNUMBER('参数'!$I$31),ISNUMBER(N236)),N236&gt;='参数'!$I$31,FALSE)+IF(AND(ISNUMBER('参数'!$K$31),ISNUMBER(Q236)),Q236&lt;='参数'!$K$31,FALSE)),"")</f>
        <v/>
      </c>
      <c r="U236" s="40" t="str">
        <f>IF(AND(ISNUMBER(J236),ISNUMBER(K236)),IF(N(ISNUMBER('参数'!$G$32))+N(ISNUMBER('参数'!$I$32))+N(ISNUMBER('参数'!$K$32))=0,"",IF(AND(ISNUMBER(J235),ISNUMBER(J234)),AND(J236&gt;J235,J235&gt;J234),FALSE)+IF(ISNUMBER('参数'!$G$32),J236&lt;'参数'!$G$32,FALSE)+IF(AND(ISNUMBER('参数'!$I$32),ISNUMBER(Q236)),Q236&gt;='参数'!$I$32,FALSE)+IF(AND(ISNUMBER('参数'!$K$32),ISNUMBER(S236)),S236&gt;='参数'!$K$32,FALSE)),"")</f>
        <v/>
      </c>
      <c r="V236" s="40" t="str">
        <f>IF(AND(ISNUMBER(J236),ISNUMBER(K236)),IF(N(ISNUMBER('参数'!$E$33))+N(ISNUMBER('参数'!$G$33))+N(ISNUMBER('参数'!$I$33))+N(ISNUMBER('参数'!$K$33))=0,"",IF(AND(ISNUMBER('参数'!$E$33),ISNUMBER(J235)),AND(J236&gt;='参数'!$E$33,J236&gt;J235),FALSE)+IF(AND(ISNUMBER('参数'!$G$33),ISNUMBER(N236)),N236&lt;='参数'!$G$33,FALSE)+IF(AND(ISNUMBER('参数'!$I$33),ISNUMBER(Q236)),Q236&gt;='参数'!$I$33,FALSE)+IF(AND(ISNUMBER('参数'!$K$33),ISNUMBER(S236)),S236&gt;='参数'!$K$33,FALSE)),"")</f>
        <v/>
      </c>
      <c r="W236" s="40" t="str">
        <f>IF(AND(ISNUMBER(J236),ISNUMBER(K236)),IF(N(ISNUMBER('参数'!$E$34))+N(ISNUMBER('参数'!$G$34))+N(ISNUMBER('参数'!$I$34))+N(ISNUMBER('参数'!$K$34))=0,"",IF(ISNUMBER('参数'!$E$34),J236&gt;='参数'!$E$34,FALSE)+IF(AND(ISNUMBER('参数'!$G$34),ISNUMBER(N236)),N236&lt;='参数'!$G$34,FALSE)+IF(AND(ISNUMBER('参数'!$I$34),ISNUMBER(S236)),S236&gt;='参数'!$I$34,FALSE)+IF(AND(ISNUMBER('参数'!$K$34),ISNUMBER(R236)),R236&gt;='参数'!$K$34,FALSE)),"")</f>
        <v/>
      </c>
      <c r="X236" s="40" t="str">
        <f>IF(AND(ISNUMBER(J236),ISNUMBER(K236)),IF(N(ISNUMBER('参数'!$E$35))+N(ISNUMBER('参数'!$G$35))+N(ISNUMBER('参数'!$I$35))=0,"",IF(AND(ISNUMBER('参数'!$E$35),ISNUMBER(N236),ISNUMBER(N235)),ROUND(N236-N235,6)&gt;='参数'!$E$35,FALSE)+IF(AND(ISNUMBER('参数'!$G$35),ISNUMBER(Q236),ISNUMBER(Q235)),ROUND(Q235-Q236,6)&gt;='参数'!$G$35,FALSE)+IF(AND(ISNUMBER('参数'!$I$35),ISNUMBER(S236),ISNUMBER(S235)),ROUND(S235-S236,6)&gt;='参数'!$I$35,FALSE)+IF(ISNUMBER(J235),J236&lt;J235,FALSE)),"")</f>
        <v/>
      </c>
      <c r="Y236" s="40" t="str">
        <f>IF(AND(ISNUMBER(J236),ISNUMBER(K236)),IF(N(ISNUMBER('参数'!$E$36))+N(ISNUMBER('参数'!$G$36))+N(ISNUMBER('参数'!$I$36))=0,"",IF(AND(ISNUMBER('参数'!$E$36),ISNUMBER(J235)),AND(J236&lt;='参数'!$E$36,J236&lt;J235),FALSE)+IF(ISNUMBER('参数'!$G$36),K236&gt;='参数'!$G$36,FALSE)+IF(AND(ISNUMBER('参数'!$I$36),ISNUMBER(S236)),S236&lt;'参数'!$I$36,FALSE)+IF(AND(ISNUMBER(R236),ISNUMBER(R235)),R236&lt;R235,FALSE)),"")</f>
        <v/>
      </c>
      <c r="Z236" s="41" t="str">
        <f>IF(NOT(AND(ISNUMBER(J236),ISNUMBER(K236))),"",IF(COUNT(T236:Y236)=0,"先填阈值",IF(MAX(AD236:AI236)=0,"不写",INDEX($T$4:$Y$4,MATCH(MAX(AD236:AI236),AD236:AI236,0))&amp;"·"&amp;IF(MAX(AD236:AI236)&gt;=200,"高","中")&amp;IF(LARGE(AD236:AI236,2)&gt;0,"（也像"&amp;INDEX($T$4:$Y$4,MATCH(LARGE(AD236:AI236,2),AD236:AI236,0))&amp;"·"&amp;IF(LARGE(AD236:AI236,2)&gt;=200,"高","中")&amp;"）",""))))</f>
        <v/>
      </c>
      <c r="AA236" s="27" t="n"/>
      <c r="AB236" s="32" t="n"/>
      <c r="AC236" s="16" t="n"/>
      <c r="AD236" s="40">
        <f>IF(N(T236)&gt;=3,IF(T236=4,2,1)*100+T236*10+6,0)</f>
        <v>0</v>
      </c>
      <c r="AE236" s="40">
        <f>IF(N(U236)&gt;=3,1*100+U236*10+1,0)</f>
        <v>0</v>
      </c>
      <c r="AF236" s="40">
        <f>IF(N(V236)&gt;=3,IF(V236=4,2,1)*100+V236*10+2,0)</f>
        <v>0</v>
      </c>
      <c r="AG236" s="40">
        <f>IF(N(W236)&gt;=3,1*100+W236*10+3,0)</f>
        <v>0</v>
      </c>
      <c r="AH236" s="40">
        <f>IF(N(X236)&gt;=3,1*100+X236*10+4,0)</f>
        <v>0</v>
      </c>
      <c r="AI236" s="40">
        <f>IF(N(Y236)&gt;=3,IF(AND(N(T236)&gt;=3,OR(N(T236)=4,N(Y236)&lt;=N(T236))),0,IF(Y236=4,2,1)*100+Y236*10+5),0)</f>
        <v>0</v>
      </c>
    </row>
    <row r="237">
      <c r="A237" s="31" t="n"/>
      <c r="B237" s="36" t="str">
        <f>IF(ISNUMBER(A237),"周"&amp;CHOOSE(WEEKDAY(A237,2),"一","二","三","四","五","六","日"),"")</f>
        <v/>
      </c>
      <c r="C237" s="37" t="n"/>
      <c r="D237" s="37" t="n"/>
      <c r="E237" s="37" t="n"/>
      <c r="F237" s="17" t="n"/>
      <c r="G237" s="38" t="str">
        <f>IF(AND(ISNUMBER(F237),ISNUMBER(F236)),IF(F236=0,"",F237/F236-1),"")</f>
        <v/>
      </c>
      <c r="H237" s="17" t="n"/>
      <c r="I237" s="17" t="n"/>
      <c r="J237" s="17" t="n"/>
      <c r="K237" s="17" t="n"/>
      <c r="L237" s="17" t="n"/>
      <c r="M237" s="17" t="n"/>
      <c r="N237" s="39" t="str">
        <f>IF(AND(ISNUMBER(L237),ISNUMBER(M237),N(L237)&gt;0),M237/L237,"")</f>
        <v/>
      </c>
      <c r="O237" s="17" t="n"/>
      <c r="P237" s="17" t="n"/>
      <c r="Q237" s="39" t="str">
        <f>IF(AND(ISNUMBER(O237),ISNUMBER(P237),N(O237)&gt;0),P237/O237,"")</f>
        <v/>
      </c>
      <c r="R237" s="17" t="n"/>
      <c r="S237" s="37" t="n"/>
      <c r="T237" s="40" t="str">
        <f>IF(AND(ISNUMBER(J237),ISNUMBER(K237)),IF(N(ISNUMBER('参数'!$E$31))+N(ISNUMBER('参数'!$G$31))+N(ISNUMBER('参数'!$I$31))+N(ISNUMBER('参数'!$K$31))=0,"",IF(ISNUMBER('参数'!$E$31),J237&lt;='参数'!$E$31,FALSE)+IF(ISNUMBER('参数'!$G$31),K237&gt;='参数'!$G$31,FALSE)+IF(AND(ISNUMBER('参数'!$I$31),ISNUMBER(N237)),N237&gt;='参数'!$I$31,FALSE)+IF(AND(ISNUMBER('参数'!$K$31),ISNUMBER(Q237)),Q237&lt;='参数'!$K$31,FALSE)),"")</f>
        <v/>
      </c>
      <c r="U237" s="40" t="str">
        <f>IF(AND(ISNUMBER(J237),ISNUMBER(K237)),IF(N(ISNUMBER('参数'!$G$32))+N(ISNUMBER('参数'!$I$32))+N(ISNUMBER('参数'!$K$32))=0,"",IF(AND(ISNUMBER(J236),ISNUMBER(J235)),AND(J237&gt;J236,J236&gt;J235),FALSE)+IF(ISNUMBER('参数'!$G$32),J237&lt;'参数'!$G$32,FALSE)+IF(AND(ISNUMBER('参数'!$I$32),ISNUMBER(Q237)),Q237&gt;='参数'!$I$32,FALSE)+IF(AND(ISNUMBER('参数'!$K$32),ISNUMBER(S237)),S237&gt;='参数'!$K$32,FALSE)),"")</f>
        <v/>
      </c>
      <c r="V237" s="40" t="str">
        <f>IF(AND(ISNUMBER(J237),ISNUMBER(K237)),IF(N(ISNUMBER('参数'!$E$33))+N(ISNUMBER('参数'!$G$33))+N(ISNUMBER('参数'!$I$33))+N(ISNUMBER('参数'!$K$33))=0,"",IF(AND(ISNUMBER('参数'!$E$33),ISNUMBER(J236)),AND(J237&gt;='参数'!$E$33,J237&gt;J236),FALSE)+IF(AND(ISNUMBER('参数'!$G$33),ISNUMBER(N237)),N237&lt;='参数'!$G$33,FALSE)+IF(AND(ISNUMBER('参数'!$I$33),ISNUMBER(Q237)),Q237&gt;='参数'!$I$33,FALSE)+IF(AND(ISNUMBER('参数'!$K$33),ISNUMBER(S237)),S237&gt;='参数'!$K$33,FALSE)),"")</f>
        <v/>
      </c>
      <c r="W237" s="40" t="str">
        <f>IF(AND(ISNUMBER(J237),ISNUMBER(K237)),IF(N(ISNUMBER('参数'!$E$34))+N(ISNUMBER('参数'!$G$34))+N(ISNUMBER('参数'!$I$34))+N(ISNUMBER('参数'!$K$34))=0,"",IF(ISNUMBER('参数'!$E$34),J237&gt;='参数'!$E$34,FALSE)+IF(AND(ISNUMBER('参数'!$G$34),ISNUMBER(N237)),N237&lt;='参数'!$G$34,FALSE)+IF(AND(ISNUMBER('参数'!$I$34),ISNUMBER(S237)),S237&gt;='参数'!$I$34,FALSE)+IF(AND(ISNUMBER('参数'!$K$34),ISNUMBER(R237)),R237&gt;='参数'!$K$34,FALSE)),"")</f>
        <v/>
      </c>
      <c r="X237" s="40" t="str">
        <f>IF(AND(ISNUMBER(J237),ISNUMBER(K237)),IF(N(ISNUMBER('参数'!$E$35))+N(ISNUMBER('参数'!$G$35))+N(ISNUMBER('参数'!$I$35))=0,"",IF(AND(ISNUMBER('参数'!$E$35),ISNUMBER(N237),ISNUMBER(N236)),ROUND(N237-N236,6)&gt;='参数'!$E$35,FALSE)+IF(AND(ISNUMBER('参数'!$G$35),ISNUMBER(Q237),ISNUMBER(Q236)),ROUND(Q236-Q237,6)&gt;='参数'!$G$35,FALSE)+IF(AND(ISNUMBER('参数'!$I$35),ISNUMBER(S237),ISNUMBER(S236)),ROUND(S236-S237,6)&gt;='参数'!$I$35,FALSE)+IF(ISNUMBER(J236),J237&lt;J236,FALSE)),"")</f>
        <v/>
      </c>
      <c r="Y237" s="40" t="str">
        <f>IF(AND(ISNUMBER(J237),ISNUMBER(K237)),IF(N(ISNUMBER('参数'!$E$36))+N(ISNUMBER('参数'!$G$36))+N(ISNUMBER('参数'!$I$36))=0,"",IF(AND(ISNUMBER('参数'!$E$36),ISNUMBER(J236)),AND(J237&lt;='参数'!$E$36,J237&lt;J236),FALSE)+IF(ISNUMBER('参数'!$G$36),K237&gt;='参数'!$G$36,FALSE)+IF(AND(ISNUMBER('参数'!$I$36),ISNUMBER(S237)),S237&lt;'参数'!$I$36,FALSE)+IF(AND(ISNUMBER(R237),ISNUMBER(R236)),R237&lt;R236,FALSE)),"")</f>
        <v/>
      </c>
      <c r="Z237" s="41" t="str">
        <f>IF(NOT(AND(ISNUMBER(J237),ISNUMBER(K237))),"",IF(COUNT(T237:Y237)=0,"先填阈值",IF(MAX(AD237:AI237)=0,"不写",INDEX($T$4:$Y$4,MATCH(MAX(AD237:AI237),AD237:AI237,0))&amp;"·"&amp;IF(MAX(AD237:AI237)&gt;=200,"高","中")&amp;IF(LARGE(AD237:AI237,2)&gt;0,"（也像"&amp;INDEX($T$4:$Y$4,MATCH(LARGE(AD237:AI237,2),AD237:AI237,0))&amp;"·"&amp;IF(LARGE(AD237:AI237,2)&gt;=200,"高","中")&amp;"）",""))))</f>
        <v/>
      </c>
      <c r="AA237" s="27" t="n"/>
      <c r="AB237" s="32" t="n"/>
      <c r="AC237" s="16" t="n"/>
      <c r="AD237" s="40">
        <f>IF(N(T237)&gt;=3,IF(T237=4,2,1)*100+T237*10+6,0)</f>
        <v>0</v>
      </c>
      <c r="AE237" s="40">
        <f>IF(N(U237)&gt;=3,1*100+U237*10+1,0)</f>
        <v>0</v>
      </c>
      <c r="AF237" s="40">
        <f>IF(N(V237)&gt;=3,IF(V237=4,2,1)*100+V237*10+2,0)</f>
        <v>0</v>
      </c>
      <c r="AG237" s="40">
        <f>IF(N(W237)&gt;=3,1*100+W237*10+3,0)</f>
        <v>0</v>
      </c>
      <c r="AH237" s="40">
        <f>IF(N(X237)&gt;=3,1*100+X237*10+4,0)</f>
        <v>0</v>
      </c>
      <c r="AI237" s="40">
        <f>IF(N(Y237)&gt;=3,IF(AND(N(T237)&gt;=3,OR(N(T237)=4,N(Y237)&lt;=N(T237))),0,IF(Y237=4,2,1)*100+Y237*10+5),0)</f>
        <v>0</v>
      </c>
    </row>
    <row r="238">
      <c r="A238" s="31" t="n"/>
      <c r="B238" s="36" t="str">
        <f>IF(ISNUMBER(A238),"周"&amp;CHOOSE(WEEKDAY(A238,2),"一","二","三","四","五","六","日"),"")</f>
        <v/>
      </c>
      <c r="C238" s="37" t="n"/>
      <c r="D238" s="37" t="n"/>
      <c r="E238" s="37" t="n"/>
      <c r="F238" s="17" t="n"/>
      <c r="G238" s="38" t="str">
        <f>IF(AND(ISNUMBER(F238),ISNUMBER(F237)),IF(F237=0,"",F238/F237-1),"")</f>
        <v/>
      </c>
      <c r="H238" s="17" t="n"/>
      <c r="I238" s="17" t="n"/>
      <c r="J238" s="17" t="n"/>
      <c r="K238" s="17" t="n"/>
      <c r="L238" s="17" t="n"/>
      <c r="M238" s="17" t="n"/>
      <c r="N238" s="39" t="str">
        <f>IF(AND(ISNUMBER(L238),ISNUMBER(M238),N(L238)&gt;0),M238/L238,"")</f>
        <v/>
      </c>
      <c r="O238" s="17" t="n"/>
      <c r="P238" s="17" t="n"/>
      <c r="Q238" s="39" t="str">
        <f>IF(AND(ISNUMBER(O238),ISNUMBER(P238),N(O238)&gt;0),P238/O238,"")</f>
        <v/>
      </c>
      <c r="R238" s="17" t="n"/>
      <c r="S238" s="37" t="n"/>
      <c r="T238" s="40" t="str">
        <f>IF(AND(ISNUMBER(J238),ISNUMBER(K238)),IF(N(ISNUMBER('参数'!$E$31))+N(ISNUMBER('参数'!$G$31))+N(ISNUMBER('参数'!$I$31))+N(ISNUMBER('参数'!$K$31))=0,"",IF(ISNUMBER('参数'!$E$31),J238&lt;='参数'!$E$31,FALSE)+IF(ISNUMBER('参数'!$G$31),K238&gt;='参数'!$G$31,FALSE)+IF(AND(ISNUMBER('参数'!$I$31),ISNUMBER(N238)),N238&gt;='参数'!$I$31,FALSE)+IF(AND(ISNUMBER('参数'!$K$31),ISNUMBER(Q238)),Q238&lt;='参数'!$K$31,FALSE)),"")</f>
        <v/>
      </c>
      <c r="U238" s="40" t="str">
        <f>IF(AND(ISNUMBER(J238),ISNUMBER(K238)),IF(N(ISNUMBER('参数'!$G$32))+N(ISNUMBER('参数'!$I$32))+N(ISNUMBER('参数'!$K$32))=0,"",IF(AND(ISNUMBER(J237),ISNUMBER(J236)),AND(J238&gt;J237,J237&gt;J236),FALSE)+IF(ISNUMBER('参数'!$G$32),J238&lt;'参数'!$G$32,FALSE)+IF(AND(ISNUMBER('参数'!$I$32),ISNUMBER(Q238)),Q238&gt;='参数'!$I$32,FALSE)+IF(AND(ISNUMBER('参数'!$K$32),ISNUMBER(S238)),S238&gt;='参数'!$K$32,FALSE)),"")</f>
        <v/>
      </c>
      <c r="V238" s="40" t="str">
        <f>IF(AND(ISNUMBER(J238),ISNUMBER(K238)),IF(N(ISNUMBER('参数'!$E$33))+N(ISNUMBER('参数'!$G$33))+N(ISNUMBER('参数'!$I$33))+N(ISNUMBER('参数'!$K$33))=0,"",IF(AND(ISNUMBER('参数'!$E$33),ISNUMBER(J237)),AND(J238&gt;='参数'!$E$33,J238&gt;J237),FALSE)+IF(AND(ISNUMBER('参数'!$G$33),ISNUMBER(N238)),N238&lt;='参数'!$G$33,FALSE)+IF(AND(ISNUMBER('参数'!$I$33),ISNUMBER(Q238)),Q238&gt;='参数'!$I$33,FALSE)+IF(AND(ISNUMBER('参数'!$K$33),ISNUMBER(S238)),S238&gt;='参数'!$K$33,FALSE)),"")</f>
        <v/>
      </c>
      <c r="W238" s="40" t="str">
        <f>IF(AND(ISNUMBER(J238),ISNUMBER(K238)),IF(N(ISNUMBER('参数'!$E$34))+N(ISNUMBER('参数'!$G$34))+N(ISNUMBER('参数'!$I$34))+N(ISNUMBER('参数'!$K$34))=0,"",IF(ISNUMBER('参数'!$E$34),J238&gt;='参数'!$E$34,FALSE)+IF(AND(ISNUMBER('参数'!$G$34),ISNUMBER(N238)),N238&lt;='参数'!$G$34,FALSE)+IF(AND(ISNUMBER('参数'!$I$34),ISNUMBER(S238)),S238&gt;='参数'!$I$34,FALSE)+IF(AND(ISNUMBER('参数'!$K$34),ISNUMBER(R238)),R238&gt;='参数'!$K$34,FALSE)),"")</f>
        <v/>
      </c>
      <c r="X238" s="40" t="str">
        <f>IF(AND(ISNUMBER(J238),ISNUMBER(K238)),IF(N(ISNUMBER('参数'!$E$35))+N(ISNUMBER('参数'!$G$35))+N(ISNUMBER('参数'!$I$35))=0,"",IF(AND(ISNUMBER('参数'!$E$35),ISNUMBER(N238),ISNUMBER(N237)),ROUND(N238-N237,6)&gt;='参数'!$E$35,FALSE)+IF(AND(ISNUMBER('参数'!$G$35),ISNUMBER(Q238),ISNUMBER(Q237)),ROUND(Q237-Q238,6)&gt;='参数'!$G$35,FALSE)+IF(AND(ISNUMBER('参数'!$I$35),ISNUMBER(S238),ISNUMBER(S237)),ROUND(S237-S238,6)&gt;='参数'!$I$35,FALSE)+IF(ISNUMBER(J237),J238&lt;J237,FALSE)),"")</f>
        <v/>
      </c>
      <c r="Y238" s="40" t="str">
        <f>IF(AND(ISNUMBER(J238),ISNUMBER(K238)),IF(N(ISNUMBER('参数'!$E$36))+N(ISNUMBER('参数'!$G$36))+N(ISNUMBER('参数'!$I$36))=0,"",IF(AND(ISNUMBER('参数'!$E$36),ISNUMBER(J237)),AND(J238&lt;='参数'!$E$36,J238&lt;J237),FALSE)+IF(ISNUMBER('参数'!$G$36),K238&gt;='参数'!$G$36,FALSE)+IF(AND(ISNUMBER('参数'!$I$36),ISNUMBER(S238)),S238&lt;'参数'!$I$36,FALSE)+IF(AND(ISNUMBER(R238),ISNUMBER(R237)),R238&lt;R237,FALSE)),"")</f>
        <v/>
      </c>
      <c r="Z238" s="41" t="str">
        <f>IF(NOT(AND(ISNUMBER(J238),ISNUMBER(K238))),"",IF(COUNT(T238:Y238)=0,"先填阈值",IF(MAX(AD238:AI238)=0,"不写",INDEX($T$4:$Y$4,MATCH(MAX(AD238:AI238),AD238:AI238,0))&amp;"·"&amp;IF(MAX(AD238:AI238)&gt;=200,"高","中")&amp;IF(LARGE(AD238:AI238,2)&gt;0,"（也像"&amp;INDEX($T$4:$Y$4,MATCH(LARGE(AD238:AI238,2),AD238:AI238,0))&amp;"·"&amp;IF(LARGE(AD238:AI238,2)&gt;=200,"高","中")&amp;"）",""))))</f>
        <v/>
      </c>
      <c r="AA238" s="27" t="n"/>
      <c r="AB238" s="32" t="n"/>
      <c r="AC238" s="16" t="n"/>
      <c r="AD238" s="40">
        <f>IF(N(T238)&gt;=3,IF(T238=4,2,1)*100+T238*10+6,0)</f>
        <v>0</v>
      </c>
      <c r="AE238" s="40">
        <f>IF(N(U238)&gt;=3,1*100+U238*10+1,0)</f>
        <v>0</v>
      </c>
      <c r="AF238" s="40">
        <f>IF(N(V238)&gt;=3,IF(V238=4,2,1)*100+V238*10+2,0)</f>
        <v>0</v>
      </c>
      <c r="AG238" s="40">
        <f>IF(N(W238)&gt;=3,1*100+W238*10+3,0)</f>
        <v>0</v>
      </c>
      <c r="AH238" s="40">
        <f>IF(N(X238)&gt;=3,1*100+X238*10+4,0)</f>
        <v>0</v>
      </c>
      <c r="AI238" s="40">
        <f>IF(N(Y238)&gt;=3,IF(AND(N(T238)&gt;=3,OR(N(T238)=4,N(Y238)&lt;=N(T238))),0,IF(Y238=4,2,1)*100+Y238*10+5),0)</f>
        <v>0</v>
      </c>
    </row>
    <row r="239">
      <c r="A239" s="31" t="n"/>
      <c r="B239" s="36" t="str">
        <f>IF(ISNUMBER(A239),"周"&amp;CHOOSE(WEEKDAY(A239,2),"一","二","三","四","五","六","日"),"")</f>
        <v/>
      </c>
      <c r="C239" s="37" t="n"/>
      <c r="D239" s="37" t="n"/>
      <c r="E239" s="37" t="n"/>
      <c r="F239" s="17" t="n"/>
      <c r="G239" s="38" t="str">
        <f>IF(AND(ISNUMBER(F239),ISNUMBER(F238)),IF(F238=0,"",F239/F238-1),"")</f>
        <v/>
      </c>
      <c r="H239" s="17" t="n"/>
      <c r="I239" s="17" t="n"/>
      <c r="J239" s="17" t="n"/>
      <c r="K239" s="17" t="n"/>
      <c r="L239" s="17" t="n"/>
      <c r="M239" s="17" t="n"/>
      <c r="N239" s="39" t="str">
        <f>IF(AND(ISNUMBER(L239),ISNUMBER(M239),N(L239)&gt;0),M239/L239,"")</f>
        <v/>
      </c>
      <c r="O239" s="17" t="n"/>
      <c r="P239" s="17" t="n"/>
      <c r="Q239" s="39" t="str">
        <f>IF(AND(ISNUMBER(O239),ISNUMBER(P239),N(O239)&gt;0),P239/O239,"")</f>
        <v/>
      </c>
      <c r="R239" s="17" t="n"/>
      <c r="S239" s="37" t="n"/>
      <c r="T239" s="40" t="str">
        <f>IF(AND(ISNUMBER(J239),ISNUMBER(K239)),IF(N(ISNUMBER('参数'!$E$31))+N(ISNUMBER('参数'!$G$31))+N(ISNUMBER('参数'!$I$31))+N(ISNUMBER('参数'!$K$31))=0,"",IF(ISNUMBER('参数'!$E$31),J239&lt;='参数'!$E$31,FALSE)+IF(ISNUMBER('参数'!$G$31),K239&gt;='参数'!$G$31,FALSE)+IF(AND(ISNUMBER('参数'!$I$31),ISNUMBER(N239)),N239&gt;='参数'!$I$31,FALSE)+IF(AND(ISNUMBER('参数'!$K$31),ISNUMBER(Q239)),Q239&lt;='参数'!$K$31,FALSE)),"")</f>
        <v/>
      </c>
      <c r="U239" s="40" t="str">
        <f>IF(AND(ISNUMBER(J239),ISNUMBER(K239)),IF(N(ISNUMBER('参数'!$G$32))+N(ISNUMBER('参数'!$I$32))+N(ISNUMBER('参数'!$K$32))=0,"",IF(AND(ISNUMBER(J238),ISNUMBER(J237)),AND(J239&gt;J238,J238&gt;J237),FALSE)+IF(ISNUMBER('参数'!$G$32),J239&lt;'参数'!$G$32,FALSE)+IF(AND(ISNUMBER('参数'!$I$32),ISNUMBER(Q239)),Q239&gt;='参数'!$I$32,FALSE)+IF(AND(ISNUMBER('参数'!$K$32),ISNUMBER(S239)),S239&gt;='参数'!$K$32,FALSE)),"")</f>
        <v/>
      </c>
      <c r="V239" s="40" t="str">
        <f>IF(AND(ISNUMBER(J239),ISNUMBER(K239)),IF(N(ISNUMBER('参数'!$E$33))+N(ISNUMBER('参数'!$G$33))+N(ISNUMBER('参数'!$I$33))+N(ISNUMBER('参数'!$K$33))=0,"",IF(AND(ISNUMBER('参数'!$E$33),ISNUMBER(J238)),AND(J239&gt;='参数'!$E$33,J239&gt;J238),FALSE)+IF(AND(ISNUMBER('参数'!$G$33),ISNUMBER(N239)),N239&lt;='参数'!$G$33,FALSE)+IF(AND(ISNUMBER('参数'!$I$33),ISNUMBER(Q239)),Q239&gt;='参数'!$I$33,FALSE)+IF(AND(ISNUMBER('参数'!$K$33),ISNUMBER(S239)),S239&gt;='参数'!$K$33,FALSE)),"")</f>
        <v/>
      </c>
      <c r="W239" s="40" t="str">
        <f>IF(AND(ISNUMBER(J239),ISNUMBER(K239)),IF(N(ISNUMBER('参数'!$E$34))+N(ISNUMBER('参数'!$G$34))+N(ISNUMBER('参数'!$I$34))+N(ISNUMBER('参数'!$K$34))=0,"",IF(ISNUMBER('参数'!$E$34),J239&gt;='参数'!$E$34,FALSE)+IF(AND(ISNUMBER('参数'!$G$34),ISNUMBER(N239)),N239&lt;='参数'!$G$34,FALSE)+IF(AND(ISNUMBER('参数'!$I$34),ISNUMBER(S239)),S239&gt;='参数'!$I$34,FALSE)+IF(AND(ISNUMBER('参数'!$K$34),ISNUMBER(R239)),R239&gt;='参数'!$K$34,FALSE)),"")</f>
        <v/>
      </c>
      <c r="X239" s="40" t="str">
        <f>IF(AND(ISNUMBER(J239),ISNUMBER(K239)),IF(N(ISNUMBER('参数'!$E$35))+N(ISNUMBER('参数'!$G$35))+N(ISNUMBER('参数'!$I$35))=0,"",IF(AND(ISNUMBER('参数'!$E$35),ISNUMBER(N239),ISNUMBER(N238)),ROUND(N239-N238,6)&gt;='参数'!$E$35,FALSE)+IF(AND(ISNUMBER('参数'!$G$35),ISNUMBER(Q239),ISNUMBER(Q238)),ROUND(Q238-Q239,6)&gt;='参数'!$G$35,FALSE)+IF(AND(ISNUMBER('参数'!$I$35),ISNUMBER(S239),ISNUMBER(S238)),ROUND(S238-S239,6)&gt;='参数'!$I$35,FALSE)+IF(ISNUMBER(J238),J239&lt;J238,FALSE)),"")</f>
        <v/>
      </c>
      <c r="Y239" s="40" t="str">
        <f>IF(AND(ISNUMBER(J239),ISNUMBER(K239)),IF(N(ISNUMBER('参数'!$E$36))+N(ISNUMBER('参数'!$G$36))+N(ISNUMBER('参数'!$I$36))=0,"",IF(AND(ISNUMBER('参数'!$E$36),ISNUMBER(J238)),AND(J239&lt;='参数'!$E$36,J239&lt;J238),FALSE)+IF(ISNUMBER('参数'!$G$36),K239&gt;='参数'!$G$36,FALSE)+IF(AND(ISNUMBER('参数'!$I$36),ISNUMBER(S239)),S239&lt;'参数'!$I$36,FALSE)+IF(AND(ISNUMBER(R239),ISNUMBER(R238)),R239&lt;R238,FALSE)),"")</f>
        <v/>
      </c>
      <c r="Z239" s="41" t="str">
        <f>IF(NOT(AND(ISNUMBER(J239),ISNUMBER(K239))),"",IF(COUNT(T239:Y239)=0,"先填阈值",IF(MAX(AD239:AI239)=0,"不写",INDEX($T$4:$Y$4,MATCH(MAX(AD239:AI239),AD239:AI239,0))&amp;"·"&amp;IF(MAX(AD239:AI239)&gt;=200,"高","中")&amp;IF(LARGE(AD239:AI239,2)&gt;0,"（也像"&amp;INDEX($T$4:$Y$4,MATCH(LARGE(AD239:AI239,2),AD239:AI239,0))&amp;"·"&amp;IF(LARGE(AD239:AI239,2)&gt;=200,"高","中")&amp;"）",""))))</f>
        <v/>
      </c>
      <c r="AA239" s="27" t="n"/>
      <c r="AB239" s="32" t="n"/>
      <c r="AC239" s="16" t="n"/>
      <c r="AD239" s="40">
        <f>IF(N(T239)&gt;=3,IF(T239=4,2,1)*100+T239*10+6,0)</f>
        <v>0</v>
      </c>
      <c r="AE239" s="40">
        <f>IF(N(U239)&gt;=3,1*100+U239*10+1,0)</f>
        <v>0</v>
      </c>
      <c r="AF239" s="40">
        <f>IF(N(V239)&gt;=3,IF(V239=4,2,1)*100+V239*10+2,0)</f>
        <v>0</v>
      </c>
      <c r="AG239" s="40">
        <f>IF(N(W239)&gt;=3,1*100+W239*10+3,0)</f>
        <v>0</v>
      </c>
      <c r="AH239" s="40">
        <f>IF(N(X239)&gt;=3,1*100+X239*10+4,0)</f>
        <v>0</v>
      </c>
      <c r="AI239" s="40">
        <f>IF(N(Y239)&gt;=3,IF(AND(N(T239)&gt;=3,OR(N(T239)=4,N(Y239)&lt;=N(T239))),0,IF(Y239=4,2,1)*100+Y239*10+5),0)</f>
        <v>0</v>
      </c>
    </row>
    <row r="240">
      <c r="A240" s="31" t="n"/>
      <c r="B240" s="36" t="str">
        <f>IF(ISNUMBER(A240),"周"&amp;CHOOSE(WEEKDAY(A240,2),"一","二","三","四","五","六","日"),"")</f>
        <v/>
      </c>
      <c r="C240" s="37" t="n"/>
      <c r="D240" s="37" t="n"/>
      <c r="E240" s="37" t="n"/>
      <c r="F240" s="17" t="n"/>
      <c r="G240" s="38" t="str">
        <f>IF(AND(ISNUMBER(F240),ISNUMBER(F239)),IF(F239=0,"",F240/F239-1),"")</f>
        <v/>
      </c>
      <c r="H240" s="17" t="n"/>
      <c r="I240" s="17" t="n"/>
      <c r="J240" s="17" t="n"/>
      <c r="K240" s="17" t="n"/>
      <c r="L240" s="17" t="n"/>
      <c r="M240" s="17" t="n"/>
      <c r="N240" s="39" t="str">
        <f>IF(AND(ISNUMBER(L240),ISNUMBER(M240),N(L240)&gt;0),M240/L240,"")</f>
        <v/>
      </c>
      <c r="O240" s="17" t="n"/>
      <c r="P240" s="17" t="n"/>
      <c r="Q240" s="39" t="str">
        <f>IF(AND(ISNUMBER(O240),ISNUMBER(P240),N(O240)&gt;0),P240/O240,"")</f>
        <v/>
      </c>
      <c r="R240" s="17" t="n"/>
      <c r="S240" s="37" t="n"/>
      <c r="T240" s="40" t="str">
        <f>IF(AND(ISNUMBER(J240),ISNUMBER(K240)),IF(N(ISNUMBER('参数'!$E$31))+N(ISNUMBER('参数'!$G$31))+N(ISNUMBER('参数'!$I$31))+N(ISNUMBER('参数'!$K$31))=0,"",IF(ISNUMBER('参数'!$E$31),J240&lt;='参数'!$E$31,FALSE)+IF(ISNUMBER('参数'!$G$31),K240&gt;='参数'!$G$31,FALSE)+IF(AND(ISNUMBER('参数'!$I$31),ISNUMBER(N240)),N240&gt;='参数'!$I$31,FALSE)+IF(AND(ISNUMBER('参数'!$K$31),ISNUMBER(Q240)),Q240&lt;='参数'!$K$31,FALSE)),"")</f>
        <v/>
      </c>
      <c r="U240" s="40" t="str">
        <f>IF(AND(ISNUMBER(J240),ISNUMBER(K240)),IF(N(ISNUMBER('参数'!$G$32))+N(ISNUMBER('参数'!$I$32))+N(ISNUMBER('参数'!$K$32))=0,"",IF(AND(ISNUMBER(J239),ISNUMBER(J238)),AND(J240&gt;J239,J239&gt;J238),FALSE)+IF(ISNUMBER('参数'!$G$32),J240&lt;'参数'!$G$32,FALSE)+IF(AND(ISNUMBER('参数'!$I$32),ISNUMBER(Q240)),Q240&gt;='参数'!$I$32,FALSE)+IF(AND(ISNUMBER('参数'!$K$32),ISNUMBER(S240)),S240&gt;='参数'!$K$32,FALSE)),"")</f>
        <v/>
      </c>
      <c r="V240" s="40" t="str">
        <f>IF(AND(ISNUMBER(J240),ISNUMBER(K240)),IF(N(ISNUMBER('参数'!$E$33))+N(ISNUMBER('参数'!$G$33))+N(ISNUMBER('参数'!$I$33))+N(ISNUMBER('参数'!$K$33))=0,"",IF(AND(ISNUMBER('参数'!$E$33),ISNUMBER(J239)),AND(J240&gt;='参数'!$E$33,J240&gt;J239),FALSE)+IF(AND(ISNUMBER('参数'!$G$33),ISNUMBER(N240)),N240&lt;='参数'!$G$33,FALSE)+IF(AND(ISNUMBER('参数'!$I$33),ISNUMBER(Q240)),Q240&gt;='参数'!$I$33,FALSE)+IF(AND(ISNUMBER('参数'!$K$33),ISNUMBER(S240)),S240&gt;='参数'!$K$33,FALSE)),"")</f>
        <v/>
      </c>
      <c r="W240" s="40" t="str">
        <f>IF(AND(ISNUMBER(J240),ISNUMBER(K240)),IF(N(ISNUMBER('参数'!$E$34))+N(ISNUMBER('参数'!$G$34))+N(ISNUMBER('参数'!$I$34))+N(ISNUMBER('参数'!$K$34))=0,"",IF(ISNUMBER('参数'!$E$34),J240&gt;='参数'!$E$34,FALSE)+IF(AND(ISNUMBER('参数'!$G$34),ISNUMBER(N240)),N240&lt;='参数'!$G$34,FALSE)+IF(AND(ISNUMBER('参数'!$I$34),ISNUMBER(S240)),S240&gt;='参数'!$I$34,FALSE)+IF(AND(ISNUMBER('参数'!$K$34),ISNUMBER(R240)),R240&gt;='参数'!$K$34,FALSE)),"")</f>
        <v/>
      </c>
      <c r="X240" s="40" t="str">
        <f>IF(AND(ISNUMBER(J240),ISNUMBER(K240)),IF(N(ISNUMBER('参数'!$E$35))+N(ISNUMBER('参数'!$G$35))+N(ISNUMBER('参数'!$I$35))=0,"",IF(AND(ISNUMBER('参数'!$E$35),ISNUMBER(N240),ISNUMBER(N239)),ROUND(N240-N239,6)&gt;='参数'!$E$35,FALSE)+IF(AND(ISNUMBER('参数'!$G$35),ISNUMBER(Q240),ISNUMBER(Q239)),ROUND(Q239-Q240,6)&gt;='参数'!$G$35,FALSE)+IF(AND(ISNUMBER('参数'!$I$35),ISNUMBER(S240),ISNUMBER(S239)),ROUND(S239-S240,6)&gt;='参数'!$I$35,FALSE)+IF(ISNUMBER(J239),J240&lt;J239,FALSE)),"")</f>
        <v/>
      </c>
      <c r="Y240" s="40" t="str">
        <f>IF(AND(ISNUMBER(J240),ISNUMBER(K240)),IF(N(ISNUMBER('参数'!$E$36))+N(ISNUMBER('参数'!$G$36))+N(ISNUMBER('参数'!$I$36))=0,"",IF(AND(ISNUMBER('参数'!$E$36),ISNUMBER(J239)),AND(J240&lt;='参数'!$E$36,J240&lt;J239),FALSE)+IF(ISNUMBER('参数'!$G$36),K240&gt;='参数'!$G$36,FALSE)+IF(AND(ISNUMBER('参数'!$I$36),ISNUMBER(S240)),S240&lt;'参数'!$I$36,FALSE)+IF(AND(ISNUMBER(R240),ISNUMBER(R239)),R240&lt;R239,FALSE)),"")</f>
        <v/>
      </c>
      <c r="Z240" s="41" t="str">
        <f>IF(NOT(AND(ISNUMBER(J240),ISNUMBER(K240))),"",IF(COUNT(T240:Y240)=0,"先填阈值",IF(MAX(AD240:AI240)=0,"不写",INDEX($T$4:$Y$4,MATCH(MAX(AD240:AI240),AD240:AI240,0))&amp;"·"&amp;IF(MAX(AD240:AI240)&gt;=200,"高","中")&amp;IF(LARGE(AD240:AI240,2)&gt;0,"（也像"&amp;INDEX($T$4:$Y$4,MATCH(LARGE(AD240:AI240,2),AD240:AI240,0))&amp;"·"&amp;IF(LARGE(AD240:AI240,2)&gt;=200,"高","中")&amp;"）",""))))</f>
        <v/>
      </c>
      <c r="AA240" s="27" t="n"/>
      <c r="AB240" s="32" t="n"/>
      <c r="AC240" s="16" t="n"/>
      <c r="AD240" s="40">
        <f>IF(N(T240)&gt;=3,IF(T240=4,2,1)*100+T240*10+6,0)</f>
        <v>0</v>
      </c>
      <c r="AE240" s="40">
        <f>IF(N(U240)&gt;=3,1*100+U240*10+1,0)</f>
        <v>0</v>
      </c>
      <c r="AF240" s="40">
        <f>IF(N(V240)&gt;=3,IF(V240=4,2,1)*100+V240*10+2,0)</f>
        <v>0</v>
      </c>
      <c r="AG240" s="40">
        <f>IF(N(W240)&gt;=3,1*100+W240*10+3,0)</f>
        <v>0</v>
      </c>
      <c r="AH240" s="40">
        <f>IF(N(X240)&gt;=3,1*100+X240*10+4,0)</f>
        <v>0</v>
      </c>
      <c r="AI240" s="40">
        <f>IF(N(Y240)&gt;=3,IF(AND(N(T240)&gt;=3,OR(N(T240)=4,N(Y240)&lt;=N(T240))),0,IF(Y240=4,2,1)*100+Y240*10+5),0)</f>
        <v>0</v>
      </c>
    </row>
    <row r="241">
      <c r="A241" s="31" t="n"/>
      <c r="B241" s="36" t="str">
        <f>IF(ISNUMBER(A241),"周"&amp;CHOOSE(WEEKDAY(A241,2),"一","二","三","四","五","六","日"),"")</f>
        <v/>
      </c>
      <c r="C241" s="37" t="n"/>
      <c r="D241" s="37" t="n"/>
      <c r="E241" s="37" t="n"/>
      <c r="F241" s="17" t="n"/>
      <c r="G241" s="38" t="str">
        <f>IF(AND(ISNUMBER(F241),ISNUMBER(F240)),IF(F240=0,"",F241/F240-1),"")</f>
        <v/>
      </c>
      <c r="H241" s="17" t="n"/>
      <c r="I241" s="17" t="n"/>
      <c r="J241" s="17" t="n"/>
      <c r="K241" s="17" t="n"/>
      <c r="L241" s="17" t="n"/>
      <c r="M241" s="17" t="n"/>
      <c r="N241" s="39" t="str">
        <f>IF(AND(ISNUMBER(L241),ISNUMBER(M241),N(L241)&gt;0),M241/L241,"")</f>
        <v/>
      </c>
      <c r="O241" s="17" t="n"/>
      <c r="P241" s="17" t="n"/>
      <c r="Q241" s="39" t="str">
        <f>IF(AND(ISNUMBER(O241),ISNUMBER(P241),N(O241)&gt;0),P241/O241,"")</f>
        <v/>
      </c>
      <c r="R241" s="17" t="n"/>
      <c r="S241" s="37" t="n"/>
      <c r="T241" s="40" t="str">
        <f>IF(AND(ISNUMBER(J241),ISNUMBER(K241)),IF(N(ISNUMBER('参数'!$E$31))+N(ISNUMBER('参数'!$G$31))+N(ISNUMBER('参数'!$I$31))+N(ISNUMBER('参数'!$K$31))=0,"",IF(ISNUMBER('参数'!$E$31),J241&lt;='参数'!$E$31,FALSE)+IF(ISNUMBER('参数'!$G$31),K241&gt;='参数'!$G$31,FALSE)+IF(AND(ISNUMBER('参数'!$I$31),ISNUMBER(N241)),N241&gt;='参数'!$I$31,FALSE)+IF(AND(ISNUMBER('参数'!$K$31),ISNUMBER(Q241)),Q241&lt;='参数'!$K$31,FALSE)),"")</f>
        <v/>
      </c>
      <c r="U241" s="40" t="str">
        <f>IF(AND(ISNUMBER(J241),ISNUMBER(K241)),IF(N(ISNUMBER('参数'!$G$32))+N(ISNUMBER('参数'!$I$32))+N(ISNUMBER('参数'!$K$32))=0,"",IF(AND(ISNUMBER(J240),ISNUMBER(J239)),AND(J241&gt;J240,J240&gt;J239),FALSE)+IF(ISNUMBER('参数'!$G$32),J241&lt;'参数'!$G$32,FALSE)+IF(AND(ISNUMBER('参数'!$I$32),ISNUMBER(Q241)),Q241&gt;='参数'!$I$32,FALSE)+IF(AND(ISNUMBER('参数'!$K$32),ISNUMBER(S241)),S241&gt;='参数'!$K$32,FALSE)),"")</f>
        <v/>
      </c>
      <c r="V241" s="40" t="str">
        <f>IF(AND(ISNUMBER(J241),ISNUMBER(K241)),IF(N(ISNUMBER('参数'!$E$33))+N(ISNUMBER('参数'!$G$33))+N(ISNUMBER('参数'!$I$33))+N(ISNUMBER('参数'!$K$33))=0,"",IF(AND(ISNUMBER('参数'!$E$33),ISNUMBER(J240)),AND(J241&gt;='参数'!$E$33,J241&gt;J240),FALSE)+IF(AND(ISNUMBER('参数'!$G$33),ISNUMBER(N241)),N241&lt;='参数'!$G$33,FALSE)+IF(AND(ISNUMBER('参数'!$I$33),ISNUMBER(Q241)),Q241&gt;='参数'!$I$33,FALSE)+IF(AND(ISNUMBER('参数'!$K$33),ISNUMBER(S241)),S241&gt;='参数'!$K$33,FALSE)),"")</f>
        <v/>
      </c>
      <c r="W241" s="40" t="str">
        <f>IF(AND(ISNUMBER(J241),ISNUMBER(K241)),IF(N(ISNUMBER('参数'!$E$34))+N(ISNUMBER('参数'!$G$34))+N(ISNUMBER('参数'!$I$34))+N(ISNUMBER('参数'!$K$34))=0,"",IF(ISNUMBER('参数'!$E$34),J241&gt;='参数'!$E$34,FALSE)+IF(AND(ISNUMBER('参数'!$G$34),ISNUMBER(N241)),N241&lt;='参数'!$G$34,FALSE)+IF(AND(ISNUMBER('参数'!$I$34),ISNUMBER(S241)),S241&gt;='参数'!$I$34,FALSE)+IF(AND(ISNUMBER('参数'!$K$34),ISNUMBER(R241)),R241&gt;='参数'!$K$34,FALSE)),"")</f>
        <v/>
      </c>
      <c r="X241" s="40" t="str">
        <f>IF(AND(ISNUMBER(J241),ISNUMBER(K241)),IF(N(ISNUMBER('参数'!$E$35))+N(ISNUMBER('参数'!$G$35))+N(ISNUMBER('参数'!$I$35))=0,"",IF(AND(ISNUMBER('参数'!$E$35),ISNUMBER(N241),ISNUMBER(N240)),ROUND(N241-N240,6)&gt;='参数'!$E$35,FALSE)+IF(AND(ISNUMBER('参数'!$G$35),ISNUMBER(Q241),ISNUMBER(Q240)),ROUND(Q240-Q241,6)&gt;='参数'!$G$35,FALSE)+IF(AND(ISNUMBER('参数'!$I$35),ISNUMBER(S241),ISNUMBER(S240)),ROUND(S240-S241,6)&gt;='参数'!$I$35,FALSE)+IF(ISNUMBER(J240),J241&lt;J240,FALSE)),"")</f>
        <v/>
      </c>
      <c r="Y241" s="40" t="str">
        <f>IF(AND(ISNUMBER(J241),ISNUMBER(K241)),IF(N(ISNUMBER('参数'!$E$36))+N(ISNUMBER('参数'!$G$36))+N(ISNUMBER('参数'!$I$36))=0,"",IF(AND(ISNUMBER('参数'!$E$36),ISNUMBER(J240)),AND(J241&lt;='参数'!$E$36,J241&lt;J240),FALSE)+IF(ISNUMBER('参数'!$G$36),K241&gt;='参数'!$G$36,FALSE)+IF(AND(ISNUMBER('参数'!$I$36),ISNUMBER(S241)),S241&lt;'参数'!$I$36,FALSE)+IF(AND(ISNUMBER(R241),ISNUMBER(R240)),R241&lt;R240,FALSE)),"")</f>
        <v/>
      </c>
      <c r="Z241" s="41" t="str">
        <f>IF(NOT(AND(ISNUMBER(J241),ISNUMBER(K241))),"",IF(COUNT(T241:Y241)=0,"先填阈值",IF(MAX(AD241:AI241)=0,"不写",INDEX($T$4:$Y$4,MATCH(MAX(AD241:AI241),AD241:AI241,0))&amp;"·"&amp;IF(MAX(AD241:AI241)&gt;=200,"高","中")&amp;IF(LARGE(AD241:AI241,2)&gt;0,"（也像"&amp;INDEX($T$4:$Y$4,MATCH(LARGE(AD241:AI241,2),AD241:AI241,0))&amp;"·"&amp;IF(LARGE(AD241:AI241,2)&gt;=200,"高","中")&amp;"）",""))))</f>
        <v/>
      </c>
      <c r="AA241" s="27" t="n"/>
      <c r="AB241" s="32" t="n"/>
      <c r="AC241" s="16" t="n"/>
      <c r="AD241" s="40">
        <f>IF(N(T241)&gt;=3,IF(T241=4,2,1)*100+T241*10+6,0)</f>
        <v>0</v>
      </c>
      <c r="AE241" s="40">
        <f>IF(N(U241)&gt;=3,1*100+U241*10+1,0)</f>
        <v>0</v>
      </c>
      <c r="AF241" s="40">
        <f>IF(N(V241)&gt;=3,IF(V241=4,2,1)*100+V241*10+2,0)</f>
        <v>0</v>
      </c>
      <c r="AG241" s="40">
        <f>IF(N(W241)&gt;=3,1*100+W241*10+3,0)</f>
        <v>0</v>
      </c>
      <c r="AH241" s="40">
        <f>IF(N(X241)&gt;=3,1*100+X241*10+4,0)</f>
        <v>0</v>
      </c>
      <c r="AI241" s="40">
        <f>IF(N(Y241)&gt;=3,IF(AND(N(T241)&gt;=3,OR(N(T241)=4,N(Y241)&lt;=N(T241))),0,IF(Y241=4,2,1)*100+Y241*10+5),0)</f>
        <v>0</v>
      </c>
    </row>
    <row r="242">
      <c r="A242" s="31" t="n"/>
      <c r="B242" s="36" t="str">
        <f>IF(ISNUMBER(A242),"周"&amp;CHOOSE(WEEKDAY(A242,2),"一","二","三","四","五","六","日"),"")</f>
        <v/>
      </c>
      <c r="C242" s="37" t="n"/>
      <c r="D242" s="37" t="n"/>
      <c r="E242" s="37" t="n"/>
      <c r="F242" s="17" t="n"/>
      <c r="G242" s="38" t="str">
        <f>IF(AND(ISNUMBER(F242),ISNUMBER(F241)),IF(F241=0,"",F242/F241-1),"")</f>
        <v/>
      </c>
      <c r="H242" s="17" t="n"/>
      <c r="I242" s="17" t="n"/>
      <c r="J242" s="17" t="n"/>
      <c r="K242" s="17" t="n"/>
      <c r="L242" s="17" t="n"/>
      <c r="M242" s="17" t="n"/>
      <c r="N242" s="39" t="str">
        <f>IF(AND(ISNUMBER(L242),ISNUMBER(M242),N(L242)&gt;0),M242/L242,"")</f>
        <v/>
      </c>
      <c r="O242" s="17" t="n"/>
      <c r="P242" s="17" t="n"/>
      <c r="Q242" s="39" t="str">
        <f>IF(AND(ISNUMBER(O242),ISNUMBER(P242),N(O242)&gt;0),P242/O242,"")</f>
        <v/>
      </c>
      <c r="R242" s="17" t="n"/>
      <c r="S242" s="37" t="n"/>
      <c r="T242" s="40" t="str">
        <f>IF(AND(ISNUMBER(J242),ISNUMBER(K242)),IF(N(ISNUMBER('参数'!$E$31))+N(ISNUMBER('参数'!$G$31))+N(ISNUMBER('参数'!$I$31))+N(ISNUMBER('参数'!$K$31))=0,"",IF(ISNUMBER('参数'!$E$31),J242&lt;='参数'!$E$31,FALSE)+IF(ISNUMBER('参数'!$G$31),K242&gt;='参数'!$G$31,FALSE)+IF(AND(ISNUMBER('参数'!$I$31),ISNUMBER(N242)),N242&gt;='参数'!$I$31,FALSE)+IF(AND(ISNUMBER('参数'!$K$31),ISNUMBER(Q242)),Q242&lt;='参数'!$K$31,FALSE)),"")</f>
        <v/>
      </c>
      <c r="U242" s="40" t="str">
        <f>IF(AND(ISNUMBER(J242),ISNUMBER(K242)),IF(N(ISNUMBER('参数'!$G$32))+N(ISNUMBER('参数'!$I$32))+N(ISNUMBER('参数'!$K$32))=0,"",IF(AND(ISNUMBER(J241),ISNUMBER(J240)),AND(J242&gt;J241,J241&gt;J240),FALSE)+IF(ISNUMBER('参数'!$G$32),J242&lt;'参数'!$G$32,FALSE)+IF(AND(ISNUMBER('参数'!$I$32),ISNUMBER(Q242)),Q242&gt;='参数'!$I$32,FALSE)+IF(AND(ISNUMBER('参数'!$K$32),ISNUMBER(S242)),S242&gt;='参数'!$K$32,FALSE)),"")</f>
        <v/>
      </c>
      <c r="V242" s="40" t="str">
        <f>IF(AND(ISNUMBER(J242),ISNUMBER(K242)),IF(N(ISNUMBER('参数'!$E$33))+N(ISNUMBER('参数'!$G$33))+N(ISNUMBER('参数'!$I$33))+N(ISNUMBER('参数'!$K$33))=0,"",IF(AND(ISNUMBER('参数'!$E$33),ISNUMBER(J241)),AND(J242&gt;='参数'!$E$33,J242&gt;J241),FALSE)+IF(AND(ISNUMBER('参数'!$G$33),ISNUMBER(N242)),N242&lt;='参数'!$G$33,FALSE)+IF(AND(ISNUMBER('参数'!$I$33),ISNUMBER(Q242)),Q242&gt;='参数'!$I$33,FALSE)+IF(AND(ISNUMBER('参数'!$K$33),ISNUMBER(S242)),S242&gt;='参数'!$K$33,FALSE)),"")</f>
        <v/>
      </c>
      <c r="W242" s="40" t="str">
        <f>IF(AND(ISNUMBER(J242),ISNUMBER(K242)),IF(N(ISNUMBER('参数'!$E$34))+N(ISNUMBER('参数'!$G$34))+N(ISNUMBER('参数'!$I$34))+N(ISNUMBER('参数'!$K$34))=0,"",IF(ISNUMBER('参数'!$E$34),J242&gt;='参数'!$E$34,FALSE)+IF(AND(ISNUMBER('参数'!$G$34),ISNUMBER(N242)),N242&lt;='参数'!$G$34,FALSE)+IF(AND(ISNUMBER('参数'!$I$34),ISNUMBER(S242)),S242&gt;='参数'!$I$34,FALSE)+IF(AND(ISNUMBER('参数'!$K$34),ISNUMBER(R242)),R242&gt;='参数'!$K$34,FALSE)),"")</f>
        <v/>
      </c>
      <c r="X242" s="40" t="str">
        <f>IF(AND(ISNUMBER(J242),ISNUMBER(K242)),IF(N(ISNUMBER('参数'!$E$35))+N(ISNUMBER('参数'!$G$35))+N(ISNUMBER('参数'!$I$35))=0,"",IF(AND(ISNUMBER('参数'!$E$35),ISNUMBER(N242),ISNUMBER(N241)),ROUND(N242-N241,6)&gt;='参数'!$E$35,FALSE)+IF(AND(ISNUMBER('参数'!$G$35),ISNUMBER(Q242),ISNUMBER(Q241)),ROUND(Q241-Q242,6)&gt;='参数'!$G$35,FALSE)+IF(AND(ISNUMBER('参数'!$I$35),ISNUMBER(S242),ISNUMBER(S241)),ROUND(S241-S242,6)&gt;='参数'!$I$35,FALSE)+IF(ISNUMBER(J241),J242&lt;J241,FALSE)),"")</f>
        <v/>
      </c>
      <c r="Y242" s="40" t="str">
        <f>IF(AND(ISNUMBER(J242),ISNUMBER(K242)),IF(N(ISNUMBER('参数'!$E$36))+N(ISNUMBER('参数'!$G$36))+N(ISNUMBER('参数'!$I$36))=0,"",IF(AND(ISNUMBER('参数'!$E$36),ISNUMBER(J241)),AND(J242&lt;='参数'!$E$36,J242&lt;J241),FALSE)+IF(ISNUMBER('参数'!$G$36),K242&gt;='参数'!$G$36,FALSE)+IF(AND(ISNUMBER('参数'!$I$36),ISNUMBER(S242)),S242&lt;'参数'!$I$36,FALSE)+IF(AND(ISNUMBER(R242),ISNUMBER(R241)),R242&lt;R241,FALSE)),"")</f>
        <v/>
      </c>
      <c r="Z242" s="41" t="str">
        <f>IF(NOT(AND(ISNUMBER(J242),ISNUMBER(K242))),"",IF(COUNT(T242:Y242)=0,"先填阈值",IF(MAX(AD242:AI242)=0,"不写",INDEX($T$4:$Y$4,MATCH(MAX(AD242:AI242),AD242:AI242,0))&amp;"·"&amp;IF(MAX(AD242:AI242)&gt;=200,"高","中")&amp;IF(LARGE(AD242:AI242,2)&gt;0,"（也像"&amp;INDEX($T$4:$Y$4,MATCH(LARGE(AD242:AI242,2),AD242:AI242,0))&amp;"·"&amp;IF(LARGE(AD242:AI242,2)&gt;=200,"高","中")&amp;"）",""))))</f>
        <v/>
      </c>
      <c r="AA242" s="27" t="n"/>
      <c r="AB242" s="32" t="n"/>
      <c r="AC242" s="16" t="n"/>
      <c r="AD242" s="40">
        <f>IF(N(T242)&gt;=3,IF(T242=4,2,1)*100+T242*10+6,0)</f>
        <v>0</v>
      </c>
      <c r="AE242" s="40">
        <f>IF(N(U242)&gt;=3,1*100+U242*10+1,0)</f>
        <v>0</v>
      </c>
      <c r="AF242" s="40">
        <f>IF(N(V242)&gt;=3,IF(V242=4,2,1)*100+V242*10+2,0)</f>
        <v>0</v>
      </c>
      <c r="AG242" s="40">
        <f>IF(N(W242)&gt;=3,1*100+W242*10+3,0)</f>
        <v>0</v>
      </c>
      <c r="AH242" s="40">
        <f>IF(N(X242)&gt;=3,1*100+X242*10+4,0)</f>
        <v>0</v>
      </c>
      <c r="AI242" s="40">
        <f>IF(N(Y242)&gt;=3,IF(AND(N(T242)&gt;=3,OR(N(T242)=4,N(Y242)&lt;=N(T242))),0,IF(Y242=4,2,1)*100+Y242*10+5),0)</f>
        <v>0</v>
      </c>
    </row>
    <row r="243">
      <c r="A243" s="31" t="n"/>
      <c r="B243" s="36" t="str">
        <f>IF(ISNUMBER(A243),"周"&amp;CHOOSE(WEEKDAY(A243,2),"一","二","三","四","五","六","日"),"")</f>
        <v/>
      </c>
      <c r="C243" s="37" t="n"/>
      <c r="D243" s="37" t="n"/>
      <c r="E243" s="37" t="n"/>
      <c r="F243" s="17" t="n"/>
      <c r="G243" s="38" t="str">
        <f>IF(AND(ISNUMBER(F243),ISNUMBER(F242)),IF(F242=0,"",F243/F242-1),"")</f>
        <v/>
      </c>
      <c r="H243" s="17" t="n"/>
      <c r="I243" s="17" t="n"/>
      <c r="J243" s="17" t="n"/>
      <c r="K243" s="17" t="n"/>
      <c r="L243" s="17" t="n"/>
      <c r="M243" s="17" t="n"/>
      <c r="N243" s="39" t="str">
        <f>IF(AND(ISNUMBER(L243),ISNUMBER(M243),N(L243)&gt;0),M243/L243,"")</f>
        <v/>
      </c>
      <c r="O243" s="17" t="n"/>
      <c r="P243" s="17" t="n"/>
      <c r="Q243" s="39" t="str">
        <f>IF(AND(ISNUMBER(O243),ISNUMBER(P243),N(O243)&gt;0),P243/O243,"")</f>
        <v/>
      </c>
      <c r="R243" s="17" t="n"/>
      <c r="S243" s="37" t="n"/>
      <c r="T243" s="40" t="str">
        <f>IF(AND(ISNUMBER(J243),ISNUMBER(K243)),IF(N(ISNUMBER('参数'!$E$31))+N(ISNUMBER('参数'!$G$31))+N(ISNUMBER('参数'!$I$31))+N(ISNUMBER('参数'!$K$31))=0,"",IF(ISNUMBER('参数'!$E$31),J243&lt;='参数'!$E$31,FALSE)+IF(ISNUMBER('参数'!$G$31),K243&gt;='参数'!$G$31,FALSE)+IF(AND(ISNUMBER('参数'!$I$31),ISNUMBER(N243)),N243&gt;='参数'!$I$31,FALSE)+IF(AND(ISNUMBER('参数'!$K$31),ISNUMBER(Q243)),Q243&lt;='参数'!$K$31,FALSE)),"")</f>
        <v/>
      </c>
      <c r="U243" s="40" t="str">
        <f>IF(AND(ISNUMBER(J243),ISNUMBER(K243)),IF(N(ISNUMBER('参数'!$G$32))+N(ISNUMBER('参数'!$I$32))+N(ISNUMBER('参数'!$K$32))=0,"",IF(AND(ISNUMBER(J242),ISNUMBER(J241)),AND(J243&gt;J242,J242&gt;J241),FALSE)+IF(ISNUMBER('参数'!$G$32),J243&lt;'参数'!$G$32,FALSE)+IF(AND(ISNUMBER('参数'!$I$32),ISNUMBER(Q243)),Q243&gt;='参数'!$I$32,FALSE)+IF(AND(ISNUMBER('参数'!$K$32),ISNUMBER(S243)),S243&gt;='参数'!$K$32,FALSE)),"")</f>
        <v/>
      </c>
      <c r="V243" s="40" t="str">
        <f>IF(AND(ISNUMBER(J243),ISNUMBER(K243)),IF(N(ISNUMBER('参数'!$E$33))+N(ISNUMBER('参数'!$G$33))+N(ISNUMBER('参数'!$I$33))+N(ISNUMBER('参数'!$K$33))=0,"",IF(AND(ISNUMBER('参数'!$E$33),ISNUMBER(J242)),AND(J243&gt;='参数'!$E$33,J243&gt;J242),FALSE)+IF(AND(ISNUMBER('参数'!$G$33),ISNUMBER(N243)),N243&lt;='参数'!$G$33,FALSE)+IF(AND(ISNUMBER('参数'!$I$33),ISNUMBER(Q243)),Q243&gt;='参数'!$I$33,FALSE)+IF(AND(ISNUMBER('参数'!$K$33),ISNUMBER(S243)),S243&gt;='参数'!$K$33,FALSE)),"")</f>
        <v/>
      </c>
      <c r="W243" s="40" t="str">
        <f>IF(AND(ISNUMBER(J243),ISNUMBER(K243)),IF(N(ISNUMBER('参数'!$E$34))+N(ISNUMBER('参数'!$G$34))+N(ISNUMBER('参数'!$I$34))+N(ISNUMBER('参数'!$K$34))=0,"",IF(ISNUMBER('参数'!$E$34),J243&gt;='参数'!$E$34,FALSE)+IF(AND(ISNUMBER('参数'!$G$34),ISNUMBER(N243)),N243&lt;='参数'!$G$34,FALSE)+IF(AND(ISNUMBER('参数'!$I$34),ISNUMBER(S243)),S243&gt;='参数'!$I$34,FALSE)+IF(AND(ISNUMBER('参数'!$K$34),ISNUMBER(R243)),R243&gt;='参数'!$K$34,FALSE)),"")</f>
        <v/>
      </c>
      <c r="X243" s="40" t="str">
        <f>IF(AND(ISNUMBER(J243),ISNUMBER(K243)),IF(N(ISNUMBER('参数'!$E$35))+N(ISNUMBER('参数'!$G$35))+N(ISNUMBER('参数'!$I$35))=0,"",IF(AND(ISNUMBER('参数'!$E$35),ISNUMBER(N243),ISNUMBER(N242)),ROUND(N243-N242,6)&gt;='参数'!$E$35,FALSE)+IF(AND(ISNUMBER('参数'!$G$35),ISNUMBER(Q243),ISNUMBER(Q242)),ROUND(Q242-Q243,6)&gt;='参数'!$G$35,FALSE)+IF(AND(ISNUMBER('参数'!$I$35),ISNUMBER(S243),ISNUMBER(S242)),ROUND(S242-S243,6)&gt;='参数'!$I$35,FALSE)+IF(ISNUMBER(J242),J243&lt;J242,FALSE)),"")</f>
        <v/>
      </c>
      <c r="Y243" s="40" t="str">
        <f>IF(AND(ISNUMBER(J243),ISNUMBER(K243)),IF(N(ISNUMBER('参数'!$E$36))+N(ISNUMBER('参数'!$G$36))+N(ISNUMBER('参数'!$I$36))=0,"",IF(AND(ISNUMBER('参数'!$E$36),ISNUMBER(J242)),AND(J243&lt;='参数'!$E$36,J243&lt;J242),FALSE)+IF(ISNUMBER('参数'!$G$36),K243&gt;='参数'!$G$36,FALSE)+IF(AND(ISNUMBER('参数'!$I$36),ISNUMBER(S243)),S243&lt;'参数'!$I$36,FALSE)+IF(AND(ISNUMBER(R243),ISNUMBER(R242)),R243&lt;R242,FALSE)),"")</f>
        <v/>
      </c>
      <c r="Z243" s="41" t="str">
        <f>IF(NOT(AND(ISNUMBER(J243),ISNUMBER(K243))),"",IF(COUNT(T243:Y243)=0,"先填阈值",IF(MAX(AD243:AI243)=0,"不写",INDEX($T$4:$Y$4,MATCH(MAX(AD243:AI243),AD243:AI243,0))&amp;"·"&amp;IF(MAX(AD243:AI243)&gt;=200,"高","中")&amp;IF(LARGE(AD243:AI243,2)&gt;0,"（也像"&amp;INDEX($T$4:$Y$4,MATCH(LARGE(AD243:AI243,2),AD243:AI243,0))&amp;"·"&amp;IF(LARGE(AD243:AI243,2)&gt;=200,"高","中")&amp;"）",""))))</f>
        <v/>
      </c>
      <c r="AA243" s="27" t="n"/>
      <c r="AB243" s="32" t="n"/>
      <c r="AC243" s="16" t="n"/>
      <c r="AD243" s="40">
        <f>IF(N(T243)&gt;=3,IF(T243=4,2,1)*100+T243*10+6,0)</f>
        <v>0</v>
      </c>
      <c r="AE243" s="40">
        <f>IF(N(U243)&gt;=3,1*100+U243*10+1,0)</f>
        <v>0</v>
      </c>
      <c r="AF243" s="40">
        <f>IF(N(V243)&gt;=3,IF(V243=4,2,1)*100+V243*10+2,0)</f>
        <v>0</v>
      </c>
      <c r="AG243" s="40">
        <f>IF(N(W243)&gt;=3,1*100+W243*10+3,0)</f>
        <v>0</v>
      </c>
      <c r="AH243" s="40">
        <f>IF(N(X243)&gt;=3,1*100+X243*10+4,0)</f>
        <v>0</v>
      </c>
      <c r="AI243" s="40">
        <f>IF(N(Y243)&gt;=3,IF(AND(N(T243)&gt;=3,OR(N(T243)=4,N(Y243)&lt;=N(T243))),0,IF(Y243=4,2,1)*100+Y243*10+5),0)</f>
        <v>0</v>
      </c>
    </row>
    <row r="244">
      <c r="A244" s="31" t="n"/>
      <c r="B244" s="36" t="str">
        <f>IF(ISNUMBER(A244),"周"&amp;CHOOSE(WEEKDAY(A244,2),"一","二","三","四","五","六","日"),"")</f>
        <v/>
      </c>
      <c r="C244" s="37" t="n"/>
      <c r="D244" s="37" t="n"/>
      <c r="E244" s="37" t="n"/>
      <c r="F244" s="17" t="n"/>
      <c r="G244" s="38" t="str">
        <f>IF(AND(ISNUMBER(F244),ISNUMBER(F243)),IF(F243=0,"",F244/F243-1),"")</f>
        <v/>
      </c>
      <c r="H244" s="17" t="n"/>
      <c r="I244" s="17" t="n"/>
      <c r="J244" s="17" t="n"/>
      <c r="K244" s="17" t="n"/>
      <c r="L244" s="17" t="n"/>
      <c r="M244" s="17" t="n"/>
      <c r="N244" s="39" t="str">
        <f>IF(AND(ISNUMBER(L244),ISNUMBER(M244),N(L244)&gt;0),M244/L244,"")</f>
        <v/>
      </c>
      <c r="O244" s="17" t="n"/>
      <c r="P244" s="17" t="n"/>
      <c r="Q244" s="39" t="str">
        <f>IF(AND(ISNUMBER(O244),ISNUMBER(P244),N(O244)&gt;0),P244/O244,"")</f>
        <v/>
      </c>
      <c r="R244" s="17" t="n"/>
      <c r="S244" s="37" t="n"/>
      <c r="T244" s="40" t="str">
        <f>IF(AND(ISNUMBER(J244),ISNUMBER(K244)),IF(N(ISNUMBER('参数'!$E$31))+N(ISNUMBER('参数'!$G$31))+N(ISNUMBER('参数'!$I$31))+N(ISNUMBER('参数'!$K$31))=0,"",IF(ISNUMBER('参数'!$E$31),J244&lt;='参数'!$E$31,FALSE)+IF(ISNUMBER('参数'!$G$31),K244&gt;='参数'!$G$31,FALSE)+IF(AND(ISNUMBER('参数'!$I$31),ISNUMBER(N244)),N244&gt;='参数'!$I$31,FALSE)+IF(AND(ISNUMBER('参数'!$K$31),ISNUMBER(Q244)),Q244&lt;='参数'!$K$31,FALSE)),"")</f>
        <v/>
      </c>
      <c r="U244" s="40" t="str">
        <f>IF(AND(ISNUMBER(J244),ISNUMBER(K244)),IF(N(ISNUMBER('参数'!$G$32))+N(ISNUMBER('参数'!$I$32))+N(ISNUMBER('参数'!$K$32))=0,"",IF(AND(ISNUMBER(J243),ISNUMBER(J242)),AND(J244&gt;J243,J243&gt;J242),FALSE)+IF(ISNUMBER('参数'!$G$32),J244&lt;'参数'!$G$32,FALSE)+IF(AND(ISNUMBER('参数'!$I$32),ISNUMBER(Q244)),Q244&gt;='参数'!$I$32,FALSE)+IF(AND(ISNUMBER('参数'!$K$32),ISNUMBER(S244)),S244&gt;='参数'!$K$32,FALSE)),"")</f>
        <v/>
      </c>
      <c r="V244" s="40" t="str">
        <f>IF(AND(ISNUMBER(J244),ISNUMBER(K244)),IF(N(ISNUMBER('参数'!$E$33))+N(ISNUMBER('参数'!$G$33))+N(ISNUMBER('参数'!$I$33))+N(ISNUMBER('参数'!$K$33))=0,"",IF(AND(ISNUMBER('参数'!$E$33),ISNUMBER(J243)),AND(J244&gt;='参数'!$E$33,J244&gt;J243),FALSE)+IF(AND(ISNUMBER('参数'!$G$33),ISNUMBER(N244)),N244&lt;='参数'!$G$33,FALSE)+IF(AND(ISNUMBER('参数'!$I$33),ISNUMBER(Q244)),Q244&gt;='参数'!$I$33,FALSE)+IF(AND(ISNUMBER('参数'!$K$33),ISNUMBER(S244)),S244&gt;='参数'!$K$33,FALSE)),"")</f>
        <v/>
      </c>
      <c r="W244" s="40" t="str">
        <f>IF(AND(ISNUMBER(J244),ISNUMBER(K244)),IF(N(ISNUMBER('参数'!$E$34))+N(ISNUMBER('参数'!$G$34))+N(ISNUMBER('参数'!$I$34))+N(ISNUMBER('参数'!$K$34))=0,"",IF(ISNUMBER('参数'!$E$34),J244&gt;='参数'!$E$34,FALSE)+IF(AND(ISNUMBER('参数'!$G$34),ISNUMBER(N244)),N244&lt;='参数'!$G$34,FALSE)+IF(AND(ISNUMBER('参数'!$I$34),ISNUMBER(S244)),S244&gt;='参数'!$I$34,FALSE)+IF(AND(ISNUMBER('参数'!$K$34),ISNUMBER(R244)),R244&gt;='参数'!$K$34,FALSE)),"")</f>
        <v/>
      </c>
      <c r="X244" s="40" t="str">
        <f>IF(AND(ISNUMBER(J244),ISNUMBER(K244)),IF(N(ISNUMBER('参数'!$E$35))+N(ISNUMBER('参数'!$G$35))+N(ISNUMBER('参数'!$I$35))=0,"",IF(AND(ISNUMBER('参数'!$E$35),ISNUMBER(N244),ISNUMBER(N243)),ROUND(N244-N243,6)&gt;='参数'!$E$35,FALSE)+IF(AND(ISNUMBER('参数'!$G$35),ISNUMBER(Q244),ISNUMBER(Q243)),ROUND(Q243-Q244,6)&gt;='参数'!$G$35,FALSE)+IF(AND(ISNUMBER('参数'!$I$35),ISNUMBER(S244),ISNUMBER(S243)),ROUND(S243-S244,6)&gt;='参数'!$I$35,FALSE)+IF(ISNUMBER(J243),J244&lt;J243,FALSE)),"")</f>
        <v/>
      </c>
      <c r="Y244" s="40" t="str">
        <f>IF(AND(ISNUMBER(J244),ISNUMBER(K244)),IF(N(ISNUMBER('参数'!$E$36))+N(ISNUMBER('参数'!$G$36))+N(ISNUMBER('参数'!$I$36))=0,"",IF(AND(ISNUMBER('参数'!$E$36),ISNUMBER(J243)),AND(J244&lt;='参数'!$E$36,J244&lt;J243),FALSE)+IF(ISNUMBER('参数'!$G$36),K244&gt;='参数'!$G$36,FALSE)+IF(AND(ISNUMBER('参数'!$I$36),ISNUMBER(S244)),S244&lt;'参数'!$I$36,FALSE)+IF(AND(ISNUMBER(R244),ISNUMBER(R243)),R244&lt;R243,FALSE)),"")</f>
        <v/>
      </c>
      <c r="Z244" s="41" t="str">
        <f>IF(NOT(AND(ISNUMBER(J244),ISNUMBER(K244))),"",IF(COUNT(T244:Y244)=0,"先填阈值",IF(MAX(AD244:AI244)=0,"不写",INDEX($T$4:$Y$4,MATCH(MAX(AD244:AI244),AD244:AI244,0))&amp;"·"&amp;IF(MAX(AD244:AI244)&gt;=200,"高","中")&amp;IF(LARGE(AD244:AI244,2)&gt;0,"（也像"&amp;INDEX($T$4:$Y$4,MATCH(LARGE(AD244:AI244,2),AD244:AI244,0))&amp;"·"&amp;IF(LARGE(AD244:AI244,2)&gt;=200,"高","中")&amp;"）",""))))</f>
        <v/>
      </c>
      <c r="AA244" s="27" t="n"/>
      <c r="AB244" s="32" t="n"/>
      <c r="AC244" s="16" t="n"/>
      <c r="AD244" s="40">
        <f>IF(N(T244)&gt;=3,IF(T244=4,2,1)*100+T244*10+6,0)</f>
        <v>0</v>
      </c>
      <c r="AE244" s="40">
        <f>IF(N(U244)&gt;=3,1*100+U244*10+1,0)</f>
        <v>0</v>
      </c>
      <c r="AF244" s="40">
        <f>IF(N(V244)&gt;=3,IF(V244=4,2,1)*100+V244*10+2,0)</f>
        <v>0</v>
      </c>
      <c r="AG244" s="40">
        <f>IF(N(W244)&gt;=3,1*100+W244*10+3,0)</f>
        <v>0</v>
      </c>
      <c r="AH244" s="40">
        <f>IF(N(X244)&gt;=3,1*100+X244*10+4,0)</f>
        <v>0</v>
      </c>
      <c r="AI244" s="40">
        <f>IF(N(Y244)&gt;=3,IF(AND(N(T244)&gt;=3,OR(N(T244)=4,N(Y244)&lt;=N(T244))),0,IF(Y244=4,2,1)*100+Y244*10+5),0)</f>
        <v>0</v>
      </c>
    </row>
    <row r="245">
      <c r="A245" s="31" t="n"/>
      <c r="B245" s="36" t="str">
        <f>IF(ISNUMBER(A245),"周"&amp;CHOOSE(WEEKDAY(A245,2),"一","二","三","四","五","六","日"),"")</f>
        <v/>
      </c>
      <c r="C245" s="37" t="n"/>
      <c r="D245" s="37" t="n"/>
      <c r="E245" s="37" t="n"/>
      <c r="F245" s="17" t="n"/>
      <c r="G245" s="38" t="str">
        <f>IF(AND(ISNUMBER(F245),ISNUMBER(F244)),IF(F244=0,"",F245/F244-1),"")</f>
        <v/>
      </c>
      <c r="H245" s="17" t="n"/>
      <c r="I245" s="17" t="n"/>
      <c r="J245" s="17" t="n"/>
      <c r="K245" s="17" t="n"/>
      <c r="L245" s="17" t="n"/>
      <c r="M245" s="17" t="n"/>
      <c r="N245" s="39" t="str">
        <f>IF(AND(ISNUMBER(L245),ISNUMBER(M245),N(L245)&gt;0),M245/L245,"")</f>
        <v/>
      </c>
      <c r="O245" s="17" t="n"/>
      <c r="P245" s="17" t="n"/>
      <c r="Q245" s="39" t="str">
        <f>IF(AND(ISNUMBER(O245),ISNUMBER(P245),N(O245)&gt;0),P245/O245,"")</f>
        <v/>
      </c>
      <c r="R245" s="17" t="n"/>
      <c r="S245" s="37" t="n"/>
      <c r="T245" s="40" t="str">
        <f>IF(AND(ISNUMBER(J245),ISNUMBER(K245)),IF(N(ISNUMBER('参数'!$E$31))+N(ISNUMBER('参数'!$G$31))+N(ISNUMBER('参数'!$I$31))+N(ISNUMBER('参数'!$K$31))=0,"",IF(ISNUMBER('参数'!$E$31),J245&lt;='参数'!$E$31,FALSE)+IF(ISNUMBER('参数'!$G$31),K245&gt;='参数'!$G$31,FALSE)+IF(AND(ISNUMBER('参数'!$I$31),ISNUMBER(N245)),N245&gt;='参数'!$I$31,FALSE)+IF(AND(ISNUMBER('参数'!$K$31),ISNUMBER(Q245)),Q245&lt;='参数'!$K$31,FALSE)),"")</f>
        <v/>
      </c>
      <c r="U245" s="40" t="str">
        <f>IF(AND(ISNUMBER(J245),ISNUMBER(K245)),IF(N(ISNUMBER('参数'!$G$32))+N(ISNUMBER('参数'!$I$32))+N(ISNUMBER('参数'!$K$32))=0,"",IF(AND(ISNUMBER(J244),ISNUMBER(J243)),AND(J245&gt;J244,J244&gt;J243),FALSE)+IF(ISNUMBER('参数'!$G$32),J245&lt;'参数'!$G$32,FALSE)+IF(AND(ISNUMBER('参数'!$I$32),ISNUMBER(Q245)),Q245&gt;='参数'!$I$32,FALSE)+IF(AND(ISNUMBER('参数'!$K$32),ISNUMBER(S245)),S245&gt;='参数'!$K$32,FALSE)),"")</f>
        <v/>
      </c>
      <c r="V245" s="40" t="str">
        <f>IF(AND(ISNUMBER(J245),ISNUMBER(K245)),IF(N(ISNUMBER('参数'!$E$33))+N(ISNUMBER('参数'!$G$33))+N(ISNUMBER('参数'!$I$33))+N(ISNUMBER('参数'!$K$33))=0,"",IF(AND(ISNUMBER('参数'!$E$33),ISNUMBER(J244)),AND(J245&gt;='参数'!$E$33,J245&gt;J244),FALSE)+IF(AND(ISNUMBER('参数'!$G$33),ISNUMBER(N245)),N245&lt;='参数'!$G$33,FALSE)+IF(AND(ISNUMBER('参数'!$I$33),ISNUMBER(Q245)),Q245&gt;='参数'!$I$33,FALSE)+IF(AND(ISNUMBER('参数'!$K$33),ISNUMBER(S245)),S245&gt;='参数'!$K$33,FALSE)),"")</f>
        <v/>
      </c>
      <c r="W245" s="40" t="str">
        <f>IF(AND(ISNUMBER(J245),ISNUMBER(K245)),IF(N(ISNUMBER('参数'!$E$34))+N(ISNUMBER('参数'!$G$34))+N(ISNUMBER('参数'!$I$34))+N(ISNUMBER('参数'!$K$34))=0,"",IF(ISNUMBER('参数'!$E$34),J245&gt;='参数'!$E$34,FALSE)+IF(AND(ISNUMBER('参数'!$G$34),ISNUMBER(N245)),N245&lt;='参数'!$G$34,FALSE)+IF(AND(ISNUMBER('参数'!$I$34),ISNUMBER(S245)),S245&gt;='参数'!$I$34,FALSE)+IF(AND(ISNUMBER('参数'!$K$34),ISNUMBER(R245)),R245&gt;='参数'!$K$34,FALSE)),"")</f>
        <v/>
      </c>
      <c r="X245" s="40" t="str">
        <f>IF(AND(ISNUMBER(J245),ISNUMBER(K245)),IF(N(ISNUMBER('参数'!$E$35))+N(ISNUMBER('参数'!$G$35))+N(ISNUMBER('参数'!$I$35))=0,"",IF(AND(ISNUMBER('参数'!$E$35),ISNUMBER(N245),ISNUMBER(N244)),ROUND(N245-N244,6)&gt;='参数'!$E$35,FALSE)+IF(AND(ISNUMBER('参数'!$G$35),ISNUMBER(Q245),ISNUMBER(Q244)),ROUND(Q244-Q245,6)&gt;='参数'!$G$35,FALSE)+IF(AND(ISNUMBER('参数'!$I$35),ISNUMBER(S245),ISNUMBER(S244)),ROUND(S244-S245,6)&gt;='参数'!$I$35,FALSE)+IF(ISNUMBER(J244),J245&lt;J244,FALSE)),"")</f>
        <v/>
      </c>
      <c r="Y245" s="40" t="str">
        <f>IF(AND(ISNUMBER(J245),ISNUMBER(K245)),IF(N(ISNUMBER('参数'!$E$36))+N(ISNUMBER('参数'!$G$36))+N(ISNUMBER('参数'!$I$36))=0,"",IF(AND(ISNUMBER('参数'!$E$36),ISNUMBER(J244)),AND(J245&lt;='参数'!$E$36,J245&lt;J244),FALSE)+IF(ISNUMBER('参数'!$G$36),K245&gt;='参数'!$G$36,FALSE)+IF(AND(ISNUMBER('参数'!$I$36),ISNUMBER(S245)),S245&lt;'参数'!$I$36,FALSE)+IF(AND(ISNUMBER(R245),ISNUMBER(R244)),R245&lt;R244,FALSE)),"")</f>
        <v/>
      </c>
      <c r="Z245" s="41" t="str">
        <f>IF(NOT(AND(ISNUMBER(J245),ISNUMBER(K245))),"",IF(COUNT(T245:Y245)=0,"先填阈值",IF(MAX(AD245:AI245)=0,"不写",INDEX($T$4:$Y$4,MATCH(MAX(AD245:AI245),AD245:AI245,0))&amp;"·"&amp;IF(MAX(AD245:AI245)&gt;=200,"高","中")&amp;IF(LARGE(AD245:AI245,2)&gt;0,"（也像"&amp;INDEX($T$4:$Y$4,MATCH(LARGE(AD245:AI245,2),AD245:AI245,0))&amp;"·"&amp;IF(LARGE(AD245:AI245,2)&gt;=200,"高","中")&amp;"）",""))))</f>
        <v/>
      </c>
      <c r="AA245" s="27" t="n"/>
      <c r="AB245" s="32" t="n"/>
      <c r="AC245" s="16" t="n"/>
      <c r="AD245" s="40">
        <f>IF(N(T245)&gt;=3,IF(T245=4,2,1)*100+T245*10+6,0)</f>
        <v>0</v>
      </c>
      <c r="AE245" s="40">
        <f>IF(N(U245)&gt;=3,1*100+U245*10+1,0)</f>
        <v>0</v>
      </c>
      <c r="AF245" s="40">
        <f>IF(N(V245)&gt;=3,IF(V245=4,2,1)*100+V245*10+2,0)</f>
        <v>0</v>
      </c>
      <c r="AG245" s="40">
        <f>IF(N(W245)&gt;=3,1*100+W245*10+3,0)</f>
        <v>0</v>
      </c>
      <c r="AH245" s="40">
        <f>IF(N(X245)&gt;=3,1*100+X245*10+4,0)</f>
        <v>0</v>
      </c>
      <c r="AI245" s="40">
        <f>IF(N(Y245)&gt;=3,IF(AND(N(T245)&gt;=3,OR(N(T245)=4,N(Y245)&lt;=N(T245))),0,IF(Y245=4,2,1)*100+Y245*10+5),0)</f>
        <v>0</v>
      </c>
    </row>
    <row r="246">
      <c r="A246" s="31" t="n"/>
      <c r="B246" s="36" t="str">
        <f>IF(ISNUMBER(A246),"周"&amp;CHOOSE(WEEKDAY(A246,2),"一","二","三","四","五","六","日"),"")</f>
        <v/>
      </c>
      <c r="C246" s="37" t="n"/>
      <c r="D246" s="37" t="n"/>
      <c r="E246" s="37" t="n"/>
      <c r="F246" s="17" t="n"/>
      <c r="G246" s="38" t="str">
        <f>IF(AND(ISNUMBER(F246),ISNUMBER(F245)),IF(F245=0,"",F246/F245-1),"")</f>
        <v/>
      </c>
      <c r="H246" s="17" t="n"/>
      <c r="I246" s="17" t="n"/>
      <c r="J246" s="17" t="n"/>
      <c r="K246" s="17" t="n"/>
      <c r="L246" s="17" t="n"/>
      <c r="M246" s="17" t="n"/>
      <c r="N246" s="39" t="str">
        <f>IF(AND(ISNUMBER(L246),ISNUMBER(M246),N(L246)&gt;0),M246/L246,"")</f>
        <v/>
      </c>
      <c r="O246" s="17" t="n"/>
      <c r="P246" s="17" t="n"/>
      <c r="Q246" s="39" t="str">
        <f>IF(AND(ISNUMBER(O246),ISNUMBER(P246),N(O246)&gt;0),P246/O246,"")</f>
        <v/>
      </c>
      <c r="R246" s="17" t="n"/>
      <c r="S246" s="37" t="n"/>
      <c r="T246" s="40" t="str">
        <f>IF(AND(ISNUMBER(J246),ISNUMBER(K246)),IF(N(ISNUMBER('参数'!$E$31))+N(ISNUMBER('参数'!$G$31))+N(ISNUMBER('参数'!$I$31))+N(ISNUMBER('参数'!$K$31))=0,"",IF(ISNUMBER('参数'!$E$31),J246&lt;='参数'!$E$31,FALSE)+IF(ISNUMBER('参数'!$G$31),K246&gt;='参数'!$G$31,FALSE)+IF(AND(ISNUMBER('参数'!$I$31),ISNUMBER(N246)),N246&gt;='参数'!$I$31,FALSE)+IF(AND(ISNUMBER('参数'!$K$31),ISNUMBER(Q246)),Q246&lt;='参数'!$K$31,FALSE)),"")</f>
        <v/>
      </c>
      <c r="U246" s="40" t="str">
        <f>IF(AND(ISNUMBER(J246),ISNUMBER(K246)),IF(N(ISNUMBER('参数'!$G$32))+N(ISNUMBER('参数'!$I$32))+N(ISNUMBER('参数'!$K$32))=0,"",IF(AND(ISNUMBER(J245),ISNUMBER(J244)),AND(J246&gt;J245,J245&gt;J244),FALSE)+IF(ISNUMBER('参数'!$G$32),J246&lt;'参数'!$G$32,FALSE)+IF(AND(ISNUMBER('参数'!$I$32),ISNUMBER(Q246)),Q246&gt;='参数'!$I$32,FALSE)+IF(AND(ISNUMBER('参数'!$K$32),ISNUMBER(S246)),S246&gt;='参数'!$K$32,FALSE)),"")</f>
        <v/>
      </c>
      <c r="V246" s="40" t="str">
        <f>IF(AND(ISNUMBER(J246),ISNUMBER(K246)),IF(N(ISNUMBER('参数'!$E$33))+N(ISNUMBER('参数'!$G$33))+N(ISNUMBER('参数'!$I$33))+N(ISNUMBER('参数'!$K$33))=0,"",IF(AND(ISNUMBER('参数'!$E$33),ISNUMBER(J245)),AND(J246&gt;='参数'!$E$33,J246&gt;J245),FALSE)+IF(AND(ISNUMBER('参数'!$G$33),ISNUMBER(N246)),N246&lt;='参数'!$G$33,FALSE)+IF(AND(ISNUMBER('参数'!$I$33),ISNUMBER(Q246)),Q246&gt;='参数'!$I$33,FALSE)+IF(AND(ISNUMBER('参数'!$K$33),ISNUMBER(S246)),S246&gt;='参数'!$K$33,FALSE)),"")</f>
        <v/>
      </c>
      <c r="W246" s="40" t="str">
        <f>IF(AND(ISNUMBER(J246),ISNUMBER(K246)),IF(N(ISNUMBER('参数'!$E$34))+N(ISNUMBER('参数'!$G$34))+N(ISNUMBER('参数'!$I$34))+N(ISNUMBER('参数'!$K$34))=0,"",IF(ISNUMBER('参数'!$E$34),J246&gt;='参数'!$E$34,FALSE)+IF(AND(ISNUMBER('参数'!$G$34),ISNUMBER(N246)),N246&lt;='参数'!$G$34,FALSE)+IF(AND(ISNUMBER('参数'!$I$34),ISNUMBER(S246)),S246&gt;='参数'!$I$34,FALSE)+IF(AND(ISNUMBER('参数'!$K$34),ISNUMBER(R246)),R246&gt;='参数'!$K$34,FALSE)),"")</f>
        <v/>
      </c>
      <c r="X246" s="40" t="str">
        <f>IF(AND(ISNUMBER(J246),ISNUMBER(K246)),IF(N(ISNUMBER('参数'!$E$35))+N(ISNUMBER('参数'!$G$35))+N(ISNUMBER('参数'!$I$35))=0,"",IF(AND(ISNUMBER('参数'!$E$35),ISNUMBER(N246),ISNUMBER(N245)),ROUND(N246-N245,6)&gt;='参数'!$E$35,FALSE)+IF(AND(ISNUMBER('参数'!$G$35),ISNUMBER(Q246),ISNUMBER(Q245)),ROUND(Q245-Q246,6)&gt;='参数'!$G$35,FALSE)+IF(AND(ISNUMBER('参数'!$I$35),ISNUMBER(S246),ISNUMBER(S245)),ROUND(S245-S246,6)&gt;='参数'!$I$35,FALSE)+IF(ISNUMBER(J245),J246&lt;J245,FALSE)),"")</f>
        <v/>
      </c>
      <c r="Y246" s="40" t="str">
        <f>IF(AND(ISNUMBER(J246),ISNUMBER(K246)),IF(N(ISNUMBER('参数'!$E$36))+N(ISNUMBER('参数'!$G$36))+N(ISNUMBER('参数'!$I$36))=0,"",IF(AND(ISNUMBER('参数'!$E$36),ISNUMBER(J245)),AND(J246&lt;='参数'!$E$36,J246&lt;J245),FALSE)+IF(ISNUMBER('参数'!$G$36),K246&gt;='参数'!$G$36,FALSE)+IF(AND(ISNUMBER('参数'!$I$36),ISNUMBER(S246)),S246&lt;'参数'!$I$36,FALSE)+IF(AND(ISNUMBER(R246),ISNUMBER(R245)),R246&lt;R245,FALSE)),"")</f>
        <v/>
      </c>
      <c r="Z246" s="41" t="str">
        <f>IF(NOT(AND(ISNUMBER(J246),ISNUMBER(K246))),"",IF(COUNT(T246:Y246)=0,"先填阈值",IF(MAX(AD246:AI246)=0,"不写",INDEX($T$4:$Y$4,MATCH(MAX(AD246:AI246),AD246:AI246,0))&amp;"·"&amp;IF(MAX(AD246:AI246)&gt;=200,"高","中")&amp;IF(LARGE(AD246:AI246,2)&gt;0,"（也像"&amp;INDEX($T$4:$Y$4,MATCH(LARGE(AD246:AI246,2),AD246:AI246,0))&amp;"·"&amp;IF(LARGE(AD246:AI246,2)&gt;=200,"高","中")&amp;"）",""))))</f>
        <v/>
      </c>
      <c r="AA246" s="27" t="n"/>
      <c r="AB246" s="32" t="n"/>
      <c r="AC246" s="16" t="n"/>
      <c r="AD246" s="40">
        <f>IF(N(T246)&gt;=3,IF(T246=4,2,1)*100+T246*10+6,0)</f>
        <v>0</v>
      </c>
      <c r="AE246" s="40">
        <f>IF(N(U246)&gt;=3,1*100+U246*10+1,0)</f>
        <v>0</v>
      </c>
      <c r="AF246" s="40">
        <f>IF(N(V246)&gt;=3,IF(V246=4,2,1)*100+V246*10+2,0)</f>
        <v>0</v>
      </c>
      <c r="AG246" s="40">
        <f>IF(N(W246)&gt;=3,1*100+W246*10+3,0)</f>
        <v>0</v>
      </c>
      <c r="AH246" s="40">
        <f>IF(N(X246)&gt;=3,1*100+X246*10+4,0)</f>
        <v>0</v>
      </c>
      <c r="AI246" s="40">
        <f>IF(N(Y246)&gt;=3,IF(AND(N(T246)&gt;=3,OR(N(T246)=4,N(Y246)&lt;=N(T246))),0,IF(Y246=4,2,1)*100+Y246*10+5),0)</f>
        <v>0</v>
      </c>
    </row>
    <row r="247">
      <c r="A247" s="31" t="n"/>
      <c r="B247" s="36" t="str">
        <f>IF(ISNUMBER(A247),"周"&amp;CHOOSE(WEEKDAY(A247,2),"一","二","三","四","五","六","日"),"")</f>
        <v/>
      </c>
      <c r="C247" s="37" t="n"/>
      <c r="D247" s="37" t="n"/>
      <c r="E247" s="37" t="n"/>
      <c r="F247" s="17" t="n"/>
      <c r="G247" s="38" t="str">
        <f>IF(AND(ISNUMBER(F247),ISNUMBER(F246)),IF(F246=0,"",F247/F246-1),"")</f>
        <v/>
      </c>
      <c r="H247" s="17" t="n"/>
      <c r="I247" s="17" t="n"/>
      <c r="J247" s="17" t="n"/>
      <c r="K247" s="17" t="n"/>
      <c r="L247" s="17" t="n"/>
      <c r="M247" s="17" t="n"/>
      <c r="N247" s="39" t="str">
        <f>IF(AND(ISNUMBER(L247),ISNUMBER(M247),N(L247)&gt;0),M247/L247,"")</f>
        <v/>
      </c>
      <c r="O247" s="17" t="n"/>
      <c r="P247" s="17" t="n"/>
      <c r="Q247" s="39" t="str">
        <f>IF(AND(ISNUMBER(O247),ISNUMBER(P247),N(O247)&gt;0),P247/O247,"")</f>
        <v/>
      </c>
      <c r="R247" s="17" t="n"/>
      <c r="S247" s="37" t="n"/>
      <c r="T247" s="40" t="str">
        <f>IF(AND(ISNUMBER(J247),ISNUMBER(K247)),IF(N(ISNUMBER('参数'!$E$31))+N(ISNUMBER('参数'!$G$31))+N(ISNUMBER('参数'!$I$31))+N(ISNUMBER('参数'!$K$31))=0,"",IF(ISNUMBER('参数'!$E$31),J247&lt;='参数'!$E$31,FALSE)+IF(ISNUMBER('参数'!$G$31),K247&gt;='参数'!$G$31,FALSE)+IF(AND(ISNUMBER('参数'!$I$31),ISNUMBER(N247)),N247&gt;='参数'!$I$31,FALSE)+IF(AND(ISNUMBER('参数'!$K$31),ISNUMBER(Q247)),Q247&lt;='参数'!$K$31,FALSE)),"")</f>
        <v/>
      </c>
      <c r="U247" s="40" t="str">
        <f>IF(AND(ISNUMBER(J247),ISNUMBER(K247)),IF(N(ISNUMBER('参数'!$G$32))+N(ISNUMBER('参数'!$I$32))+N(ISNUMBER('参数'!$K$32))=0,"",IF(AND(ISNUMBER(J246),ISNUMBER(J245)),AND(J247&gt;J246,J246&gt;J245),FALSE)+IF(ISNUMBER('参数'!$G$32),J247&lt;'参数'!$G$32,FALSE)+IF(AND(ISNUMBER('参数'!$I$32),ISNUMBER(Q247)),Q247&gt;='参数'!$I$32,FALSE)+IF(AND(ISNUMBER('参数'!$K$32),ISNUMBER(S247)),S247&gt;='参数'!$K$32,FALSE)),"")</f>
        <v/>
      </c>
      <c r="V247" s="40" t="str">
        <f>IF(AND(ISNUMBER(J247),ISNUMBER(K247)),IF(N(ISNUMBER('参数'!$E$33))+N(ISNUMBER('参数'!$G$33))+N(ISNUMBER('参数'!$I$33))+N(ISNUMBER('参数'!$K$33))=0,"",IF(AND(ISNUMBER('参数'!$E$33),ISNUMBER(J246)),AND(J247&gt;='参数'!$E$33,J247&gt;J246),FALSE)+IF(AND(ISNUMBER('参数'!$G$33),ISNUMBER(N247)),N247&lt;='参数'!$G$33,FALSE)+IF(AND(ISNUMBER('参数'!$I$33),ISNUMBER(Q247)),Q247&gt;='参数'!$I$33,FALSE)+IF(AND(ISNUMBER('参数'!$K$33),ISNUMBER(S247)),S247&gt;='参数'!$K$33,FALSE)),"")</f>
        <v/>
      </c>
      <c r="W247" s="40" t="str">
        <f>IF(AND(ISNUMBER(J247),ISNUMBER(K247)),IF(N(ISNUMBER('参数'!$E$34))+N(ISNUMBER('参数'!$G$34))+N(ISNUMBER('参数'!$I$34))+N(ISNUMBER('参数'!$K$34))=0,"",IF(ISNUMBER('参数'!$E$34),J247&gt;='参数'!$E$34,FALSE)+IF(AND(ISNUMBER('参数'!$G$34),ISNUMBER(N247)),N247&lt;='参数'!$G$34,FALSE)+IF(AND(ISNUMBER('参数'!$I$34),ISNUMBER(S247)),S247&gt;='参数'!$I$34,FALSE)+IF(AND(ISNUMBER('参数'!$K$34),ISNUMBER(R247)),R247&gt;='参数'!$K$34,FALSE)),"")</f>
        <v/>
      </c>
      <c r="X247" s="40" t="str">
        <f>IF(AND(ISNUMBER(J247),ISNUMBER(K247)),IF(N(ISNUMBER('参数'!$E$35))+N(ISNUMBER('参数'!$G$35))+N(ISNUMBER('参数'!$I$35))=0,"",IF(AND(ISNUMBER('参数'!$E$35),ISNUMBER(N247),ISNUMBER(N246)),ROUND(N247-N246,6)&gt;='参数'!$E$35,FALSE)+IF(AND(ISNUMBER('参数'!$G$35),ISNUMBER(Q247),ISNUMBER(Q246)),ROUND(Q246-Q247,6)&gt;='参数'!$G$35,FALSE)+IF(AND(ISNUMBER('参数'!$I$35),ISNUMBER(S247),ISNUMBER(S246)),ROUND(S246-S247,6)&gt;='参数'!$I$35,FALSE)+IF(ISNUMBER(J246),J247&lt;J246,FALSE)),"")</f>
        <v/>
      </c>
      <c r="Y247" s="40" t="str">
        <f>IF(AND(ISNUMBER(J247),ISNUMBER(K247)),IF(N(ISNUMBER('参数'!$E$36))+N(ISNUMBER('参数'!$G$36))+N(ISNUMBER('参数'!$I$36))=0,"",IF(AND(ISNUMBER('参数'!$E$36),ISNUMBER(J246)),AND(J247&lt;='参数'!$E$36,J247&lt;J246),FALSE)+IF(ISNUMBER('参数'!$G$36),K247&gt;='参数'!$G$36,FALSE)+IF(AND(ISNUMBER('参数'!$I$36),ISNUMBER(S247)),S247&lt;'参数'!$I$36,FALSE)+IF(AND(ISNUMBER(R247),ISNUMBER(R246)),R247&lt;R246,FALSE)),"")</f>
        <v/>
      </c>
      <c r="Z247" s="41" t="str">
        <f>IF(NOT(AND(ISNUMBER(J247),ISNUMBER(K247))),"",IF(COUNT(T247:Y247)=0,"先填阈值",IF(MAX(AD247:AI247)=0,"不写",INDEX($T$4:$Y$4,MATCH(MAX(AD247:AI247),AD247:AI247,0))&amp;"·"&amp;IF(MAX(AD247:AI247)&gt;=200,"高","中")&amp;IF(LARGE(AD247:AI247,2)&gt;0,"（也像"&amp;INDEX($T$4:$Y$4,MATCH(LARGE(AD247:AI247,2),AD247:AI247,0))&amp;"·"&amp;IF(LARGE(AD247:AI247,2)&gt;=200,"高","中")&amp;"）",""))))</f>
        <v/>
      </c>
      <c r="AA247" s="27" t="n"/>
      <c r="AB247" s="32" t="n"/>
      <c r="AC247" s="16" t="n"/>
      <c r="AD247" s="40">
        <f>IF(N(T247)&gt;=3,IF(T247=4,2,1)*100+T247*10+6,0)</f>
        <v>0</v>
      </c>
      <c r="AE247" s="40">
        <f>IF(N(U247)&gt;=3,1*100+U247*10+1,0)</f>
        <v>0</v>
      </c>
      <c r="AF247" s="40">
        <f>IF(N(V247)&gt;=3,IF(V247=4,2,1)*100+V247*10+2,0)</f>
        <v>0</v>
      </c>
      <c r="AG247" s="40">
        <f>IF(N(W247)&gt;=3,1*100+W247*10+3,0)</f>
        <v>0</v>
      </c>
      <c r="AH247" s="40">
        <f>IF(N(X247)&gt;=3,1*100+X247*10+4,0)</f>
        <v>0</v>
      </c>
      <c r="AI247" s="40">
        <f>IF(N(Y247)&gt;=3,IF(AND(N(T247)&gt;=3,OR(N(T247)=4,N(Y247)&lt;=N(T247))),0,IF(Y247=4,2,1)*100+Y247*10+5),0)</f>
        <v>0</v>
      </c>
    </row>
    <row r="248">
      <c r="A248" s="31" t="n"/>
      <c r="B248" s="36" t="str">
        <f>IF(ISNUMBER(A248),"周"&amp;CHOOSE(WEEKDAY(A248,2),"一","二","三","四","五","六","日"),"")</f>
        <v/>
      </c>
      <c r="C248" s="37" t="n"/>
      <c r="D248" s="37" t="n"/>
      <c r="E248" s="37" t="n"/>
      <c r="F248" s="17" t="n"/>
      <c r="G248" s="38" t="str">
        <f>IF(AND(ISNUMBER(F248),ISNUMBER(F247)),IF(F247=0,"",F248/F247-1),"")</f>
        <v/>
      </c>
      <c r="H248" s="17" t="n"/>
      <c r="I248" s="17" t="n"/>
      <c r="J248" s="17" t="n"/>
      <c r="K248" s="17" t="n"/>
      <c r="L248" s="17" t="n"/>
      <c r="M248" s="17" t="n"/>
      <c r="N248" s="39" t="str">
        <f>IF(AND(ISNUMBER(L248),ISNUMBER(M248),N(L248)&gt;0),M248/L248,"")</f>
        <v/>
      </c>
      <c r="O248" s="17" t="n"/>
      <c r="P248" s="17" t="n"/>
      <c r="Q248" s="39" t="str">
        <f>IF(AND(ISNUMBER(O248),ISNUMBER(P248),N(O248)&gt;0),P248/O248,"")</f>
        <v/>
      </c>
      <c r="R248" s="17" t="n"/>
      <c r="S248" s="37" t="n"/>
      <c r="T248" s="40" t="str">
        <f>IF(AND(ISNUMBER(J248),ISNUMBER(K248)),IF(N(ISNUMBER('参数'!$E$31))+N(ISNUMBER('参数'!$G$31))+N(ISNUMBER('参数'!$I$31))+N(ISNUMBER('参数'!$K$31))=0,"",IF(ISNUMBER('参数'!$E$31),J248&lt;='参数'!$E$31,FALSE)+IF(ISNUMBER('参数'!$G$31),K248&gt;='参数'!$G$31,FALSE)+IF(AND(ISNUMBER('参数'!$I$31),ISNUMBER(N248)),N248&gt;='参数'!$I$31,FALSE)+IF(AND(ISNUMBER('参数'!$K$31),ISNUMBER(Q248)),Q248&lt;='参数'!$K$31,FALSE)),"")</f>
        <v/>
      </c>
      <c r="U248" s="40" t="str">
        <f>IF(AND(ISNUMBER(J248),ISNUMBER(K248)),IF(N(ISNUMBER('参数'!$G$32))+N(ISNUMBER('参数'!$I$32))+N(ISNUMBER('参数'!$K$32))=0,"",IF(AND(ISNUMBER(J247),ISNUMBER(J246)),AND(J248&gt;J247,J247&gt;J246),FALSE)+IF(ISNUMBER('参数'!$G$32),J248&lt;'参数'!$G$32,FALSE)+IF(AND(ISNUMBER('参数'!$I$32),ISNUMBER(Q248)),Q248&gt;='参数'!$I$32,FALSE)+IF(AND(ISNUMBER('参数'!$K$32),ISNUMBER(S248)),S248&gt;='参数'!$K$32,FALSE)),"")</f>
        <v/>
      </c>
      <c r="V248" s="40" t="str">
        <f>IF(AND(ISNUMBER(J248),ISNUMBER(K248)),IF(N(ISNUMBER('参数'!$E$33))+N(ISNUMBER('参数'!$G$33))+N(ISNUMBER('参数'!$I$33))+N(ISNUMBER('参数'!$K$33))=0,"",IF(AND(ISNUMBER('参数'!$E$33),ISNUMBER(J247)),AND(J248&gt;='参数'!$E$33,J248&gt;J247),FALSE)+IF(AND(ISNUMBER('参数'!$G$33),ISNUMBER(N248)),N248&lt;='参数'!$G$33,FALSE)+IF(AND(ISNUMBER('参数'!$I$33),ISNUMBER(Q248)),Q248&gt;='参数'!$I$33,FALSE)+IF(AND(ISNUMBER('参数'!$K$33),ISNUMBER(S248)),S248&gt;='参数'!$K$33,FALSE)),"")</f>
        <v/>
      </c>
      <c r="W248" s="40" t="str">
        <f>IF(AND(ISNUMBER(J248),ISNUMBER(K248)),IF(N(ISNUMBER('参数'!$E$34))+N(ISNUMBER('参数'!$G$34))+N(ISNUMBER('参数'!$I$34))+N(ISNUMBER('参数'!$K$34))=0,"",IF(ISNUMBER('参数'!$E$34),J248&gt;='参数'!$E$34,FALSE)+IF(AND(ISNUMBER('参数'!$G$34),ISNUMBER(N248)),N248&lt;='参数'!$G$34,FALSE)+IF(AND(ISNUMBER('参数'!$I$34),ISNUMBER(S248)),S248&gt;='参数'!$I$34,FALSE)+IF(AND(ISNUMBER('参数'!$K$34),ISNUMBER(R248)),R248&gt;='参数'!$K$34,FALSE)),"")</f>
        <v/>
      </c>
      <c r="X248" s="40" t="str">
        <f>IF(AND(ISNUMBER(J248),ISNUMBER(K248)),IF(N(ISNUMBER('参数'!$E$35))+N(ISNUMBER('参数'!$G$35))+N(ISNUMBER('参数'!$I$35))=0,"",IF(AND(ISNUMBER('参数'!$E$35),ISNUMBER(N248),ISNUMBER(N247)),ROUND(N248-N247,6)&gt;='参数'!$E$35,FALSE)+IF(AND(ISNUMBER('参数'!$G$35),ISNUMBER(Q248),ISNUMBER(Q247)),ROUND(Q247-Q248,6)&gt;='参数'!$G$35,FALSE)+IF(AND(ISNUMBER('参数'!$I$35),ISNUMBER(S248),ISNUMBER(S247)),ROUND(S247-S248,6)&gt;='参数'!$I$35,FALSE)+IF(ISNUMBER(J247),J248&lt;J247,FALSE)),"")</f>
        <v/>
      </c>
      <c r="Y248" s="40" t="str">
        <f>IF(AND(ISNUMBER(J248),ISNUMBER(K248)),IF(N(ISNUMBER('参数'!$E$36))+N(ISNUMBER('参数'!$G$36))+N(ISNUMBER('参数'!$I$36))=0,"",IF(AND(ISNUMBER('参数'!$E$36),ISNUMBER(J247)),AND(J248&lt;='参数'!$E$36,J248&lt;J247),FALSE)+IF(ISNUMBER('参数'!$G$36),K248&gt;='参数'!$G$36,FALSE)+IF(AND(ISNUMBER('参数'!$I$36),ISNUMBER(S248)),S248&lt;'参数'!$I$36,FALSE)+IF(AND(ISNUMBER(R248),ISNUMBER(R247)),R248&lt;R247,FALSE)),"")</f>
        <v/>
      </c>
      <c r="Z248" s="41" t="str">
        <f>IF(NOT(AND(ISNUMBER(J248),ISNUMBER(K248))),"",IF(COUNT(T248:Y248)=0,"先填阈值",IF(MAX(AD248:AI248)=0,"不写",INDEX($T$4:$Y$4,MATCH(MAX(AD248:AI248),AD248:AI248,0))&amp;"·"&amp;IF(MAX(AD248:AI248)&gt;=200,"高","中")&amp;IF(LARGE(AD248:AI248,2)&gt;0,"（也像"&amp;INDEX($T$4:$Y$4,MATCH(LARGE(AD248:AI248,2),AD248:AI248,0))&amp;"·"&amp;IF(LARGE(AD248:AI248,2)&gt;=200,"高","中")&amp;"）",""))))</f>
        <v/>
      </c>
      <c r="AA248" s="27" t="n"/>
      <c r="AB248" s="32" t="n"/>
      <c r="AC248" s="16" t="n"/>
      <c r="AD248" s="40">
        <f>IF(N(T248)&gt;=3,IF(T248=4,2,1)*100+T248*10+6,0)</f>
        <v>0</v>
      </c>
      <c r="AE248" s="40">
        <f>IF(N(U248)&gt;=3,1*100+U248*10+1,0)</f>
        <v>0</v>
      </c>
      <c r="AF248" s="40">
        <f>IF(N(V248)&gt;=3,IF(V248=4,2,1)*100+V248*10+2,0)</f>
        <v>0</v>
      </c>
      <c r="AG248" s="40">
        <f>IF(N(W248)&gt;=3,1*100+W248*10+3,0)</f>
        <v>0</v>
      </c>
      <c r="AH248" s="40">
        <f>IF(N(X248)&gt;=3,1*100+X248*10+4,0)</f>
        <v>0</v>
      </c>
      <c r="AI248" s="40">
        <f>IF(N(Y248)&gt;=3,IF(AND(N(T248)&gt;=3,OR(N(T248)=4,N(Y248)&lt;=N(T248))),0,IF(Y248=4,2,1)*100+Y248*10+5),0)</f>
        <v>0</v>
      </c>
    </row>
    <row r="249">
      <c r="A249" s="31" t="n"/>
      <c r="B249" s="36" t="str">
        <f>IF(ISNUMBER(A249),"周"&amp;CHOOSE(WEEKDAY(A249,2),"一","二","三","四","五","六","日"),"")</f>
        <v/>
      </c>
      <c r="C249" s="37" t="n"/>
      <c r="D249" s="37" t="n"/>
      <c r="E249" s="37" t="n"/>
      <c r="F249" s="17" t="n"/>
      <c r="G249" s="38" t="str">
        <f>IF(AND(ISNUMBER(F249),ISNUMBER(F248)),IF(F248=0,"",F249/F248-1),"")</f>
        <v/>
      </c>
      <c r="H249" s="17" t="n"/>
      <c r="I249" s="17" t="n"/>
      <c r="J249" s="17" t="n"/>
      <c r="K249" s="17" t="n"/>
      <c r="L249" s="17" t="n"/>
      <c r="M249" s="17" t="n"/>
      <c r="N249" s="39" t="str">
        <f>IF(AND(ISNUMBER(L249),ISNUMBER(M249),N(L249)&gt;0),M249/L249,"")</f>
        <v/>
      </c>
      <c r="O249" s="17" t="n"/>
      <c r="P249" s="17" t="n"/>
      <c r="Q249" s="39" t="str">
        <f>IF(AND(ISNUMBER(O249),ISNUMBER(P249),N(O249)&gt;0),P249/O249,"")</f>
        <v/>
      </c>
      <c r="R249" s="17" t="n"/>
      <c r="S249" s="37" t="n"/>
      <c r="T249" s="40" t="str">
        <f>IF(AND(ISNUMBER(J249),ISNUMBER(K249)),IF(N(ISNUMBER('参数'!$E$31))+N(ISNUMBER('参数'!$G$31))+N(ISNUMBER('参数'!$I$31))+N(ISNUMBER('参数'!$K$31))=0,"",IF(ISNUMBER('参数'!$E$31),J249&lt;='参数'!$E$31,FALSE)+IF(ISNUMBER('参数'!$G$31),K249&gt;='参数'!$G$31,FALSE)+IF(AND(ISNUMBER('参数'!$I$31),ISNUMBER(N249)),N249&gt;='参数'!$I$31,FALSE)+IF(AND(ISNUMBER('参数'!$K$31),ISNUMBER(Q249)),Q249&lt;='参数'!$K$31,FALSE)),"")</f>
        <v/>
      </c>
      <c r="U249" s="40" t="str">
        <f>IF(AND(ISNUMBER(J249),ISNUMBER(K249)),IF(N(ISNUMBER('参数'!$G$32))+N(ISNUMBER('参数'!$I$32))+N(ISNUMBER('参数'!$K$32))=0,"",IF(AND(ISNUMBER(J248),ISNUMBER(J247)),AND(J249&gt;J248,J248&gt;J247),FALSE)+IF(ISNUMBER('参数'!$G$32),J249&lt;'参数'!$G$32,FALSE)+IF(AND(ISNUMBER('参数'!$I$32),ISNUMBER(Q249)),Q249&gt;='参数'!$I$32,FALSE)+IF(AND(ISNUMBER('参数'!$K$32),ISNUMBER(S249)),S249&gt;='参数'!$K$32,FALSE)),"")</f>
        <v/>
      </c>
      <c r="V249" s="40" t="str">
        <f>IF(AND(ISNUMBER(J249),ISNUMBER(K249)),IF(N(ISNUMBER('参数'!$E$33))+N(ISNUMBER('参数'!$G$33))+N(ISNUMBER('参数'!$I$33))+N(ISNUMBER('参数'!$K$33))=0,"",IF(AND(ISNUMBER('参数'!$E$33),ISNUMBER(J248)),AND(J249&gt;='参数'!$E$33,J249&gt;J248),FALSE)+IF(AND(ISNUMBER('参数'!$G$33),ISNUMBER(N249)),N249&lt;='参数'!$G$33,FALSE)+IF(AND(ISNUMBER('参数'!$I$33),ISNUMBER(Q249)),Q249&gt;='参数'!$I$33,FALSE)+IF(AND(ISNUMBER('参数'!$K$33),ISNUMBER(S249)),S249&gt;='参数'!$K$33,FALSE)),"")</f>
        <v/>
      </c>
      <c r="W249" s="40" t="str">
        <f>IF(AND(ISNUMBER(J249),ISNUMBER(K249)),IF(N(ISNUMBER('参数'!$E$34))+N(ISNUMBER('参数'!$G$34))+N(ISNUMBER('参数'!$I$34))+N(ISNUMBER('参数'!$K$34))=0,"",IF(ISNUMBER('参数'!$E$34),J249&gt;='参数'!$E$34,FALSE)+IF(AND(ISNUMBER('参数'!$G$34),ISNUMBER(N249)),N249&lt;='参数'!$G$34,FALSE)+IF(AND(ISNUMBER('参数'!$I$34),ISNUMBER(S249)),S249&gt;='参数'!$I$34,FALSE)+IF(AND(ISNUMBER('参数'!$K$34),ISNUMBER(R249)),R249&gt;='参数'!$K$34,FALSE)),"")</f>
        <v/>
      </c>
      <c r="X249" s="40" t="str">
        <f>IF(AND(ISNUMBER(J249),ISNUMBER(K249)),IF(N(ISNUMBER('参数'!$E$35))+N(ISNUMBER('参数'!$G$35))+N(ISNUMBER('参数'!$I$35))=0,"",IF(AND(ISNUMBER('参数'!$E$35),ISNUMBER(N249),ISNUMBER(N248)),ROUND(N249-N248,6)&gt;='参数'!$E$35,FALSE)+IF(AND(ISNUMBER('参数'!$G$35),ISNUMBER(Q249),ISNUMBER(Q248)),ROUND(Q248-Q249,6)&gt;='参数'!$G$35,FALSE)+IF(AND(ISNUMBER('参数'!$I$35),ISNUMBER(S249),ISNUMBER(S248)),ROUND(S248-S249,6)&gt;='参数'!$I$35,FALSE)+IF(ISNUMBER(J248),J249&lt;J248,FALSE)),"")</f>
        <v/>
      </c>
      <c r="Y249" s="40" t="str">
        <f>IF(AND(ISNUMBER(J249),ISNUMBER(K249)),IF(N(ISNUMBER('参数'!$E$36))+N(ISNUMBER('参数'!$G$36))+N(ISNUMBER('参数'!$I$36))=0,"",IF(AND(ISNUMBER('参数'!$E$36),ISNUMBER(J248)),AND(J249&lt;='参数'!$E$36,J249&lt;J248),FALSE)+IF(ISNUMBER('参数'!$G$36),K249&gt;='参数'!$G$36,FALSE)+IF(AND(ISNUMBER('参数'!$I$36),ISNUMBER(S249)),S249&lt;'参数'!$I$36,FALSE)+IF(AND(ISNUMBER(R249),ISNUMBER(R248)),R249&lt;R248,FALSE)),"")</f>
        <v/>
      </c>
      <c r="Z249" s="41" t="str">
        <f>IF(NOT(AND(ISNUMBER(J249),ISNUMBER(K249))),"",IF(COUNT(T249:Y249)=0,"先填阈值",IF(MAX(AD249:AI249)=0,"不写",INDEX($T$4:$Y$4,MATCH(MAX(AD249:AI249),AD249:AI249,0))&amp;"·"&amp;IF(MAX(AD249:AI249)&gt;=200,"高","中")&amp;IF(LARGE(AD249:AI249,2)&gt;0,"（也像"&amp;INDEX($T$4:$Y$4,MATCH(LARGE(AD249:AI249,2),AD249:AI249,0))&amp;"·"&amp;IF(LARGE(AD249:AI249,2)&gt;=200,"高","中")&amp;"）",""))))</f>
        <v/>
      </c>
      <c r="AA249" s="27" t="n"/>
      <c r="AB249" s="32" t="n"/>
      <c r="AC249" s="16" t="n"/>
      <c r="AD249" s="40">
        <f>IF(N(T249)&gt;=3,IF(T249=4,2,1)*100+T249*10+6,0)</f>
        <v>0</v>
      </c>
      <c r="AE249" s="40">
        <f>IF(N(U249)&gt;=3,1*100+U249*10+1,0)</f>
        <v>0</v>
      </c>
      <c r="AF249" s="40">
        <f>IF(N(V249)&gt;=3,IF(V249=4,2,1)*100+V249*10+2,0)</f>
        <v>0</v>
      </c>
      <c r="AG249" s="40">
        <f>IF(N(W249)&gt;=3,1*100+W249*10+3,0)</f>
        <v>0</v>
      </c>
      <c r="AH249" s="40">
        <f>IF(N(X249)&gt;=3,1*100+X249*10+4,0)</f>
        <v>0</v>
      </c>
      <c r="AI249" s="40">
        <f>IF(N(Y249)&gt;=3,IF(AND(N(T249)&gt;=3,OR(N(T249)=4,N(Y249)&lt;=N(T249))),0,IF(Y249=4,2,1)*100+Y249*10+5),0)</f>
        <v>0</v>
      </c>
    </row>
    <row r="250">
      <c r="A250" s="31" t="n"/>
      <c r="B250" s="36" t="str">
        <f>IF(ISNUMBER(A250),"周"&amp;CHOOSE(WEEKDAY(A250,2),"一","二","三","四","五","六","日"),"")</f>
        <v/>
      </c>
      <c r="C250" s="37" t="n"/>
      <c r="D250" s="37" t="n"/>
      <c r="E250" s="37" t="n"/>
      <c r="F250" s="17" t="n"/>
      <c r="G250" s="38" t="str">
        <f>IF(AND(ISNUMBER(F250),ISNUMBER(F249)),IF(F249=0,"",F250/F249-1),"")</f>
        <v/>
      </c>
      <c r="H250" s="17" t="n"/>
      <c r="I250" s="17" t="n"/>
      <c r="J250" s="17" t="n"/>
      <c r="K250" s="17" t="n"/>
      <c r="L250" s="17" t="n"/>
      <c r="M250" s="17" t="n"/>
      <c r="N250" s="39" t="str">
        <f>IF(AND(ISNUMBER(L250),ISNUMBER(M250),N(L250)&gt;0),M250/L250,"")</f>
        <v/>
      </c>
      <c r="O250" s="17" t="n"/>
      <c r="P250" s="17" t="n"/>
      <c r="Q250" s="39" t="str">
        <f>IF(AND(ISNUMBER(O250),ISNUMBER(P250),N(O250)&gt;0),P250/O250,"")</f>
        <v/>
      </c>
      <c r="R250" s="17" t="n"/>
      <c r="S250" s="37" t="n"/>
      <c r="T250" s="40" t="str">
        <f>IF(AND(ISNUMBER(J250),ISNUMBER(K250)),IF(N(ISNUMBER('参数'!$E$31))+N(ISNUMBER('参数'!$G$31))+N(ISNUMBER('参数'!$I$31))+N(ISNUMBER('参数'!$K$31))=0,"",IF(ISNUMBER('参数'!$E$31),J250&lt;='参数'!$E$31,FALSE)+IF(ISNUMBER('参数'!$G$31),K250&gt;='参数'!$G$31,FALSE)+IF(AND(ISNUMBER('参数'!$I$31),ISNUMBER(N250)),N250&gt;='参数'!$I$31,FALSE)+IF(AND(ISNUMBER('参数'!$K$31),ISNUMBER(Q250)),Q250&lt;='参数'!$K$31,FALSE)),"")</f>
        <v/>
      </c>
      <c r="U250" s="40" t="str">
        <f>IF(AND(ISNUMBER(J250),ISNUMBER(K250)),IF(N(ISNUMBER('参数'!$G$32))+N(ISNUMBER('参数'!$I$32))+N(ISNUMBER('参数'!$K$32))=0,"",IF(AND(ISNUMBER(J249),ISNUMBER(J248)),AND(J250&gt;J249,J249&gt;J248),FALSE)+IF(ISNUMBER('参数'!$G$32),J250&lt;'参数'!$G$32,FALSE)+IF(AND(ISNUMBER('参数'!$I$32),ISNUMBER(Q250)),Q250&gt;='参数'!$I$32,FALSE)+IF(AND(ISNUMBER('参数'!$K$32),ISNUMBER(S250)),S250&gt;='参数'!$K$32,FALSE)),"")</f>
        <v/>
      </c>
      <c r="V250" s="40" t="str">
        <f>IF(AND(ISNUMBER(J250),ISNUMBER(K250)),IF(N(ISNUMBER('参数'!$E$33))+N(ISNUMBER('参数'!$G$33))+N(ISNUMBER('参数'!$I$33))+N(ISNUMBER('参数'!$K$33))=0,"",IF(AND(ISNUMBER('参数'!$E$33),ISNUMBER(J249)),AND(J250&gt;='参数'!$E$33,J250&gt;J249),FALSE)+IF(AND(ISNUMBER('参数'!$G$33),ISNUMBER(N250)),N250&lt;='参数'!$G$33,FALSE)+IF(AND(ISNUMBER('参数'!$I$33),ISNUMBER(Q250)),Q250&gt;='参数'!$I$33,FALSE)+IF(AND(ISNUMBER('参数'!$K$33),ISNUMBER(S250)),S250&gt;='参数'!$K$33,FALSE)),"")</f>
        <v/>
      </c>
      <c r="W250" s="40" t="str">
        <f>IF(AND(ISNUMBER(J250),ISNUMBER(K250)),IF(N(ISNUMBER('参数'!$E$34))+N(ISNUMBER('参数'!$G$34))+N(ISNUMBER('参数'!$I$34))+N(ISNUMBER('参数'!$K$34))=0,"",IF(ISNUMBER('参数'!$E$34),J250&gt;='参数'!$E$34,FALSE)+IF(AND(ISNUMBER('参数'!$G$34),ISNUMBER(N250)),N250&lt;='参数'!$G$34,FALSE)+IF(AND(ISNUMBER('参数'!$I$34),ISNUMBER(S250)),S250&gt;='参数'!$I$34,FALSE)+IF(AND(ISNUMBER('参数'!$K$34),ISNUMBER(R250)),R250&gt;='参数'!$K$34,FALSE)),"")</f>
        <v/>
      </c>
      <c r="X250" s="40" t="str">
        <f>IF(AND(ISNUMBER(J250),ISNUMBER(K250)),IF(N(ISNUMBER('参数'!$E$35))+N(ISNUMBER('参数'!$G$35))+N(ISNUMBER('参数'!$I$35))=0,"",IF(AND(ISNUMBER('参数'!$E$35),ISNUMBER(N250),ISNUMBER(N249)),ROUND(N250-N249,6)&gt;='参数'!$E$35,FALSE)+IF(AND(ISNUMBER('参数'!$G$35),ISNUMBER(Q250),ISNUMBER(Q249)),ROUND(Q249-Q250,6)&gt;='参数'!$G$35,FALSE)+IF(AND(ISNUMBER('参数'!$I$35),ISNUMBER(S250),ISNUMBER(S249)),ROUND(S249-S250,6)&gt;='参数'!$I$35,FALSE)+IF(ISNUMBER(J249),J250&lt;J249,FALSE)),"")</f>
        <v/>
      </c>
      <c r="Y250" s="40" t="str">
        <f>IF(AND(ISNUMBER(J250),ISNUMBER(K250)),IF(N(ISNUMBER('参数'!$E$36))+N(ISNUMBER('参数'!$G$36))+N(ISNUMBER('参数'!$I$36))=0,"",IF(AND(ISNUMBER('参数'!$E$36),ISNUMBER(J249)),AND(J250&lt;='参数'!$E$36,J250&lt;J249),FALSE)+IF(ISNUMBER('参数'!$G$36),K250&gt;='参数'!$G$36,FALSE)+IF(AND(ISNUMBER('参数'!$I$36),ISNUMBER(S250)),S250&lt;'参数'!$I$36,FALSE)+IF(AND(ISNUMBER(R250),ISNUMBER(R249)),R250&lt;R249,FALSE)),"")</f>
        <v/>
      </c>
      <c r="Z250" s="41" t="str">
        <f>IF(NOT(AND(ISNUMBER(J250),ISNUMBER(K250))),"",IF(COUNT(T250:Y250)=0,"先填阈值",IF(MAX(AD250:AI250)=0,"不写",INDEX($T$4:$Y$4,MATCH(MAX(AD250:AI250),AD250:AI250,0))&amp;"·"&amp;IF(MAX(AD250:AI250)&gt;=200,"高","中")&amp;IF(LARGE(AD250:AI250,2)&gt;0,"（也像"&amp;INDEX($T$4:$Y$4,MATCH(LARGE(AD250:AI250,2),AD250:AI250,0))&amp;"·"&amp;IF(LARGE(AD250:AI250,2)&gt;=200,"高","中")&amp;"）",""))))</f>
        <v/>
      </c>
      <c r="AA250" s="27" t="n"/>
      <c r="AB250" s="32" t="n"/>
      <c r="AC250" s="16" t="n"/>
      <c r="AD250" s="40">
        <f>IF(N(T250)&gt;=3,IF(T250=4,2,1)*100+T250*10+6,0)</f>
        <v>0</v>
      </c>
      <c r="AE250" s="40">
        <f>IF(N(U250)&gt;=3,1*100+U250*10+1,0)</f>
        <v>0</v>
      </c>
      <c r="AF250" s="40">
        <f>IF(N(V250)&gt;=3,IF(V250=4,2,1)*100+V250*10+2,0)</f>
        <v>0</v>
      </c>
      <c r="AG250" s="40">
        <f>IF(N(W250)&gt;=3,1*100+W250*10+3,0)</f>
        <v>0</v>
      </c>
      <c r="AH250" s="40">
        <f>IF(N(X250)&gt;=3,1*100+X250*10+4,0)</f>
        <v>0</v>
      </c>
      <c r="AI250" s="40">
        <f>IF(N(Y250)&gt;=3,IF(AND(N(T250)&gt;=3,OR(N(T250)=4,N(Y250)&lt;=N(T250))),0,IF(Y250=4,2,1)*100+Y250*10+5),0)</f>
        <v>0</v>
      </c>
    </row>
    <row r="251">
      <c r="A251" s="31" t="n"/>
      <c r="B251" s="36" t="str">
        <f>IF(ISNUMBER(A251),"周"&amp;CHOOSE(WEEKDAY(A251,2),"一","二","三","四","五","六","日"),"")</f>
        <v/>
      </c>
      <c r="C251" s="37" t="n"/>
      <c r="D251" s="37" t="n"/>
      <c r="E251" s="37" t="n"/>
      <c r="F251" s="17" t="n"/>
      <c r="G251" s="38" t="str">
        <f>IF(AND(ISNUMBER(F251),ISNUMBER(F250)),IF(F250=0,"",F251/F250-1),"")</f>
        <v/>
      </c>
      <c r="H251" s="17" t="n"/>
      <c r="I251" s="17" t="n"/>
      <c r="J251" s="17" t="n"/>
      <c r="K251" s="17" t="n"/>
      <c r="L251" s="17" t="n"/>
      <c r="M251" s="17" t="n"/>
      <c r="N251" s="39" t="str">
        <f>IF(AND(ISNUMBER(L251),ISNUMBER(M251),N(L251)&gt;0),M251/L251,"")</f>
        <v/>
      </c>
      <c r="O251" s="17" t="n"/>
      <c r="P251" s="17" t="n"/>
      <c r="Q251" s="39" t="str">
        <f>IF(AND(ISNUMBER(O251),ISNUMBER(P251),N(O251)&gt;0),P251/O251,"")</f>
        <v/>
      </c>
      <c r="R251" s="17" t="n"/>
      <c r="S251" s="37" t="n"/>
      <c r="T251" s="40" t="str">
        <f>IF(AND(ISNUMBER(J251),ISNUMBER(K251)),IF(N(ISNUMBER('参数'!$E$31))+N(ISNUMBER('参数'!$G$31))+N(ISNUMBER('参数'!$I$31))+N(ISNUMBER('参数'!$K$31))=0,"",IF(ISNUMBER('参数'!$E$31),J251&lt;='参数'!$E$31,FALSE)+IF(ISNUMBER('参数'!$G$31),K251&gt;='参数'!$G$31,FALSE)+IF(AND(ISNUMBER('参数'!$I$31),ISNUMBER(N251)),N251&gt;='参数'!$I$31,FALSE)+IF(AND(ISNUMBER('参数'!$K$31),ISNUMBER(Q251)),Q251&lt;='参数'!$K$31,FALSE)),"")</f>
        <v/>
      </c>
      <c r="U251" s="40" t="str">
        <f>IF(AND(ISNUMBER(J251),ISNUMBER(K251)),IF(N(ISNUMBER('参数'!$G$32))+N(ISNUMBER('参数'!$I$32))+N(ISNUMBER('参数'!$K$32))=0,"",IF(AND(ISNUMBER(J250),ISNUMBER(J249)),AND(J251&gt;J250,J250&gt;J249),FALSE)+IF(ISNUMBER('参数'!$G$32),J251&lt;'参数'!$G$32,FALSE)+IF(AND(ISNUMBER('参数'!$I$32),ISNUMBER(Q251)),Q251&gt;='参数'!$I$32,FALSE)+IF(AND(ISNUMBER('参数'!$K$32),ISNUMBER(S251)),S251&gt;='参数'!$K$32,FALSE)),"")</f>
        <v/>
      </c>
      <c r="V251" s="40" t="str">
        <f>IF(AND(ISNUMBER(J251),ISNUMBER(K251)),IF(N(ISNUMBER('参数'!$E$33))+N(ISNUMBER('参数'!$G$33))+N(ISNUMBER('参数'!$I$33))+N(ISNUMBER('参数'!$K$33))=0,"",IF(AND(ISNUMBER('参数'!$E$33),ISNUMBER(J250)),AND(J251&gt;='参数'!$E$33,J251&gt;J250),FALSE)+IF(AND(ISNUMBER('参数'!$G$33),ISNUMBER(N251)),N251&lt;='参数'!$G$33,FALSE)+IF(AND(ISNUMBER('参数'!$I$33),ISNUMBER(Q251)),Q251&gt;='参数'!$I$33,FALSE)+IF(AND(ISNUMBER('参数'!$K$33),ISNUMBER(S251)),S251&gt;='参数'!$K$33,FALSE)),"")</f>
        <v/>
      </c>
      <c r="W251" s="40" t="str">
        <f>IF(AND(ISNUMBER(J251),ISNUMBER(K251)),IF(N(ISNUMBER('参数'!$E$34))+N(ISNUMBER('参数'!$G$34))+N(ISNUMBER('参数'!$I$34))+N(ISNUMBER('参数'!$K$34))=0,"",IF(ISNUMBER('参数'!$E$34),J251&gt;='参数'!$E$34,FALSE)+IF(AND(ISNUMBER('参数'!$G$34),ISNUMBER(N251)),N251&lt;='参数'!$G$34,FALSE)+IF(AND(ISNUMBER('参数'!$I$34),ISNUMBER(S251)),S251&gt;='参数'!$I$34,FALSE)+IF(AND(ISNUMBER('参数'!$K$34),ISNUMBER(R251)),R251&gt;='参数'!$K$34,FALSE)),"")</f>
        <v/>
      </c>
      <c r="X251" s="40" t="str">
        <f>IF(AND(ISNUMBER(J251),ISNUMBER(K251)),IF(N(ISNUMBER('参数'!$E$35))+N(ISNUMBER('参数'!$G$35))+N(ISNUMBER('参数'!$I$35))=0,"",IF(AND(ISNUMBER('参数'!$E$35),ISNUMBER(N251),ISNUMBER(N250)),ROUND(N251-N250,6)&gt;='参数'!$E$35,FALSE)+IF(AND(ISNUMBER('参数'!$G$35),ISNUMBER(Q251),ISNUMBER(Q250)),ROUND(Q250-Q251,6)&gt;='参数'!$G$35,FALSE)+IF(AND(ISNUMBER('参数'!$I$35),ISNUMBER(S251),ISNUMBER(S250)),ROUND(S250-S251,6)&gt;='参数'!$I$35,FALSE)+IF(ISNUMBER(J250),J251&lt;J250,FALSE)),"")</f>
        <v/>
      </c>
      <c r="Y251" s="40" t="str">
        <f>IF(AND(ISNUMBER(J251),ISNUMBER(K251)),IF(N(ISNUMBER('参数'!$E$36))+N(ISNUMBER('参数'!$G$36))+N(ISNUMBER('参数'!$I$36))=0,"",IF(AND(ISNUMBER('参数'!$E$36),ISNUMBER(J250)),AND(J251&lt;='参数'!$E$36,J251&lt;J250),FALSE)+IF(ISNUMBER('参数'!$G$36),K251&gt;='参数'!$G$36,FALSE)+IF(AND(ISNUMBER('参数'!$I$36),ISNUMBER(S251)),S251&lt;'参数'!$I$36,FALSE)+IF(AND(ISNUMBER(R251),ISNUMBER(R250)),R251&lt;R250,FALSE)),"")</f>
        <v/>
      </c>
      <c r="Z251" s="41" t="str">
        <f>IF(NOT(AND(ISNUMBER(J251),ISNUMBER(K251))),"",IF(COUNT(T251:Y251)=0,"先填阈值",IF(MAX(AD251:AI251)=0,"不写",INDEX($T$4:$Y$4,MATCH(MAX(AD251:AI251),AD251:AI251,0))&amp;"·"&amp;IF(MAX(AD251:AI251)&gt;=200,"高","中")&amp;IF(LARGE(AD251:AI251,2)&gt;0,"（也像"&amp;INDEX($T$4:$Y$4,MATCH(LARGE(AD251:AI251,2),AD251:AI251,0))&amp;"·"&amp;IF(LARGE(AD251:AI251,2)&gt;=200,"高","中")&amp;"）",""))))</f>
        <v/>
      </c>
      <c r="AA251" s="27" t="n"/>
      <c r="AB251" s="32" t="n"/>
      <c r="AC251" s="16" t="n"/>
      <c r="AD251" s="40">
        <f>IF(N(T251)&gt;=3,IF(T251=4,2,1)*100+T251*10+6,0)</f>
        <v>0</v>
      </c>
      <c r="AE251" s="40">
        <f>IF(N(U251)&gt;=3,1*100+U251*10+1,0)</f>
        <v>0</v>
      </c>
      <c r="AF251" s="40">
        <f>IF(N(V251)&gt;=3,IF(V251=4,2,1)*100+V251*10+2,0)</f>
        <v>0</v>
      </c>
      <c r="AG251" s="40">
        <f>IF(N(W251)&gt;=3,1*100+W251*10+3,0)</f>
        <v>0</v>
      </c>
      <c r="AH251" s="40">
        <f>IF(N(X251)&gt;=3,1*100+X251*10+4,0)</f>
        <v>0</v>
      </c>
      <c r="AI251" s="40">
        <f>IF(N(Y251)&gt;=3,IF(AND(N(T251)&gt;=3,OR(N(T251)=4,N(Y251)&lt;=N(T251))),0,IF(Y251=4,2,1)*100+Y251*10+5),0)</f>
        <v>0</v>
      </c>
    </row>
    <row r="252">
      <c r="A252" s="31" t="n"/>
      <c r="B252" s="36" t="str">
        <f>IF(ISNUMBER(A252),"周"&amp;CHOOSE(WEEKDAY(A252,2),"一","二","三","四","五","六","日"),"")</f>
        <v/>
      </c>
      <c r="C252" s="37" t="n"/>
      <c r="D252" s="37" t="n"/>
      <c r="E252" s="37" t="n"/>
      <c r="F252" s="17" t="n"/>
      <c r="G252" s="38" t="str">
        <f>IF(AND(ISNUMBER(F252),ISNUMBER(F251)),IF(F251=0,"",F252/F251-1),"")</f>
        <v/>
      </c>
      <c r="H252" s="17" t="n"/>
      <c r="I252" s="17" t="n"/>
      <c r="J252" s="17" t="n"/>
      <c r="K252" s="17" t="n"/>
      <c r="L252" s="17" t="n"/>
      <c r="M252" s="17" t="n"/>
      <c r="N252" s="39" t="str">
        <f>IF(AND(ISNUMBER(L252),ISNUMBER(M252),N(L252)&gt;0),M252/L252,"")</f>
        <v/>
      </c>
      <c r="O252" s="17" t="n"/>
      <c r="P252" s="17" t="n"/>
      <c r="Q252" s="39" t="str">
        <f>IF(AND(ISNUMBER(O252),ISNUMBER(P252),N(O252)&gt;0),P252/O252,"")</f>
        <v/>
      </c>
      <c r="R252" s="17" t="n"/>
      <c r="S252" s="37" t="n"/>
      <c r="T252" s="40" t="str">
        <f>IF(AND(ISNUMBER(J252),ISNUMBER(K252)),IF(N(ISNUMBER('参数'!$E$31))+N(ISNUMBER('参数'!$G$31))+N(ISNUMBER('参数'!$I$31))+N(ISNUMBER('参数'!$K$31))=0,"",IF(ISNUMBER('参数'!$E$31),J252&lt;='参数'!$E$31,FALSE)+IF(ISNUMBER('参数'!$G$31),K252&gt;='参数'!$G$31,FALSE)+IF(AND(ISNUMBER('参数'!$I$31),ISNUMBER(N252)),N252&gt;='参数'!$I$31,FALSE)+IF(AND(ISNUMBER('参数'!$K$31),ISNUMBER(Q252)),Q252&lt;='参数'!$K$31,FALSE)),"")</f>
        <v/>
      </c>
      <c r="U252" s="40" t="str">
        <f>IF(AND(ISNUMBER(J252),ISNUMBER(K252)),IF(N(ISNUMBER('参数'!$G$32))+N(ISNUMBER('参数'!$I$32))+N(ISNUMBER('参数'!$K$32))=0,"",IF(AND(ISNUMBER(J251),ISNUMBER(J250)),AND(J252&gt;J251,J251&gt;J250),FALSE)+IF(ISNUMBER('参数'!$G$32),J252&lt;'参数'!$G$32,FALSE)+IF(AND(ISNUMBER('参数'!$I$32),ISNUMBER(Q252)),Q252&gt;='参数'!$I$32,FALSE)+IF(AND(ISNUMBER('参数'!$K$32),ISNUMBER(S252)),S252&gt;='参数'!$K$32,FALSE)),"")</f>
        <v/>
      </c>
      <c r="V252" s="40" t="str">
        <f>IF(AND(ISNUMBER(J252),ISNUMBER(K252)),IF(N(ISNUMBER('参数'!$E$33))+N(ISNUMBER('参数'!$G$33))+N(ISNUMBER('参数'!$I$33))+N(ISNUMBER('参数'!$K$33))=0,"",IF(AND(ISNUMBER('参数'!$E$33),ISNUMBER(J251)),AND(J252&gt;='参数'!$E$33,J252&gt;J251),FALSE)+IF(AND(ISNUMBER('参数'!$G$33),ISNUMBER(N252)),N252&lt;='参数'!$G$33,FALSE)+IF(AND(ISNUMBER('参数'!$I$33),ISNUMBER(Q252)),Q252&gt;='参数'!$I$33,FALSE)+IF(AND(ISNUMBER('参数'!$K$33),ISNUMBER(S252)),S252&gt;='参数'!$K$33,FALSE)),"")</f>
        <v/>
      </c>
      <c r="W252" s="40" t="str">
        <f>IF(AND(ISNUMBER(J252),ISNUMBER(K252)),IF(N(ISNUMBER('参数'!$E$34))+N(ISNUMBER('参数'!$G$34))+N(ISNUMBER('参数'!$I$34))+N(ISNUMBER('参数'!$K$34))=0,"",IF(ISNUMBER('参数'!$E$34),J252&gt;='参数'!$E$34,FALSE)+IF(AND(ISNUMBER('参数'!$G$34),ISNUMBER(N252)),N252&lt;='参数'!$G$34,FALSE)+IF(AND(ISNUMBER('参数'!$I$34),ISNUMBER(S252)),S252&gt;='参数'!$I$34,FALSE)+IF(AND(ISNUMBER('参数'!$K$34),ISNUMBER(R252)),R252&gt;='参数'!$K$34,FALSE)),"")</f>
        <v/>
      </c>
      <c r="X252" s="40" t="str">
        <f>IF(AND(ISNUMBER(J252),ISNUMBER(K252)),IF(N(ISNUMBER('参数'!$E$35))+N(ISNUMBER('参数'!$G$35))+N(ISNUMBER('参数'!$I$35))=0,"",IF(AND(ISNUMBER('参数'!$E$35),ISNUMBER(N252),ISNUMBER(N251)),ROUND(N252-N251,6)&gt;='参数'!$E$35,FALSE)+IF(AND(ISNUMBER('参数'!$G$35),ISNUMBER(Q252),ISNUMBER(Q251)),ROUND(Q251-Q252,6)&gt;='参数'!$G$35,FALSE)+IF(AND(ISNUMBER('参数'!$I$35),ISNUMBER(S252),ISNUMBER(S251)),ROUND(S251-S252,6)&gt;='参数'!$I$35,FALSE)+IF(ISNUMBER(J251),J252&lt;J251,FALSE)),"")</f>
        <v/>
      </c>
      <c r="Y252" s="40" t="str">
        <f>IF(AND(ISNUMBER(J252),ISNUMBER(K252)),IF(N(ISNUMBER('参数'!$E$36))+N(ISNUMBER('参数'!$G$36))+N(ISNUMBER('参数'!$I$36))=0,"",IF(AND(ISNUMBER('参数'!$E$36),ISNUMBER(J251)),AND(J252&lt;='参数'!$E$36,J252&lt;J251),FALSE)+IF(ISNUMBER('参数'!$G$36),K252&gt;='参数'!$G$36,FALSE)+IF(AND(ISNUMBER('参数'!$I$36),ISNUMBER(S252)),S252&lt;'参数'!$I$36,FALSE)+IF(AND(ISNUMBER(R252),ISNUMBER(R251)),R252&lt;R251,FALSE)),"")</f>
        <v/>
      </c>
      <c r="Z252" s="41" t="str">
        <f>IF(NOT(AND(ISNUMBER(J252),ISNUMBER(K252))),"",IF(COUNT(T252:Y252)=0,"先填阈值",IF(MAX(AD252:AI252)=0,"不写",INDEX($T$4:$Y$4,MATCH(MAX(AD252:AI252),AD252:AI252,0))&amp;"·"&amp;IF(MAX(AD252:AI252)&gt;=200,"高","中")&amp;IF(LARGE(AD252:AI252,2)&gt;0,"（也像"&amp;INDEX($T$4:$Y$4,MATCH(LARGE(AD252:AI252,2),AD252:AI252,0))&amp;"·"&amp;IF(LARGE(AD252:AI252,2)&gt;=200,"高","中")&amp;"）",""))))</f>
        <v/>
      </c>
      <c r="AA252" s="27" t="n"/>
      <c r="AB252" s="32" t="n"/>
      <c r="AC252" s="16" t="n"/>
      <c r="AD252" s="40">
        <f>IF(N(T252)&gt;=3,IF(T252=4,2,1)*100+T252*10+6,0)</f>
        <v>0</v>
      </c>
      <c r="AE252" s="40">
        <f>IF(N(U252)&gt;=3,1*100+U252*10+1,0)</f>
        <v>0</v>
      </c>
      <c r="AF252" s="40">
        <f>IF(N(V252)&gt;=3,IF(V252=4,2,1)*100+V252*10+2,0)</f>
        <v>0</v>
      </c>
      <c r="AG252" s="40">
        <f>IF(N(W252)&gt;=3,1*100+W252*10+3,0)</f>
        <v>0</v>
      </c>
      <c r="AH252" s="40">
        <f>IF(N(X252)&gt;=3,1*100+X252*10+4,0)</f>
        <v>0</v>
      </c>
      <c r="AI252" s="40">
        <f>IF(N(Y252)&gt;=3,IF(AND(N(T252)&gt;=3,OR(N(T252)=4,N(Y252)&lt;=N(T252))),0,IF(Y252=4,2,1)*100+Y252*10+5),0)</f>
        <v>0</v>
      </c>
    </row>
    <row r="253">
      <c r="A253" s="31" t="n"/>
      <c r="B253" s="36" t="str">
        <f>IF(ISNUMBER(A253),"周"&amp;CHOOSE(WEEKDAY(A253,2),"一","二","三","四","五","六","日"),"")</f>
        <v/>
      </c>
      <c r="C253" s="37" t="n"/>
      <c r="D253" s="37" t="n"/>
      <c r="E253" s="37" t="n"/>
      <c r="F253" s="17" t="n"/>
      <c r="G253" s="38" t="str">
        <f>IF(AND(ISNUMBER(F253),ISNUMBER(F252)),IF(F252=0,"",F253/F252-1),"")</f>
        <v/>
      </c>
      <c r="H253" s="17" t="n"/>
      <c r="I253" s="17" t="n"/>
      <c r="J253" s="17" t="n"/>
      <c r="K253" s="17" t="n"/>
      <c r="L253" s="17" t="n"/>
      <c r="M253" s="17" t="n"/>
      <c r="N253" s="39" t="str">
        <f>IF(AND(ISNUMBER(L253),ISNUMBER(M253),N(L253)&gt;0),M253/L253,"")</f>
        <v/>
      </c>
      <c r="O253" s="17" t="n"/>
      <c r="P253" s="17" t="n"/>
      <c r="Q253" s="39" t="str">
        <f>IF(AND(ISNUMBER(O253),ISNUMBER(P253),N(O253)&gt;0),P253/O253,"")</f>
        <v/>
      </c>
      <c r="R253" s="17" t="n"/>
      <c r="S253" s="37" t="n"/>
      <c r="T253" s="40" t="str">
        <f>IF(AND(ISNUMBER(J253),ISNUMBER(K253)),IF(N(ISNUMBER('参数'!$E$31))+N(ISNUMBER('参数'!$G$31))+N(ISNUMBER('参数'!$I$31))+N(ISNUMBER('参数'!$K$31))=0,"",IF(ISNUMBER('参数'!$E$31),J253&lt;='参数'!$E$31,FALSE)+IF(ISNUMBER('参数'!$G$31),K253&gt;='参数'!$G$31,FALSE)+IF(AND(ISNUMBER('参数'!$I$31),ISNUMBER(N253)),N253&gt;='参数'!$I$31,FALSE)+IF(AND(ISNUMBER('参数'!$K$31),ISNUMBER(Q253)),Q253&lt;='参数'!$K$31,FALSE)),"")</f>
        <v/>
      </c>
      <c r="U253" s="40" t="str">
        <f>IF(AND(ISNUMBER(J253),ISNUMBER(K253)),IF(N(ISNUMBER('参数'!$G$32))+N(ISNUMBER('参数'!$I$32))+N(ISNUMBER('参数'!$K$32))=0,"",IF(AND(ISNUMBER(J252),ISNUMBER(J251)),AND(J253&gt;J252,J252&gt;J251),FALSE)+IF(ISNUMBER('参数'!$G$32),J253&lt;'参数'!$G$32,FALSE)+IF(AND(ISNUMBER('参数'!$I$32),ISNUMBER(Q253)),Q253&gt;='参数'!$I$32,FALSE)+IF(AND(ISNUMBER('参数'!$K$32),ISNUMBER(S253)),S253&gt;='参数'!$K$32,FALSE)),"")</f>
        <v/>
      </c>
      <c r="V253" s="40" t="str">
        <f>IF(AND(ISNUMBER(J253),ISNUMBER(K253)),IF(N(ISNUMBER('参数'!$E$33))+N(ISNUMBER('参数'!$G$33))+N(ISNUMBER('参数'!$I$33))+N(ISNUMBER('参数'!$K$33))=0,"",IF(AND(ISNUMBER('参数'!$E$33),ISNUMBER(J252)),AND(J253&gt;='参数'!$E$33,J253&gt;J252),FALSE)+IF(AND(ISNUMBER('参数'!$G$33),ISNUMBER(N253)),N253&lt;='参数'!$G$33,FALSE)+IF(AND(ISNUMBER('参数'!$I$33),ISNUMBER(Q253)),Q253&gt;='参数'!$I$33,FALSE)+IF(AND(ISNUMBER('参数'!$K$33),ISNUMBER(S253)),S253&gt;='参数'!$K$33,FALSE)),"")</f>
        <v/>
      </c>
      <c r="W253" s="40" t="str">
        <f>IF(AND(ISNUMBER(J253),ISNUMBER(K253)),IF(N(ISNUMBER('参数'!$E$34))+N(ISNUMBER('参数'!$G$34))+N(ISNUMBER('参数'!$I$34))+N(ISNUMBER('参数'!$K$34))=0,"",IF(ISNUMBER('参数'!$E$34),J253&gt;='参数'!$E$34,FALSE)+IF(AND(ISNUMBER('参数'!$G$34),ISNUMBER(N253)),N253&lt;='参数'!$G$34,FALSE)+IF(AND(ISNUMBER('参数'!$I$34),ISNUMBER(S253)),S253&gt;='参数'!$I$34,FALSE)+IF(AND(ISNUMBER('参数'!$K$34),ISNUMBER(R253)),R253&gt;='参数'!$K$34,FALSE)),"")</f>
        <v/>
      </c>
      <c r="X253" s="40" t="str">
        <f>IF(AND(ISNUMBER(J253),ISNUMBER(K253)),IF(N(ISNUMBER('参数'!$E$35))+N(ISNUMBER('参数'!$G$35))+N(ISNUMBER('参数'!$I$35))=0,"",IF(AND(ISNUMBER('参数'!$E$35),ISNUMBER(N253),ISNUMBER(N252)),ROUND(N253-N252,6)&gt;='参数'!$E$35,FALSE)+IF(AND(ISNUMBER('参数'!$G$35),ISNUMBER(Q253),ISNUMBER(Q252)),ROUND(Q252-Q253,6)&gt;='参数'!$G$35,FALSE)+IF(AND(ISNUMBER('参数'!$I$35),ISNUMBER(S253),ISNUMBER(S252)),ROUND(S252-S253,6)&gt;='参数'!$I$35,FALSE)+IF(ISNUMBER(J252),J253&lt;J252,FALSE)),"")</f>
        <v/>
      </c>
      <c r="Y253" s="40" t="str">
        <f>IF(AND(ISNUMBER(J253),ISNUMBER(K253)),IF(N(ISNUMBER('参数'!$E$36))+N(ISNUMBER('参数'!$G$36))+N(ISNUMBER('参数'!$I$36))=0,"",IF(AND(ISNUMBER('参数'!$E$36),ISNUMBER(J252)),AND(J253&lt;='参数'!$E$36,J253&lt;J252),FALSE)+IF(ISNUMBER('参数'!$G$36),K253&gt;='参数'!$G$36,FALSE)+IF(AND(ISNUMBER('参数'!$I$36),ISNUMBER(S253)),S253&lt;'参数'!$I$36,FALSE)+IF(AND(ISNUMBER(R253),ISNUMBER(R252)),R253&lt;R252,FALSE)),"")</f>
        <v/>
      </c>
      <c r="Z253" s="41" t="str">
        <f>IF(NOT(AND(ISNUMBER(J253),ISNUMBER(K253))),"",IF(COUNT(T253:Y253)=0,"先填阈值",IF(MAX(AD253:AI253)=0,"不写",INDEX($T$4:$Y$4,MATCH(MAX(AD253:AI253),AD253:AI253,0))&amp;"·"&amp;IF(MAX(AD253:AI253)&gt;=200,"高","中")&amp;IF(LARGE(AD253:AI253,2)&gt;0,"（也像"&amp;INDEX($T$4:$Y$4,MATCH(LARGE(AD253:AI253,2),AD253:AI253,0))&amp;"·"&amp;IF(LARGE(AD253:AI253,2)&gt;=200,"高","中")&amp;"）",""))))</f>
        <v/>
      </c>
      <c r="AA253" s="27" t="n"/>
      <c r="AB253" s="32" t="n"/>
      <c r="AC253" s="16" t="n"/>
      <c r="AD253" s="40">
        <f>IF(N(T253)&gt;=3,IF(T253=4,2,1)*100+T253*10+6,0)</f>
        <v>0</v>
      </c>
      <c r="AE253" s="40">
        <f>IF(N(U253)&gt;=3,1*100+U253*10+1,0)</f>
        <v>0</v>
      </c>
      <c r="AF253" s="40">
        <f>IF(N(V253)&gt;=3,IF(V253=4,2,1)*100+V253*10+2,0)</f>
        <v>0</v>
      </c>
      <c r="AG253" s="40">
        <f>IF(N(W253)&gt;=3,1*100+W253*10+3,0)</f>
        <v>0</v>
      </c>
      <c r="AH253" s="40">
        <f>IF(N(X253)&gt;=3,1*100+X253*10+4,0)</f>
        <v>0</v>
      </c>
      <c r="AI253" s="40">
        <f>IF(N(Y253)&gt;=3,IF(AND(N(T253)&gt;=3,OR(N(T253)=4,N(Y253)&lt;=N(T253))),0,IF(Y253=4,2,1)*100+Y253*10+5),0)</f>
        <v>0</v>
      </c>
    </row>
    <row r="254">
      <c r="A254" s="31" t="n"/>
      <c r="B254" s="36" t="str">
        <f>IF(ISNUMBER(A254),"周"&amp;CHOOSE(WEEKDAY(A254,2),"一","二","三","四","五","六","日"),"")</f>
        <v/>
      </c>
      <c r="C254" s="37" t="n"/>
      <c r="D254" s="37" t="n"/>
      <c r="E254" s="37" t="n"/>
      <c r="F254" s="17" t="n"/>
      <c r="G254" s="38" t="str">
        <f>IF(AND(ISNUMBER(F254),ISNUMBER(F253)),IF(F253=0,"",F254/F253-1),"")</f>
        <v/>
      </c>
      <c r="H254" s="17" t="n"/>
      <c r="I254" s="17" t="n"/>
      <c r="J254" s="17" t="n"/>
      <c r="K254" s="17" t="n"/>
      <c r="L254" s="17" t="n"/>
      <c r="M254" s="17" t="n"/>
      <c r="N254" s="39" t="str">
        <f>IF(AND(ISNUMBER(L254),ISNUMBER(M254),N(L254)&gt;0),M254/L254,"")</f>
        <v/>
      </c>
      <c r="O254" s="17" t="n"/>
      <c r="P254" s="17" t="n"/>
      <c r="Q254" s="39" t="str">
        <f>IF(AND(ISNUMBER(O254),ISNUMBER(P254),N(O254)&gt;0),P254/O254,"")</f>
        <v/>
      </c>
      <c r="R254" s="17" t="n"/>
      <c r="S254" s="37" t="n"/>
      <c r="T254" s="40" t="str">
        <f>IF(AND(ISNUMBER(J254),ISNUMBER(K254)),IF(N(ISNUMBER('参数'!$E$31))+N(ISNUMBER('参数'!$G$31))+N(ISNUMBER('参数'!$I$31))+N(ISNUMBER('参数'!$K$31))=0,"",IF(ISNUMBER('参数'!$E$31),J254&lt;='参数'!$E$31,FALSE)+IF(ISNUMBER('参数'!$G$31),K254&gt;='参数'!$G$31,FALSE)+IF(AND(ISNUMBER('参数'!$I$31),ISNUMBER(N254)),N254&gt;='参数'!$I$31,FALSE)+IF(AND(ISNUMBER('参数'!$K$31),ISNUMBER(Q254)),Q254&lt;='参数'!$K$31,FALSE)),"")</f>
        <v/>
      </c>
      <c r="U254" s="40" t="str">
        <f>IF(AND(ISNUMBER(J254),ISNUMBER(K254)),IF(N(ISNUMBER('参数'!$G$32))+N(ISNUMBER('参数'!$I$32))+N(ISNUMBER('参数'!$K$32))=0,"",IF(AND(ISNUMBER(J253),ISNUMBER(J252)),AND(J254&gt;J253,J253&gt;J252),FALSE)+IF(ISNUMBER('参数'!$G$32),J254&lt;'参数'!$G$32,FALSE)+IF(AND(ISNUMBER('参数'!$I$32),ISNUMBER(Q254)),Q254&gt;='参数'!$I$32,FALSE)+IF(AND(ISNUMBER('参数'!$K$32),ISNUMBER(S254)),S254&gt;='参数'!$K$32,FALSE)),"")</f>
        <v/>
      </c>
      <c r="V254" s="40" t="str">
        <f>IF(AND(ISNUMBER(J254),ISNUMBER(K254)),IF(N(ISNUMBER('参数'!$E$33))+N(ISNUMBER('参数'!$G$33))+N(ISNUMBER('参数'!$I$33))+N(ISNUMBER('参数'!$K$33))=0,"",IF(AND(ISNUMBER('参数'!$E$33),ISNUMBER(J253)),AND(J254&gt;='参数'!$E$33,J254&gt;J253),FALSE)+IF(AND(ISNUMBER('参数'!$G$33),ISNUMBER(N254)),N254&lt;='参数'!$G$33,FALSE)+IF(AND(ISNUMBER('参数'!$I$33),ISNUMBER(Q254)),Q254&gt;='参数'!$I$33,FALSE)+IF(AND(ISNUMBER('参数'!$K$33),ISNUMBER(S254)),S254&gt;='参数'!$K$33,FALSE)),"")</f>
        <v/>
      </c>
      <c r="W254" s="40" t="str">
        <f>IF(AND(ISNUMBER(J254),ISNUMBER(K254)),IF(N(ISNUMBER('参数'!$E$34))+N(ISNUMBER('参数'!$G$34))+N(ISNUMBER('参数'!$I$34))+N(ISNUMBER('参数'!$K$34))=0,"",IF(ISNUMBER('参数'!$E$34),J254&gt;='参数'!$E$34,FALSE)+IF(AND(ISNUMBER('参数'!$G$34),ISNUMBER(N254)),N254&lt;='参数'!$G$34,FALSE)+IF(AND(ISNUMBER('参数'!$I$34),ISNUMBER(S254)),S254&gt;='参数'!$I$34,FALSE)+IF(AND(ISNUMBER('参数'!$K$34),ISNUMBER(R254)),R254&gt;='参数'!$K$34,FALSE)),"")</f>
        <v/>
      </c>
      <c r="X254" s="40" t="str">
        <f>IF(AND(ISNUMBER(J254),ISNUMBER(K254)),IF(N(ISNUMBER('参数'!$E$35))+N(ISNUMBER('参数'!$G$35))+N(ISNUMBER('参数'!$I$35))=0,"",IF(AND(ISNUMBER('参数'!$E$35),ISNUMBER(N254),ISNUMBER(N253)),ROUND(N254-N253,6)&gt;='参数'!$E$35,FALSE)+IF(AND(ISNUMBER('参数'!$G$35),ISNUMBER(Q254),ISNUMBER(Q253)),ROUND(Q253-Q254,6)&gt;='参数'!$G$35,FALSE)+IF(AND(ISNUMBER('参数'!$I$35),ISNUMBER(S254),ISNUMBER(S253)),ROUND(S253-S254,6)&gt;='参数'!$I$35,FALSE)+IF(ISNUMBER(J253),J254&lt;J253,FALSE)),"")</f>
        <v/>
      </c>
      <c r="Y254" s="40" t="str">
        <f>IF(AND(ISNUMBER(J254),ISNUMBER(K254)),IF(N(ISNUMBER('参数'!$E$36))+N(ISNUMBER('参数'!$G$36))+N(ISNUMBER('参数'!$I$36))=0,"",IF(AND(ISNUMBER('参数'!$E$36),ISNUMBER(J253)),AND(J254&lt;='参数'!$E$36,J254&lt;J253),FALSE)+IF(ISNUMBER('参数'!$G$36),K254&gt;='参数'!$G$36,FALSE)+IF(AND(ISNUMBER('参数'!$I$36),ISNUMBER(S254)),S254&lt;'参数'!$I$36,FALSE)+IF(AND(ISNUMBER(R254),ISNUMBER(R253)),R254&lt;R253,FALSE)),"")</f>
        <v/>
      </c>
      <c r="Z254" s="41" t="str">
        <f>IF(NOT(AND(ISNUMBER(J254),ISNUMBER(K254))),"",IF(COUNT(T254:Y254)=0,"先填阈值",IF(MAX(AD254:AI254)=0,"不写",INDEX($T$4:$Y$4,MATCH(MAX(AD254:AI254),AD254:AI254,0))&amp;"·"&amp;IF(MAX(AD254:AI254)&gt;=200,"高","中")&amp;IF(LARGE(AD254:AI254,2)&gt;0,"（也像"&amp;INDEX($T$4:$Y$4,MATCH(LARGE(AD254:AI254,2),AD254:AI254,0))&amp;"·"&amp;IF(LARGE(AD254:AI254,2)&gt;=200,"高","中")&amp;"）",""))))</f>
        <v/>
      </c>
      <c r="AA254" s="27" t="n"/>
      <c r="AB254" s="32" t="n"/>
      <c r="AC254" s="16" t="n"/>
      <c r="AD254" s="40">
        <f>IF(N(T254)&gt;=3,IF(T254=4,2,1)*100+T254*10+6,0)</f>
        <v>0</v>
      </c>
      <c r="AE254" s="40">
        <f>IF(N(U254)&gt;=3,1*100+U254*10+1,0)</f>
        <v>0</v>
      </c>
      <c r="AF254" s="40">
        <f>IF(N(V254)&gt;=3,IF(V254=4,2,1)*100+V254*10+2,0)</f>
        <v>0</v>
      </c>
      <c r="AG254" s="40">
        <f>IF(N(W254)&gt;=3,1*100+W254*10+3,0)</f>
        <v>0</v>
      </c>
      <c r="AH254" s="40">
        <f>IF(N(X254)&gt;=3,1*100+X254*10+4,0)</f>
        <v>0</v>
      </c>
      <c r="AI254" s="40">
        <f>IF(N(Y254)&gt;=3,IF(AND(N(T254)&gt;=3,OR(N(T254)=4,N(Y254)&lt;=N(T254))),0,IF(Y254=4,2,1)*100+Y254*10+5),0)</f>
        <v>0</v>
      </c>
    </row>
    <row r="255">
      <c r="A255" s="31" t="n"/>
      <c r="B255" s="36" t="str">
        <f>IF(ISNUMBER(A255),"周"&amp;CHOOSE(WEEKDAY(A255,2),"一","二","三","四","五","六","日"),"")</f>
        <v/>
      </c>
      <c r="C255" s="37" t="n"/>
      <c r="D255" s="37" t="n"/>
      <c r="E255" s="37" t="n"/>
      <c r="F255" s="17" t="n"/>
      <c r="G255" s="38" t="str">
        <f>IF(AND(ISNUMBER(F255),ISNUMBER(F254)),IF(F254=0,"",F255/F254-1),"")</f>
        <v/>
      </c>
      <c r="H255" s="17" t="n"/>
      <c r="I255" s="17" t="n"/>
      <c r="J255" s="17" t="n"/>
      <c r="K255" s="17" t="n"/>
      <c r="L255" s="17" t="n"/>
      <c r="M255" s="17" t="n"/>
      <c r="N255" s="39" t="str">
        <f>IF(AND(ISNUMBER(L255),ISNUMBER(M255),N(L255)&gt;0),M255/L255,"")</f>
        <v/>
      </c>
      <c r="O255" s="17" t="n"/>
      <c r="P255" s="17" t="n"/>
      <c r="Q255" s="39" t="str">
        <f>IF(AND(ISNUMBER(O255),ISNUMBER(P255),N(O255)&gt;0),P255/O255,"")</f>
        <v/>
      </c>
      <c r="R255" s="17" t="n"/>
      <c r="S255" s="37" t="n"/>
      <c r="T255" s="40" t="str">
        <f>IF(AND(ISNUMBER(J255),ISNUMBER(K255)),IF(N(ISNUMBER('参数'!$E$31))+N(ISNUMBER('参数'!$G$31))+N(ISNUMBER('参数'!$I$31))+N(ISNUMBER('参数'!$K$31))=0,"",IF(ISNUMBER('参数'!$E$31),J255&lt;='参数'!$E$31,FALSE)+IF(ISNUMBER('参数'!$G$31),K255&gt;='参数'!$G$31,FALSE)+IF(AND(ISNUMBER('参数'!$I$31),ISNUMBER(N255)),N255&gt;='参数'!$I$31,FALSE)+IF(AND(ISNUMBER('参数'!$K$31),ISNUMBER(Q255)),Q255&lt;='参数'!$K$31,FALSE)),"")</f>
        <v/>
      </c>
      <c r="U255" s="40" t="str">
        <f>IF(AND(ISNUMBER(J255),ISNUMBER(K255)),IF(N(ISNUMBER('参数'!$G$32))+N(ISNUMBER('参数'!$I$32))+N(ISNUMBER('参数'!$K$32))=0,"",IF(AND(ISNUMBER(J254),ISNUMBER(J253)),AND(J255&gt;J254,J254&gt;J253),FALSE)+IF(ISNUMBER('参数'!$G$32),J255&lt;'参数'!$G$32,FALSE)+IF(AND(ISNUMBER('参数'!$I$32),ISNUMBER(Q255)),Q255&gt;='参数'!$I$32,FALSE)+IF(AND(ISNUMBER('参数'!$K$32),ISNUMBER(S255)),S255&gt;='参数'!$K$32,FALSE)),"")</f>
        <v/>
      </c>
      <c r="V255" s="40" t="str">
        <f>IF(AND(ISNUMBER(J255),ISNUMBER(K255)),IF(N(ISNUMBER('参数'!$E$33))+N(ISNUMBER('参数'!$G$33))+N(ISNUMBER('参数'!$I$33))+N(ISNUMBER('参数'!$K$33))=0,"",IF(AND(ISNUMBER('参数'!$E$33),ISNUMBER(J254)),AND(J255&gt;='参数'!$E$33,J255&gt;J254),FALSE)+IF(AND(ISNUMBER('参数'!$G$33),ISNUMBER(N255)),N255&lt;='参数'!$G$33,FALSE)+IF(AND(ISNUMBER('参数'!$I$33),ISNUMBER(Q255)),Q255&gt;='参数'!$I$33,FALSE)+IF(AND(ISNUMBER('参数'!$K$33),ISNUMBER(S255)),S255&gt;='参数'!$K$33,FALSE)),"")</f>
        <v/>
      </c>
      <c r="W255" s="40" t="str">
        <f>IF(AND(ISNUMBER(J255),ISNUMBER(K255)),IF(N(ISNUMBER('参数'!$E$34))+N(ISNUMBER('参数'!$G$34))+N(ISNUMBER('参数'!$I$34))+N(ISNUMBER('参数'!$K$34))=0,"",IF(ISNUMBER('参数'!$E$34),J255&gt;='参数'!$E$34,FALSE)+IF(AND(ISNUMBER('参数'!$G$34),ISNUMBER(N255)),N255&lt;='参数'!$G$34,FALSE)+IF(AND(ISNUMBER('参数'!$I$34),ISNUMBER(S255)),S255&gt;='参数'!$I$34,FALSE)+IF(AND(ISNUMBER('参数'!$K$34),ISNUMBER(R255)),R255&gt;='参数'!$K$34,FALSE)),"")</f>
        <v/>
      </c>
      <c r="X255" s="40" t="str">
        <f>IF(AND(ISNUMBER(J255),ISNUMBER(K255)),IF(N(ISNUMBER('参数'!$E$35))+N(ISNUMBER('参数'!$G$35))+N(ISNUMBER('参数'!$I$35))=0,"",IF(AND(ISNUMBER('参数'!$E$35),ISNUMBER(N255),ISNUMBER(N254)),ROUND(N255-N254,6)&gt;='参数'!$E$35,FALSE)+IF(AND(ISNUMBER('参数'!$G$35),ISNUMBER(Q255),ISNUMBER(Q254)),ROUND(Q254-Q255,6)&gt;='参数'!$G$35,FALSE)+IF(AND(ISNUMBER('参数'!$I$35),ISNUMBER(S255),ISNUMBER(S254)),ROUND(S254-S255,6)&gt;='参数'!$I$35,FALSE)+IF(ISNUMBER(J254),J255&lt;J254,FALSE)),"")</f>
        <v/>
      </c>
      <c r="Y255" s="40" t="str">
        <f>IF(AND(ISNUMBER(J255),ISNUMBER(K255)),IF(N(ISNUMBER('参数'!$E$36))+N(ISNUMBER('参数'!$G$36))+N(ISNUMBER('参数'!$I$36))=0,"",IF(AND(ISNUMBER('参数'!$E$36),ISNUMBER(J254)),AND(J255&lt;='参数'!$E$36,J255&lt;J254),FALSE)+IF(ISNUMBER('参数'!$G$36),K255&gt;='参数'!$G$36,FALSE)+IF(AND(ISNUMBER('参数'!$I$36),ISNUMBER(S255)),S255&lt;'参数'!$I$36,FALSE)+IF(AND(ISNUMBER(R255),ISNUMBER(R254)),R255&lt;R254,FALSE)),"")</f>
        <v/>
      </c>
      <c r="Z255" s="41" t="str">
        <f>IF(NOT(AND(ISNUMBER(J255),ISNUMBER(K255))),"",IF(COUNT(T255:Y255)=0,"先填阈值",IF(MAX(AD255:AI255)=0,"不写",INDEX($T$4:$Y$4,MATCH(MAX(AD255:AI255),AD255:AI255,0))&amp;"·"&amp;IF(MAX(AD255:AI255)&gt;=200,"高","中")&amp;IF(LARGE(AD255:AI255,2)&gt;0,"（也像"&amp;INDEX($T$4:$Y$4,MATCH(LARGE(AD255:AI255,2),AD255:AI255,0))&amp;"·"&amp;IF(LARGE(AD255:AI255,2)&gt;=200,"高","中")&amp;"）",""))))</f>
        <v/>
      </c>
      <c r="AA255" s="27" t="n"/>
      <c r="AB255" s="32" t="n"/>
      <c r="AC255" s="16" t="n"/>
      <c r="AD255" s="40">
        <f>IF(N(T255)&gt;=3,IF(T255=4,2,1)*100+T255*10+6,0)</f>
        <v>0</v>
      </c>
      <c r="AE255" s="40">
        <f>IF(N(U255)&gt;=3,1*100+U255*10+1,0)</f>
        <v>0</v>
      </c>
      <c r="AF255" s="40">
        <f>IF(N(V255)&gt;=3,IF(V255=4,2,1)*100+V255*10+2,0)</f>
        <v>0</v>
      </c>
      <c r="AG255" s="40">
        <f>IF(N(W255)&gt;=3,1*100+W255*10+3,0)</f>
        <v>0</v>
      </c>
      <c r="AH255" s="40">
        <f>IF(N(X255)&gt;=3,1*100+X255*10+4,0)</f>
        <v>0</v>
      </c>
      <c r="AI255" s="40">
        <f>IF(N(Y255)&gt;=3,IF(AND(N(T255)&gt;=3,OR(N(T255)=4,N(Y255)&lt;=N(T255))),0,IF(Y255=4,2,1)*100+Y255*10+5),0)</f>
        <v>0</v>
      </c>
    </row>
    <row r="256">
      <c r="A256" s="31" t="n"/>
      <c r="B256" s="36" t="str">
        <f>IF(ISNUMBER(A256),"周"&amp;CHOOSE(WEEKDAY(A256,2),"一","二","三","四","五","六","日"),"")</f>
        <v/>
      </c>
      <c r="C256" s="37" t="n"/>
      <c r="D256" s="37" t="n"/>
      <c r="E256" s="37" t="n"/>
      <c r="F256" s="17" t="n"/>
      <c r="G256" s="38" t="str">
        <f>IF(AND(ISNUMBER(F256),ISNUMBER(F255)),IF(F255=0,"",F256/F255-1),"")</f>
        <v/>
      </c>
      <c r="H256" s="17" t="n"/>
      <c r="I256" s="17" t="n"/>
      <c r="J256" s="17" t="n"/>
      <c r="K256" s="17" t="n"/>
      <c r="L256" s="17" t="n"/>
      <c r="M256" s="17" t="n"/>
      <c r="N256" s="39" t="str">
        <f>IF(AND(ISNUMBER(L256),ISNUMBER(M256),N(L256)&gt;0),M256/L256,"")</f>
        <v/>
      </c>
      <c r="O256" s="17" t="n"/>
      <c r="P256" s="17" t="n"/>
      <c r="Q256" s="39" t="str">
        <f>IF(AND(ISNUMBER(O256),ISNUMBER(P256),N(O256)&gt;0),P256/O256,"")</f>
        <v/>
      </c>
      <c r="R256" s="17" t="n"/>
      <c r="S256" s="37" t="n"/>
      <c r="T256" s="40" t="str">
        <f>IF(AND(ISNUMBER(J256),ISNUMBER(K256)),IF(N(ISNUMBER('参数'!$E$31))+N(ISNUMBER('参数'!$G$31))+N(ISNUMBER('参数'!$I$31))+N(ISNUMBER('参数'!$K$31))=0,"",IF(ISNUMBER('参数'!$E$31),J256&lt;='参数'!$E$31,FALSE)+IF(ISNUMBER('参数'!$G$31),K256&gt;='参数'!$G$31,FALSE)+IF(AND(ISNUMBER('参数'!$I$31),ISNUMBER(N256)),N256&gt;='参数'!$I$31,FALSE)+IF(AND(ISNUMBER('参数'!$K$31),ISNUMBER(Q256)),Q256&lt;='参数'!$K$31,FALSE)),"")</f>
        <v/>
      </c>
      <c r="U256" s="40" t="str">
        <f>IF(AND(ISNUMBER(J256),ISNUMBER(K256)),IF(N(ISNUMBER('参数'!$G$32))+N(ISNUMBER('参数'!$I$32))+N(ISNUMBER('参数'!$K$32))=0,"",IF(AND(ISNUMBER(J255),ISNUMBER(J254)),AND(J256&gt;J255,J255&gt;J254),FALSE)+IF(ISNUMBER('参数'!$G$32),J256&lt;'参数'!$G$32,FALSE)+IF(AND(ISNUMBER('参数'!$I$32),ISNUMBER(Q256)),Q256&gt;='参数'!$I$32,FALSE)+IF(AND(ISNUMBER('参数'!$K$32),ISNUMBER(S256)),S256&gt;='参数'!$K$32,FALSE)),"")</f>
        <v/>
      </c>
      <c r="V256" s="40" t="str">
        <f>IF(AND(ISNUMBER(J256),ISNUMBER(K256)),IF(N(ISNUMBER('参数'!$E$33))+N(ISNUMBER('参数'!$G$33))+N(ISNUMBER('参数'!$I$33))+N(ISNUMBER('参数'!$K$33))=0,"",IF(AND(ISNUMBER('参数'!$E$33),ISNUMBER(J255)),AND(J256&gt;='参数'!$E$33,J256&gt;J255),FALSE)+IF(AND(ISNUMBER('参数'!$G$33),ISNUMBER(N256)),N256&lt;='参数'!$G$33,FALSE)+IF(AND(ISNUMBER('参数'!$I$33),ISNUMBER(Q256)),Q256&gt;='参数'!$I$33,FALSE)+IF(AND(ISNUMBER('参数'!$K$33),ISNUMBER(S256)),S256&gt;='参数'!$K$33,FALSE)),"")</f>
        <v/>
      </c>
      <c r="W256" s="40" t="str">
        <f>IF(AND(ISNUMBER(J256),ISNUMBER(K256)),IF(N(ISNUMBER('参数'!$E$34))+N(ISNUMBER('参数'!$G$34))+N(ISNUMBER('参数'!$I$34))+N(ISNUMBER('参数'!$K$34))=0,"",IF(ISNUMBER('参数'!$E$34),J256&gt;='参数'!$E$34,FALSE)+IF(AND(ISNUMBER('参数'!$G$34),ISNUMBER(N256)),N256&lt;='参数'!$G$34,FALSE)+IF(AND(ISNUMBER('参数'!$I$34),ISNUMBER(S256)),S256&gt;='参数'!$I$34,FALSE)+IF(AND(ISNUMBER('参数'!$K$34),ISNUMBER(R256)),R256&gt;='参数'!$K$34,FALSE)),"")</f>
        <v/>
      </c>
      <c r="X256" s="40" t="str">
        <f>IF(AND(ISNUMBER(J256),ISNUMBER(K256)),IF(N(ISNUMBER('参数'!$E$35))+N(ISNUMBER('参数'!$G$35))+N(ISNUMBER('参数'!$I$35))=0,"",IF(AND(ISNUMBER('参数'!$E$35),ISNUMBER(N256),ISNUMBER(N255)),ROUND(N256-N255,6)&gt;='参数'!$E$35,FALSE)+IF(AND(ISNUMBER('参数'!$G$35),ISNUMBER(Q256),ISNUMBER(Q255)),ROUND(Q255-Q256,6)&gt;='参数'!$G$35,FALSE)+IF(AND(ISNUMBER('参数'!$I$35),ISNUMBER(S256),ISNUMBER(S255)),ROUND(S255-S256,6)&gt;='参数'!$I$35,FALSE)+IF(ISNUMBER(J255),J256&lt;J255,FALSE)),"")</f>
        <v/>
      </c>
      <c r="Y256" s="40" t="str">
        <f>IF(AND(ISNUMBER(J256),ISNUMBER(K256)),IF(N(ISNUMBER('参数'!$E$36))+N(ISNUMBER('参数'!$G$36))+N(ISNUMBER('参数'!$I$36))=0,"",IF(AND(ISNUMBER('参数'!$E$36),ISNUMBER(J255)),AND(J256&lt;='参数'!$E$36,J256&lt;J255),FALSE)+IF(ISNUMBER('参数'!$G$36),K256&gt;='参数'!$G$36,FALSE)+IF(AND(ISNUMBER('参数'!$I$36),ISNUMBER(S256)),S256&lt;'参数'!$I$36,FALSE)+IF(AND(ISNUMBER(R256),ISNUMBER(R255)),R256&lt;R255,FALSE)),"")</f>
        <v/>
      </c>
      <c r="Z256" s="41" t="str">
        <f>IF(NOT(AND(ISNUMBER(J256),ISNUMBER(K256))),"",IF(COUNT(T256:Y256)=0,"先填阈值",IF(MAX(AD256:AI256)=0,"不写",INDEX($T$4:$Y$4,MATCH(MAX(AD256:AI256),AD256:AI256,0))&amp;"·"&amp;IF(MAX(AD256:AI256)&gt;=200,"高","中")&amp;IF(LARGE(AD256:AI256,2)&gt;0,"（也像"&amp;INDEX($T$4:$Y$4,MATCH(LARGE(AD256:AI256,2),AD256:AI256,0))&amp;"·"&amp;IF(LARGE(AD256:AI256,2)&gt;=200,"高","中")&amp;"）",""))))</f>
        <v/>
      </c>
      <c r="AA256" s="27" t="n"/>
      <c r="AB256" s="32" t="n"/>
      <c r="AC256" s="16" t="n"/>
      <c r="AD256" s="40">
        <f>IF(N(T256)&gt;=3,IF(T256=4,2,1)*100+T256*10+6,0)</f>
        <v>0</v>
      </c>
      <c r="AE256" s="40">
        <f>IF(N(U256)&gt;=3,1*100+U256*10+1,0)</f>
        <v>0</v>
      </c>
      <c r="AF256" s="40">
        <f>IF(N(V256)&gt;=3,IF(V256=4,2,1)*100+V256*10+2,0)</f>
        <v>0</v>
      </c>
      <c r="AG256" s="40">
        <f>IF(N(W256)&gt;=3,1*100+W256*10+3,0)</f>
        <v>0</v>
      </c>
      <c r="AH256" s="40">
        <f>IF(N(X256)&gt;=3,1*100+X256*10+4,0)</f>
        <v>0</v>
      </c>
      <c r="AI256" s="40">
        <f>IF(N(Y256)&gt;=3,IF(AND(N(T256)&gt;=3,OR(N(T256)=4,N(Y256)&lt;=N(T256))),0,IF(Y256=4,2,1)*100+Y256*10+5),0)</f>
        <v>0</v>
      </c>
    </row>
    <row r="257">
      <c r="A257" s="31" t="n"/>
      <c r="B257" s="36" t="str">
        <f>IF(ISNUMBER(A257),"周"&amp;CHOOSE(WEEKDAY(A257,2),"一","二","三","四","五","六","日"),"")</f>
        <v/>
      </c>
      <c r="C257" s="37" t="n"/>
      <c r="D257" s="37" t="n"/>
      <c r="E257" s="37" t="n"/>
      <c r="F257" s="17" t="n"/>
      <c r="G257" s="38" t="str">
        <f>IF(AND(ISNUMBER(F257),ISNUMBER(F256)),IF(F256=0,"",F257/F256-1),"")</f>
        <v/>
      </c>
      <c r="H257" s="17" t="n"/>
      <c r="I257" s="17" t="n"/>
      <c r="J257" s="17" t="n"/>
      <c r="K257" s="17" t="n"/>
      <c r="L257" s="17" t="n"/>
      <c r="M257" s="17" t="n"/>
      <c r="N257" s="39" t="str">
        <f>IF(AND(ISNUMBER(L257),ISNUMBER(M257),N(L257)&gt;0),M257/L257,"")</f>
        <v/>
      </c>
      <c r="O257" s="17" t="n"/>
      <c r="P257" s="17" t="n"/>
      <c r="Q257" s="39" t="str">
        <f>IF(AND(ISNUMBER(O257),ISNUMBER(P257),N(O257)&gt;0),P257/O257,"")</f>
        <v/>
      </c>
      <c r="R257" s="17" t="n"/>
      <c r="S257" s="37" t="n"/>
      <c r="T257" s="40" t="str">
        <f>IF(AND(ISNUMBER(J257),ISNUMBER(K257)),IF(N(ISNUMBER('参数'!$E$31))+N(ISNUMBER('参数'!$G$31))+N(ISNUMBER('参数'!$I$31))+N(ISNUMBER('参数'!$K$31))=0,"",IF(ISNUMBER('参数'!$E$31),J257&lt;='参数'!$E$31,FALSE)+IF(ISNUMBER('参数'!$G$31),K257&gt;='参数'!$G$31,FALSE)+IF(AND(ISNUMBER('参数'!$I$31),ISNUMBER(N257)),N257&gt;='参数'!$I$31,FALSE)+IF(AND(ISNUMBER('参数'!$K$31),ISNUMBER(Q257)),Q257&lt;='参数'!$K$31,FALSE)),"")</f>
        <v/>
      </c>
      <c r="U257" s="40" t="str">
        <f>IF(AND(ISNUMBER(J257),ISNUMBER(K257)),IF(N(ISNUMBER('参数'!$G$32))+N(ISNUMBER('参数'!$I$32))+N(ISNUMBER('参数'!$K$32))=0,"",IF(AND(ISNUMBER(J256),ISNUMBER(J255)),AND(J257&gt;J256,J256&gt;J255),FALSE)+IF(ISNUMBER('参数'!$G$32),J257&lt;'参数'!$G$32,FALSE)+IF(AND(ISNUMBER('参数'!$I$32),ISNUMBER(Q257)),Q257&gt;='参数'!$I$32,FALSE)+IF(AND(ISNUMBER('参数'!$K$32),ISNUMBER(S257)),S257&gt;='参数'!$K$32,FALSE)),"")</f>
        <v/>
      </c>
      <c r="V257" s="40" t="str">
        <f>IF(AND(ISNUMBER(J257),ISNUMBER(K257)),IF(N(ISNUMBER('参数'!$E$33))+N(ISNUMBER('参数'!$G$33))+N(ISNUMBER('参数'!$I$33))+N(ISNUMBER('参数'!$K$33))=0,"",IF(AND(ISNUMBER('参数'!$E$33),ISNUMBER(J256)),AND(J257&gt;='参数'!$E$33,J257&gt;J256),FALSE)+IF(AND(ISNUMBER('参数'!$G$33),ISNUMBER(N257)),N257&lt;='参数'!$G$33,FALSE)+IF(AND(ISNUMBER('参数'!$I$33),ISNUMBER(Q257)),Q257&gt;='参数'!$I$33,FALSE)+IF(AND(ISNUMBER('参数'!$K$33),ISNUMBER(S257)),S257&gt;='参数'!$K$33,FALSE)),"")</f>
        <v/>
      </c>
      <c r="W257" s="40" t="str">
        <f>IF(AND(ISNUMBER(J257),ISNUMBER(K257)),IF(N(ISNUMBER('参数'!$E$34))+N(ISNUMBER('参数'!$G$34))+N(ISNUMBER('参数'!$I$34))+N(ISNUMBER('参数'!$K$34))=0,"",IF(ISNUMBER('参数'!$E$34),J257&gt;='参数'!$E$34,FALSE)+IF(AND(ISNUMBER('参数'!$G$34),ISNUMBER(N257)),N257&lt;='参数'!$G$34,FALSE)+IF(AND(ISNUMBER('参数'!$I$34),ISNUMBER(S257)),S257&gt;='参数'!$I$34,FALSE)+IF(AND(ISNUMBER('参数'!$K$34),ISNUMBER(R257)),R257&gt;='参数'!$K$34,FALSE)),"")</f>
        <v/>
      </c>
      <c r="X257" s="40" t="str">
        <f>IF(AND(ISNUMBER(J257),ISNUMBER(K257)),IF(N(ISNUMBER('参数'!$E$35))+N(ISNUMBER('参数'!$G$35))+N(ISNUMBER('参数'!$I$35))=0,"",IF(AND(ISNUMBER('参数'!$E$35),ISNUMBER(N257),ISNUMBER(N256)),ROUND(N257-N256,6)&gt;='参数'!$E$35,FALSE)+IF(AND(ISNUMBER('参数'!$G$35),ISNUMBER(Q257),ISNUMBER(Q256)),ROUND(Q256-Q257,6)&gt;='参数'!$G$35,FALSE)+IF(AND(ISNUMBER('参数'!$I$35),ISNUMBER(S257),ISNUMBER(S256)),ROUND(S256-S257,6)&gt;='参数'!$I$35,FALSE)+IF(ISNUMBER(J256),J257&lt;J256,FALSE)),"")</f>
        <v/>
      </c>
      <c r="Y257" s="40" t="str">
        <f>IF(AND(ISNUMBER(J257),ISNUMBER(K257)),IF(N(ISNUMBER('参数'!$E$36))+N(ISNUMBER('参数'!$G$36))+N(ISNUMBER('参数'!$I$36))=0,"",IF(AND(ISNUMBER('参数'!$E$36),ISNUMBER(J256)),AND(J257&lt;='参数'!$E$36,J257&lt;J256),FALSE)+IF(ISNUMBER('参数'!$G$36),K257&gt;='参数'!$G$36,FALSE)+IF(AND(ISNUMBER('参数'!$I$36),ISNUMBER(S257)),S257&lt;'参数'!$I$36,FALSE)+IF(AND(ISNUMBER(R257),ISNUMBER(R256)),R257&lt;R256,FALSE)),"")</f>
        <v/>
      </c>
      <c r="Z257" s="41" t="str">
        <f>IF(NOT(AND(ISNUMBER(J257),ISNUMBER(K257))),"",IF(COUNT(T257:Y257)=0,"先填阈值",IF(MAX(AD257:AI257)=0,"不写",INDEX($T$4:$Y$4,MATCH(MAX(AD257:AI257),AD257:AI257,0))&amp;"·"&amp;IF(MAX(AD257:AI257)&gt;=200,"高","中")&amp;IF(LARGE(AD257:AI257,2)&gt;0,"（也像"&amp;INDEX($T$4:$Y$4,MATCH(LARGE(AD257:AI257,2),AD257:AI257,0))&amp;"·"&amp;IF(LARGE(AD257:AI257,2)&gt;=200,"高","中")&amp;"）",""))))</f>
        <v/>
      </c>
      <c r="AA257" s="27" t="n"/>
      <c r="AB257" s="32" t="n"/>
      <c r="AC257" s="16" t="n"/>
      <c r="AD257" s="40">
        <f>IF(N(T257)&gt;=3,IF(T257=4,2,1)*100+T257*10+6,0)</f>
        <v>0</v>
      </c>
      <c r="AE257" s="40">
        <f>IF(N(U257)&gt;=3,1*100+U257*10+1,0)</f>
        <v>0</v>
      </c>
      <c r="AF257" s="40">
        <f>IF(N(V257)&gt;=3,IF(V257=4,2,1)*100+V257*10+2,0)</f>
        <v>0</v>
      </c>
      <c r="AG257" s="40">
        <f>IF(N(W257)&gt;=3,1*100+W257*10+3,0)</f>
        <v>0</v>
      </c>
      <c r="AH257" s="40">
        <f>IF(N(X257)&gt;=3,1*100+X257*10+4,0)</f>
        <v>0</v>
      </c>
      <c r="AI257" s="40">
        <f>IF(N(Y257)&gt;=3,IF(AND(N(T257)&gt;=3,OR(N(T257)=4,N(Y257)&lt;=N(T257))),0,IF(Y257=4,2,1)*100+Y257*10+5),0)</f>
        <v>0</v>
      </c>
    </row>
    <row r="258">
      <c r="A258" s="31" t="n"/>
      <c r="B258" s="36" t="str">
        <f>IF(ISNUMBER(A258),"周"&amp;CHOOSE(WEEKDAY(A258,2),"一","二","三","四","五","六","日"),"")</f>
        <v/>
      </c>
      <c r="C258" s="37" t="n"/>
      <c r="D258" s="37" t="n"/>
      <c r="E258" s="37" t="n"/>
      <c r="F258" s="17" t="n"/>
      <c r="G258" s="38" t="str">
        <f>IF(AND(ISNUMBER(F258),ISNUMBER(F257)),IF(F257=0,"",F258/F257-1),"")</f>
        <v/>
      </c>
      <c r="H258" s="17" t="n"/>
      <c r="I258" s="17" t="n"/>
      <c r="J258" s="17" t="n"/>
      <c r="K258" s="17" t="n"/>
      <c r="L258" s="17" t="n"/>
      <c r="M258" s="17" t="n"/>
      <c r="N258" s="39" t="str">
        <f>IF(AND(ISNUMBER(L258),ISNUMBER(M258),N(L258)&gt;0),M258/L258,"")</f>
        <v/>
      </c>
      <c r="O258" s="17" t="n"/>
      <c r="P258" s="17" t="n"/>
      <c r="Q258" s="39" t="str">
        <f>IF(AND(ISNUMBER(O258),ISNUMBER(P258),N(O258)&gt;0),P258/O258,"")</f>
        <v/>
      </c>
      <c r="R258" s="17" t="n"/>
      <c r="S258" s="37" t="n"/>
      <c r="T258" s="40" t="str">
        <f>IF(AND(ISNUMBER(J258),ISNUMBER(K258)),IF(N(ISNUMBER('参数'!$E$31))+N(ISNUMBER('参数'!$G$31))+N(ISNUMBER('参数'!$I$31))+N(ISNUMBER('参数'!$K$31))=0,"",IF(ISNUMBER('参数'!$E$31),J258&lt;='参数'!$E$31,FALSE)+IF(ISNUMBER('参数'!$G$31),K258&gt;='参数'!$G$31,FALSE)+IF(AND(ISNUMBER('参数'!$I$31),ISNUMBER(N258)),N258&gt;='参数'!$I$31,FALSE)+IF(AND(ISNUMBER('参数'!$K$31),ISNUMBER(Q258)),Q258&lt;='参数'!$K$31,FALSE)),"")</f>
        <v/>
      </c>
      <c r="U258" s="40" t="str">
        <f>IF(AND(ISNUMBER(J258),ISNUMBER(K258)),IF(N(ISNUMBER('参数'!$G$32))+N(ISNUMBER('参数'!$I$32))+N(ISNUMBER('参数'!$K$32))=0,"",IF(AND(ISNUMBER(J257),ISNUMBER(J256)),AND(J258&gt;J257,J257&gt;J256),FALSE)+IF(ISNUMBER('参数'!$G$32),J258&lt;'参数'!$G$32,FALSE)+IF(AND(ISNUMBER('参数'!$I$32),ISNUMBER(Q258)),Q258&gt;='参数'!$I$32,FALSE)+IF(AND(ISNUMBER('参数'!$K$32),ISNUMBER(S258)),S258&gt;='参数'!$K$32,FALSE)),"")</f>
        <v/>
      </c>
      <c r="V258" s="40" t="str">
        <f>IF(AND(ISNUMBER(J258),ISNUMBER(K258)),IF(N(ISNUMBER('参数'!$E$33))+N(ISNUMBER('参数'!$G$33))+N(ISNUMBER('参数'!$I$33))+N(ISNUMBER('参数'!$K$33))=0,"",IF(AND(ISNUMBER('参数'!$E$33),ISNUMBER(J257)),AND(J258&gt;='参数'!$E$33,J258&gt;J257),FALSE)+IF(AND(ISNUMBER('参数'!$G$33),ISNUMBER(N258)),N258&lt;='参数'!$G$33,FALSE)+IF(AND(ISNUMBER('参数'!$I$33),ISNUMBER(Q258)),Q258&gt;='参数'!$I$33,FALSE)+IF(AND(ISNUMBER('参数'!$K$33),ISNUMBER(S258)),S258&gt;='参数'!$K$33,FALSE)),"")</f>
        <v/>
      </c>
      <c r="W258" s="40" t="str">
        <f>IF(AND(ISNUMBER(J258),ISNUMBER(K258)),IF(N(ISNUMBER('参数'!$E$34))+N(ISNUMBER('参数'!$G$34))+N(ISNUMBER('参数'!$I$34))+N(ISNUMBER('参数'!$K$34))=0,"",IF(ISNUMBER('参数'!$E$34),J258&gt;='参数'!$E$34,FALSE)+IF(AND(ISNUMBER('参数'!$G$34),ISNUMBER(N258)),N258&lt;='参数'!$G$34,FALSE)+IF(AND(ISNUMBER('参数'!$I$34),ISNUMBER(S258)),S258&gt;='参数'!$I$34,FALSE)+IF(AND(ISNUMBER('参数'!$K$34),ISNUMBER(R258)),R258&gt;='参数'!$K$34,FALSE)),"")</f>
        <v/>
      </c>
      <c r="X258" s="40" t="str">
        <f>IF(AND(ISNUMBER(J258),ISNUMBER(K258)),IF(N(ISNUMBER('参数'!$E$35))+N(ISNUMBER('参数'!$G$35))+N(ISNUMBER('参数'!$I$35))=0,"",IF(AND(ISNUMBER('参数'!$E$35),ISNUMBER(N258),ISNUMBER(N257)),ROUND(N258-N257,6)&gt;='参数'!$E$35,FALSE)+IF(AND(ISNUMBER('参数'!$G$35),ISNUMBER(Q258),ISNUMBER(Q257)),ROUND(Q257-Q258,6)&gt;='参数'!$G$35,FALSE)+IF(AND(ISNUMBER('参数'!$I$35),ISNUMBER(S258),ISNUMBER(S257)),ROUND(S257-S258,6)&gt;='参数'!$I$35,FALSE)+IF(ISNUMBER(J257),J258&lt;J257,FALSE)),"")</f>
        <v/>
      </c>
      <c r="Y258" s="40" t="str">
        <f>IF(AND(ISNUMBER(J258),ISNUMBER(K258)),IF(N(ISNUMBER('参数'!$E$36))+N(ISNUMBER('参数'!$G$36))+N(ISNUMBER('参数'!$I$36))=0,"",IF(AND(ISNUMBER('参数'!$E$36),ISNUMBER(J257)),AND(J258&lt;='参数'!$E$36,J258&lt;J257),FALSE)+IF(ISNUMBER('参数'!$G$36),K258&gt;='参数'!$G$36,FALSE)+IF(AND(ISNUMBER('参数'!$I$36),ISNUMBER(S258)),S258&lt;'参数'!$I$36,FALSE)+IF(AND(ISNUMBER(R258),ISNUMBER(R257)),R258&lt;R257,FALSE)),"")</f>
        <v/>
      </c>
      <c r="Z258" s="41" t="str">
        <f>IF(NOT(AND(ISNUMBER(J258),ISNUMBER(K258))),"",IF(COUNT(T258:Y258)=0,"先填阈值",IF(MAX(AD258:AI258)=0,"不写",INDEX($T$4:$Y$4,MATCH(MAX(AD258:AI258),AD258:AI258,0))&amp;"·"&amp;IF(MAX(AD258:AI258)&gt;=200,"高","中")&amp;IF(LARGE(AD258:AI258,2)&gt;0,"（也像"&amp;INDEX($T$4:$Y$4,MATCH(LARGE(AD258:AI258,2),AD258:AI258,0))&amp;"·"&amp;IF(LARGE(AD258:AI258,2)&gt;=200,"高","中")&amp;"）",""))))</f>
        <v/>
      </c>
      <c r="AA258" s="27" t="n"/>
      <c r="AB258" s="32" t="n"/>
      <c r="AC258" s="16" t="n"/>
      <c r="AD258" s="40">
        <f>IF(N(T258)&gt;=3,IF(T258=4,2,1)*100+T258*10+6,0)</f>
        <v>0</v>
      </c>
      <c r="AE258" s="40">
        <f>IF(N(U258)&gt;=3,1*100+U258*10+1,0)</f>
        <v>0</v>
      </c>
      <c r="AF258" s="40">
        <f>IF(N(V258)&gt;=3,IF(V258=4,2,1)*100+V258*10+2,0)</f>
        <v>0</v>
      </c>
      <c r="AG258" s="40">
        <f>IF(N(W258)&gt;=3,1*100+W258*10+3,0)</f>
        <v>0</v>
      </c>
      <c r="AH258" s="40">
        <f>IF(N(X258)&gt;=3,1*100+X258*10+4,0)</f>
        <v>0</v>
      </c>
      <c r="AI258" s="40">
        <f>IF(N(Y258)&gt;=3,IF(AND(N(T258)&gt;=3,OR(N(T258)=4,N(Y258)&lt;=N(T258))),0,IF(Y258=4,2,1)*100+Y258*10+5),0)</f>
        <v>0</v>
      </c>
    </row>
    <row r="259">
      <c r="A259" s="31" t="n"/>
      <c r="B259" s="36" t="str">
        <f>IF(ISNUMBER(A259),"周"&amp;CHOOSE(WEEKDAY(A259,2),"一","二","三","四","五","六","日"),"")</f>
        <v/>
      </c>
      <c r="C259" s="37" t="n"/>
      <c r="D259" s="37" t="n"/>
      <c r="E259" s="37" t="n"/>
      <c r="F259" s="17" t="n"/>
      <c r="G259" s="38" t="str">
        <f>IF(AND(ISNUMBER(F259),ISNUMBER(F258)),IF(F258=0,"",F259/F258-1),"")</f>
        <v/>
      </c>
      <c r="H259" s="17" t="n"/>
      <c r="I259" s="17" t="n"/>
      <c r="J259" s="17" t="n"/>
      <c r="K259" s="17" t="n"/>
      <c r="L259" s="17" t="n"/>
      <c r="M259" s="17" t="n"/>
      <c r="N259" s="39" t="str">
        <f>IF(AND(ISNUMBER(L259),ISNUMBER(M259),N(L259)&gt;0),M259/L259,"")</f>
        <v/>
      </c>
      <c r="O259" s="17" t="n"/>
      <c r="P259" s="17" t="n"/>
      <c r="Q259" s="39" t="str">
        <f>IF(AND(ISNUMBER(O259),ISNUMBER(P259),N(O259)&gt;0),P259/O259,"")</f>
        <v/>
      </c>
      <c r="R259" s="17" t="n"/>
      <c r="S259" s="37" t="n"/>
      <c r="T259" s="40" t="str">
        <f>IF(AND(ISNUMBER(J259),ISNUMBER(K259)),IF(N(ISNUMBER('参数'!$E$31))+N(ISNUMBER('参数'!$G$31))+N(ISNUMBER('参数'!$I$31))+N(ISNUMBER('参数'!$K$31))=0,"",IF(ISNUMBER('参数'!$E$31),J259&lt;='参数'!$E$31,FALSE)+IF(ISNUMBER('参数'!$G$31),K259&gt;='参数'!$G$31,FALSE)+IF(AND(ISNUMBER('参数'!$I$31),ISNUMBER(N259)),N259&gt;='参数'!$I$31,FALSE)+IF(AND(ISNUMBER('参数'!$K$31),ISNUMBER(Q259)),Q259&lt;='参数'!$K$31,FALSE)),"")</f>
        <v/>
      </c>
      <c r="U259" s="40" t="str">
        <f>IF(AND(ISNUMBER(J259),ISNUMBER(K259)),IF(N(ISNUMBER('参数'!$G$32))+N(ISNUMBER('参数'!$I$32))+N(ISNUMBER('参数'!$K$32))=0,"",IF(AND(ISNUMBER(J258),ISNUMBER(J257)),AND(J259&gt;J258,J258&gt;J257),FALSE)+IF(ISNUMBER('参数'!$G$32),J259&lt;'参数'!$G$32,FALSE)+IF(AND(ISNUMBER('参数'!$I$32),ISNUMBER(Q259)),Q259&gt;='参数'!$I$32,FALSE)+IF(AND(ISNUMBER('参数'!$K$32),ISNUMBER(S259)),S259&gt;='参数'!$K$32,FALSE)),"")</f>
        <v/>
      </c>
      <c r="V259" s="40" t="str">
        <f>IF(AND(ISNUMBER(J259),ISNUMBER(K259)),IF(N(ISNUMBER('参数'!$E$33))+N(ISNUMBER('参数'!$G$33))+N(ISNUMBER('参数'!$I$33))+N(ISNUMBER('参数'!$K$33))=0,"",IF(AND(ISNUMBER('参数'!$E$33),ISNUMBER(J258)),AND(J259&gt;='参数'!$E$33,J259&gt;J258),FALSE)+IF(AND(ISNUMBER('参数'!$G$33),ISNUMBER(N259)),N259&lt;='参数'!$G$33,FALSE)+IF(AND(ISNUMBER('参数'!$I$33),ISNUMBER(Q259)),Q259&gt;='参数'!$I$33,FALSE)+IF(AND(ISNUMBER('参数'!$K$33),ISNUMBER(S259)),S259&gt;='参数'!$K$33,FALSE)),"")</f>
        <v/>
      </c>
      <c r="W259" s="40" t="str">
        <f>IF(AND(ISNUMBER(J259),ISNUMBER(K259)),IF(N(ISNUMBER('参数'!$E$34))+N(ISNUMBER('参数'!$G$34))+N(ISNUMBER('参数'!$I$34))+N(ISNUMBER('参数'!$K$34))=0,"",IF(ISNUMBER('参数'!$E$34),J259&gt;='参数'!$E$34,FALSE)+IF(AND(ISNUMBER('参数'!$G$34),ISNUMBER(N259)),N259&lt;='参数'!$G$34,FALSE)+IF(AND(ISNUMBER('参数'!$I$34),ISNUMBER(S259)),S259&gt;='参数'!$I$34,FALSE)+IF(AND(ISNUMBER('参数'!$K$34),ISNUMBER(R259)),R259&gt;='参数'!$K$34,FALSE)),"")</f>
        <v/>
      </c>
      <c r="X259" s="40" t="str">
        <f>IF(AND(ISNUMBER(J259),ISNUMBER(K259)),IF(N(ISNUMBER('参数'!$E$35))+N(ISNUMBER('参数'!$G$35))+N(ISNUMBER('参数'!$I$35))=0,"",IF(AND(ISNUMBER('参数'!$E$35),ISNUMBER(N259),ISNUMBER(N258)),ROUND(N259-N258,6)&gt;='参数'!$E$35,FALSE)+IF(AND(ISNUMBER('参数'!$G$35),ISNUMBER(Q259),ISNUMBER(Q258)),ROUND(Q258-Q259,6)&gt;='参数'!$G$35,FALSE)+IF(AND(ISNUMBER('参数'!$I$35),ISNUMBER(S259),ISNUMBER(S258)),ROUND(S258-S259,6)&gt;='参数'!$I$35,FALSE)+IF(ISNUMBER(J258),J259&lt;J258,FALSE)),"")</f>
        <v/>
      </c>
      <c r="Y259" s="40" t="str">
        <f>IF(AND(ISNUMBER(J259),ISNUMBER(K259)),IF(N(ISNUMBER('参数'!$E$36))+N(ISNUMBER('参数'!$G$36))+N(ISNUMBER('参数'!$I$36))=0,"",IF(AND(ISNUMBER('参数'!$E$36),ISNUMBER(J258)),AND(J259&lt;='参数'!$E$36,J259&lt;J258),FALSE)+IF(ISNUMBER('参数'!$G$36),K259&gt;='参数'!$G$36,FALSE)+IF(AND(ISNUMBER('参数'!$I$36),ISNUMBER(S259)),S259&lt;'参数'!$I$36,FALSE)+IF(AND(ISNUMBER(R259),ISNUMBER(R258)),R259&lt;R258,FALSE)),"")</f>
        <v/>
      </c>
      <c r="Z259" s="41" t="str">
        <f>IF(NOT(AND(ISNUMBER(J259),ISNUMBER(K259))),"",IF(COUNT(T259:Y259)=0,"先填阈值",IF(MAX(AD259:AI259)=0,"不写",INDEX($T$4:$Y$4,MATCH(MAX(AD259:AI259),AD259:AI259,0))&amp;"·"&amp;IF(MAX(AD259:AI259)&gt;=200,"高","中")&amp;IF(LARGE(AD259:AI259,2)&gt;0,"（也像"&amp;INDEX($T$4:$Y$4,MATCH(LARGE(AD259:AI259,2),AD259:AI259,0))&amp;"·"&amp;IF(LARGE(AD259:AI259,2)&gt;=200,"高","中")&amp;"）",""))))</f>
        <v/>
      </c>
      <c r="AA259" s="27" t="n"/>
      <c r="AB259" s="32" t="n"/>
      <c r="AC259" s="16" t="n"/>
      <c r="AD259" s="40">
        <f>IF(N(T259)&gt;=3,IF(T259=4,2,1)*100+T259*10+6,0)</f>
        <v>0</v>
      </c>
      <c r="AE259" s="40">
        <f>IF(N(U259)&gt;=3,1*100+U259*10+1,0)</f>
        <v>0</v>
      </c>
      <c r="AF259" s="40">
        <f>IF(N(V259)&gt;=3,IF(V259=4,2,1)*100+V259*10+2,0)</f>
        <v>0</v>
      </c>
      <c r="AG259" s="40">
        <f>IF(N(W259)&gt;=3,1*100+W259*10+3,0)</f>
        <v>0</v>
      </c>
      <c r="AH259" s="40">
        <f>IF(N(X259)&gt;=3,1*100+X259*10+4,0)</f>
        <v>0</v>
      </c>
      <c r="AI259" s="40">
        <f>IF(N(Y259)&gt;=3,IF(AND(N(T259)&gt;=3,OR(N(T259)=4,N(Y259)&lt;=N(T259))),0,IF(Y259=4,2,1)*100+Y259*10+5),0)</f>
        <v>0</v>
      </c>
    </row>
    <row r="260">
      <c r="A260" s="31" t="n"/>
      <c r="B260" s="36" t="str">
        <f>IF(ISNUMBER(A260),"周"&amp;CHOOSE(WEEKDAY(A260,2),"一","二","三","四","五","六","日"),"")</f>
        <v/>
      </c>
      <c r="C260" s="37" t="n"/>
      <c r="D260" s="37" t="n"/>
      <c r="E260" s="37" t="n"/>
      <c r="F260" s="17" t="n"/>
      <c r="G260" s="38" t="str">
        <f>IF(AND(ISNUMBER(F260),ISNUMBER(F259)),IF(F259=0,"",F260/F259-1),"")</f>
        <v/>
      </c>
      <c r="H260" s="17" t="n"/>
      <c r="I260" s="17" t="n"/>
      <c r="J260" s="17" t="n"/>
      <c r="K260" s="17" t="n"/>
      <c r="L260" s="17" t="n"/>
      <c r="M260" s="17" t="n"/>
      <c r="N260" s="39" t="str">
        <f>IF(AND(ISNUMBER(L260),ISNUMBER(M260),N(L260)&gt;0),M260/L260,"")</f>
        <v/>
      </c>
      <c r="O260" s="17" t="n"/>
      <c r="P260" s="17" t="n"/>
      <c r="Q260" s="39" t="str">
        <f>IF(AND(ISNUMBER(O260),ISNUMBER(P260),N(O260)&gt;0),P260/O260,"")</f>
        <v/>
      </c>
      <c r="R260" s="17" t="n"/>
      <c r="S260" s="37" t="n"/>
      <c r="T260" s="40" t="str">
        <f>IF(AND(ISNUMBER(J260),ISNUMBER(K260)),IF(N(ISNUMBER('参数'!$E$31))+N(ISNUMBER('参数'!$G$31))+N(ISNUMBER('参数'!$I$31))+N(ISNUMBER('参数'!$K$31))=0,"",IF(ISNUMBER('参数'!$E$31),J260&lt;='参数'!$E$31,FALSE)+IF(ISNUMBER('参数'!$G$31),K260&gt;='参数'!$G$31,FALSE)+IF(AND(ISNUMBER('参数'!$I$31),ISNUMBER(N260)),N260&gt;='参数'!$I$31,FALSE)+IF(AND(ISNUMBER('参数'!$K$31),ISNUMBER(Q260)),Q260&lt;='参数'!$K$31,FALSE)),"")</f>
        <v/>
      </c>
      <c r="U260" s="40" t="str">
        <f>IF(AND(ISNUMBER(J260),ISNUMBER(K260)),IF(N(ISNUMBER('参数'!$G$32))+N(ISNUMBER('参数'!$I$32))+N(ISNUMBER('参数'!$K$32))=0,"",IF(AND(ISNUMBER(J259),ISNUMBER(J258)),AND(J260&gt;J259,J259&gt;J258),FALSE)+IF(ISNUMBER('参数'!$G$32),J260&lt;'参数'!$G$32,FALSE)+IF(AND(ISNUMBER('参数'!$I$32),ISNUMBER(Q260)),Q260&gt;='参数'!$I$32,FALSE)+IF(AND(ISNUMBER('参数'!$K$32),ISNUMBER(S260)),S260&gt;='参数'!$K$32,FALSE)),"")</f>
        <v/>
      </c>
      <c r="V260" s="40" t="str">
        <f>IF(AND(ISNUMBER(J260),ISNUMBER(K260)),IF(N(ISNUMBER('参数'!$E$33))+N(ISNUMBER('参数'!$G$33))+N(ISNUMBER('参数'!$I$33))+N(ISNUMBER('参数'!$K$33))=0,"",IF(AND(ISNUMBER('参数'!$E$33),ISNUMBER(J259)),AND(J260&gt;='参数'!$E$33,J260&gt;J259),FALSE)+IF(AND(ISNUMBER('参数'!$G$33),ISNUMBER(N260)),N260&lt;='参数'!$G$33,FALSE)+IF(AND(ISNUMBER('参数'!$I$33),ISNUMBER(Q260)),Q260&gt;='参数'!$I$33,FALSE)+IF(AND(ISNUMBER('参数'!$K$33),ISNUMBER(S260)),S260&gt;='参数'!$K$33,FALSE)),"")</f>
        <v/>
      </c>
      <c r="W260" s="40" t="str">
        <f>IF(AND(ISNUMBER(J260),ISNUMBER(K260)),IF(N(ISNUMBER('参数'!$E$34))+N(ISNUMBER('参数'!$G$34))+N(ISNUMBER('参数'!$I$34))+N(ISNUMBER('参数'!$K$34))=0,"",IF(ISNUMBER('参数'!$E$34),J260&gt;='参数'!$E$34,FALSE)+IF(AND(ISNUMBER('参数'!$G$34),ISNUMBER(N260)),N260&lt;='参数'!$G$34,FALSE)+IF(AND(ISNUMBER('参数'!$I$34),ISNUMBER(S260)),S260&gt;='参数'!$I$34,FALSE)+IF(AND(ISNUMBER('参数'!$K$34),ISNUMBER(R260)),R260&gt;='参数'!$K$34,FALSE)),"")</f>
        <v/>
      </c>
      <c r="X260" s="40" t="str">
        <f>IF(AND(ISNUMBER(J260),ISNUMBER(K260)),IF(N(ISNUMBER('参数'!$E$35))+N(ISNUMBER('参数'!$G$35))+N(ISNUMBER('参数'!$I$35))=0,"",IF(AND(ISNUMBER('参数'!$E$35),ISNUMBER(N260),ISNUMBER(N259)),ROUND(N260-N259,6)&gt;='参数'!$E$35,FALSE)+IF(AND(ISNUMBER('参数'!$G$35),ISNUMBER(Q260),ISNUMBER(Q259)),ROUND(Q259-Q260,6)&gt;='参数'!$G$35,FALSE)+IF(AND(ISNUMBER('参数'!$I$35),ISNUMBER(S260),ISNUMBER(S259)),ROUND(S259-S260,6)&gt;='参数'!$I$35,FALSE)+IF(ISNUMBER(J259),J260&lt;J259,FALSE)),"")</f>
        <v/>
      </c>
      <c r="Y260" s="40" t="str">
        <f>IF(AND(ISNUMBER(J260),ISNUMBER(K260)),IF(N(ISNUMBER('参数'!$E$36))+N(ISNUMBER('参数'!$G$36))+N(ISNUMBER('参数'!$I$36))=0,"",IF(AND(ISNUMBER('参数'!$E$36),ISNUMBER(J259)),AND(J260&lt;='参数'!$E$36,J260&lt;J259),FALSE)+IF(ISNUMBER('参数'!$G$36),K260&gt;='参数'!$G$36,FALSE)+IF(AND(ISNUMBER('参数'!$I$36),ISNUMBER(S260)),S260&lt;'参数'!$I$36,FALSE)+IF(AND(ISNUMBER(R260),ISNUMBER(R259)),R260&lt;R259,FALSE)),"")</f>
        <v/>
      </c>
      <c r="Z260" s="41" t="str">
        <f>IF(NOT(AND(ISNUMBER(J260),ISNUMBER(K260))),"",IF(COUNT(T260:Y260)=0,"先填阈值",IF(MAX(AD260:AI260)=0,"不写",INDEX($T$4:$Y$4,MATCH(MAX(AD260:AI260),AD260:AI260,0))&amp;"·"&amp;IF(MAX(AD260:AI260)&gt;=200,"高","中")&amp;IF(LARGE(AD260:AI260,2)&gt;0,"（也像"&amp;INDEX($T$4:$Y$4,MATCH(LARGE(AD260:AI260,2),AD260:AI260,0))&amp;"·"&amp;IF(LARGE(AD260:AI260,2)&gt;=200,"高","中")&amp;"）",""))))</f>
        <v/>
      </c>
      <c r="AA260" s="27" t="n"/>
      <c r="AB260" s="32" t="n"/>
      <c r="AC260" s="16" t="n"/>
      <c r="AD260" s="40">
        <f>IF(N(T260)&gt;=3,IF(T260=4,2,1)*100+T260*10+6,0)</f>
        <v>0</v>
      </c>
      <c r="AE260" s="40">
        <f>IF(N(U260)&gt;=3,1*100+U260*10+1,0)</f>
        <v>0</v>
      </c>
      <c r="AF260" s="40">
        <f>IF(N(V260)&gt;=3,IF(V260=4,2,1)*100+V260*10+2,0)</f>
        <v>0</v>
      </c>
      <c r="AG260" s="40">
        <f>IF(N(W260)&gt;=3,1*100+W260*10+3,0)</f>
        <v>0</v>
      </c>
      <c r="AH260" s="40">
        <f>IF(N(X260)&gt;=3,1*100+X260*10+4,0)</f>
        <v>0</v>
      </c>
      <c r="AI260" s="40">
        <f>IF(N(Y260)&gt;=3,IF(AND(N(T260)&gt;=3,OR(N(T260)=4,N(Y260)&lt;=N(T260))),0,IF(Y260=4,2,1)*100+Y260*10+5),0)</f>
        <v>0</v>
      </c>
    </row>
    <row r="261">
      <c r="A261" s="31" t="n"/>
      <c r="B261" s="36" t="str">
        <f>IF(ISNUMBER(A261),"周"&amp;CHOOSE(WEEKDAY(A261,2),"一","二","三","四","五","六","日"),"")</f>
        <v/>
      </c>
      <c r="C261" s="37" t="n"/>
      <c r="D261" s="37" t="n"/>
      <c r="E261" s="37" t="n"/>
      <c r="F261" s="17" t="n"/>
      <c r="G261" s="38" t="str">
        <f>IF(AND(ISNUMBER(F261),ISNUMBER(F260)),IF(F260=0,"",F261/F260-1),"")</f>
        <v/>
      </c>
      <c r="H261" s="17" t="n"/>
      <c r="I261" s="17" t="n"/>
      <c r="J261" s="17" t="n"/>
      <c r="K261" s="17" t="n"/>
      <c r="L261" s="17" t="n"/>
      <c r="M261" s="17" t="n"/>
      <c r="N261" s="39" t="str">
        <f>IF(AND(ISNUMBER(L261),ISNUMBER(M261),N(L261)&gt;0),M261/L261,"")</f>
        <v/>
      </c>
      <c r="O261" s="17" t="n"/>
      <c r="P261" s="17" t="n"/>
      <c r="Q261" s="39" t="str">
        <f>IF(AND(ISNUMBER(O261),ISNUMBER(P261),N(O261)&gt;0),P261/O261,"")</f>
        <v/>
      </c>
      <c r="R261" s="17" t="n"/>
      <c r="S261" s="37" t="n"/>
      <c r="T261" s="40" t="str">
        <f>IF(AND(ISNUMBER(J261),ISNUMBER(K261)),IF(N(ISNUMBER('参数'!$E$31))+N(ISNUMBER('参数'!$G$31))+N(ISNUMBER('参数'!$I$31))+N(ISNUMBER('参数'!$K$31))=0,"",IF(ISNUMBER('参数'!$E$31),J261&lt;='参数'!$E$31,FALSE)+IF(ISNUMBER('参数'!$G$31),K261&gt;='参数'!$G$31,FALSE)+IF(AND(ISNUMBER('参数'!$I$31),ISNUMBER(N261)),N261&gt;='参数'!$I$31,FALSE)+IF(AND(ISNUMBER('参数'!$K$31),ISNUMBER(Q261)),Q261&lt;='参数'!$K$31,FALSE)),"")</f>
        <v/>
      </c>
      <c r="U261" s="40" t="str">
        <f>IF(AND(ISNUMBER(J261),ISNUMBER(K261)),IF(N(ISNUMBER('参数'!$G$32))+N(ISNUMBER('参数'!$I$32))+N(ISNUMBER('参数'!$K$32))=0,"",IF(AND(ISNUMBER(J260),ISNUMBER(J259)),AND(J261&gt;J260,J260&gt;J259),FALSE)+IF(ISNUMBER('参数'!$G$32),J261&lt;'参数'!$G$32,FALSE)+IF(AND(ISNUMBER('参数'!$I$32),ISNUMBER(Q261)),Q261&gt;='参数'!$I$32,FALSE)+IF(AND(ISNUMBER('参数'!$K$32),ISNUMBER(S261)),S261&gt;='参数'!$K$32,FALSE)),"")</f>
        <v/>
      </c>
      <c r="V261" s="40" t="str">
        <f>IF(AND(ISNUMBER(J261),ISNUMBER(K261)),IF(N(ISNUMBER('参数'!$E$33))+N(ISNUMBER('参数'!$G$33))+N(ISNUMBER('参数'!$I$33))+N(ISNUMBER('参数'!$K$33))=0,"",IF(AND(ISNUMBER('参数'!$E$33),ISNUMBER(J260)),AND(J261&gt;='参数'!$E$33,J261&gt;J260),FALSE)+IF(AND(ISNUMBER('参数'!$G$33),ISNUMBER(N261)),N261&lt;='参数'!$G$33,FALSE)+IF(AND(ISNUMBER('参数'!$I$33),ISNUMBER(Q261)),Q261&gt;='参数'!$I$33,FALSE)+IF(AND(ISNUMBER('参数'!$K$33),ISNUMBER(S261)),S261&gt;='参数'!$K$33,FALSE)),"")</f>
        <v/>
      </c>
      <c r="W261" s="40" t="str">
        <f>IF(AND(ISNUMBER(J261),ISNUMBER(K261)),IF(N(ISNUMBER('参数'!$E$34))+N(ISNUMBER('参数'!$G$34))+N(ISNUMBER('参数'!$I$34))+N(ISNUMBER('参数'!$K$34))=0,"",IF(ISNUMBER('参数'!$E$34),J261&gt;='参数'!$E$34,FALSE)+IF(AND(ISNUMBER('参数'!$G$34),ISNUMBER(N261)),N261&lt;='参数'!$G$34,FALSE)+IF(AND(ISNUMBER('参数'!$I$34),ISNUMBER(S261)),S261&gt;='参数'!$I$34,FALSE)+IF(AND(ISNUMBER('参数'!$K$34),ISNUMBER(R261)),R261&gt;='参数'!$K$34,FALSE)),"")</f>
        <v/>
      </c>
      <c r="X261" s="40" t="str">
        <f>IF(AND(ISNUMBER(J261),ISNUMBER(K261)),IF(N(ISNUMBER('参数'!$E$35))+N(ISNUMBER('参数'!$G$35))+N(ISNUMBER('参数'!$I$35))=0,"",IF(AND(ISNUMBER('参数'!$E$35),ISNUMBER(N261),ISNUMBER(N260)),ROUND(N261-N260,6)&gt;='参数'!$E$35,FALSE)+IF(AND(ISNUMBER('参数'!$G$35),ISNUMBER(Q261),ISNUMBER(Q260)),ROUND(Q260-Q261,6)&gt;='参数'!$G$35,FALSE)+IF(AND(ISNUMBER('参数'!$I$35),ISNUMBER(S261),ISNUMBER(S260)),ROUND(S260-S261,6)&gt;='参数'!$I$35,FALSE)+IF(ISNUMBER(J260),J261&lt;J260,FALSE)),"")</f>
        <v/>
      </c>
      <c r="Y261" s="40" t="str">
        <f>IF(AND(ISNUMBER(J261),ISNUMBER(K261)),IF(N(ISNUMBER('参数'!$E$36))+N(ISNUMBER('参数'!$G$36))+N(ISNUMBER('参数'!$I$36))=0,"",IF(AND(ISNUMBER('参数'!$E$36),ISNUMBER(J260)),AND(J261&lt;='参数'!$E$36,J261&lt;J260),FALSE)+IF(ISNUMBER('参数'!$G$36),K261&gt;='参数'!$G$36,FALSE)+IF(AND(ISNUMBER('参数'!$I$36),ISNUMBER(S261)),S261&lt;'参数'!$I$36,FALSE)+IF(AND(ISNUMBER(R261),ISNUMBER(R260)),R261&lt;R260,FALSE)),"")</f>
        <v/>
      </c>
      <c r="Z261" s="41" t="str">
        <f>IF(NOT(AND(ISNUMBER(J261),ISNUMBER(K261))),"",IF(COUNT(T261:Y261)=0,"先填阈值",IF(MAX(AD261:AI261)=0,"不写",INDEX($T$4:$Y$4,MATCH(MAX(AD261:AI261),AD261:AI261,0))&amp;"·"&amp;IF(MAX(AD261:AI261)&gt;=200,"高","中")&amp;IF(LARGE(AD261:AI261,2)&gt;0,"（也像"&amp;INDEX($T$4:$Y$4,MATCH(LARGE(AD261:AI261,2),AD261:AI261,0))&amp;"·"&amp;IF(LARGE(AD261:AI261,2)&gt;=200,"高","中")&amp;"）",""))))</f>
        <v/>
      </c>
      <c r="AA261" s="27" t="n"/>
      <c r="AB261" s="32" t="n"/>
      <c r="AC261" s="16" t="n"/>
      <c r="AD261" s="40">
        <f>IF(N(T261)&gt;=3,IF(T261=4,2,1)*100+T261*10+6,0)</f>
        <v>0</v>
      </c>
      <c r="AE261" s="40">
        <f>IF(N(U261)&gt;=3,1*100+U261*10+1,0)</f>
        <v>0</v>
      </c>
      <c r="AF261" s="40">
        <f>IF(N(V261)&gt;=3,IF(V261=4,2,1)*100+V261*10+2,0)</f>
        <v>0</v>
      </c>
      <c r="AG261" s="40">
        <f>IF(N(W261)&gt;=3,1*100+W261*10+3,0)</f>
        <v>0</v>
      </c>
      <c r="AH261" s="40">
        <f>IF(N(X261)&gt;=3,1*100+X261*10+4,0)</f>
        <v>0</v>
      </c>
      <c r="AI261" s="40">
        <f>IF(N(Y261)&gt;=3,IF(AND(N(T261)&gt;=3,OR(N(T261)=4,N(Y261)&lt;=N(T261))),0,IF(Y261=4,2,1)*100+Y261*10+5),0)</f>
        <v>0</v>
      </c>
    </row>
    <row r="262">
      <c r="A262" s="31" t="n"/>
      <c r="B262" s="36" t="str">
        <f>IF(ISNUMBER(A262),"周"&amp;CHOOSE(WEEKDAY(A262,2),"一","二","三","四","五","六","日"),"")</f>
        <v/>
      </c>
      <c r="C262" s="37" t="n"/>
      <c r="D262" s="37" t="n"/>
      <c r="E262" s="37" t="n"/>
      <c r="F262" s="17" t="n"/>
      <c r="G262" s="38" t="str">
        <f>IF(AND(ISNUMBER(F262),ISNUMBER(F261)),IF(F261=0,"",F262/F261-1),"")</f>
        <v/>
      </c>
      <c r="H262" s="17" t="n"/>
      <c r="I262" s="17" t="n"/>
      <c r="J262" s="17" t="n"/>
      <c r="K262" s="17" t="n"/>
      <c r="L262" s="17" t="n"/>
      <c r="M262" s="17" t="n"/>
      <c r="N262" s="39" t="str">
        <f>IF(AND(ISNUMBER(L262),ISNUMBER(M262),N(L262)&gt;0),M262/L262,"")</f>
        <v/>
      </c>
      <c r="O262" s="17" t="n"/>
      <c r="P262" s="17" t="n"/>
      <c r="Q262" s="39" t="str">
        <f>IF(AND(ISNUMBER(O262),ISNUMBER(P262),N(O262)&gt;0),P262/O262,"")</f>
        <v/>
      </c>
      <c r="R262" s="17" t="n"/>
      <c r="S262" s="37" t="n"/>
      <c r="T262" s="40" t="str">
        <f>IF(AND(ISNUMBER(J262),ISNUMBER(K262)),IF(N(ISNUMBER('参数'!$E$31))+N(ISNUMBER('参数'!$G$31))+N(ISNUMBER('参数'!$I$31))+N(ISNUMBER('参数'!$K$31))=0,"",IF(ISNUMBER('参数'!$E$31),J262&lt;='参数'!$E$31,FALSE)+IF(ISNUMBER('参数'!$G$31),K262&gt;='参数'!$G$31,FALSE)+IF(AND(ISNUMBER('参数'!$I$31),ISNUMBER(N262)),N262&gt;='参数'!$I$31,FALSE)+IF(AND(ISNUMBER('参数'!$K$31),ISNUMBER(Q262)),Q262&lt;='参数'!$K$31,FALSE)),"")</f>
        <v/>
      </c>
      <c r="U262" s="40" t="str">
        <f>IF(AND(ISNUMBER(J262),ISNUMBER(K262)),IF(N(ISNUMBER('参数'!$G$32))+N(ISNUMBER('参数'!$I$32))+N(ISNUMBER('参数'!$K$32))=0,"",IF(AND(ISNUMBER(J261),ISNUMBER(J260)),AND(J262&gt;J261,J261&gt;J260),FALSE)+IF(ISNUMBER('参数'!$G$32),J262&lt;'参数'!$G$32,FALSE)+IF(AND(ISNUMBER('参数'!$I$32),ISNUMBER(Q262)),Q262&gt;='参数'!$I$32,FALSE)+IF(AND(ISNUMBER('参数'!$K$32),ISNUMBER(S262)),S262&gt;='参数'!$K$32,FALSE)),"")</f>
        <v/>
      </c>
      <c r="V262" s="40" t="str">
        <f>IF(AND(ISNUMBER(J262),ISNUMBER(K262)),IF(N(ISNUMBER('参数'!$E$33))+N(ISNUMBER('参数'!$G$33))+N(ISNUMBER('参数'!$I$33))+N(ISNUMBER('参数'!$K$33))=0,"",IF(AND(ISNUMBER('参数'!$E$33),ISNUMBER(J261)),AND(J262&gt;='参数'!$E$33,J262&gt;J261),FALSE)+IF(AND(ISNUMBER('参数'!$G$33),ISNUMBER(N262)),N262&lt;='参数'!$G$33,FALSE)+IF(AND(ISNUMBER('参数'!$I$33),ISNUMBER(Q262)),Q262&gt;='参数'!$I$33,FALSE)+IF(AND(ISNUMBER('参数'!$K$33),ISNUMBER(S262)),S262&gt;='参数'!$K$33,FALSE)),"")</f>
        <v/>
      </c>
      <c r="W262" s="40" t="str">
        <f>IF(AND(ISNUMBER(J262),ISNUMBER(K262)),IF(N(ISNUMBER('参数'!$E$34))+N(ISNUMBER('参数'!$G$34))+N(ISNUMBER('参数'!$I$34))+N(ISNUMBER('参数'!$K$34))=0,"",IF(ISNUMBER('参数'!$E$34),J262&gt;='参数'!$E$34,FALSE)+IF(AND(ISNUMBER('参数'!$G$34),ISNUMBER(N262)),N262&lt;='参数'!$G$34,FALSE)+IF(AND(ISNUMBER('参数'!$I$34),ISNUMBER(S262)),S262&gt;='参数'!$I$34,FALSE)+IF(AND(ISNUMBER('参数'!$K$34),ISNUMBER(R262)),R262&gt;='参数'!$K$34,FALSE)),"")</f>
        <v/>
      </c>
      <c r="X262" s="40" t="str">
        <f>IF(AND(ISNUMBER(J262),ISNUMBER(K262)),IF(N(ISNUMBER('参数'!$E$35))+N(ISNUMBER('参数'!$G$35))+N(ISNUMBER('参数'!$I$35))=0,"",IF(AND(ISNUMBER('参数'!$E$35),ISNUMBER(N262),ISNUMBER(N261)),ROUND(N262-N261,6)&gt;='参数'!$E$35,FALSE)+IF(AND(ISNUMBER('参数'!$G$35),ISNUMBER(Q262),ISNUMBER(Q261)),ROUND(Q261-Q262,6)&gt;='参数'!$G$35,FALSE)+IF(AND(ISNUMBER('参数'!$I$35),ISNUMBER(S262),ISNUMBER(S261)),ROUND(S261-S262,6)&gt;='参数'!$I$35,FALSE)+IF(ISNUMBER(J261),J262&lt;J261,FALSE)),"")</f>
        <v/>
      </c>
      <c r="Y262" s="40" t="str">
        <f>IF(AND(ISNUMBER(J262),ISNUMBER(K262)),IF(N(ISNUMBER('参数'!$E$36))+N(ISNUMBER('参数'!$G$36))+N(ISNUMBER('参数'!$I$36))=0,"",IF(AND(ISNUMBER('参数'!$E$36),ISNUMBER(J261)),AND(J262&lt;='参数'!$E$36,J262&lt;J261),FALSE)+IF(ISNUMBER('参数'!$G$36),K262&gt;='参数'!$G$36,FALSE)+IF(AND(ISNUMBER('参数'!$I$36),ISNUMBER(S262)),S262&lt;'参数'!$I$36,FALSE)+IF(AND(ISNUMBER(R262),ISNUMBER(R261)),R262&lt;R261,FALSE)),"")</f>
        <v/>
      </c>
      <c r="Z262" s="41" t="str">
        <f>IF(NOT(AND(ISNUMBER(J262),ISNUMBER(K262))),"",IF(COUNT(T262:Y262)=0,"先填阈值",IF(MAX(AD262:AI262)=0,"不写",INDEX($T$4:$Y$4,MATCH(MAX(AD262:AI262),AD262:AI262,0))&amp;"·"&amp;IF(MAX(AD262:AI262)&gt;=200,"高","中")&amp;IF(LARGE(AD262:AI262,2)&gt;0,"（也像"&amp;INDEX($T$4:$Y$4,MATCH(LARGE(AD262:AI262,2),AD262:AI262,0))&amp;"·"&amp;IF(LARGE(AD262:AI262,2)&gt;=200,"高","中")&amp;"）",""))))</f>
        <v/>
      </c>
      <c r="AA262" s="27" t="n"/>
      <c r="AB262" s="32" t="n"/>
      <c r="AC262" s="16" t="n"/>
      <c r="AD262" s="40">
        <f>IF(N(T262)&gt;=3,IF(T262=4,2,1)*100+T262*10+6,0)</f>
        <v>0</v>
      </c>
      <c r="AE262" s="40">
        <f>IF(N(U262)&gt;=3,1*100+U262*10+1,0)</f>
        <v>0</v>
      </c>
      <c r="AF262" s="40">
        <f>IF(N(V262)&gt;=3,IF(V262=4,2,1)*100+V262*10+2,0)</f>
        <v>0</v>
      </c>
      <c r="AG262" s="40">
        <f>IF(N(W262)&gt;=3,1*100+W262*10+3,0)</f>
        <v>0</v>
      </c>
      <c r="AH262" s="40">
        <f>IF(N(X262)&gt;=3,1*100+X262*10+4,0)</f>
        <v>0</v>
      </c>
      <c r="AI262" s="40">
        <f>IF(N(Y262)&gt;=3,IF(AND(N(T262)&gt;=3,OR(N(T262)=4,N(Y262)&lt;=N(T262))),0,IF(Y262=4,2,1)*100+Y262*10+5),0)</f>
        <v>0</v>
      </c>
    </row>
    <row r="263">
      <c r="A263" s="31" t="n"/>
      <c r="B263" s="36" t="str">
        <f>IF(ISNUMBER(A263),"周"&amp;CHOOSE(WEEKDAY(A263,2),"一","二","三","四","五","六","日"),"")</f>
        <v/>
      </c>
      <c r="C263" s="37" t="n"/>
      <c r="D263" s="37" t="n"/>
      <c r="E263" s="37" t="n"/>
      <c r="F263" s="17" t="n"/>
      <c r="G263" s="38" t="str">
        <f>IF(AND(ISNUMBER(F263),ISNUMBER(F262)),IF(F262=0,"",F263/F262-1),"")</f>
        <v/>
      </c>
      <c r="H263" s="17" t="n"/>
      <c r="I263" s="17" t="n"/>
      <c r="J263" s="17" t="n"/>
      <c r="K263" s="17" t="n"/>
      <c r="L263" s="17" t="n"/>
      <c r="M263" s="17" t="n"/>
      <c r="N263" s="39" t="str">
        <f>IF(AND(ISNUMBER(L263),ISNUMBER(M263),N(L263)&gt;0),M263/L263,"")</f>
        <v/>
      </c>
      <c r="O263" s="17" t="n"/>
      <c r="P263" s="17" t="n"/>
      <c r="Q263" s="39" t="str">
        <f>IF(AND(ISNUMBER(O263),ISNUMBER(P263),N(O263)&gt;0),P263/O263,"")</f>
        <v/>
      </c>
      <c r="R263" s="17" t="n"/>
      <c r="S263" s="37" t="n"/>
      <c r="T263" s="40" t="str">
        <f>IF(AND(ISNUMBER(J263),ISNUMBER(K263)),IF(N(ISNUMBER('参数'!$E$31))+N(ISNUMBER('参数'!$G$31))+N(ISNUMBER('参数'!$I$31))+N(ISNUMBER('参数'!$K$31))=0,"",IF(ISNUMBER('参数'!$E$31),J263&lt;='参数'!$E$31,FALSE)+IF(ISNUMBER('参数'!$G$31),K263&gt;='参数'!$G$31,FALSE)+IF(AND(ISNUMBER('参数'!$I$31),ISNUMBER(N263)),N263&gt;='参数'!$I$31,FALSE)+IF(AND(ISNUMBER('参数'!$K$31),ISNUMBER(Q263)),Q263&lt;='参数'!$K$31,FALSE)),"")</f>
        <v/>
      </c>
      <c r="U263" s="40" t="str">
        <f>IF(AND(ISNUMBER(J263),ISNUMBER(K263)),IF(N(ISNUMBER('参数'!$G$32))+N(ISNUMBER('参数'!$I$32))+N(ISNUMBER('参数'!$K$32))=0,"",IF(AND(ISNUMBER(J262),ISNUMBER(J261)),AND(J263&gt;J262,J262&gt;J261),FALSE)+IF(ISNUMBER('参数'!$G$32),J263&lt;'参数'!$G$32,FALSE)+IF(AND(ISNUMBER('参数'!$I$32),ISNUMBER(Q263)),Q263&gt;='参数'!$I$32,FALSE)+IF(AND(ISNUMBER('参数'!$K$32),ISNUMBER(S263)),S263&gt;='参数'!$K$32,FALSE)),"")</f>
        <v/>
      </c>
      <c r="V263" s="40" t="str">
        <f>IF(AND(ISNUMBER(J263),ISNUMBER(K263)),IF(N(ISNUMBER('参数'!$E$33))+N(ISNUMBER('参数'!$G$33))+N(ISNUMBER('参数'!$I$33))+N(ISNUMBER('参数'!$K$33))=0,"",IF(AND(ISNUMBER('参数'!$E$33),ISNUMBER(J262)),AND(J263&gt;='参数'!$E$33,J263&gt;J262),FALSE)+IF(AND(ISNUMBER('参数'!$G$33),ISNUMBER(N263)),N263&lt;='参数'!$G$33,FALSE)+IF(AND(ISNUMBER('参数'!$I$33),ISNUMBER(Q263)),Q263&gt;='参数'!$I$33,FALSE)+IF(AND(ISNUMBER('参数'!$K$33),ISNUMBER(S263)),S263&gt;='参数'!$K$33,FALSE)),"")</f>
        <v/>
      </c>
      <c r="W263" s="40" t="str">
        <f>IF(AND(ISNUMBER(J263),ISNUMBER(K263)),IF(N(ISNUMBER('参数'!$E$34))+N(ISNUMBER('参数'!$G$34))+N(ISNUMBER('参数'!$I$34))+N(ISNUMBER('参数'!$K$34))=0,"",IF(ISNUMBER('参数'!$E$34),J263&gt;='参数'!$E$34,FALSE)+IF(AND(ISNUMBER('参数'!$G$34),ISNUMBER(N263)),N263&lt;='参数'!$G$34,FALSE)+IF(AND(ISNUMBER('参数'!$I$34),ISNUMBER(S263)),S263&gt;='参数'!$I$34,FALSE)+IF(AND(ISNUMBER('参数'!$K$34),ISNUMBER(R263)),R263&gt;='参数'!$K$34,FALSE)),"")</f>
        <v/>
      </c>
      <c r="X263" s="40" t="str">
        <f>IF(AND(ISNUMBER(J263),ISNUMBER(K263)),IF(N(ISNUMBER('参数'!$E$35))+N(ISNUMBER('参数'!$G$35))+N(ISNUMBER('参数'!$I$35))=0,"",IF(AND(ISNUMBER('参数'!$E$35),ISNUMBER(N263),ISNUMBER(N262)),ROUND(N263-N262,6)&gt;='参数'!$E$35,FALSE)+IF(AND(ISNUMBER('参数'!$G$35),ISNUMBER(Q263),ISNUMBER(Q262)),ROUND(Q262-Q263,6)&gt;='参数'!$G$35,FALSE)+IF(AND(ISNUMBER('参数'!$I$35),ISNUMBER(S263),ISNUMBER(S262)),ROUND(S262-S263,6)&gt;='参数'!$I$35,FALSE)+IF(ISNUMBER(J262),J263&lt;J262,FALSE)),"")</f>
        <v/>
      </c>
      <c r="Y263" s="40" t="str">
        <f>IF(AND(ISNUMBER(J263),ISNUMBER(K263)),IF(N(ISNUMBER('参数'!$E$36))+N(ISNUMBER('参数'!$G$36))+N(ISNUMBER('参数'!$I$36))=0,"",IF(AND(ISNUMBER('参数'!$E$36),ISNUMBER(J262)),AND(J263&lt;='参数'!$E$36,J263&lt;J262),FALSE)+IF(ISNUMBER('参数'!$G$36),K263&gt;='参数'!$G$36,FALSE)+IF(AND(ISNUMBER('参数'!$I$36),ISNUMBER(S263)),S263&lt;'参数'!$I$36,FALSE)+IF(AND(ISNUMBER(R263),ISNUMBER(R262)),R263&lt;R262,FALSE)),"")</f>
        <v/>
      </c>
      <c r="Z263" s="41" t="str">
        <f>IF(NOT(AND(ISNUMBER(J263),ISNUMBER(K263))),"",IF(COUNT(T263:Y263)=0,"先填阈值",IF(MAX(AD263:AI263)=0,"不写",INDEX($T$4:$Y$4,MATCH(MAX(AD263:AI263),AD263:AI263,0))&amp;"·"&amp;IF(MAX(AD263:AI263)&gt;=200,"高","中")&amp;IF(LARGE(AD263:AI263,2)&gt;0,"（也像"&amp;INDEX($T$4:$Y$4,MATCH(LARGE(AD263:AI263,2),AD263:AI263,0))&amp;"·"&amp;IF(LARGE(AD263:AI263,2)&gt;=200,"高","中")&amp;"）",""))))</f>
        <v/>
      </c>
      <c r="AA263" s="27" t="n"/>
      <c r="AB263" s="32" t="n"/>
      <c r="AC263" s="16" t="n"/>
      <c r="AD263" s="40">
        <f>IF(N(T263)&gt;=3,IF(T263=4,2,1)*100+T263*10+6,0)</f>
        <v>0</v>
      </c>
      <c r="AE263" s="40">
        <f>IF(N(U263)&gt;=3,1*100+U263*10+1,0)</f>
        <v>0</v>
      </c>
      <c r="AF263" s="40">
        <f>IF(N(V263)&gt;=3,IF(V263=4,2,1)*100+V263*10+2,0)</f>
        <v>0</v>
      </c>
      <c r="AG263" s="40">
        <f>IF(N(W263)&gt;=3,1*100+W263*10+3,0)</f>
        <v>0</v>
      </c>
      <c r="AH263" s="40">
        <f>IF(N(X263)&gt;=3,1*100+X263*10+4,0)</f>
        <v>0</v>
      </c>
      <c r="AI263" s="40">
        <f>IF(N(Y263)&gt;=3,IF(AND(N(T263)&gt;=3,OR(N(T263)=4,N(Y263)&lt;=N(T263))),0,IF(Y263=4,2,1)*100+Y263*10+5),0)</f>
        <v>0</v>
      </c>
    </row>
    <row r="264">
      <c r="A264" s="31" t="n"/>
      <c r="B264" s="36" t="str">
        <f>IF(ISNUMBER(A264),"周"&amp;CHOOSE(WEEKDAY(A264,2),"一","二","三","四","五","六","日"),"")</f>
        <v/>
      </c>
      <c r="C264" s="37" t="n"/>
      <c r="D264" s="37" t="n"/>
      <c r="E264" s="37" t="n"/>
      <c r="F264" s="17" t="n"/>
      <c r="G264" s="38" t="str">
        <f>IF(AND(ISNUMBER(F264),ISNUMBER(F263)),IF(F263=0,"",F264/F263-1),"")</f>
        <v/>
      </c>
      <c r="H264" s="17" t="n"/>
      <c r="I264" s="17" t="n"/>
      <c r="J264" s="17" t="n"/>
      <c r="K264" s="17" t="n"/>
      <c r="L264" s="17" t="n"/>
      <c r="M264" s="17" t="n"/>
      <c r="N264" s="39" t="str">
        <f>IF(AND(ISNUMBER(L264),ISNUMBER(M264),N(L264)&gt;0),M264/L264,"")</f>
        <v/>
      </c>
      <c r="O264" s="17" t="n"/>
      <c r="P264" s="17" t="n"/>
      <c r="Q264" s="39" t="str">
        <f>IF(AND(ISNUMBER(O264),ISNUMBER(P264),N(O264)&gt;0),P264/O264,"")</f>
        <v/>
      </c>
      <c r="R264" s="17" t="n"/>
      <c r="S264" s="37" t="n"/>
      <c r="T264" s="40" t="str">
        <f>IF(AND(ISNUMBER(J264),ISNUMBER(K264)),IF(N(ISNUMBER('参数'!$E$31))+N(ISNUMBER('参数'!$G$31))+N(ISNUMBER('参数'!$I$31))+N(ISNUMBER('参数'!$K$31))=0,"",IF(ISNUMBER('参数'!$E$31),J264&lt;='参数'!$E$31,FALSE)+IF(ISNUMBER('参数'!$G$31),K264&gt;='参数'!$G$31,FALSE)+IF(AND(ISNUMBER('参数'!$I$31),ISNUMBER(N264)),N264&gt;='参数'!$I$31,FALSE)+IF(AND(ISNUMBER('参数'!$K$31),ISNUMBER(Q264)),Q264&lt;='参数'!$K$31,FALSE)),"")</f>
        <v/>
      </c>
      <c r="U264" s="40" t="str">
        <f>IF(AND(ISNUMBER(J264),ISNUMBER(K264)),IF(N(ISNUMBER('参数'!$G$32))+N(ISNUMBER('参数'!$I$32))+N(ISNUMBER('参数'!$K$32))=0,"",IF(AND(ISNUMBER(J263),ISNUMBER(J262)),AND(J264&gt;J263,J263&gt;J262),FALSE)+IF(ISNUMBER('参数'!$G$32),J264&lt;'参数'!$G$32,FALSE)+IF(AND(ISNUMBER('参数'!$I$32),ISNUMBER(Q264)),Q264&gt;='参数'!$I$32,FALSE)+IF(AND(ISNUMBER('参数'!$K$32),ISNUMBER(S264)),S264&gt;='参数'!$K$32,FALSE)),"")</f>
        <v/>
      </c>
      <c r="V264" s="40" t="str">
        <f>IF(AND(ISNUMBER(J264),ISNUMBER(K264)),IF(N(ISNUMBER('参数'!$E$33))+N(ISNUMBER('参数'!$G$33))+N(ISNUMBER('参数'!$I$33))+N(ISNUMBER('参数'!$K$33))=0,"",IF(AND(ISNUMBER('参数'!$E$33),ISNUMBER(J263)),AND(J264&gt;='参数'!$E$33,J264&gt;J263),FALSE)+IF(AND(ISNUMBER('参数'!$G$33),ISNUMBER(N264)),N264&lt;='参数'!$G$33,FALSE)+IF(AND(ISNUMBER('参数'!$I$33),ISNUMBER(Q264)),Q264&gt;='参数'!$I$33,FALSE)+IF(AND(ISNUMBER('参数'!$K$33),ISNUMBER(S264)),S264&gt;='参数'!$K$33,FALSE)),"")</f>
        <v/>
      </c>
      <c r="W264" s="40" t="str">
        <f>IF(AND(ISNUMBER(J264),ISNUMBER(K264)),IF(N(ISNUMBER('参数'!$E$34))+N(ISNUMBER('参数'!$G$34))+N(ISNUMBER('参数'!$I$34))+N(ISNUMBER('参数'!$K$34))=0,"",IF(ISNUMBER('参数'!$E$34),J264&gt;='参数'!$E$34,FALSE)+IF(AND(ISNUMBER('参数'!$G$34),ISNUMBER(N264)),N264&lt;='参数'!$G$34,FALSE)+IF(AND(ISNUMBER('参数'!$I$34),ISNUMBER(S264)),S264&gt;='参数'!$I$34,FALSE)+IF(AND(ISNUMBER('参数'!$K$34),ISNUMBER(R264)),R264&gt;='参数'!$K$34,FALSE)),"")</f>
        <v/>
      </c>
      <c r="X264" s="40" t="str">
        <f>IF(AND(ISNUMBER(J264),ISNUMBER(K264)),IF(N(ISNUMBER('参数'!$E$35))+N(ISNUMBER('参数'!$G$35))+N(ISNUMBER('参数'!$I$35))=0,"",IF(AND(ISNUMBER('参数'!$E$35),ISNUMBER(N264),ISNUMBER(N263)),ROUND(N264-N263,6)&gt;='参数'!$E$35,FALSE)+IF(AND(ISNUMBER('参数'!$G$35),ISNUMBER(Q264),ISNUMBER(Q263)),ROUND(Q263-Q264,6)&gt;='参数'!$G$35,FALSE)+IF(AND(ISNUMBER('参数'!$I$35),ISNUMBER(S264),ISNUMBER(S263)),ROUND(S263-S264,6)&gt;='参数'!$I$35,FALSE)+IF(ISNUMBER(J263),J264&lt;J263,FALSE)),"")</f>
        <v/>
      </c>
      <c r="Y264" s="40" t="str">
        <f>IF(AND(ISNUMBER(J264),ISNUMBER(K264)),IF(N(ISNUMBER('参数'!$E$36))+N(ISNUMBER('参数'!$G$36))+N(ISNUMBER('参数'!$I$36))=0,"",IF(AND(ISNUMBER('参数'!$E$36),ISNUMBER(J263)),AND(J264&lt;='参数'!$E$36,J264&lt;J263),FALSE)+IF(ISNUMBER('参数'!$G$36),K264&gt;='参数'!$G$36,FALSE)+IF(AND(ISNUMBER('参数'!$I$36),ISNUMBER(S264)),S264&lt;'参数'!$I$36,FALSE)+IF(AND(ISNUMBER(R264),ISNUMBER(R263)),R264&lt;R263,FALSE)),"")</f>
        <v/>
      </c>
      <c r="Z264" s="41" t="str">
        <f>IF(NOT(AND(ISNUMBER(J264),ISNUMBER(K264))),"",IF(COUNT(T264:Y264)=0,"先填阈值",IF(MAX(AD264:AI264)=0,"不写",INDEX($T$4:$Y$4,MATCH(MAX(AD264:AI264),AD264:AI264,0))&amp;"·"&amp;IF(MAX(AD264:AI264)&gt;=200,"高","中")&amp;IF(LARGE(AD264:AI264,2)&gt;0,"（也像"&amp;INDEX($T$4:$Y$4,MATCH(LARGE(AD264:AI264,2),AD264:AI264,0))&amp;"·"&amp;IF(LARGE(AD264:AI264,2)&gt;=200,"高","中")&amp;"）",""))))</f>
        <v/>
      </c>
      <c r="AA264" s="27" t="n"/>
      <c r="AB264" s="32" t="n"/>
      <c r="AC264" s="16" t="n"/>
      <c r="AD264" s="40">
        <f>IF(N(T264)&gt;=3,IF(T264=4,2,1)*100+T264*10+6,0)</f>
        <v>0</v>
      </c>
      <c r="AE264" s="40">
        <f>IF(N(U264)&gt;=3,1*100+U264*10+1,0)</f>
        <v>0</v>
      </c>
      <c r="AF264" s="40">
        <f>IF(N(V264)&gt;=3,IF(V264=4,2,1)*100+V264*10+2,0)</f>
        <v>0</v>
      </c>
      <c r="AG264" s="40">
        <f>IF(N(W264)&gt;=3,1*100+W264*10+3,0)</f>
        <v>0</v>
      </c>
      <c r="AH264" s="40">
        <f>IF(N(X264)&gt;=3,1*100+X264*10+4,0)</f>
        <v>0</v>
      </c>
      <c r="AI264" s="40">
        <f>IF(N(Y264)&gt;=3,IF(AND(N(T264)&gt;=3,OR(N(T264)=4,N(Y264)&lt;=N(T264))),0,IF(Y264=4,2,1)*100+Y264*10+5),0)</f>
        <v>0</v>
      </c>
    </row>
  </sheetData>
  <mergeCells count="8">
    <mergeCell ref="Z1:AB1"/>
    <mergeCell ref="A2:AB2"/>
    <mergeCell ref="A1:Y1"/>
    <mergeCell ref="T3:Y3"/>
    <mergeCell ref="Z3:AB3"/>
    <mergeCell ref="A3:B3"/>
    <mergeCell ref="H3:S3"/>
    <mergeCell ref="C3:G3"/>
  </mergeCells>
  <conditionalFormatting sqref="C5:C26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D5:D264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E5:E264">
    <cfRule type="cellIs" priority="5" operator="greaterThan" dxfId="0">
      <formula>0</formula>
    </cfRule>
    <cfRule type="cellIs" priority="6" operator="lessThan" dxfId="1">
      <formula>0</formula>
    </cfRule>
  </conditionalFormatting>
  <conditionalFormatting sqref="G5:G264">
    <cfRule type="cellIs" priority="7" operator="greaterThan" dxfId="0">
      <formula>0</formula>
    </cfRule>
    <cfRule type="cellIs" priority="8" operator="lessThan" dxfId="1">
      <formula>0</formula>
    </cfRule>
  </conditionalFormatting>
  <conditionalFormatting sqref="S5:S264">
    <cfRule type="cellIs" priority="9" operator="greaterThan" dxfId="0">
      <formula>0</formula>
    </cfRule>
    <cfRule type="cellIs" priority="10" operator="lessThan" dxfId="1">
      <formula>0</formula>
    </cfRule>
  </conditionalFormatting>
  <conditionalFormatting sqref="T5:Y264">
    <cfRule type="cellIs" priority="11" operator="equal" dxfId="2">
      <formula>4</formula>
    </cfRule>
    <cfRule type="cellIs" priority="12" operator="equal" dxfId="3">
      <formula>3</formula>
    </cfRule>
  </conditionalFormatting>
  <conditionalFormatting sqref="AA5:AB264">
    <cfRule type="expression" priority="13" dxfId="4">
      <formula>AND($AA5&lt;&gt;"",$Z5&lt;&gt;"",$Z5&lt;&gt;"先填阈值",LEFT($Z5,LEN($AA5))&lt;&gt;$AA5)</formula>
    </cfRule>
  </conditionalFormatting>
  <dataValidations count="2">
    <dataValidation sqref="A5:A26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AA5:AA264" showDropDown="0" showInputMessage="1" showErrorMessage="1" allowBlank="1" errorTitle="不在选项里" error="请从下拉里选；要加新选项，先去参数页的下拉选项里加。" promptTitle="怎么填" prompt="写你自己的判断；和规则建议不一样时，右边写依据。" type="list" errorStyle="warning">
      <formula1>'参数'!$F$43:$F$54</formula1>
    </dataValidation>
  </dataValidation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trade1469.com/templates/a-share-review/?src=tpl-ashare&amp;R&amp;"Microsoft YaHei"&amp;8 第 &amp;P 页，共 &amp;N 页</oddFooter>
    <evenHeader/>
    <evenFooter>&amp;L&amp;"Microsoft YaHei"&amp;8 TradeLearn · XtradingTime 交易内训&amp;C&amp;"Microsoft YaHei"&amp;8 trade1469.com/templates/a-share-review/?src=tpl-ashare&amp;R&amp;"Microsoft YaHei"&amp;8 第 &amp;P 页，共 &amp;N 页</evenFooter>
    <firstHeader/>
    <firstFooter/>
  </headerFooter>
</worksheet>
</file>

<file path=xl/worksheets/sheet4.xml><?xml version="1.0" encoding="utf-8"?>
<worksheet xmlns="http://schemas.openxmlformats.org/spreadsheetml/2006/main">
  <sheetPr>
    <tabColor rgb="009D4616"/>
    <outlinePr summaryBelow="1" summaryRight="1"/>
    <pageSetUpPr fitToPage="1"/>
  </sheetPr>
  <dimension ref="A1:S26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7" customWidth="1" min="2" max="2"/>
    <col width="11" customWidth="1" min="3" max="3"/>
    <col width="11" customWidth="1" min="4" max="4"/>
    <col width="10" customWidth="1" min="5" max="5"/>
    <col width="10" customWidth="1" min="6" max="6"/>
    <col width="6" customWidth="1" min="7" max="7"/>
    <col width="5" customWidth="1" min="8" max="8"/>
    <col width="5" customWidth="1" min="9" max="9"/>
    <col width="5" customWidth="1" min="10" max="10"/>
    <col width="6" customWidth="1" min="11" max="11"/>
    <col width="6" customWidth="1" min="12" max="12"/>
    <col width="7" customWidth="1" min="13" max="13"/>
    <col width="10" customWidth="1" min="14" max="14"/>
    <col width="8" customWidth="1" min="15" max="15"/>
    <col width="9" customWidth="1" min="16" max="16"/>
    <col width="22" customWidth="1" min="17" max="17"/>
    <col width="26" customWidth="1" min="18" max="18"/>
    <col width="22" customWidth="1" min="19" max="19"/>
  </cols>
  <sheetData>
    <row r="1" ht="30" customHeight="1">
      <c r="A1" s="13" t="inlineStr">
        <is>
          <t>A股每日复盘：主线、梯队与明日计划</t>
        </is>
      </c>
      <c r="Q1" s="14" t="inlineStr">
        <is>
          <t>TradeLearn · XtradingTime 交易内训</t>
        </is>
      </c>
    </row>
    <row r="2" ht="20" customHeight="1">
      <c r="A2" s="2" t="inlineStr">
        <is>
          <t>每天收盘后写。日期、判断、2 板家数和最高连板从「每日复盘」同一行自动带过来；没有的连板层填 0。</t>
        </is>
      </c>
    </row>
    <row r="3" ht="18" customHeight="1">
      <c r="A3" s="33" t="inlineStr">
        <is>
          <t>日期</t>
        </is>
      </c>
      <c r="B3" s="33" t="n"/>
      <c r="C3" s="33" t="inlineStr">
        <is>
          <t>主线与龙头</t>
        </is>
      </c>
      <c r="D3" s="33" t="n"/>
      <c r="E3" s="33" t="n"/>
      <c r="F3" s="33" t="n"/>
      <c r="G3" s="33" t="inlineStr">
        <is>
          <t>连板梯队（没有的层填 0）</t>
        </is>
      </c>
      <c r="H3" s="33" t="n"/>
      <c r="I3" s="33" t="n"/>
      <c r="J3" s="33" t="n"/>
      <c r="K3" s="33" t="n"/>
      <c r="L3" s="33" t="n"/>
      <c r="M3" s="33" t="n"/>
      <c r="N3" s="33" t="inlineStr">
        <is>
          <t>我自己</t>
        </is>
      </c>
      <c r="O3" s="33" t="n"/>
      <c r="P3" s="33" t="n"/>
      <c r="Q3" s="33" t="inlineStr">
        <is>
          <t>明天</t>
        </is>
      </c>
      <c r="R3" s="33" t="n"/>
      <c r="S3" s="33" t="n"/>
    </row>
    <row r="4" ht="41.8" customHeight="1">
      <c r="A4" s="25" t="inlineStr">
        <is>
          <t>日期</t>
        </is>
      </c>
      <c r="B4" s="25" t="inlineStr">
        <is>
          <t>我的判断</t>
        </is>
      </c>
      <c r="C4" s="25" t="inlineStr">
        <is>
          <t>主线板块</t>
        </is>
      </c>
      <c r="D4" s="25" t="inlineStr">
        <is>
          <t>主线龙头（最高标）</t>
        </is>
      </c>
      <c r="E4" s="25" t="inlineStr">
        <is>
          <t>次主线</t>
        </is>
      </c>
      <c r="F4" s="25" t="inlineStr">
        <is>
          <t>次主线龙头</t>
        </is>
      </c>
      <c r="G4" s="25" t="inlineStr">
        <is>
          <t>今日首板</t>
        </is>
      </c>
      <c r="H4" s="25" t="inlineStr">
        <is>
          <t>2 板</t>
        </is>
      </c>
      <c r="I4" s="25" t="inlineStr">
        <is>
          <t>3 板</t>
        </is>
      </c>
      <c r="J4" s="25" t="inlineStr">
        <is>
          <t>4 板</t>
        </is>
      </c>
      <c r="K4" s="25" t="inlineStr">
        <is>
          <t>5 板及以上</t>
        </is>
      </c>
      <c r="L4" s="25" t="inlineStr">
        <is>
          <t>最高连板</t>
        </is>
      </c>
      <c r="M4" s="25" t="inlineStr">
        <is>
          <t>梯队</t>
        </is>
      </c>
      <c r="N4" s="25" t="inlineStr">
        <is>
          <t>今天做了什么</t>
        </is>
      </c>
      <c r="O4" s="25" t="inlineStr">
        <is>
          <t>当日平仓净R</t>
        </is>
      </c>
      <c r="P4" s="25" t="inlineStr">
        <is>
          <t>停手线</t>
        </is>
      </c>
      <c r="Q4" s="25" t="inlineStr">
        <is>
          <t>赚钱效应在哪（一句话）</t>
        </is>
      </c>
      <c r="R4" s="25" t="inlineStr">
        <is>
          <t>明日只做（写成能检查的条件）</t>
        </is>
      </c>
      <c r="S4" s="25" t="inlineStr">
        <is>
          <t>明日不做的情况</t>
        </is>
      </c>
    </row>
    <row r="5">
      <c r="A5" s="42" t="str">
        <f>IF('每日复盘'!A5="","",'每日复盘'!A5)</f>
        <v/>
      </c>
      <c r="B5" s="43" t="str">
        <f>IF('每日复盘'!AA5="","",'每日复盘'!AA5)</f>
        <v/>
      </c>
      <c r="C5" s="32" t="n"/>
      <c r="D5" s="32" t="n"/>
      <c r="E5" s="32" t="n"/>
      <c r="F5" s="32" t="n"/>
      <c r="G5" s="17" t="n"/>
      <c r="H5" s="44" t="str">
        <f>IF('每日复盘'!P5="","",'每日复盘'!P5)</f>
        <v/>
      </c>
      <c r="I5" s="17" t="n"/>
      <c r="J5" s="17" t="n"/>
      <c r="K5" s="17" t="n"/>
      <c r="L5" s="44" t="str">
        <f>IF('每日复盘'!R5="","",'每日复盘'!R5)</f>
        <v/>
      </c>
      <c r="M5" s="36" t="str">
        <f>IF(OR(NOT(ISNUMBER(L5)),COUNT(H5:J5)&lt;3),"",IF(OR(AND(L5&gt;=3,H5=0),AND(L5&gt;=4,I5=0),AND(L5&gt;=5,J5=0)),"有断层","连续"))</f>
        <v/>
      </c>
      <c r="N5" s="27" t="n"/>
      <c r="O5" s="45" t="str">
        <f>IF(NOT(ISNUMBER(A5)),"",IF(COUNTIFS('交易记录'!$S$5:$S$304,A5,'交易记录'!$X$5:$X$304,"已平仓")=0,"",SUMIFS('交易记录'!$AB$5:$AB$304,'交易记录'!$S$5:$S$304,A5,'交易记录'!$X$5:$X$304,"已平仓")))</f>
        <v/>
      </c>
      <c r="P5" s="36" t="str">
        <f>IF(NOT(ISNUMBER(O5)),"",IF(O5&lt;=-'参数'!$C$9,"触及停手线",""))</f>
        <v/>
      </c>
      <c r="Q5" s="32" t="n"/>
      <c r="R5" s="32" t="n"/>
      <c r="S5" s="32" t="n"/>
    </row>
    <row r="6">
      <c r="A6" s="42" t="str">
        <f>IF('每日复盘'!A6="","",'每日复盘'!A6)</f>
        <v/>
      </c>
      <c r="B6" s="43" t="str">
        <f>IF('每日复盘'!AA6="","",'每日复盘'!AA6)</f>
        <v/>
      </c>
      <c r="C6" s="32" t="n"/>
      <c r="D6" s="32" t="n"/>
      <c r="E6" s="32" t="n"/>
      <c r="F6" s="32" t="n"/>
      <c r="G6" s="17" t="n"/>
      <c r="H6" s="44" t="str">
        <f>IF('每日复盘'!P6="","",'每日复盘'!P6)</f>
        <v/>
      </c>
      <c r="I6" s="17" t="n"/>
      <c r="J6" s="17" t="n"/>
      <c r="K6" s="17" t="n"/>
      <c r="L6" s="44" t="str">
        <f>IF('每日复盘'!R6="","",'每日复盘'!R6)</f>
        <v/>
      </c>
      <c r="M6" s="36" t="str">
        <f>IF(OR(NOT(ISNUMBER(L6)),COUNT(H6:J6)&lt;3),"",IF(OR(AND(L6&gt;=3,H6=0),AND(L6&gt;=4,I6=0),AND(L6&gt;=5,J6=0)),"有断层","连续"))</f>
        <v/>
      </c>
      <c r="N6" s="27" t="n"/>
      <c r="O6" s="45" t="str">
        <f>IF(NOT(ISNUMBER(A6)),"",IF(COUNTIFS('交易记录'!$S$5:$S$304,A6,'交易记录'!$X$5:$X$304,"已平仓")=0,"",SUMIFS('交易记录'!$AB$5:$AB$304,'交易记录'!$S$5:$S$304,A6,'交易记录'!$X$5:$X$304,"已平仓")))</f>
        <v/>
      </c>
      <c r="P6" s="36" t="str">
        <f>IF(NOT(ISNUMBER(O6)),"",IF(O6&lt;=-'参数'!$C$9,"触及停手线",""))</f>
        <v/>
      </c>
      <c r="Q6" s="32" t="n"/>
      <c r="R6" s="32" t="n"/>
      <c r="S6" s="32" t="n"/>
    </row>
    <row r="7">
      <c r="A7" s="42" t="str">
        <f>IF('每日复盘'!A7="","",'每日复盘'!A7)</f>
        <v/>
      </c>
      <c r="B7" s="43" t="str">
        <f>IF('每日复盘'!AA7="","",'每日复盘'!AA7)</f>
        <v/>
      </c>
      <c r="C7" s="32" t="n"/>
      <c r="D7" s="32" t="n"/>
      <c r="E7" s="32" t="n"/>
      <c r="F7" s="32" t="n"/>
      <c r="G7" s="17" t="n"/>
      <c r="H7" s="44" t="str">
        <f>IF('每日复盘'!P7="","",'每日复盘'!P7)</f>
        <v/>
      </c>
      <c r="I7" s="17" t="n"/>
      <c r="J7" s="17" t="n"/>
      <c r="K7" s="17" t="n"/>
      <c r="L7" s="44" t="str">
        <f>IF('每日复盘'!R7="","",'每日复盘'!R7)</f>
        <v/>
      </c>
      <c r="M7" s="36" t="str">
        <f>IF(OR(NOT(ISNUMBER(L7)),COUNT(H7:J7)&lt;3),"",IF(OR(AND(L7&gt;=3,H7=0),AND(L7&gt;=4,I7=0),AND(L7&gt;=5,J7=0)),"有断层","连续"))</f>
        <v/>
      </c>
      <c r="N7" s="27" t="n"/>
      <c r="O7" s="45" t="str">
        <f>IF(NOT(ISNUMBER(A7)),"",IF(COUNTIFS('交易记录'!$S$5:$S$304,A7,'交易记录'!$X$5:$X$304,"已平仓")=0,"",SUMIFS('交易记录'!$AB$5:$AB$304,'交易记录'!$S$5:$S$304,A7,'交易记录'!$X$5:$X$304,"已平仓")))</f>
        <v/>
      </c>
      <c r="P7" s="36" t="str">
        <f>IF(NOT(ISNUMBER(O7)),"",IF(O7&lt;=-'参数'!$C$9,"触及停手线",""))</f>
        <v/>
      </c>
      <c r="Q7" s="32" t="n"/>
      <c r="R7" s="32" t="n"/>
      <c r="S7" s="32" t="n"/>
    </row>
    <row r="8">
      <c r="A8" s="42" t="str">
        <f>IF('每日复盘'!A8="","",'每日复盘'!A8)</f>
        <v/>
      </c>
      <c r="B8" s="43" t="str">
        <f>IF('每日复盘'!AA8="","",'每日复盘'!AA8)</f>
        <v/>
      </c>
      <c r="C8" s="32" t="n"/>
      <c r="D8" s="32" t="n"/>
      <c r="E8" s="32" t="n"/>
      <c r="F8" s="32" t="n"/>
      <c r="G8" s="17" t="n"/>
      <c r="H8" s="44" t="str">
        <f>IF('每日复盘'!P8="","",'每日复盘'!P8)</f>
        <v/>
      </c>
      <c r="I8" s="17" t="n"/>
      <c r="J8" s="17" t="n"/>
      <c r="K8" s="17" t="n"/>
      <c r="L8" s="44" t="str">
        <f>IF('每日复盘'!R8="","",'每日复盘'!R8)</f>
        <v/>
      </c>
      <c r="M8" s="36" t="str">
        <f>IF(OR(NOT(ISNUMBER(L8)),COUNT(H8:J8)&lt;3),"",IF(OR(AND(L8&gt;=3,H8=0),AND(L8&gt;=4,I8=0),AND(L8&gt;=5,J8=0)),"有断层","连续"))</f>
        <v/>
      </c>
      <c r="N8" s="27" t="n"/>
      <c r="O8" s="45" t="str">
        <f>IF(NOT(ISNUMBER(A8)),"",IF(COUNTIFS('交易记录'!$S$5:$S$304,A8,'交易记录'!$X$5:$X$304,"已平仓")=0,"",SUMIFS('交易记录'!$AB$5:$AB$304,'交易记录'!$S$5:$S$304,A8,'交易记录'!$X$5:$X$304,"已平仓")))</f>
        <v/>
      </c>
      <c r="P8" s="36" t="str">
        <f>IF(NOT(ISNUMBER(O8)),"",IF(O8&lt;=-'参数'!$C$9,"触及停手线",""))</f>
        <v/>
      </c>
      <c r="Q8" s="32" t="n"/>
      <c r="R8" s="32" t="n"/>
      <c r="S8" s="32" t="n"/>
    </row>
    <row r="9">
      <c r="A9" s="42" t="str">
        <f>IF('每日复盘'!A9="","",'每日复盘'!A9)</f>
        <v/>
      </c>
      <c r="B9" s="43" t="str">
        <f>IF('每日复盘'!AA9="","",'每日复盘'!AA9)</f>
        <v/>
      </c>
      <c r="C9" s="32" t="n"/>
      <c r="D9" s="32" t="n"/>
      <c r="E9" s="32" t="n"/>
      <c r="F9" s="32" t="n"/>
      <c r="G9" s="17" t="n"/>
      <c r="H9" s="44" t="str">
        <f>IF('每日复盘'!P9="","",'每日复盘'!P9)</f>
        <v/>
      </c>
      <c r="I9" s="17" t="n"/>
      <c r="J9" s="17" t="n"/>
      <c r="K9" s="17" t="n"/>
      <c r="L9" s="44" t="str">
        <f>IF('每日复盘'!R9="","",'每日复盘'!R9)</f>
        <v/>
      </c>
      <c r="M9" s="36" t="str">
        <f>IF(OR(NOT(ISNUMBER(L9)),COUNT(H9:J9)&lt;3),"",IF(OR(AND(L9&gt;=3,H9=0),AND(L9&gt;=4,I9=0),AND(L9&gt;=5,J9=0)),"有断层","连续"))</f>
        <v/>
      </c>
      <c r="N9" s="27" t="n"/>
      <c r="O9" s="45" t="str">
        <f>IF(NOT(ISNUMBER(A9)),"",IF(COUNTIFS('交易记录'!$S$5:$S$304,A9,'交易记录'!$X$5:$X$304,"已平仓")=0,"",SUMIFS('交易记录'!$AB$5:$AB$304,'交易记录'!$S$5:$S$304,A9,'交易记录'!$X$5:$X$304,"已平仓")))</f>
        <v/>
      </c>
      <c r="P9" s="36" t="str">
        <f>IF(NOT(ISNUMBER(O9)),"",IF(O9&lt;=-'参数'!$C$9,"触及停手线",""))</f>
        <v/>
      </c>
      <c r="Q9" s="32" t="n"/>
      <c r="R9" s="32" t="n"/>
      <c r="S9" s="32" t="n"/>
    </row>
    <row r="10">
      <c r="A10" s="42" t="str">
        <f>IF('每日复盘'!A10="","",'每日复盘'!A10)</f>
        <v/>
      </c>
      <c r="B10" s="43" t="str">
        <f>IF('每日复盘'!AA10="","",'每日复盘'!AA10)</f>
        <v/>
      </c>
      <c r="C10" s="32" t="n"/>
      <c r="D10" s="32" t="n"/>
      <c r="E10" s="32" t="n"/>
      <c r="F10" s="32" t="n"/>
      <c r="G10" s="17" t="n"/>
      <c r="H10" s="44" t="str">
        <f>IF('每日复盘'!P10="","",'每日复盘'!P10)</f>
        <v/>
      </c>
      <c r="I10" s="17" t="n"/>
      <c r="J10" s="17" t="n"/>
      <c r="K10" s="17" t="n"/>
      <c r="L10" s="44" t="str">
        <f>IF('每日复盘'!R10="","",'每日复盘'!R10)</f>
        <v/>
      </c>
      <c r="M10" s="36" t="str">
        <f>IF(OR(NOT(ISNUMBER(L10)),COUNT(H10:J10)&lt;3),"",IF(OR(AND(L10&gt;=3,H10=0),AND(L10&gt;=4,I10=0),AND(L10&gt;=5,J10=0)),"有断层","连续"))</f>
        <v/>
      </c>
      <c r="N10" s="27" t="n"/>
      <c r="O10" s="45" t="str">
        <f>IF(NOT(ISNUMBER(A10)),"",IF(COUNTIFS('交易记录'!$S$5:$S$304,A10,'交易记录'!$X$5:$X$304,"已平仓")=0,"",SUMIFS('交易记录'!$AB$5:$AB$304,'交易记录'!$S$5:$S$304,A10,'交易记录'!$X$5:$X$304,"已平仓")))</f>
        <v/>
      </c>
      <c r="P10" s="36" t="str">
        <f>IF(NOT(ISNUMBER(O10)),"",IF(O10&lt;=-'参数'!$C$9,"触及停手线",""))</f>
        <v/>
      </c>
      <c r="Q10" s="32" t="n"/>
      <c r="R10" s="32" t="n"/>
      <c r="S10" s="32" t="n"/>
    </row>
    <row r="11">
      <c r="A11" s="42" t="str">
        <f>IF('每日复盘'!A11="","",'每日复盘'!A11)</f>
        <v/>
      </c>
      <c r="B11" s="43" t="str">
        <f>IF('每日复盘'!AA11="","",'每日复盘'!AA11)</f>
        <v/>
      </c>
      <c r="C11" s="32" t="n"/>
      <c r="D11" s="32" t="n"/>
      <c r="E11" s="32" t="n"/>
      <c r="F11" s="32" t="n"/>
      <c r="G11" s="17" t="n"/>
      <c r="H11" s="44" t="str">
        <f>IF('每日复盘'!P11="","",'每日复盘'!P11)</f>
        <v/>
      </c>
      <c r="I11" s="17" t="n"/>
      <c r="J11" s="17" t="n"/>
      <c r="K11" s="17" t="n"/>
      <c r="L11" s="44" t="str">
        <f>IF('每日复盘'!R11="","",'每日复盘'!R11)</f>
        <v/>
      </c>
      <c r="M11" s="36" t="str">
        <f>IF(OR(NOT(ISNUMBER(L11)),COUNT(H11:J11)&lt;3),"",IF(OR(AND(L11&gt;=3,H11=0),AND(L11&gt;=4,I11=0),AND(L11&gt;=5,J11=0)),"有断层","连续"))</f>
        <v/>
      </c>
      <c r="N11" s="27" t="n"/>
      <c r="O11" s="45" t="str">
        <f>IF(NOT(ISNUMBER(A11)),"",IF(COUNTIFS('交易记录'!$S$5:$S$304,A11,'交易记录'!$X$5:$X$304,"已平仓")=0,"",SUMIFS('交易记录'!$AB$5:$AB$304,'交易记录'!$S$5:$S$304,A11,'交易记录'!$X$5:$X$304,"已平仓")))</f>
        <v/>
      </c>
      <c r="P11" s="36" t="str">
        <f>IF(NOT(ISNUMBER(O11)),"",IF(O11&lt;=-'参数'!$C$9,"触及停手线",""))</f>
        <v/>
      </c>
      <c r="Q11" s="32" t="n"/>
      <c r="R11" s="32" t="n"/>
      <c r="S11" s="32" t="n"/>
    </row>
    <row r="12">
      <c r="A12" s="42" t="str">
        <f>IF('每日复盘'!A12="","",'每日复盘'!A12)</f>
        <v/>
      </c>
      <c r="B12" s="43" t="str">
        <f>IF('每日复盘'!AA12="","",'每日复盘'!AA12)</f>
        <v/>
      </c>
      <c r="C12" s="32" t="n"/>
      <c r="D12" s="32" t="n"/>
      <c r="E12" s="32" t="n"/>
      <c r="F12" s="32" t="n"/>
      <c r="G12" s="17" t="n"/>
      <c r="H12" s="44" t="str">
        <f>IF('每日复盘'!P12="","",'每日复盘'!P12)</f>
        <v/>
      </c>
      <c r="I12" s="17" t="n"/>
      <c r="J12" s="17" t="n"/>
      <c r="K12" s="17" t="n"/>
      <c r="L12" s="44" t="str">
        <f>IF('每日复盘'!R12="","",'每日复盘'!R12)</f>
        <v/>
      </c>
      <c r="M12" s="36" t="str">
        <f>IF(OR(NOT(ISNUMBER(L12)),COUNT(H12:J12)&lt;3),"",IF(OR(AND(L12&gt;=3,H12=0),AND(L12&gt;=4,I12=0),AND(L12&gt;=5,J12=0)),"有断层","连续"))</f>
        <v/>
      </c>
      <c r="N12" s="27" t="n"/>
      <c r="O12" s="45" t="str">
        <f>IF(NOT(ISNUMBER(A12)),"",IF(COUNTIFS('交易记录'!$S$5:$S$304,A12,'交易记录'!$X$5:$X$304,"已平仓")=0,"",SUMIFS('交易记录'!$AB$5:$AB$304,'交易记录'!$S$5:$S$304,A12,'交易记录'!$X$5:$X$304,"已平仓")))</f>
        <v/>
      </c>
      <c r="P12" s="36" t="str">
        <f>IF(NOT(ISNUMBER(O12)),"",IF(O12&lt;=-'参数'!$C$9,"触及停手线",""))</f>
        <v/>
      </c>
      <c r="Q12" s="32" t="n"/>
      <c r="R12" s="32" t="n"/>
      <c r="S12" s="32" t="n"/>
    </row>
    <row r="13">
      <c r="A13" s="42" t="str">
        <f>IF('每日复盘'!A13="","",'每日复盘'!A13)</f>
        <v/>
      </c>
      <c r="B13" s="43" t="str">
        <f>IF('每日复盘'!AA13="","",'每日复盘'!AA13)</f>
        <v/>
      </c>
      <c r="C13" s="32" t="n"/>
      <c r="D13" s="32" t="n"/>
      <c r="E13" s="32" t="n"/>
      <c r="F13" s="32" t="n"/>
      <c r="G13" s="17" t="n"/>
      <c r="H13" s="44" t="str">
        <f>IF('每日复盘'!P13="","",'每日复盘'!P13)</f>
        <v/>
      </c>
      <c r="I13" s="17" t="n"/>
      <c r="J13" s="17" t="n"/>
      <c r="K13" s="17" t="n"/>
      <c r="L13" s="44" t="str">
        <f>IF('每日复盘'!R13="","",'每日复盘'!R13)</f>
        <v/>
      </c>
      <c r="M13" s="36" t="str">
        <f>IF(OR(NOT(ISNUMBER(L13)),COUNT(H13:J13)&lt;3),"",IF(OR(AND(L13&gt;=3,H13=0),AND(L13&gt;=4,I13=0),AND(L13&gt;=5,J13=0)),"有断层","连续"))</f>
        <v/>
      </c>
      <c r="N13" s="27" t="n"/>
      <c r="O13" s="45" t="str">
        <f>IF(NOT(ISNUMBER(A13)),"",IF(COUNTIFS('交易记录'!$S$5:$S$304,A13,'交易记录'!$X$5:$X$304,"已平仓")=0,"",SUMIFS('交易记录'!$AB$5:$AB$304,'交易记录'!$S$5:$S$304,A13,'交易记录'!$X$5:$X$304,"已平仓")))</f>
        <v/>
      </c>
      <c r="P13" s="36" t="str">
        <f>IF(NOT(ISNUMBER(O13)),"",IF(O13&lt;=-'参数'!$C$9,"触及停手线",""))</f>
        <v/>
      </c>
      <c r="Q13" s="32" t="n"/>
      <c r="R13" s="32" t="n"/>
      <c r="S13" s="32" t="n"/>
    </row>
    <row r="14">
      <c r="A14" s="42" t="str">
        <f>IF('每日复盘'!A14="","",'每日复盘'!A14)</f>
        <v/>
      </c>
      <c r="B14" s="43" t="str">
        <f>IF('每日复盘'!AA14="","",'每日复盘'!AA14)</f>
        <v/>
      </c>
      <c r="C14" s="32" t="n"/>
      <c r="D14" s="32" t="n"/>
      <c r="E14" s="32" t="n"/>
      <c r="F14" s="32" t="n"/>
      <c r="G14" s="17" t="n"/>
      <c r="H14" s="44" t="str">
        <f>IF('每日复盘'!P14="","",'每日复盘'!P14)</f>
        <v/>
      </c>
      <c r="I14" s="17" t="n"/>
      <c r="J14" s="17" t="n"/>
      <c r="K14" s="17" t="n"/>
      <c r="L14" s="44" t="str">
        <f>IF('每日复盘'!R14="","",'每日复盘'!R14)</f>
        <v/>
      </c>
      <c r="M14" s="36" t="str">
        <f>IF(OR(NOT(ISNUMBER(L14)),COUNT(H14:J14)&lt;3),"",IF(OR(AND(L14&gt;=3,H14=0),AND(L14&gt;=4,I14=0),AND(L14&gt;=5,J14=0)),"有断层","连续"))</f>
        <v/>
      </c>
      <c r="N14" s="27" t="n"/>
      <c r="O14" s="45" t="str">
        <f>IF(NOT(ISNUMBER(A14)),"",IF(COUNTIFS('交易记录'!$S$5:$S$304,A14,'交易记录'!$X$5:$X$304,"已平仓")=0,"",SUMIFS('交易记录'!$AB$5:$AB$304,'交易记录'!$S$5:$S$304,A14,'交易记录'!$X$5:$X$304,"已平仓")))</f>
        <v/>
      </c>
      <c r="P14" s="36" t="str">
        <f>IF(NOT(ISNUMBER(O14)),"",IF(O14&lt;=-'参数'!$C$9,"触及停手线",""))</f>
        <v/>
      </c>
      <c r="Q14" s="32" t="n"/>
      <c r="R14" s="32" t="n"/>
      <c r="S14" s="32" t="n"/>
    </row>
    <row r="15">
      <c r="A15" s="42" t="str">
        <f>IF('每日复盘'!A15="","",'每日复盘'!A15)</f>
        <v/>
      </c>
      <c r="B15" s="43" t="str">
        <f>IF('每日复盘'!AA15="","",'每日复盘'!AA15)</f>
        <v/>
      </c>
      <c r="C15" s="32" t="n"/>
      <c r="D15" s="32" t="n"/>
      <c r="E15" s="32" t="n"/>
      <c r="F15" s="32" t="n"/>
      <c r="G15" s="17" t="n"/>
      <c r="H15" s="44" t="str">
        <f>IF('每日复盘'!P15="","",'每日复盘'!P15)</f>
        <v/>
      </c>
      <c r="I15" s="17" t="n"/>
      <c r="J15" s="17" t="n"/>
      <c r="K15" s="17" t="n"/>
      <c r="L15" s="44" t="str">
        <f>IF('每日复盘'!R15="","",'每日复盘'!R15)</f>
        <v/>
      </c>
      <c r="M15" s="36" t="str">
        <f>IF(OR(NOT(ISNUMBER(L15)),COUNT(H15:J15)&lt;3),"",IF(OR(AND(L15&gt;=3,H15=0),AND(L15&gt;=4,I15=0),AND(L15&gt;=5,J15=0)),"有断层","连续"))</f>
        <v/>
      </c>
      <c r="N15" s="27" t="n"/>
      <c r="O15" s="45" t="str">
        <f>IF(NOT(ISNUMBER(A15)),"",IF(COUNTIFS('交易记录'!$S$5:$S$304,A15,'交易记录'!$X$5:$X$304,"已平仓")=0,"",SUMIFS('交易记录'!$AB$5:$AB$304,'交易记录'!$S$5:$S$304,A15,'交易记录'!$X$5:$X$304,"已平仓")))</f>
        <v/>
      </c>
      <c r="P15" s="36" t="str">
        <f>IF(NOT(ISNUMBER(O15)),"",IF(O15&lt;=-'参数'!$C$9,"触及停手线",""))</f>
        <v/>
      </c>
      <c r="Q15" s="32" t="n"/>
      <c r="R15" s="32" t="n"/>
      <c r="S15" s="32" t="n"/>
    </row>
    <row r="16">
      <c r="A16" s="42" t="str">
        <f>IF('每日复盘'!A16="","",'每日复盘'!A16)</f>
        <v/>
      </c>
      <c r="B16" s="43" t="str">
        <f>IF('每日复盘'!AA16="","",'每日复盘'!AA16)</f>
        <v/>
      </c>
      <c r="C16" s="32" t="n"/>
      <c r="D16" s="32" t="n"/>
      <c r="E16" s="32" t="n"/>
      <c r="F16" s="32" t="n"/>
      <c r="G16" s="17" t="n"/>
      <c r="H16" s="44" t="str">
        <f>IF('每日复盘'!P16="","",'每日复盘'!P16)</f>
        <v/>
      </c>
      <c r="I16" s="17" t="n"/>
      <c r="J16" s="17" t="n"/>
      <c r="K16" s="17" t="n"/>
      <c r="L16" s="44" t="str">
        <f>IF('每日复盘'!R16="","",'每日复盘'!R16)</f>
        <v/>
      </c>
      <c r="M16" s="36" t="str">
        <f>IF(OR(NOT(ISNUMBER(L16)),COUNT(H16:J16)&lt;3),"",IF(OR(AND(L16&gt;=3,H16=0),AND(L16&gt;=4,I16=0),AND(L16&gt;=5,J16=0)),"有断层","连续"))</f>
        <v/>
      </c>
      <c r="N16" s="27" t="n"/>
      <c r="O16" s="45" t="str">
        <f>IF(NOT(ISNUMBER(A16)),"",IF(COUNTIFS('交易记录'!$S$5:$S$304,A16,'交易记录'!$X$5:$X$304,"已平仓")=0,"",SUMIFS('交易记录'!$AB$5:$AB$304,'交易记录'!$S$5:$S$304,A16,'交易记录'!$X$5:$X$304,"已平仓")))</f>
        <v/>
      </c>
      <c r="P16" s="36" t="str">
        <f>IF(NOT(ISNUMBER(O16)),"",IF(O16&lt;=-'参数'!$C$9,"触及停手线",""))</f>
        <v/>
      </c>
      <c r="Q16" s="32" t="n"/>
      <c r="R16" s="32" t="n"/>
      <c r="S16" s="32" t="n"/>
    </row>
    <row r="17">
      <c r="A17" s="42" t="str">
        <f>IF('每日复盘'!A17="","",'每日复盘'!A17)</f>
        <v/>
      </c>
      <c r="B17" s="43" t="str">
        <f>IF('每日复盘'!AA17="","",'每日复盘'!AA17)</f>
        <v/>
      </c>
      <c r="C17" s="32" t="n"/>
      <c r="D17" s="32" t="n"/>
      <c r="E17" s="32" t="n"/>
      <c r="F17" s="32" t="n"/>
      <c r="G17" s="17" t="n"/>
      <c r="H17" s="44" t="str">
        <f>IF('每日复盘'!P17="","",'每日复盘'!P17)</f>
        <v/>
      </c>
      <c r="I17" s="17" t="n"/>
      <c r="J17" s="17" t="n"/>
      <c r="K17" s="17" t="n"/>
      <c r="L17" s="44" t="str">
        <f>IF('每日复盘'!R17="","",'每日复盘'!R17)</f>
        <v/>
      </c>
      <c r="M17" s="36" t="str">
        <f>IF(OR(NOT(ISNUMBER(L17)),COUNT(H17:J17)&lt;3),"",IF(OR(AND(L17&gt;=3,H17=0),AND(L17&gt;=4,I17=0),AND(L17&gt;=5,J17=0)),"有断层","连续"))</f>
        <v/>
      </c>
      <c r="N17" s="27" t="n"/>
      <c r="O17" s="45" t="str">
        <f>IF(NOT(ISNUMBER(A17)),"",IF(COUNTIFS('交易记录'!$S$5:$S$304,A17,'交易记录'!$X$5:$X$304,"已平仓")=0,"",SUMIFS('交易记录'!$AB$5:$AB$304,'交易记录'!$S$5:$S$304,A17,'交易记录'!$X$5:$X$304,"已平仓")))</f>
        <v/>
      </c>
      <c r="P17" s="36" t="str">
        <f>IF(NOT(ISNUMBER(O17)),"",IF(O17&lt;=-'参数'!$C$9,"触及停手线",""))</f>
        <v/>
      </c>
      <c r="Q17" s="32" t="n"/>
      <c r="R17" s="32" t="n"/>
      <c r="S17" s="32" t="n"/>
    </row>
    <row r="18">
      <c r="A18" s="42" t="str">
        <f>IF('每日复盘'!A18="","",'每日复盘'!A18)</f>
        <v/>
      </c>
      <c r="B18" s="43" t="str">
        <f>IF('每日复盘'!AA18="","",'每日复盘'!AA18)</f>
        <v/>
      </c>
      <c r="C18" s="32" t="n"/>
      <c r="D18" s="32" t="n"/>
      <c r="E18" s="32" t="n"/>
      <c r="F18" s="32" t="n"/>
      <c r="G18" s="17" t="n"/>
      <c r="H18" s="44" t="str">
        <f>IF('每日复盘'!P18="","",'每日复盘'!P18)</f>
        <v/>
      </c>
      <c r="I18" s="17" t="n"/>
      <c r="J18" s="17" t="n"/>
      <c r="K18" s="17" t="n"/>
      <c r="L18" s="44" t="str">
        <f>IF('每日复盘'!R18="","",'每日复盘'!R18)</f>
        <v/>
      </c>
      <c r="M18" s="36" t="str">
        <f>IF(OR(NOT(ISNUMBER(L18)),COUNT(H18:J18)&lt;3),"",IF(OR(AND(L18&gt;=3,H18=0),AND(L18&gt;=4,I18=0),AND(L18&gt;=5,J18=0)),"有断层","连续"))</f>
        <v/>
      </c>
      <c r="N18" s="27" t="n"/>
      <c r="O18" s="45" t="str">
        <f>IF(NOT(ISNUMBER(A18)),"",IF(COUNTIFS('交易记录'!$S$5:$S$304,A18,'交易记录'!$X$5:$X$304,"已平仓")=0,"",SUMIFS('交易记录'!$AB$5:$AB$304,'交易记录'!$S$5:$S$304,A18,'交易记录'!$X$5:$X$304,"已平仓")))</f>
        <v/>
      </c>
      <c r="P18" s="36" t="str">
        <f>IF(NOT(ISNUMBER(O18)),"",IF(O18&lt;=-'参数'!$C$9,"触及停手线",""))</f>
        <v/>
      </c>
      <c r="Q18" s="32" t="n"/>
      <c r="R18" s="32" t="n"/>
      <c r="S18" s="32" t="n"/>
    </row>
    <row r="19">
      <c r="A19" s="42" t="str">
        <f>IF('每日复盘'!A19="","",'每日复盘'!A19)</f>
        <v/>
      </c>
      <c r="B19" s="43" t="str">
        <f>IF('每日复盘'!AA19="","",'每日复盘'!AA19)</f>
        <v/>
      </c>
      <c r="C19" s="32" t="n"/>
      <c r="D19" s="32" t="n"/>
      <c r="E19" s="32" t="n"/>
      <c r="F19" s="32" t="n"/>
      <c r="G19" s="17" t="n"/>
      <c r="H19" s="44" t="str">
        <f>IF('每日复盘'!P19="","",'每日复盘'!P19)</f>
        <v/>
      </c>
      <c r="I19" s="17" t="n"/>
      <c r="J19" s="17" t="n"/>
      <c r="K19" s="17" t="n"/>
      <c r="L19" s="44" t="str">
        <f>IF('每日复盘'!R19="","",'每日复盘'!R19)</f>
        <v/>
      </c>
      <c r="M19" s="36" t="str">
        <f>IF(OR(NOT(ISNUMBER(L19)),COUNT(H19:J19)&lt;3),"",IF(OR(AND(L19&gt;=3,H19=0),AND(L19&gt;=4,I19=0),AND(L19&gt;=5,J19=0)),"有断层","连续"))</f>
        <v/>
      </c>
      <c r="N19" s="27" t="n"/>
      <c r="O19" s="45" t="str">
        <f>IF(NOT(ISNUMBER(A19)),"",IF(COUNTIFS('交易记录'!$S$5:$S$304,A19,'交易记录'!$X$5:$X$304,"已平仓")=0,"",SUMIFS('交易记录'!$AB$5:$AB$304,'交易记录'!$S$5:$S$304,A19,'交易记录'!$X$5:$X$304,"已平仓")))</f>
        <v/>
      </c>
      <c r="P19" s="36" t="str">
        <f>IF(NOT(ISNUMBER(O19)),"",IF(O19&lt;=-'参数'!$C$9,"触及停手线",""))</f>
        <v/>
      </c>
      <c r="Q19" s="32" t="n"/>
      <c r="R19" s="32" t="n"/>
      <c r="S19" s="32" t="n"/>
    </row>
    <row r="20">
      <c r="A20" s="42" t="str">
        <f>IF('每日复盘'!A20="","",'每日复盘'!A20)</f>
        <v/>
      </c>
      <c r="B20" s="43" t="str">
        <f>IF('每日复盘'!AA20="","",'每日复盘'!AA20)</f>
        <v/>
      </c>
      <c r="C20" s="32" t="n"/>
      <c r="D20" s="32" t="n"/>
      <c r="E20" s="32" t="n"/>
      <c r="F20" s="32" t="n"/>
      <c r="G20" s="17" t="n"/>
      <c r="H20" s="44" t="str">
        <f>IF('每日复盘'!P20="","",'每日复盘'!P20)</f>
        <v/>
      </c>
      <c r="I20" s="17" t="n"/>
      <c r="J20" s="17" t="n"/>
      <c r="K20" s="17" t="n"/>
      <c r="L20" s="44" t="str">
        <f>IF('每日复盘'!R20="","",'每日复盘'!R20)</f>
        <v/>
      </c>
      <c r="M20" s="36" t="str">
        <f>IF(OR(NOT(ISNUMBER(L20)),COUNT(H20:J20)&lt;3),"",IF(OR(AND(L20&gt;=3,H20=0),AND(L20&gt;=4,I20=0),AND(L20&gt;=5,J20=0)),"有断层","连续"))</f>
        <v/>
      </c>
      <c r="N20" s="27" t="n"/>
      <c r="O20" s="45" t="str">
        <f>IF(NOT(ISNUMBER(A20)),"",IF(COUNTIFS('交易记录'!$S$5:$S$304,A20,'交易记录'!$X$5:$X$304,"已平仓")=0,"",SUMIFS('交易记录'!$AB$5:$AB$304,'交易记录'!$S$5:$S$304,A20,'交易记录'!$X$5:$X$304,"已平仓")))</f>
        <v/>
      </c>
      <c r="P20" s="36" t="str">
        <f>IF(NOT(ISNUMBER(O20)),"",IF(O20&lt;=-'参数'!$C$9,"触及停手线",""))</f>
        <v/>
      </c>
      <c r="Q20" s="32" t="n"/>
      <c r="R20" s="32" t="n"/>
      <c r="S20" s="32" t="n"/>
    </row>
    <row r="21">
      <c r="A21" s="42" t="str">
        <f>IF('每日复盘'!A21="","",'每日复盘'!A21)</f>
        <v/>
      </c>
      <c r="B21" s="43" t="str">
        <f>IF('每日复盘'!AA21="","",'每日复盘'!AA21)</f>
        <v/>
      </c>
      <c r="C21" s="32" t="n"/>
      <c r="D21" s="32" t="n"/>
      <c r="E21" s="32" t="n"/>
      <c r="F21" s="32" t="n"/>
      <c r="G21" s="17" t="n"/>
      <c r="H21" s="44" t="str">
        <f>IF('每日复盘'!P21="","",'每日复盘'!P21)</f>
        <v/>
      </c>
      <c r="I21" s="17" t="n"/>
      <c r="J21" s="17" t="n"/>
      <c r="K21" s="17" t="n"/>
      <c r="L21" s="44" t="str">
        <f>IF('每日复盘'!R21="","",'每日复盘'!R21)</f>
        <v/>
      </c>
      <c r="M21" s="36" t="str">
        <f>IF(OR(NOT(ISNUMBER(L21)),COUNT(H21:J21)&lt;3),"",IF(OR(AND(L21&gt;=3,H21=0),AND(L21&gt;=4,I21=0),AND(L21&gt;=5,J21=0)),"有断层","连续"))</f>
        <v/>
      </c>
      <c r="N21" s="27" t="n"/>
      <c r="O21" s="45" t="str">
        <f>IF(NOT(ISNUMBER(A21)),"",IF(COUNTIFS('交易记录'!$S$5:$S$304,A21,'交易记录'!$X$5:$X$304,"已平仓")=0,"",SUMIFS('交易记录'!$AB$5:$AB$304,'交易记录'!$S$5:$S$304,A21,'交易记录'!$X$5:$X$304,"已平仓")))</f>
        <v/>
      </c>
      <c r="P21" s="36" t="str">
        <f>IF(NOT(ISNUMBER(O21)),"",IF(O21&lt;=-'参数'!$C$9,"触及停手线",""))</f>
        <v/>
      </c>
      <c r="Q21" s="32" t="n"/>
      <c r="R21" s="32" t="n"/>
      <c r="S21" s="32" t="n"/>
    </row>
    <row r="22">
      <c r="A22" s="42" t="str">
        <f>IF('每日复盘'!A22="","",'每日复盘'!A22)</f>
        <v/>
      </c>
      <c r="B22" s="43" t="str">
        <f>IF('每日复盘'!AA22="","",'每日复盘'!AA22)</f>
        <v/>
      </c>
      <c r="C22" s="32" t="n"/>
      <c r="D22" s="32" t="n"/>
      <c r="E22" s="32" t="n"/>
      <c r="F22" s="32" t="n"/>
      <c r="G22" s="17" t="n"/>
      <c r="H22" s="44" t="str">
        <f>IF('每日复盘'!P22="","",'每日复盘'!P22)</f>
        <v/>
      </c>
      <c r="I22" s="17" t="n"/>
      <c r="J22" s="17" t="n"/>
      <c r="K22" s="17" t="n"/>
      <c r="L22" s="44" t="str">
        <f>IF('每日复盘'!R22="","",'每日复盘'!R22)</f>
        <v/>
      </c>
      <c r="M22" s="36" t="str">
        <f>IF(OR(NOT(ISNUMBER(L22)),COUNT(H22:J22)&lt;3),"",IF(OR(AND(L22&gt;=3,H22=0),AND(L22&gt;=4,I22=0),AND(L22&gt;=5,J22=0)),"有断层","连续"))</f>
        <v/>
      </c>
      <c r="N22" s="27" t="n"/>
      <c r="O22" s="45" t="str">
        <f>IF(NOT(ISNUMBER(A22)),"",IF(COUNTIFS('交易记录'!$S$5:$S$304,A22,'交易记录'!$X$5:$X$304,"已平仓")=0,"",SUMIFS('交易记录'!$AB$5:$AB$304,'交易记录'!$S$5:$S$304,A22,'交易记录'!$X$5:$X$304,"已平仓")))</f>
        <v/>
      </c>
      <c r="P22" s="36" t="str">
        <f>IF(NOT(ISNUMBER(O22)),"",IF(O22&lt;=-'参数'!$C$9,"触及停手线",""))</f>
        <v/>
      </c>
      <c r="Q22" s="32" t="n"/>
      <c r="R22" s="32" t="n"/>
      <c r="S22" s="32" t="n"/>
    </row>
    <row r="23">
      <c r="A23" s="42" t="str">
        <f>IF('每日复盘'!A23="","",'每日复盘'!A23)</f>
        <v/>
      </c>
      <c r="B23" s="43" t="str">
        <f>IF('每日复盘'!AA23="","",'每日复盘'!AA23)</f>
        <v/>
      </c>
      <c r="C23" s="32" t="n"/>
      <c r="D23" s="32" t="n"/>
      <c r="E23" s="32" t="n"/>
      <c r="F23" s="32" t="n"/>
      <c r="G23" s="17" t="n"/>
      <c r="H23" s="44" t="str">
        <f>IF('每日复盘'!P23="","",'每日复盘'!P23)</f>
        <v/>
      </c>
      <c r="I23" s="17" t="n"/>
      <c r="J23" s="17" t="n"/>
      <c r="K23" s="17" t="n"/>
      <c r="L23" s="44" t="str">
        <f>IF('每日复盘'!R23="","",'每日复盘'!R23)</f>
        <v/>
      </c>
      <c r="M23" s="36" t="str">
        <f>IF(OR(NOT(ISNUMBER(L23)),COUNT(H23:J23)&lt;3),"",IF(OR(AND(L23&gt;=3,H23=0),AND(L23&gt;=4,I23=0),AND(L23&gt;=5,J23=0)),"有断层","连续"))</f>
        <v/>
      </c>
      <c r="N23" s="27" t="n"/>
      <c r="O23" s="45" t="str">
        <f>IF(NOT(ISNUMBER(A23)),"",IF(COUNTIFS('交易记录'!$S$5:$S$304,A23,'交易记录'!$X$5:$X$304,"已平仓")=0,"",SUMIFS('交易记录'!$AB$5:$AB$304,'交易记录'!$S$5:$S$304,A23,'交易记录'!$X$5:$X$304,"已平仓")))</f>
        <v/>
      </c>
      <c r="P23" s="36" t="str">
        <f>IF(NOT(ISNUMBER(O23)),"",IF(O23&lt;=-'参数'!$C$9,"触及停手线",""))</f>
        <v/>
      </c>
      <c r="Q23" s="32" t="n"/>
      <c r="R23" s="32" t="n"/>
      <c r="S23" s="32" t="n"/>
    </row>
    <row r="24">
      <c r="A24" s="42" t="str">
        <f>IF('每日复盘'!A24="","",'每日复盘'!A24)</f>
        <v/>
      </c>
      <c r="B24" s="43" t="str">
        <f>IF('每日复盘'!AA24="","",'每日复盘'!AA24)</f>
        <v/>
      </c>
      <c r="C24" s="32" t="n"/>
      <c r="D24" s="32" t="n"/>
      <c r="E24" s="32" t="n"/>
      <c r="F24" s="32" t="n"/>
      <c r="G24" s="17" t="n"/>
      <c r="H24" s="44" t="str">
        <f>IF('每日复盘'!P24="","",'每日复盘'!P24)</f>
        <v/>
      </c>
      <c r="I24" s="17" t="n"/>
      <c r="J24" s="17" t="n"/>
      <c r="K24" s="17" t="n"/>
      <c r="L24" s="44" t="str">
        <f>IF('每日复盘'!R24="","",'每日复盘'!R24)</f>
        <v/>
      </c>
      <c r="M24" s="36" t="str">
        <f>IF(OR(NOT(ISNUMBER(L24)),COUNT(H24:J24)&lt;3),"",IF(OR(AND(L24&gt;=3,H24=0),AND(L24&gt;=4,I24=0),AND(L24&gt;=5,J24=0)),"有断层","连续"))</f>
        <v/>
      </c>
      <c r="N24" s="27" t="n"/>
      <c r="O24" s="45" t="str">
        <f>IF(NOT(ISNUMBER(A24)),"",IF(COUNTIFS('交易记录'!$S$5:$S$304,A24,'交易记录'!$X$5:$X$304,"已平仓")=0,"",SUMIFS('交易记录'!$AB$5:$AB$304,'交易记录'!$S$5:$S$304,A24,'交易记录'!$X$5:$X$304,"已平仓")))</f>
        <v/>
      </c>
      <c r="P24" s="36" t="str">
        <f>IF(NOT(ISNUMBER(O24)),"",IF(O24&lt;=-'参数'!$C$9,"触及停手线",""))</f>
        <v/>
      </c>
      <c r="Q24" s="32" t="n"/>
      <c r="R24" s="32" t="n"/>
      <c r="S24" s="32" t="n"/>
    </row>
    <row r="25">
      <c r="A25" s="42" t="str">
        <f>IF('每日复盘'!A25="","",'每日复盘'!A25)</f>
        <v/>
      </c>
      <c r="B25" s="43" t="str">
        <f>IF('每日复盘'!AA25="","",'每日复盘'!AA25)</f>
        <v/>
      </c>
      <c r="C25" s="32" t="n"/>
      <c r="D25" s="32" t="n"/>
      <c r="E25" s="32" t="n"/>
      <c r="F25" s="32" t="n"/>
      <c r="G25" s="17" t="n"/>
      <c r="H25" s="44" t="str">
        <f>IF('每日复盘'!P25="","",'每日复盘'!P25)</f>
        <v/>
      </c>
      <c r="I25" s="17" t="n"/>
      <c r="J25" s="17" t="n"/>
      <c r="K25" s="17" t="n"/>
      <c r="L25" s="44" t="str">
        <f>IF('每日复盘'!R25="","",'每日复盘'!R25)</f>
        <v/>
      </c>
      <c r="M25" s="36" t="str">
        <f>IF(OR(NOT(ISNUMBER(L25)),COUNT(H25:J25)&lt;3),"",IF(OR(AND(L25&gt;=3,H25=0),AND(L25&gt;=4,I25=0),AND(L25&gt;=5,J25=0)),"有断层","连续"))</f>
        <v/>
      </c>
      <c r="N25" s="27" t="n"/>
      <c r="O25" s="45" t="str">
        <f>IF(NOT(ISNUMBER(A25)),"",IF(COUNTIFS('交易记录'!$S$5:$S$304,A25,'交易记录'!$X$5:$X$304,"已平仓")=0,"",SUMIFS('交易记录'!$AB$5:$AB$304,'交易记录'!$S$5:$S$304,A25,'交易记录'!$X$5:$X$304,"已平仓")))</f>
        <v/>
      </c>
      <c r="P25" s="36" t="str">
        <f>IF(NOT(ISNUMBER(O25)),"",IF(O25&lt;=-'参数'!$C$9,"触及停手线",""))</f>
        <v/>
      </c>
      <c r="Q25" s="32" t="n"/>
      <c r="R25" s="32" t="n"/>
      <c r="S25" s="32" t="n"/>
    </row>
    <row r="26">
      <c r="A26" s="42" t="str">
        <f>IF('每日复盘'!A26="","",'每日复盘'!A26)</f>
        <v/>
      </c>
      <c r="B26" s="43" t="str">
        <f>IF('每日复盘'!AA26="","",'每日复盘'!AA26)</f>
        <v/>
      </c>
      <c r="C26" s="32" t="n"/>
      <c r="D26" s="32" t="n"/>
      <c r="E26" s="32" t="n"/>
      <c r="F26" s="32" t="n"/>
      <c r="G26" s="17" t="n"/>
      <c r="H26" s="44" t="str">
        <f>IF('每日复盘'!P26="","",'每日复盘'!P26)</f>
        <v/>
      </c>
      <c r="I26" s="17" t="n"/>
      <c r="J26" s="17" t="n"/>
      <c r="K26" s="17" t="n"/>
      <c r="L26" s="44" t="str">
        <f>IF('每日复盘'!R26="","",'每日复盘'!R26)</f>
        <v/>
      </c>
      <c r="M26" s="36" t="str">
        <f>IF(OR(NOT(ISNUMBER(L26)),COUNT(H26:J26)&lt;3),"",IF(OR(AND(L26&gt;=3,H26=0),AND(L26&gt;=4,I26=0),AND(L26&gt;=5,J26=0)),"有断层","连续"))</f>
        <v/>
      </c>
      <c r="N26" s="27" t="n"/>
      <c r="O26" s="45" t="str">
        <f>IF(NOT(ISNUMBER(A26)),"",IF(COUNTIFS('交易记录'!$S$5:$S$304,A26,'交易记录'!$X$5:$X$304,"已平仓")=0,"",SUMIFS('交易记录'!$AB$5:$AB$304,'交易记录'!$S$5:$S$304,A26,'交易记录'!$X$5:$X$304,"已平仓")))</f>
        <v/>
      </c>
      <c r="P26" s="36" t="str">
        <f>IF(NOT(ISNUMBER(O26)),"",IF(O26&lt;=-'参数'!$C$9,"触及停手线",""))</f>
        <v/>
      </c>
      <c r="Q26" s="32" t="n"/>
      <c r="R26" s="32" t="n"/>
      <c r="S26" s="32" t="n"/>
    </row>
    <row r="27">
      <c r="A27" s="42" t="str">
        <f>IF('每日复盘'!A27="","",'每日复盘'!A27)</f>
        <v/>
      </c>
      <c r="B27" s="43" t="str">
        <f>IF('每日复盘'!AA27="","",'每日复盘'!AA27)</f>
        <v/>
      </c>
      <c r="C27" s="32" t="n"/>
      <c r="D27" s="32" t="n"/>
      <c r="E27" s="32" t="n"/>
      <c r="F27" s="32" t="n"/>
      <c r="G27" s="17" t="n"/>
      <c r="H27" s="44" t="str">
        <f>IF('每日复盘'!P27="","",'每日复盘'!P27)</f>
        <v/>
      </c>
      <c r="I27" s="17" t="n"/>
      <c r="J27" s="17" t="n"/>
      <c r="K27" s="17" t="n"/>
      <c r="L27" s="44" t="str">
        <f>IF('每日复盘'!R27="","",'每日复盘'!R27)</f>
        <v/>
      </c>
      <c r="M27" s="36" t="str">
        <f>IF(OR(NOT(ISNUMBER(L27)),COUNT(H27:J27)&lt;3),"",IF(OR(AND(L27&gt;=3,H27=0),AND(L27&gt;=4,I27=0),AND(L27&gt;=5,J27=0)),"有断层","连续"))</f>
        <v/>
      </c>
      <c r="N27" s="27" t="n"/>
      <c r="O27" s="45" t="str">
        <f>IF(NOT(ISNUMBER(A27)),"",IF(COUNTIFS('交易记录'!$S$5:$S$304,A27,'交易记录'!$X$5:$X$304,"已平仓")=0,"",SUMIFS('交易记录'!$AB$5:$AB$304,'交易记录'!$S$5:$S$304,A27,'交易记录'!$X$5:$X$304,"已平仓")))</f>
        <v/>
      </c>
      <c r="P27" s="36" t="str">
        <f>IF(NOT(ISNUMBER(O27)),"",IF(O27&lt;=-'参数'!$C$9,"触及停手线",""))</f>
        <v/>
      </c>
      <c r="Q27" s="32" t="n"/>
      <c r="R27" s="32" t="n"/>
      <c r="S27" s="32" t="n"/>
    </row>
    <row r="28">
      <c r="A28" s="42" t="str">
        <f>IF('每日复盘'!A28="","",'每日复盘'!A28)</f>
        <v/>
      </c>
      <c r="B28" s="43" t="str">
        <f>IF('每日复盘'!AA28="","",'每日复盘'!AA28)</f>
        <v/>
      </c>
      <c r="C28" s="32" t="n"/>
      <c r="D28" s="32" t="n"/>
      <c r="E28" s="32" t="n"/>
      <c r="F28" s="32" t="n"/>
      <c r="G28" s="17" t="n"/>
      <c r="H28" s="44" t="str">
        <f>IF('每日复盘'!P28="","",'每日复盘'!P28)</f>
        <v/>
      </c>
      <c r="I28" s="17" t="n"/>
      <c r="J28" s="17" t="n"/>
      <c r="K28" s="17" t="n"/>
      <c r="L28" s="44" t="str">
        <f>IF('每日复盘'!R28="","",'每日复盘'!R28)</f>
        <v/>
      </c>
      <c r="M28" s="36" t="str">
        <f>IF(OR(NOT(ISNUMBER(L28)),COUNT(H28:J28)&lt;3),"",IF(OR(AND(L28&gt;=3,H28=0),AND(L28&gt;=4,I28=0),AND(L28&gt;=5,J28=0)),"有断层","连续"))</f>
        <v/>
      </c>
      <c r="N28" s="27" t="n"/>
      <c r="O28" s="45" t="str">
        <f>IF(NOT(ISNUMBER(A28)),"",IF(COUNTIFS('交易记录'!$S$5:$S$304,A28,'交易记录'!$X$5:$X$304,"已平仓")=0,"",SUMIFS('交易记录'!$AB$5:$AB$304,'交易记录'!$S$5:$S$304,A28,'交易记录'!$X$5:$X$304,"已平仓")))</f>
        <v/>
      </c>
      <c r="P28" s="36" t="str">
        <f>IF(NOT(ISNUMBER(O28)),"",IF(O28&lt;=-'参数'!$C$9,"触及停手线",""))</f>
        <v/>
      </c>
      <c r="Q28" s="32" t="n"/>
      <c r="R28" s="32" t="n"/>
      <c r="S28" s="32" t="n"/>
    </row>
    <row r="29">
      <c r="A29" s="42" t="str">
        <f>IF('每日复盘'!A29="","",'每日复盘'!A29)</f>
        <v/>
      </c>
      <c r="B29" s="43" t="str">
        <f>IF('每日复盘'!AA29="","",'每日复盘'!AA29)</f>
        <v/>
      </c>
      <c r="C29" s="32" t="n"/>
      <c r="D29" s="32" t="n"/>
      <c r="E29" s="32" t="n"/>
      <c r="F29" s="32" t="n"/>
      <c r="G29" s="17" t="n"/>
      <c r="H29" s="44" t="str">
        <f>IF('每日复盘'!P29="","",'每日复盘'!P29)</f>
        <v/>
      </c>
      <c r="I29" s="17" t="n"/>
      <c r="J29" s="17" t="n"/>
      <c r="K29" s="17" t="n"/>
      <c r="L29" s="44" t="str">
        <f>IF('每日复盘'!R29="","",'每日复盘'!R29)</f>
        <v/>
      </c>
      <c r="M29" s="36" t="str">
        <f>IF(OR(NOT(ISNUMBER(L29)),COUNT(H29:J29)&lt;3),"",IF(OR(AND(L29&gt;=3,H29=0),AND(L29&gt;=4,I29=0),AND(L29&gt;=5,J29=0)),"有断层","连续"))</f>
        <v/>
      </c>
      <c r="N29" s="27" t="n"/>
      <c r="O29" s="45" t="str">
        <f>IF(NOT(ISNUMBER(A29)),"",IF(COUNTIFS('交易记录'!$S$5:$S$304,A29,'交易记录'!$X$5:$X$304,"已平仓")=0,"",SUMIFS('交易记录'!$AB$5:$AB$304,'交易记录'!$S$5:$S$304,A29,'交易记录'!$X$5:$X$304,"已平仓")))</f>
        <v/>
      </c>
      <c r="P29" s="36" t="str">
        <f>IF(NOT(ISNUMBER(O29)),"",IF(O29&lt;=-'参数'!$C$9,"触及停手线",""))</f>
        <v/>
      </c>
      <c r="Q29" s="32" t="n"/>
      <c r="R29" s="32" t="n"/>
      <c r="S29" s="32" t="n"/>
    </row>
    <row r="30">
      <c r="A30" s="42" t="str">
        <f>IF('每日复盘'!A30="","",'每日复盘'!A30)</f>
        <v/>
      </c>
      <c r="B30" s="43" t="str">
        <f>IF('每日复盘'!AA30="","",'每日复盘'!AA30)</f>
        <v/>
      </c>
      <c r="C30" s="32" t="n"/>
      <c r="D30" s="32" t="n"/>
      <c r="E30" s="32" t="n"/>
      <c r="F30" s="32" t="n"/>
      <c r="G30" s="17" t="n"/>
      <c r="H30" s="44" t="str">
        <f>IF('每日复盘'!P30="","",'每日复盘'!P30)</f>
        <v/>
      </c>
      <c r="I30" s="17" t="n"/>
      <c r="J30" s="17" t="n"/>
      <c r="K30" s="17" t="n"/>
      <c r="L30" s="44" t="str">
        <f>IF('每日复盘'!R30="","",'每日复盘'!R30)</f>
        <v/>
      </c>
      <c r="M30" s="36" t="str">
        <f>IF(OR(NOT(ISNUMBER(L30)),COUNT(H30:J30)&lt;3),"",IF(OR(AND(L30&gt;=3,H30=0),AND(L30&gt;=4,I30=0),AND(L30&gt;=5,J30=0)),"有断层","连续"))</f>
        <v/>
      </c>
      <c r="N30" s="27" t="n"/>
      <c r="O30" s="45" t="str">
        <f>IF(NOT(ISNUMBER(A30)),"",IF(COUNTIFS('交易记录'!$S$5:$S$304,A30,'交易记录'!$X$5:$X$304,"已平仓")=0,"",SUMIFS('交易记录'!$AB$5:$AB$304,'交易记录'!$S$5:$S$304,A30,'交易记录'!$X$5:$X$304,"已平仓")))</f>
        <v/>
      </c>
      <c r="P30" s="36" t="str">
        <f>IF(NOT(ISNUMBER(O30)),"",IF(O30&lt;=-'参数'!$C$9,"触及停手线",""))</f>
        <v/>
      </c>
      <c r="Q30" s="32" t="n"/>
      <c r="R30" s="32" t="n"/>
      <c r="S30" s="32" t="n"/>
    </row>
    <row r="31">
      <c r="A31" s="42" t="str">
        <f>IF('每日复盘'!A31="","",'每日复盘'!A31)</f>
        <v/>
      </c>
      <c r="B31" s="43" t="str">
        <f>IF('每日复盘'!AA31="","",'每日复盘'!AA31)</f>
        <v/>
      </c>
      <c r="C31" s="32" t="n"/>
      <c r="D31" s="32" t="n"/>
      <c r="E31" s="32" t="n"/>
      <c r="F31" s="32" t="n"/>
      <c r="G31" s="17" t="n"/>
      <c r="H31" s="44" t="str">
        <f>IF('每日复盘'!P31="","",'每日复盘'!P31)</f>
        <v/>
      </c>
      <c r="I31" s="17" t="n"/>
      <c r="J31" s="17" t="n"/>
      <c r="K31" s="17" t="n"/>
      <c r="L31" s="44" t="str">
        <f>IF('每日复盘'!R31="","",'每日复盘'!R31)</f>
        <v/>
      </c>
      <c r="M31" s="36" t="str">
        <f>IF(OR(NOT(ISNUMBER(L31)),COUNT(H31:J31)&lt;3),"",IF(OR(AND(L31&gt;=3,H31=0),AND(L31&gt;=4,I31=0),AND(L31&gt;=5,J31=0)),"有断层","连续"))</f>
        <v/>
      </c>
      <c r="N31" s="27" t="n"/>
      <c r="O31" s="45" t="str">
        <f>IF(NOT(ISNUMBER(A31)),"",IF(COUNTIFS('交易记录'!$S$5:$S$304,A31,'交易记录'!$X$5:$X$304,"已平仓")=0,"",SUMIFS('交易记录'!$AB$5:$AB$304,'交易记录'!$S$5:$S$304,A31,'交易记录'!$X$5:$X$304,"已平仓")))</f>
        <v/>
      </c>
      <c r="P31" s="36" t="str">
        <f>IF(NOT(ISNUMBER(O31)),"",IF(O31&lt;=-'参数'!$C$9,"触及停手线",""))</f>
        <v/>
      </c>
      <c r="Q31" s="32" t="n"/>
      <c r="R31" s="32" t="n"/>
      <c r="S31" s="32" t="n"/>
    </row>
    <row r="32">
      <c r="A32" s="42" t="str">
        <f>IF('每日复盘'!A32="","",'每日复盘'!A32)</f>
        <v/>
      </c>
      <c r="B32" s="43" t="str">
        <f>IF('每日复盘'!AA32="","",'每日复盘'!AA32)</f>
        <v/>
      </c>
      <c r="C32" s="32" t="n"/>
      <c r="D32" s="32" t="n"/>
      <c r="E32" s="32" t="n"/>
      <c r="F32" s="32" t="n"/>
      <c r="G32" s="17" t="n"/>
      <c r="H32" s="44" t="str">
        <f>IF('每日复盘'!P32="","",'每日复盘'!P32)</f>
        <v/>
      </c>
      <c r="I32" s="17" t="n"/>
      <c r="J32" s="17" t="n"/>
      <c r="K32" s="17" t="n"/>
      <c r="L32" s="44" t="str">
        <f>IF('每日复盘'!R32="","",'每日复盘'!R32)</f>
        <v/>
      </c>
      <c r="M32" s="36" t="str">
        <f>IF(OR(NOT(ISNUMBER(L32)),COUNT(H32:J32)&lt;3),"",IF(OR(AND(L32&gt;=3,H32=0),AND(L32&gt;=4,I32=0),AND(L32&gt;=5,J32=0)),"有断层","连续"))</f>
        <v/>
      </c>
      <c r="N32" s="27" t="n"/>
      <c r="O32" s="45" t="str">
        <f>IF(NOT(ISNUMBER(A32)),"",IF(COUNTIFS('交易记录'!$S$5:$S$304,A32,'交易记录'!$X$5:$X$304,"已平仓")=0,"",SUMIFS('交易记录'!$AB$5:$AB$304,'交易记录'!$S$5:$S$304,A32,'交易记录'!$X$5:$X$304,"已平仓")))</f>
        <v/>
      </c>
      <c r="P32" s="36" t="str">
        <f>IF(NOT(ISNUMBER(O32)),"",IF(O32&lt;=-'参数'!$C$9,"触及停手线",""))</f>
        <v/>
      </c>
      <c r="Q32" s="32" t="n"/>
      <c r="R32" s="32" t="n"/>
      <c r="S32" s="32" t="n"/>
    </row>
    <row r="33">
      <c r="A33" s="42" t="str">
        <f>IF('每日复盘'!A33="","",'每日复盘'!A33)</f>
        <v/>
      </c>
      <c r="B33" s="43" t="str">
        <f>IF('每日复盘'!AA33="","",'每日复盘'!AA33)</f>
        <v/>
      </c>
      <c r="C33" s="32" t="n"/>
      <c r="D33" s="32" t="n"/>
      <c r="E33" s="32" t="n"/>
      <c r="F33" s="32" t="n"/>
      <c r="G33" s="17" t="n"/>
      <c r="H33" s="44" t="str">
        <f>IF('每日复盘'!P33="","",'每日复盘'!P33)</f>
        <v/>
      </c>
      <c r="I33" s="17" t="n"/>
      <c r="J33" s="17" t="n"/>
      <c r="K33" s="17" t="n"/>
      <c r="L33" s="44" t="str">
        <f>IF('每日复盘'!R33="","",'每日复盘'!R33)</f>
        <v/>
      </c>
      <c r="M33" s="36" t="str">
        <f>IF(OR(NOT(ISNUMBER(L33)),COUNT(H33:J33)&lt;3),"",IF(OR(AND(L33&gt;=3,H33=0),AND(L33&gt;=4,I33=0),AND(L33&gt;=5,J33=0)),"有断层","连续"))</f>
        <v/>
      </c>
      <c r="N33" s="27" t="n"/>
      <c r="O33" s="45" t="str">
        <f>IF(NOT(ISNUMBER(A33)),"",IF(COUNTIFS('交易记录'!$S$5:$S$304,A33,'交易记录'!$X$5:$X$304,"已平仓")=0,"",SUMIFS('交易记录'!$AB$5:$AB$304,'交易记录'!$S$5:$S$304,A33,'交易记录'!$X$5:$X$304,"已平仓")))</f>
        <v/>
      </c>
      <c r="P33" s="36" t="str">
        <f>IF(NOT(ISNUMBER(O33)),"",IF(O33&lt;=-'参数'!$C$9,"触及停手线",""))</f>
        <v/>
      </c>
      <c r="Q33" s="32" t="n"/>
      <c r="R33" s="32" t="n"/>
      <c r="S33" s="32" t="n"/>
    </row>
    <row r="34">
      <c r="A34" s="42" t="str">
        <f>IF('每日复盘'!A34="","",'每日复盘'!A34)</f>
        <v/>
      </c>
      <c r="B34" s="43" t="str">
        <f>IF('每日复盘'!AA34="","",'每日复盘'!AA34)</f>
        <v/>
      </c>
      <c r="C34" s="32" t="n"/>
      <c r="D34" s="32" t="n"/>
      <c r="E34" s="32" t="n"/>
      <c r="F34" s="32" t="n"/>
      <c r="G34" s="17" t="n"/>
      <c r="H34" s="44" t="str">
        <f>IF('每日复盘'!P34="","",'每日复盘'!P34)</f>
        <v/>
      </c>
      <c r="I34" s="17" t="n"/>
      <c r="J34" s="17" t="n"/>
      <c r="K34" s="17" t="n"/>
      <c r="L34" s="44" t="str">
        <f>IF('每日复盘'!R34="","",'每日复盘'!R34)</f>
        <v/>
      </c>
      <c r="M34" s="36" t="str">
        <f>IF(OR(NOT(ISNUMBER(L34)),COUNT(H34:J34)&lt;3),"",IF(OR(AND(L34&gt;=3,H34=0),AND(L34&gt;=4,I34=0),AND(L34&gt;=5,J34=0)),"有断层","连续"))</f>
        <v/>
      </c>
      <c r="N34" s="27" t="n"/>
      <c r="O34" s="45" t="str">
        <f>IF(NOT(ISNUMBER(A34)),"",IF(COUNTIFS('交易记录'!$S$5:$S$304,A34,'交易记录'!$X$5:$X$304,"已平仓")=0,"",SUMIFS('交易记录'!$AB$5:$AB$304,'交易记录'!$S$5:$S$304,A34,'交易记录'!$X$5:$X$304,"已平仓")))</f>
        <v/>
      </c>
      <c r="P34" s="36" t="str">
        <f>IF(NOT(ISNUMBER(O34)),"",IF(O34&lt;=-'参数'!$C$9,"触及停手线",""))</f>
        <v/>
      </c>
      <c r="Q34" s="32" t="n"/>
      <c r="R34" s="32" t="n"/>
      <c r="S34" s="32" t="n"/>
    </row>
    <row r="35">
      <c r="A35" s="42" t="str">
        <f>IF('每日复盘'!A35="","",'每日复盘'!A35)</f>
        <v/>
      </c>
      <c r="B35" s="43" t="str">
        <f>IF('每日复盘'!AA35="","",'每日复盘'!AA35)</f>
        <v/>
      </c>
      <c r="C35" s="32" t="n"/>
      <c r="D35" s="32" t="n"/>
      <c r="E35" s="32" t="n"/>
      <c r="F35" s="32" t="n"/>
      <c r="G35" s="17" t="n"/>
      <c r="H35" s="44" t="str">
        <f>IF('每日复盘'!P35="","",'每日复盘'!P35)</f>
        <v/>
      </c>
      <c r="I35" s="17" t="n"/>
      <c r="J35" s="17" t="n"/>
      <c r="K35" s="17" t="n"/>
      <c r="L35" s="44" t="str">
        <f>IF('每日复盘'!R35="","",'每日复盘'!R35)</f>
        <v/>
      </c>
      <c r="M35" s="36" t="str">
        <f>IF(OR(NOT(ISNUMBER(L35)),COUNT(H35:J35)&lt;3),"",IF(OR(AND(L35&gt;=3,H35=0),AND(L35&gt;=4,I35=0),AND(L35&gt;=5,J35=0)),"有断层","连续"))</f>
        <v/>
      </c>
      <c r="N35" s="27" t="n"/>
      <c r="O35" s="45" t="str">
        <f>IF(NOT(ISNUMBER(A35)),"",IF(COUNTIFS('交易记录'!$S$5:$S$304,A35,'交易记录'!$X$5:$X$304,"已平仓")=0,"",SUMIFS('交易记录'!$AB$5:$AB$304,'交易记录'!$S$5:$S$304,A35,'交易记录'!$X$5:$X$304,"已平仓")))</f>
        <v/>
      </c>
      <c r="P35" s="36" t="str">
        <f>IF(NOT(ISNUMBER(O35)),"",IF(O35&lt;=-'参数'!$C$9,"触及停手线",""))</f>
        <v/>
      </c>
      <c r="Q35" s="32" t="n"/>
      <c r="R35" s="32" t="n"/>
      <c r="S35" s="32" t="n"/>
    </row>
    <row r="36">
      <c r="A36" s="42" t="str">
        <f>IF('每日复盘'!A36="","",'每日复盘'!A36)</f>
        <v/>
      </c>
      <c r="B36" s="43" t="str">
        <f>IF('每日复盘'!AA36="","",'每日复盘'!AA36)</f>
        <v/>
      </c>
      <c r="C36" s="32" t="n"/>
      <c r="D36" s="32" t="n"/>
      <c r="E36" s="32" t="n"/>
      <c r="F36" s="32" t="n"/>
      <c r="G36" s="17" t="n"/>
      <c r="H36" s="44" t="str">
        <f>IF('每日复盘'!P36="","",'每日复盘'!P36)</f>
        <v/>
      </c>
      <c r="I36" s="17" t="n"/>
      <c r="J36" s="17" t="n"/>
      <c r="K36" s="17" t="n"/>
      <c r="L36" s="44" t="str">
        <f>IF('每日复盘'!R36="","",'每日复盘'!R36)</f>
        <v/>
      </c>
      <c r="M36" s="36" t="str">
        <f>IF(OR(NOT(ISNUMBER(L36)),COUNT(H36:J36)&lt;3),"",IF(OR(AND(L36&gt;=3,H36=0),AND(L36&gt;=4,I36=0),AND(L36&gt;=5,J36=0)),"有断层","连续"))</f>
        <v/>
      </c>
      <c r="N36" s="27" t="n"/>
      <c r="O36" s="45" t="str">
        <f>IF(NOT(ISNUMBER(A36)),"",IF(COUNTIFS('交易记录'!$S$5:$S$304,A36,'交易记录'!$X$5:$X$304,"已平仓")=0,"",SUMIFS('交易记录'!$AB$5:$AB$304,'交易记录'!$S$5:$S$304,A36,'交易记录'!$X$5:$X$304,"已平仓")))</f>
        <v/>
      </c>
      <c r="P36" s="36" t="str">
        <f>IF(NOT(ISNUMBER(O36)),"",IF(O36&lt;=-'参数'!$C$9,"触及停手线",""))</f>
        <v/>
      </c>
      <c r="Q36" s="32" t="n"/>
      <c r="R36" s="32" t="n"/>
      <c r="S36" s="32" t="n"/>
    </row>
    <row r="37">
      <c r="A37" s="42" t="str">
        <f>IF('每日复盘'!A37="","",'每日复盘'!A37)</f>
        <v/>
      </c>
      <c r="B37" s="43" t="str">
        <f>IF('每日复盘'!AA37="","",'每日复盘'!AA37)</f>
        <v/>
      </c>
      <c r="C37" s="32" t="n"/>
      <c r="D37" s="32" t="n"/>
      <c r="E37" s="32" t="n"/>
      <c r="F37" s="32" t="n"/>
      <c r="G37" s="17" t="n"/>
      <c r="H37" s="44" t="str">
        <f>IF('每日复盘'!P37="","",'每日复盘'!P37)</f>
        <v/>
      </c>
      <c r="I37" s="17" t="n"/>
      <c r="J37" s="17" t="n"/>
      <c r="K37" s="17" t="n"/>
      <c r="L37" s="44" t="str">
        <f>IF('每日复盘'!R37="","",'每日复盘'!R37)</f>
        <v/>
      </c>
      <c r="M37" s="36" t="str">
        <f>IF(OR(NOT(ISNUMBER(L37)),COUNT(H37:J37)&lt;3),"",IF(OR(AND(L37&gt;=3,H37=0),AND(L37&gt;=4,I37=0),AND(L37&gt;=5,J37=0)),"有断层","连续"))</f>
        <v/>
      </c>
      <c r="N37" s="27" t="n"/>
      <c r="O37" s="45" t="str">
        <f>IF(NOT(ISNUMBER(A37)),"",IF(COUNTIFS('交易记录'!$S$5:$S$304,A37,'交易记录'!$X$5:$X$304,"已平仓")=0,"",SUMIFS('交易记录'!$AB$5:$AB$304,'交易记录'!$S$5:$S$304,A37,'交易记录'!$X$5:$X$304,"已平仓")))</f>
        <v/>
      </c>
      <c r="P37" s="36" t="str">
        <f>IF(NOT(ISNUMBER(O37)),"",IF(O37&lt;=-'参数'!$C$9,"触及停手线",""))</f>
        <v/>
      </c>
      <c r="Q37" s="32" t="n"/>
      <c r="R37" s="32" t="n"/>
      <c r="S37" s="32" t="n"/>
    </row>
    <row r="38">
      <c r="A38" s="42" t="str">
        <f>IF('每日复盘'!A38="","",'每日复盘'!A38)</f>
        <v/>
      </c>
      <c r="B38" s="43" t="str">
        <f>IF('每日复盘'!AA38="","",'每日复盘'!AA38)</f>
        <v/>
      </c>
      <c r="C38" s="32" t="n"/>
      <c r="D38" s="32" t="n"/>
      <c r="E38" s="32" t="n"/>
      <c r="F38" s="32" t="n"/>
      <c r="G38" s="17" t="n"/>
      <c r="H38" s="44" t="str">
        <f>IF('每日复盘'!P38="","",'每日复盘'!P38)</f>
        <v/>
      </c>
      <c r="I38" s="17" t="n"/>
      <c r="J38" s="17" t="n"/>
      <c r="K38" s="17" t="n"/>
      <c r="L38" s="44" t="str">
        <f>IF('每日复盘'!R38="","",'每日复盘'!R38)</f>
        <v/>
      </c>
      <c r="M38" s="36" t="str">
        <f>IF(OR(NOT(ISNUMBER(L38)),COUNT(H38:J38)&lt;3),"",IF(OR(AND(L38&gt;=3,H38=0),AND(L38&gt;=4,I38=0),AND(L38&gt;=5,J38=0)),"有断层","连续"))</f>
        <v/>
      </c>
      <c r="N38" s="27" t="n"/>
      <c r="O38" s="45" t="str">
        <f>IF(NOT(ISNUMBER(A38)),"",IF(COUNTIFS('交易记录'!$S$5:$S$304,A38,'交易记录'!$X$5:$X$304,"已平仓")=0,"",SUMIFS('交易记录'!$AB$5:$AB$304,'交易记录'!$S$5:$S$304,A38,'交易记录'!$X$5:$X$304,"已平仓")))</f>
        <v/>
      </c>
      <c r="P38" s="36" t="str">
        <f>IF(NOT(ISNUMBER(O38)),"",IF(O38&lt;=-'参数'!$C$9,"触及停手线",""))</f>
        <v/>
      </c>
      <c r="Q38" s="32" t="n"/>
      <c r="R38" s="32" t="n"/>
      <c r="S38" s="32" t="n"/>
    </row>
    <row r="39">
      <c r="A39" s="42" t="str">
        <f>IF('每日复盘'!A39="","",'每日复盘'!A39)</f>
        <v/>
      </c>
      <c r="B39" s="43" t="str">
        <f>IF('每日复盘'!AA39="","",'每日复盘'!AA39)</f>
        <v/>
      </c>
      <c r="C39" s="32" t="n"/>
      <c r="D39" s="32" t="n"/>
      <c r="E39" s="32" t="n"/>
      <c r="F39" s="32" t="n"/>
      <c r="G39" s="17" t="n"/>
      <c r="H39" s="44" t="str">
        <f>IF('每日复盘'!P39="","",'每日复盘'!P39)</f>
        <v/>
      </c>
      <c r="I39" s="17" t="n"/>
      <c r="J39" s="17" t="n"/>
      <c r="K39" s="17" t="n"/>
      <c r="L39" s="44" t="str">
        <f>IF('每日复盘'!R39="","",'每日复盘'!R39)</f>
        <v/>
      </c>
      <c r="M39" s="36" t="str">
        <f>IF(OR(NOT(ISNUMBER(L39)),COUNT(H39:J39)&lt;3),"",IF(OR(AND(L39&gt;=3,H39=0),AND(L39&gt;=4,I39=0),AND(L39&gt;=5,J39=0)),"有断层","连续"))</f>
        <v/>
      </c>
      <c r="N39" s="27" t="n"/>
      <c r="O39" s="45" t="str">
        <f>IF(NOT(ISNUMBER(A39)),"",IF(COUNTIFS('交易记录'!$S$5:$S$304,A39,'交易记录'!$X$5:$X$304,"已平仓")=0,"",SUMIFS('交易记录'!$AB$5:$AB$304,'交易记录'!$S$5:$S$304,A39,'交易记录'!$X$5:$X$304,"已平仓")))</f>
        <v/>
      </c>
      <c r="P39" s="36" t="str">
        <f>IF(NOT(ISNUMBER(O39)),"",IF(O39&lt;=-'参数'!$C$9,"触及停手线",""))</f>
        <v/>
      </c>
      <c r="Q39" s="32" t="n"/>
      <c r="R39" s="32" t="n"/>
      <c r="S39" s="32" t="n"/>
    </row>
    <row r="40">
      <c r="A40" s="42" t="str">
        <f>IF('每日复盘'!A40="","",'每日复盘'!A40)</f>
        <v/>
      </c>
      <c r="B40" s="43" t="str">
        <f>IF('每日复盘'!AA40="","",'每日复盘'!AA40)</f>
        <v/>
      </c>
      <c r="C40" s="32" t="n"/>
      <c r="D40" s="32" t="n"/>
      <c r="E40" s="32" t="n"/>
      <c r="F40" s="32" t="n"/>
      <c r="G40" s="17" t="n"/>
      <c r="H40" s="44" t="str">
        <f>IF('每日复盘'!P40="","",'每日复盘'!P40)</f>
        <v/>
      </c>
      <c r="I40" s="17" t="n"/>
      <c r="J40" s="17" t="n"/>
      <c r="K40" s="17" t="n"/>
      <c r="L40" s="44" t="str">
        <f>IF('每日复盘'!R40="","",'每日复盘'!R40)</f>
        <v/>
      </c>
      <c r="M40" s="36" t="str">
        <f>IF(OR(NOT(ISNUMBER(L40)),COUNT(H40:J40)&lt;3),"",IF(OR(AND(L40&gt;=3,H40=0),AND(L40&gt;=4,I40=0),AND(L40&gt;=5,J40=0)),"有断层","连续"))</f>
        <v/>
      </c>
      <c r="N40" s="27" t="n"/>
      <c r="O40" s="45" t="str">
        <f>IF(NOT(ISNUMBER(A40)),"",IF(COUNTIFS('交易记录'!$S$5:$S$304,A40,'交易记录'!$X$5:$X$304,"已平仓")=0,"",SUMIFS('交易记录'!$AB$5:$AB$304,'交易记录'!$S$5:$S$304,A40,'交易记录'!$X$5:$X$304,"已平仓")))</f>
        <v/>
      </c>
      <c r="P40" s="36" t="str">
        <f>IF(NOT(ISNUMBER(O40)),"",IF(O40&lt;=-'参数'!$C$9,"触及停手线",""))</f>
        <v/>
      </c>
      <c r="Q40" s="32" t="n"/>
      <c r="R40" s="32" t="n"/>
      <c r="S40" s="32" t="n"/>
    </row>
    <row r="41">
      <c r="A41" s="42" t="str">
        <f>IF('每日复盘'!A41="","",'每日复盘'!A41)</f>
        <v/>
      </c>
      <c r="B41" s="43" t="str">
        <f>IF('每日复盘'!AA41="","",'每日复盘'!AA41)</f>
        <v/>
      </c>
      <c r="C41" s="32" t="n"/>
      <c r="D41" s="32" t="n"/>
      <c r="E41" s="32" t="n"/>
      <c r="F41" s="32" t="n"/>
      <c r="G41" s="17" t="n"/>
      <c r="H41" s="44" t="str">
        <f>IF('每日复盘'!P41="","",'每日复盘'!P41)</f>
        <v/>
      </c>
      <c r="I41" s="17" t="n"/>
      <c r="J41" s="17" t="n"/>
      <c r="K41" s="17" t="n"/>
      <c r="L41" s="44" t="str">
        <f>IF('每日复盘'!R41="","",'每日复盘'!R41)</f>
        <v/>
      </c>
      <c r="M41" s="36" t="str">
        <f>IF(OR(NOT(ISNUMBER(L41)),COUNT(H41:J41)&lt;3),"",IF(OR(AND(L41&gt;=3,H41=0),AND(L41&gt;=4,I41=0),AND(L41&gt;=5,J41=0)),"有断层","连续"))</f>
        <v/>
      </c>
      <c r="N41" s="27" t="n"/>
      <c r="O41" s="45" t="str">
        <f>IF(NOT(ISNUMBER(A41)),"",IF(COUNTIFS('交易记录'!$S$5:$S$304,A41,'交易记录'!$X$5:$X$304,"已平仓")=0,"",SUMIFS('交易记录'!$AB$5:$AB$304,'交易记录'!$S$5:$S$304,A41,'交易记录'!$X$5:$X$304,"已平仓")))</f>
        <v/>
      </c>
      <c r="P41" s="36" t="str">
        <f>IF(NOT(ISNUMBER(O41)),"",IF(O41&lt;=-'参数'!$C$9,"触及停手线",""))</f>
        <v/>
      </c>
      <c r="Q41" s="32" t="n"/>
      <c r="R41" s="32" t="n"/>
      <c r="S41" s="32" t="n"/>
    </row>
    <row r="42">
      <c r="A42" s="42" t="str">
        <f>IF('每日复盘'!A42="","",'每日复盘'!A42)</f>
        <v/>
      </c>
      <c r="B42" s="43" t="str">
        <f>IF('每日复盘'!AA42="","",'每日复盘'!AA42)</f>
        <v/>
      </c>
      <c r="C42" s="32" t="n"/>
      <c r="D42" s="32" t="n"/>
      <c r="E42" s="32" t="n"/>
      <c r="F42" s="32" t="n"/>
      <c r="G42" s="17" t="n"/>
      <c r="H42" s="44" t="str">
        <f>IF('每日复盘'!P42="","",'每日复盘'!P42)</f>
        <v/>
      </c>
      <c r="I42" s="17" t="n"/>
      <c r="J42" s="17" t="n"/>
      <c r="K42" s="17" t="n"/>
      <c r="L42" s="44" t="str">
        <f>IF('每日复盘'!R42="","",'每日复盘'!R42)</f>
        <v/>
      </c>
      <c r="M42" s="36" t="str">
        <f>IF(OR(NOT(ISNUMBER(L42)),COUNT(H42:J42)&lt;3),"",IF(OR(AND(L42&gt;=3,H42=0),AND(L42&gt;=4,I42=0),AND(L42&gt;=5,J42=0)),"有断层","连续"))</f>
        <v/>
      </c>
      <c r="N42" s="27" t="n"/>
      <c r="O42" s="45" t="str">
        <f>IF(NOT(ISNUMBER(A42)),"",IF(COUNTIFS('交易记录'!$S$5:$S$304,A42,'交易记录'!$X$5:$X$304,"已平仓")=0,"",SUMIFS('交易记录'!$AB$5:$AB$304,'交易记录'!$S$5:$S$304,A42,'交易记录'!$X$5:$X$304,"已平仓")))</f>
        <v/>
      </c>
      <c r="P42" s="36" t="str">
        <f>IF(NOT(ISNUMBER(O42)),"",IF(O42&lt;=-'参数'!$C$9,"触及停手线",""))</f>
        <v/>
      </c>
      <c r="Q42" s="32" t="n"/>
      <c r="R42" s="32" t="n"/>
      <c r="S42" s="32" t="n"/>
    </row>
    <row r="43">
      <c r="A43" s="42" t="str">
        <f>IF('每日复盘'!A43="","",'每日复盘'!A43)</f>
        <v/>
      </c>
      <c r="B43" s="43" t="str">
        <f>IF('每日复盘'!AA43="","",'每日复盘'!AA43)</f>
        <v/>
      </c>
      <c r="C43" s="32" t="n"/>
      <c r="D43" s="32" t="n"/>
      <c r="E43" s="32" t="n"/>
      <c r="F43" s="32" t="n"/>
      <c r="G43" s="17" t="n"/>
      <c r="H43" s="44" t="str">
        <f>IF('每日复盘'!P43="","",'每日复盘'!P43)</f>
        <v/>
      </c>
      <c r="I43" s="17" t="n"/>
      <c r="J43" s="17" t="n"/>
      <c r="K43" s="17" t="n"/>
      <c r="L43" s="44" t="str">
        <f>IF('每日复盘'!R43="","",'每日复盘'!R43)</f>
        <v/>
      </c>
      <c r="M43" s="36" t="str">
        <f>IF(OR(NOT(ISNUMBER(L43)),COUNT(H43:J43)&lt;3),"",IF(OR(AND(L43&gt;=3,H43=0),AND(L43&gt;=4,I43=0),AND(L43&gt;=5,J43=0)),"有断层","连续"))</f>
        <v/>
      </c>
      <c r="N43" s="27" t="n"/>
      <c r="O43" s="45" t="str">
        <f>IF(NOT(ISNUMBER(A43)),"",IF(COUNTIFS('交易记录'!$S$5:$S$304,A43,'交易记录'!$X$5:$X$304,"已平仓")=0,"",SUMIFS('交易记录'!$AB$5:$AB$304,'交易记录'!$S$5:$S$304,A43,'交易记录'!$X$5:$X$304,"已平仓")))</f>
        <v/>
      </c>
      <c r="P43" s="36" t="str">
        <f>IF(NOT(ISNUMBER(O43)),"",IF(O43&lt;=-'参数'!$C$9,"触及停手线",""))</f>
        <v/>
      </c>
      <c r="Q43" s="32" t="n"/>
      <c r="R43" s="32" t="n"/>
      <c r="S43" s="32" t="n"/>
    </row>
    <row r="44">
      <c r="A44" s="42" t="str">
        <f>IF('每日复盘'!A44="","",'每日复盘'!A44)</f>
        <v/>
      </c>
      <c r="B44" s="43" t="str">
        <f>IF('每日复盘'!AA44="","",'每日复盘'!AA44)</f>
        <v/>
      </c>
      <c r="C44" s="32" t="n"/>
      <c r="D44" s="32" t="n"/>
      <c r="E44" s="32" t="n"/>
      <c r="F44" s="32" t="n"/>
      <c r="G44" s="17" t="n"/>
      <c r="H44" s="44" t="str">
        <f>IF('每日复盘'!P44="","",'每日复盘'!P44)</f>
        <v/>
      </c>
      <c r="I44" s="17" t="n"/>
      <c r="J44" s="17" t="n"/>
      <c r="K44" s="17" t="n"/>
      <c r="L44" s="44" t="str">
        <f>IF('每日复盘'!R44="","",'每日复盘'!R44)</f>
        <v/>
      </c>
      <c r="M44" s="36" t="str">
        <f>IF(OR(NOT(ISNUMBER(L44)),COUNT(H44:J44)&lt;3),"",IF(OR(AND(L44&gt;=3,H44=0),AND(L44&gt;=4,I44=0),AND(L44&gt;=5,J44=0)),"有断层","连续"))</f>
        <v/>
      </c>
      <c r="N44" s="27" t="n"/>
      <c r="O44" s="45" t="str">
        <f>IF(NOT(ISNUMBER(A44)),"",IF(COUNTIFS('交易记录'!$S$5:$S$304,A44,'交易记录'!$X$5:$X$304,"已平仓")=0,"",SUMIFS('交易记录'!$AB$5:$AB$304,'交易记录'!$S$5:$S$304,A44,'交易记录'!$X$5:$X$304,"已平仓")))</f>
        <v/>
      </c>
      <c r="P44" s="36" t="str">
        <f>IF(NOT(ISNUMBER(O44)),"",IF(O44&lt;=-'参数'!$C$9,"触及停手线",""))</f>
        <v/>
      </c>
      <c r="Q44" s="32" t="n"/>
      <c r="R44" s="32" t="n"/>
      <c r="S44" s="32" t="n"/>
    </row>
    <row r="45">
      <c r="A45" s="42" t="str">
        <f>IF('每日复盘'!A45="","",'每日复盘'!A45)</f>
        <v/>
      </c>
      <c r="B45" s="43" t="str">
        <f>IF('每日复盘'!AA45="","",'每日复盘'!AA45)</f>
        <v/>
      </c>
      <c r="C45" s="32" t="n"/>
      <c r="D45" s="32" t="n"/>
      <c r="E45" s="32" t="n"/>
      <c r="F45" s="32" t="n"/>
      <c r="G45" s="17" t="n"/>
      <c r="H45" s="44" t="str">
        <f>IF('每日复盘'!P45="","",'每日复盘'!P45)</f>
        <v/>
      </c>
      <c r="I45" s="17" t="n"/>
      <c r="J45" s="17" t="n"/>
      <c r="K45" s="17" t="n"/>
      <c r="L45" s="44" t="str">
        <f>IF('每日复盘'!R45="","",'每日复盘'!R45)</f>
        <v/>
      </c>
      <c r="M45" s="36" t="str">
        <f>IF(OR(NOT(ISNUMBER(L45)),COUNT(H45:J45)&lt;3),"",IF(OR(AND(L45&gt;=3,H45=0),AND(L45&gt;=4,I45=0),AND(L45&gt;=5,J45=0)),"有断层","连续"))</f>
        <v/>
      </c>
      <c r="N45" s="27" t="n"/>
      <c r="O45" s="45" t="str">
        <f>IF(NOT(ISNUMBER(A45)),"",IF(COUNTIFS('交易记录'!$S$5:$S$304,A45,'交易记录'!$X$5:$X$304,"已平仓")=0,"",SUMIFS('交易记录'!$AB$5:$AB$304,'交易记录'!$S$5:$S$304,A45,'交易记录'!$X$5:$X$304,"已平仓")))</f>
        <v/>
      </c>
      <c r="P45" s="36" t="str">
        <f>IF(NOT(ISNUMBER(O45)),"",IF(O45&lt;=-'参数'!$C$9,"触及停手线",""))</f>
        <v/>
      </c>
      <c r="Q45" s="32" t="n"/>
      <c r="R45" s="32" t="n"/>
      <c r="S45" s="32" t="n"/>
    </row>
    <row r="46">
      <c r="A46" s="42" t="str">
        <f>IF('每日复盘'!A46="","",'每日复盘'!A46)</f>
        <v/>
      </c>
      <c r="B46" s="43" t="str">
        <f>IF('每日复盘'!AA46="","",'每日复盘'!AA46)</f>
        <v/>
      </c>
      <c r="C46" s="32" t="n"/>
      <c r="D46" s="32" t="n"/>
      <c r="E46" s="32" t="n"/>
      <c r="F46" s="32" t="n"/>
      <c r="G46" s="17" t="n"/>
      <c r="H46" s="44" t="str">
        <f>IF('每日复盘'!P46="","",'每日复盘'!P46)</f>
        <v/>
      </c>
      <c r="I46" s="17" t="n"/>
      <c r="J46" s="17" t="n"/>
      <c r="K46" s="17" t="n"/>
      <c r="L46" s="44" t="str">
        <f>IF('每日复盘'!R46="","",'每日复盘'!R46)</f>
        <v/>
      </c>
      <c r="M46" s="36" t="str">
        <f>IF(OR(NOT(ISNUMBER(L46)),COUNT(H46:J46)&lt;3),"",IF(OR(AND(L46&gt;=3,H46=0),AND(L46&gt;=4,I46=0),AND(L46&gt;=5,J46=0)),"有断层","连续"))</f>
        <v/>
      </c>
      <c r="N46" s="27" t="n"/>
      <c r="O46" s="45" t="str">
        <f>IF(NOT(ISNUMBER(A46)),"",IF(COUNTIFS('交易记录'!$S$5:$S$304,A46,'交易记录'!$X$5:$X$304,"已平仓")=0,"",SUMIFS('交易记录'!$AB$5:$AB$304,'交易记录'!$S$5:$S$304,A46,'交易记录'!$X$5:$X$304,"已平仓")))</f>
        <v/>
      </c>
      <c r="P46" s="36" t="str">
        <f>IF(NOT(ISNUMBER(O46)),"",IF(O46&lt;=-'参数'!$C$9,"触及停手线",""))</f>
        <v/>
      </c>
      <c r="Q46" s="32" t="n"/>
      <c r="R46" s="32" t="n"/>
      <c r="S46" s="32" t="n"/>
    </row>
    <row r="47">
      <c r="A47" s="42" t="str">
        <f>IF('每日复盘'!A47="","",'每日复盘'!A47)</f>
        <v/>
      </c>
      <c r="B47" s="43" t="str">
        <f>IF('每日复盘'!AA47="","",'每日复盘'!AA47)</f>
        <v/>
      </c>
      <c r="C47" s="32" t="n"/>
      <c r="D47" s="32" t="n"/>
      <c r="E47" s="32" t="n"/>
      <c r="F47" s="32" t="n"/>
      <c r="G47" s="17" t="n"/>
      <c r="H47" s="44" t="str">
        <f>IF('每日复盘'!P47="","",'每日复盘'!P47)</f>
        <v/>
      </c>
      <c r="I47" s="17" t="n"/>
      <c r="J47" s="17" t="n"/>
      <c r="K47" s="17" t="n"/>
      <c r="L47" s="44" t="str">
        <f>IF('每日复盘'!R47="","",'每日复盘'!R47)</f>
        <v/>
      </c>
      <c r="M47" s="36" t="str">
        <f>IF(OR(NOT(ISNUMBER(L47)),COUNT(H47:J47)&lt;3),"",IF(OR(AND(L47&gt;=3,H47=0),AND(L47&gt;=4,I47=0),AND(L47&gt;=5,J47=0)),"有断层","连续"))</f>
        <v/>
      </c>
      <c r="N47" s="27" t="n"/>
      <c r="O47" s="45" t="str">
        <f>IF(NOT(ISNUMBER(A47)),"",IF(COUNTIFS('交易记录'!$S$5:$S$304,A47,'交易记录'!$X$5:$X$304,"已平仓")=0,"",SUMIFS('交易记录'!$AB$5:$AB$304,'交易记录'!$S$5:$S$304,A47,'交易记录'!$X$5:$X$304,"已平仓")))</f>
        <v/>
      </c>
      <c r="P47" s="36" t="str">
        <f>IF(NOT(ISNUMBER(O47)),"",IF(O47&lt;=-'参数'!$C$9,"触及停手线",""))</f>
        <v/>
      </c>
      <c r="Q47" s="32" t="n"/>
      <c r="R47" s="32" t="n"/>
      <c r="S47" s="32" t="n"/>
    </row>
    <row r="48">
      <c r="A48" s="42" t="str">
        <f>IF('每日复盘'!A48="","",'每日复盘'!A48)</f>
        <v/>
      </c>
      <c r="B48" s="43" t="str">
        <f>IF('每日复盘'!AA48="","",'每日复盘'!AA48)</f>
        <v/>
      </c>
      <c r="C48" s="32" t="n"/>
      <c r="D48" s="32" t="n"/>
      <c r="E48" s="32" t="n"/>
      <c r="F48" s="32" t="n"/>
      <c r="G48" s="17" t="n"/>
      <c r="H48" s="44" t="str">
        <f>IF('每日复盘'!P48="","",'每日复盘'!P48)</f>
        <v/>
      </c>
      <c r="I48" s="17" t="n"/>
      <c r="J48" s="17" t="n"/>
      <c r="K48" s="17" t="n"/>
      <c r="L48" s="44" t="str">
        <f>IF('每日复盘'!R48="","",'每日复盘'!R48)</f>
        <v/>
      </c>
      <c r="M48" s="36" t="str">
        <f>IF(OR(NOT(ISNUMBER(L48)),COUNT(H48:J48)&lt;3),"",IF(OR(AND(L48&gt;=3,H48=0),AND(L48&gt;=4,I48=0),AND(L48&gt;=5,J48=0)),"有断层","连续"))</f>
        <v/>
      </c>
      <c r="N48" s="27" t="n"/>
      <c r="O48" s="45" t="str">
        <f>IF(NOT(ISNUMBER(A48)),"",IF(COUNTIFS('交易记录'!$S$5:$S$304,A48,'交易记录'!$X$5:$X$304,"已平仓")=0,"",SUMIFS('交易记录'!$AB$5:$AB$304,'交易记录'!$S$5:$S$304,A48,'交易记录'!$X$5:$X$304,"已平仓")))</f>
        <v/>
      </c>
      <c r="P48" s="36" t="str">
        <f>IF(NOT(ISNUMBER(O48)),"",IF(O48&lt;=-'参数'!$C$9,"触及停手线",""))</f>
        <v/>
      </c>
      <c r="Q48" s="32" t="n"/>
      <c r="R48" s="32" t="n"/>
      <c r="S48" s="32" t="n"/>
    </row>
    <row r="49">
      <c r="A49" s="42" t="str">
        <f>IF('每日复盘'!A49="","",'每日复盘'!A49)</f>
        <v/>
      </c>
      <c r="B49" s="43" t="str">
        <f>IF('每日复盘'!AA49="","",'每日复盘'!AA49)</f>
        <v/>
      </c>
      <c r="C49" s="32" t="n"/>
      <c r="D49" s="32" t="n"/>
      <c r="E49" s="32" t="n"/>
      <c r="F49" s="32" t="n"/>
      <c r="G49" s="17" t="n"/>
      <c r="H49" s="44" t="str">
        <f>IF('每日复盘'!P49="","",'每日复盘'!P49)</f>
        <v/>
      </c>
      <c r="I49" s="17" t="n"/>
      <c r="J49" s="17" t="n"/>
      <c r="K49" s="17" t="n"/>
      <c r="L49" s="44" t="str">
        <f>IF('每日复盘'!R49="","",'每日复盘'!R49)</f>
        <v/>
      </c>
      <c r="M49" s="36" t="str">
        <f>IF(OR(NOT(ISNUMBER(L49)),COUNT(H49:J49)&lt;3),"",IF(OR(AND(L49&gt;=3,H49=0),AND(L49&gt;=4,I49=0),AND(L49&gt;=5,J49=0)),"有断层","连续"))</f>
        <v/>
      </c>
      <c r="N49" s="27" t="n"/>
      <c r="O49" s="45" t="str">
        <f>IF(NOT(ISNUMBER(A49)),"",IF(COUNTIFS('交易记录'!$S$5:$S$304,A49,'交易记录'!$X$5:$X$304,"已平仓")=0,"",SUMIFS('交易记录'!$AB$5:$AB$304,'交易记录'!$S$5:$S$304,A49,'交易记录'!$X$5:$X$304,"已平仓")))</f>
        <v/>
      </c>
      <c r="P49" s="36" t="str">
        <f>IF(NOT(ISNUMBER(O49)),"",IF(O49&lt;=-'参数'!$C$9,"触及停手线",""))</f>
        <v/>
      </c>
      <c r="Q49" s="32" t="n"/>
      <c r="R49" s="32" t="n"/>
      <c r="S49" s="32" t="n"/>
    </row>
    <row r="50">
      <c r="A50" s="42" t="str">
        <f>IF('每日复盘'!A50="","",'每日复盘'!A50)</f>
        <v/>
      </c>
      <c r="B50" s="43" t="str">
        <f>IF('每日复盘'!AA50="","",'每日复盘'!AA50)</f>
        <v/>
      </c>
      <c r="C50" s="32" t="n"/>
      <c r="D50" s="32" t="n"/>
      <c r="E50" s="32" t="n"/>
      <c r="F50" s="32" t="n"/>
      <c r="G50" s="17" t="n"/>
      <c r="H50" s="44" t="str">
        <f>IF('每日复盘'!P50="","",'每日复盘'!P50)</f>
        <v/>
      </c>
      <c r="I50" s="17" t="n"/>
      <c r="J50" s="17" t="n"/>
      <c r="K50" s="17" t="n"/>
      <c r="L50" s="44" t="str">
        <f>IF('每日复盘'!R50="","",'每日复盘'!R50)</f>
        <v/>
      </c>
      <c r="M50" s="36" t="str">
        <f>IF(OR(NOT(ISNUMBER(L50)),COUNT(H50:J50)&lt;3),"",IF(OR(AND(L50&gt;=3,H50=0),AND(L50&gt;=4,I50=0),AND(L50&gt;=5,J50=0)),"有断层","连续"))</f>
        <v/>
      </c>
      <c r="N50" s="27" t="n"/>
      <c r="O50" s="45" t="str">
        <f>IF(NOT(ISNUMBER(A50)),"",IF(COUNTIFS('交易记录'!$S$5:$S$304,A50,'交易记录'!$X$5:$X$304,"已平仓")=0,"",SUMIFS('交易记录'!$AB$5:$AB$304,'交易记录'!$S$5:$S$304,A50,'交易记录'!$X$5:$X$304,"已平仓")))</f>
        <v/>
      </c>
      <c r="P50" s="36" t="str">
        <f>IF(NOT(ISNUMBER(O50)),"",IF(O50&lt;=-'参数'!$C$9,"触及停手线",""))</f>
        <v/>
      </c>
      <c r="Q50" s="32" t="n"/>
      <c r="R50" s="32" t="n"/>
      <c r="S50" s="32" t="n"/>
    </row>
    <row r="51">
      <c r="A51" s="42" t="str">
        <f>IF('每日复盘'!A51="","",'每日复盘'!A51)</f>
        <v/>
      </c>
      <c r="B51" s="43" t="str">
        <f>IF('每日复盘'!AA51="","",'每日复盘'!AA51)</f>
        <v/>
      </c>
      <c r="C51" s="32" t="n"/>
      <c r="D51" s="32" t="n"/>
      <c r="E51" s="32" t="n"/>
      <c r="F51" s="32" t="n"/>
      <c r="G51" s="17" t="n"/>
      <c r="H51" s="44" t="str">
        <f>IF('每日复盘'!P51="","",'每日复盘'!P51)</f>
        <v/>
      </c>
      <c r="I51" s="17" t="n"/>
      <c r="J51" s="17" t="n"/>
      <c r="K51" s="17" t="n"/>
      <c r="L51" s="44" t="str">
        <f>IF('每日复盘'!R51="","",'每日复盘'!R51)</f>
        <v/>
      </c>
      <c r="M51" s="36" t="str">
        <f>IF(OR(NOT(ISNUMBER(L51)),COUNT(H51:J51)&lt;3),"",IF(OR(AND(L51&gt;=3,H51=0),AND(L51&gt;=4,I51=0),AND(L51&gt;=5,J51=0)),"有断层","连续"))</f>
        <v/>
      </c>
      <c r="N51" s="27" t="n"/>
      <c r="O51" s="45" t="str">
        <f>IF(NOT(ISNUMBER(A51)),"",IF(COUNTIFS('交易记录'!$S$5:$S$304,A51,'交易记录'!$X$5:$X$304,"已平仓")=0,"",SUMIFS('交易记录'!$AB$5:$AB$304,'交易记录'!$S$5:$S$304,A51,'交易记录'!$X$5:$X$304,"已平仓")))</f>
        <v/>
      </c>
      <c r="P51" s="36" t="str">
        <f>IF(NOT(ISNUMBER(O51)),"",IF(O51&lt;=-'参数'!$C$9,"触及停手线",""))</f>
        <v/>
      </c>
      <c r="Q51" s="32" t="n"/>
      <c r="R51" s="32" t="n"/>
      <c r="S51" s="32" t="n"/>
    </row>
    <row r="52">
      <c r="A52" s="42" t="str">
        <f>IF('每日复盘'!A52="","",'每日复盘'!A52)</f>
        <v/>
      </c>
      <c r="B52" s="43" t="str">
        <f>IF('每日复盘'!AA52="","",'每日复盘'!AA52)</f>
        <v/>
      </c>
      <c r="C52" s="32" t="n"/>
      <c r="D52" s="32" t="n"/>
      <c r="E52" s="32" t="n"/>
      <c r="F52" s="32" t="n"/>
      <c r="G52" s="17" t="n"/>
      <c r="H52" s="44" t="str">
        <f>IF('每日复盘'!P52="","",'每日复盘'!P52)</f>
        <v/>
      </c>
      <c r="I52" s="17" t="n"/>
      <c r="J52" s="17" t="n"/>
      <c r="K52" s="17" t="n"/>
      <c r="L52" s="44" t="str">
        <f>IF('每日复盘'!R52="","",'每日复盘'!R52)</f>
        <v/>
      </c>
      <c r="M52" s="36" t="str">
        <f>IF(OR(NOT(ISNUMBER(L52)),COUNT(H52:J52)&lt;3),"",IF(OR(AND(L52&gt;=3,H52=0),AND(L52&gt;=4,I52=0),AND(L52&gt;=5,J52=0)),"有断层","连续"))</f>
        <v/>
      </c>
      <c r="N52" s="27" t="n"/>
      <c r="O52" s="45" t="str">
        <f>IF(NOT(ISNUMBER(A52)),"",IF(COUNTIFS('交易记录'!$S$5:$S$304,A52,'交易记录'!$X$5:$X$304,"已平仓")=0,"",SUMIFS('交易记录'!$AB$5:$AB$304,'交易记录'!$S$5:$S$304,A52,'交易记录'!$X$5:$X$304,"已平仓")))</f>
        <v/>
      </c>
      <c r="P52" s="36" t="str">
        <f>IF(NOT(ISNUMBER(O52)),"",IF(O52&lt;=-'参数'!$C$9,"触及停手线",""))</f>
        <v/>
      </c>
      <c r="Q52" s="32" t="n"/>
      <c r="R52" s="32" t="n"/>
      <c r="S52" s="32" t="n"/>
    </row>
    <row r="53">
      <c r="A53" s="42" t="str">
        <f>IF('每日复盘'!A53="","",'每日复盘'!A53)</f>
        <v/>
      </c>
      <c r="B53" s="43" t="str">
        <f>IF('每日复盘'!AA53="","",'每日复盘'!AA53)</f>
        <v/>
      </c>
      <c r="C53" s="32" t="n"/>
      <c r="D53" s="32" t="n"/>
      <c r="E53" s="32" t="n"/>
      <c r="F53" s="32" t="n"/>
      <c r="G53" s="17" t="n"/>
      <c r="H53" s="44" t="str">
        <f>IF('每日复盘'!P53="","",'每日复盘'!P53)</f>
        <v/>
      </c>
      <c r="I53" s="17" t="n"/>
      <c r="J53" s="17" t="n"/>
      <c r="K53" s="17" t="n"/>
      <c r="L53" s="44" t="str">
        <f>IF('每日复盘'!R53="","",'每日复盘'!R53)</f>
        <v/>
      </c>
      <c r="M53" s="36" t="str">
        <f>IF(OR(NOT(ISNUMBER(L53)),COUNT(H53:J53)&lt;3),"",IF(OR(AND(L53&gt;=3,H53=0),AND(L53&gt;=4,I53=0),AND(L53&gt;=5,J53=0)),"有断层","连续"))</f>
        <v/>
      </c>
      <c r="N53" s="27" t="n"/>
      <c r="O53" s="45" t="str">
        <f>IF(NOT(ISNUMBER(A53)),"",IF(COUNTIFS('交易记录'!$S$5:$S$304,A53,'交易记录'!$X$5:$X$304,"已平仓")=0,"",SUMIFS('交易记录'!$AB$5:$AB$304,'交易记录'!$S$5:$S$304,A53,'交易记录'!$X$5:$X$304,"已平仓")))</f>
        <v/>
      </c>
      <c r="P53" s="36" t="str">
        <f>IF(NOT(ISNUMBER(O53)),"",IF(O53&lt;=-'参数'!$C$9,"触及停手线",""))</f>
        <v/>
      </c>
      <c r="Q53" s="32" t="n"/>
      <c r="R53" s="32" t="n"/>
      <c r="S53" s="32" t="n"/>
    </row>
    <row r="54">
      <c r="A54" s="42" t="str">
        <f>IF('每日复盘'!A54="","",'每日复盘'!A54)</f>
        <v/>
      </c>
      <c r="B54" s="43" t="str">
        <f>IF('每日复盘'!AA54="","",'每日复盘'!AA54)</f>
        <v/>
      </c>
      <c r="C54" s="32" t="n"/>
      <c r="D54" s="32" t="n"/>
      <c r="E54" s="32" t="n"/>
      <c r="F54" s="32" t="n"/>
      <c r="G54" s="17" t="n"/>
      <c r="H54" s="44" t="str">
        <f>IF('每日复盘'!P54="","",'每日复盘'!P54)</f>
        <v/>
      </c>
      <c r="I54" s="17" t="n"/>
      <c r="J54" s="17" t="n"/>
      <c r="K54" s="17" t="n"/>
      <c r="L54" s="44" t="str">
        <f>IF('每日复盘'!R54="","",'每日复盘'!R54)</f>
        <v/>
      </c>
      <c r="M54" s="36" t="str">
        <f>IF(OR(NOT(ISNUMBER(L54)),COUNT(H54:J54)&lt;3),"",IF(OR(AND(L54&gt;=3,H54=0),AND(L54&gt;=4,I54=0),AND(L54&gt;=5,J54=0)),"有断层","连续"))</f>
        <v/>
      </c>
      <c r="N54" s="27" t="n"/>
      <c r="O54" s="45" t="str">
        <f>IF(NOT(ISNUMBER(A54)),"",IF(COUNTIFS('交易记录'!$S$5:$S$304,A54,'交易记录'!$X$5:$X$304,"已平仓")=0,"",SUMIFS('交易记录'!$AB$5:$AB$304,'交易记录'!$S$5:$S$304,A54,'交易记录'!$X$5:$X$304,"已平仓")))</f>
        <v/>
      </c>
      <c r="P54" s="36" t="str">
        <f>IF(NOT(ISNUMBER(O54)),"",IF(O54&lt;=-'参数'!$C$9,"触及停手线",""))</f>
        <v/>
      </c>
      <c r="Q54" s="32" t="n"/>
      <c r="R54" s="32" t="n"/>
      <c r="S54" s="32" t="n"/>
    </row>
    <row r="55">
      <c r="A55" s="42" t="str">
        <f>IF('每日复盘'!A55="","",'每日复盘'!A55)</f>
        <v/>
      </c>
      <c r="B55" s="43" t="str">
        <f>IF('每日复盘'!AA55="","",'每日复盘'!AA55)</f>
        <v/>
      </c>
      <c r="C55" s="32" t="n"/>
      <c r="D55" s="32" t="n"/>
      <c r="E55" s="32" t="n"/>
      <c r="F55" s="32" t="n"/>
      <c r="G55" s="17" t="n"/>
      <c r="H55" s="44" t="str">
        <f>IF('每日复盘'!P55="","",'每日复盘'!P55)</f>
        <v/>
      </c>
      <c r="I55" s="17" t="n"/>
      <c r="J55" s="17" t="n"/>
      <c r="K55" s="17" t="n"/>
      <c r="L55" s="44" t="str">
        <f>IF('每日复盘'!R55="","",'每日复盘'!R55)</f>
        <v/>
      </c>
      <c r="M55" s="36" t="str">
        <f>IF(OR(NOT(ISNUMBER(L55)),COUNT(H55:J55)&lt;3),"",IF(OR(AND(L55&gt;=3,H55=0),AND(L55&gt;=4,I55=0),AND(L55&gt;=5,J55=0)),"有断层","连续"))</f>
        <v/>
      </c>
      <c r="N55" s="27" t="n"/>
      <c r="O55" s="45" t="str">
        <f>IF(NOT(ISNUMBER(A55)),"",IF(COUNTIFS('交易记录'!$S$5:$S$304,A55,'交易记录'!$X$5:$X$304,"已平仓")=0,"",SUMIFS('交易记录'!$AB$5:$AB$304,'交易记录'!$S$5:$S$304,A55,'交易记录'!$X$5:$X$304,"已平仓")))</f>
        <v/>
      </c>
      <c r="P55" s="36" t="str">
        <f>IF(NOT(ISNUMBER(O55)),"",IF(O55&lt;=-'参数'!$C$9,"触及停手线",""))</f>
        <v/>
      </c>
      <c r="Q55" s="32" t="n"/>
      <c r="R55" s="32" t="n"/>
      <c r="S55" s="32" t="n"/>
    </row>
    <row r="56">
      <c r="A56" s="42" t="str">
        <f>IF('每日复盘'!A56="","",'每日复盘'!A56)</f>
        <v/>
      </c>
      <c r="B56" s="43" t="str">
        <f>IF('每日复盘'!AA56="","",'每日复盘'!AA56)</f>
        <v/>
      </c>
      <c r="C56" s="32" t="n"/>
      <c r="D56" s="32" t="n"/>
      <c r="E56" s="32" t="n"/>
      <c r="F56" s="32" t="n"/>
      <c r="G56" s="17" t="n"/>
      <c r="H56" s="44" t="str">
        <f>IF('每日复盘'!P56="","",'每日复盘'!P56)</f>
        <v/>
      </c>
      <c r="I56" s="17" t="n"/>
      <c r="J56" s="17" t="n"/>
      <c r="K56" s="17" t="n"/>
      <c r="L56" s="44" t="str">
        <f>IF('每日复盘'!R56="","",'每日复盘'!R56)</f>
        <v/>
      </c>
      <c r="M56" s="36" t="str">
        <f>IF(OR(NOT(ISNUMBER(L56)),COUNT(H56:J56)&lt;3),"",IF(OR(AND(L56&gt;=3,H56=0),AND(L56&gt;=4,I56=0),AND(L56&gt;=5,J56=0)),"有断层","连续"))</f>
        <v/>
      </c>
      <c r="N56" s="27" t="n"/>
      <c r="O56" s="45" t="str">
        <f>IF(NOT(ISNUMBER(A56)),"",IF(COUNTIFS('交易记录'!$S$5:$S$304,A56,'交易记录'!$X$5:$X$304,"已平仓")=0,"",SUMIFS('交易记录'!$AB$5:$AB$304,'交易记录'!$S$5:$S$304,A56,'交易记录'!$X$5:$X$304,"已平仓")))</f>
        <v/>
      </c>
      <c r="P56" s="36" t="str">
        <f>IF(NOT(ISNUMBER(O56)),"",IF(O56&lt;=-'参数'!$C$9,"触及停手线",""))</f>
        <v/>
      </c>
      <c r="Q56" s="32" t="n"/>
      <c r="R56" s="32" t="n"/>
      <c r="S56" s="32" t="n"/>
    </row>
    <row r="57">
      <c r="A57" s="42" t="str">
        <f>IF('每日复盘'!A57="","",'每日复盘'!A57)</f>
        <v/>
      </c>
      <c r="B57" s="43" t="str">
        <f>IF('每日复盘'!AA57="","",'每日复盘'!AA57)</f>
        <v/>
      </c>
      <c r="C57" s="32" t="n"/>
      <c r="D57" s="32" t="n"/>
      <c r="E57" s="32" t="n"/>
      <c r="F57" s="32" t="n"/>
      <c r="G57" s="17" t="n"/>
      <c r="H57" s="44" t="str">
        <f>IF('每日复盘'!P57="","",'每日复盘'!P57)</f>
        <v/>
      </c>
      <c r="I57" s="17" t="n"/>
      <c r="J57" s="17" t="n"/>
      <c r="K57" s="17" t="n"/>
      <c r="L57" s="44" t="str">
        <f>IF('每日复盘'!R57="","",'每日复盘'!R57)</f>
        <v/>
      </c>
      <c r="M57" s="36" t="str">
        <f>IF(OR(NOT(ISNUMBER(L57)),COUNT(H57:J57)&lt;3),"",IF(OR(AND(L57&gt;=3,H57=0),AND(L57&gt;=4,I57=0),AND(L57&gt;=5,J57=0)),"有断层","连续"))</f>
        <v/>
      </c>
      <c r="N57" s="27" t="n"/>
      <c r="O57" s="45" t="str">
        <f>IF(NOT(ISNUMBER(A57)),"",IF(COUNTIFS('交易记录'!$S$5:$S$304,A57,'交易记录'!$X$5:$X$304,"已平仓")=0,"",SUMIFS('交易记录'!$AB$5:$AB$304,'交易记录'!$S$5:$S$304,A57,'交易记录'!$X$5:$X$304,"已平仓")))</f>
        <v/>
      </c>
      <c r="P57" s="36" t="str">
        <f>IF(NOT(ISNUMBER(O57)),"",IF(O57&lt;=-'参数'!$C$9,"触及停手线",""))</f>
        <v/>
      </c>
      <c r="Q57" s="32" t="n"/>
      <c r="R57" s="32" t="n"/>
      <c r="S57" s="32" t="n"/>
    </row>
    <row r="58">
      <c r="A58" s="42" t="str">
        <f>IF('每日复盘'!A58="","",'每日复盘'!A58)</f>
        <v/>
      </c>
      <c r="B58" s="43" t="str">
        <f>IF('每日复盘'!AA58="","",'每日复盘'!AA58)</f>
        <v/>
      </c>
      <c r="C58" s="32" t="n"/>
      <c r="D58" s="32" t="n"/>
      <c r="E58" s="32" t="n"/>
      <c r="F58" s="32" t="n"/>
      <c r="G58" s="17" t="n"/>
      <c r="H58" s="44" t="str">
        <f>IF('每日复盘'!P58="","",'每日复盘'!P58)</f>
        <v/>
      </c>
      <c r="I58" s="17" t="n"/>
      <c r="J58" s="17" t="n"/>
      <c r="K58" s="17" t="n"/>
      <c r="L58" s="44" t="str">
        <f>IF('每日复盘'!R58="","",'每日复盘'!R58)</f>
        <v/>
      </c>
      <c r="M58" s="36" t="str">
        <f>IF(OR(NOT(ISNUMBER(L58)),COUNT(H58:J58)&lt;3),"",IF(OR(AND(L58&gt;=3,H58=0),AND(L58&gt;=4,I58=0),AND(L58&gt;=5,J58=0)),"有断层","连续"))</f>
        <v/>
      </c>
      <c r="N58" s="27" t="n"/>
      <c r="O58" s="45" t="str">
        <f>IF(NOT(ISNUMBER(A58)),"",IF(COUNTIFS('交易记录'!$S$5:$S$304,A58,'交易记录'!$X$5:$X$304,"已平仓")=0,"",SUMIFS('交易记录'!$AB$5:$AB$304,'交易记录'!$S$5:$S$304,A58,'交易记录'!$X$5:$X$304,"已平仓")))</f>
        <v/>
      </c>
      <c r="P58" s="36" t="str">
        <f>IF(NOT(ISNUMBER(O58)),"",IF(O58&lt;=-'参数'!$C$9,"触及停手线",""))</f>
        <v/>
      </c>
      <c r="Q58" s="32" t="n"/>
      <c r="R58" s="32" t="n"/>
      <c r="S58" s="32" t="n"/>
    </row>
    <row r="59">
      <c r="A59" s="42" t="str">
        <f>IF('每日复盘'!A59="","",'每日复盘'!A59)</f>
        <v/>
      </c>
      <c r="B59" s="43" t="str">
        <f>IF('每日复盘'!AA59="","",'每日复盘'!AA59)</f>
        <v/>
      </c>
      <c r="C59" s="32" t="n"/>
      <c r="D59" s="32" t="n"/>
      <c r="E59" s="32" t="n"/>
      <c r="F59" s="32" t="n"/>
      <c r="G59" s="17" t="n"/>
      <c r="H59" s="44" t="str">
        <f>IF('每日复盘'!P59="","",'每日复盘'!P59)</f>
        <v/>
      </c>
      <c r="I59" s="17" t="n"/>
      <c r="J59" s="17" t="n"/>
      <c r="K59" s="17" t="n"/>
      <c r="L59" s="44" t="str">
        <f>IF('每日复盘'!R59="","",'每日复盘'!R59)</f>
        <v/>
      </c>
      <c r="M59" s="36" t="str">
        <f>IF(OR(NOT(ISNUMBER(L59)),COUNT(H59:J59)&lt;3),"",IF(OR(AND(L59&gt;=3,H59=0),AND(L59&gt;=4,I59=0),AND(L59&gt;=5,J59=0)),"有断层","连续"))</f>
        <v/>
      </c>
      <c r="N59" s="27" t="n"/>
      <c r="O59" s="45" t="str">
        <f>IF(NOT(ISNUMBER(A59)),"",IF(COUNTIFS('交易记录'!$S$5:$S$304,A59,'交易记录'!$X$5:$X$304,"已平仓")=0,"",SUMIFS('交易记录'!$AB$5:$AB$304,'交易记录'!$S$5:$S$304,A59,'交易记录'!$X$5:$X$304,"已平仓")))</f>
        <v/>
      </c>
      <c r="P59" s="36" t="str">
        <f>IF(NOT(ISNUMBER(O59)),"",IF(O59&lt;=-'参数'!$C$9,"触及停手线",""))</f>
        <v/>
      </c>
      <c r="Q59" s="32" t="n"/>
      <c r="R59" s="32" t="n"/>
      <c r="S59" s="32" t="n"/>
    </row>
    <row r="60">
      <c r="A60" s="42" t="str">
        <f>IF('每日复盘'!A60="","",'每日复盘'!A60)</f>
        <v/>
      </c>
      <c r="B60" s="43" t="str">
        <f>IF('每日复盘'!AA60="","",'每日复盘'!AA60)</f>
        <v/>
      </c>
      <c r="C60" s="32" t="n"/>
      <c r="D60" s="32" t="n"/>
      <c r="E60" s="32" t="n"/>
      <c r="F60" s="32" t="n"/>
      <c r="G60" s="17" t="n"/>
      <c r="H60" s="44" t="str">
        <f>IF('每日复盘'!P60="","",'每日复盘'!P60)</f>
        <v/>
      </c>
      <c r="I60" s="17" t="n"/>
      <c r="J60" s="17" t="n"/>
      <c r="K60" s="17" t="n"/>
      <c r="L60" s="44" t="str">
        <f>IF('每日复盘'!R60="","",'每日复盘'!R60)</f>
        <v/>
      </c>
      <c r="M60" s="36" t="str">
        <f>IF(OR(NOT(ISNUMBER(L60)),COUNT(H60:J60)&lt;3),"",IF(OR(AND(L60&gt;=3,H60=0),AND(L60&gt;=4,I60=0),AND(L60&gt;=5,J60=0)),"有断层","连续"))</f>
        <v/>
      </c>
      <c r="N60" s="27" t="n"/>
      <c r="O60" s="45" t="str">
        <f>IF(NOT(ISNUMBER(A60)),"",IF(COUNTIFS('交易记录'!$S$5:$S$304,A60,'交易记录'!$X$5:$X$304,"已平仓")=0,"",SUMIFS('交易记录'!$AB$5:$AB$304,'交易记录'!$S$5:$S$304,A60,'交易记录'!$X$5:$X$304,"已平仓")))</f>
        <v/>
      </c>
      <c r="P60" s="36" t="str">
        <f>IF(NOT(ISNUMBER(O60)),"",IF(O60&lt;=-'参数'!$C$9,"触及停手线",""))</f>
        <v/>
      </c>
      <c r="Q60" s="32" t="n"/>
      <c r="R60" s="32" t="n"/>
      <c r="S60" s="32" t="n"/>
    </row>
    <row r="61">
      <c r="A61" s="42" t="str">
        <f>IF('每日复盘'!A61="","",'每日复盘'!A61)</f>
        <v/>
      </c>
      <c r="B61" s="43" t="str">
        <f>IF('每日复盘'!AA61="","",'每日复盘'!AA61)</f>
        <v/>
      </c>
      <c r="C61" s="32" t="n"/>
      <c r="D61" s="32" t="n"/>
      <c r="E61" s="32" t="n"/>
      <c r="F61" s="32" t="n"/>
      <c r="G61" s="17" t="n"/>
      <c r="H61" s="44" t="str">
        <f>IF('每日复盘'!P61="","",'每日复盘'!P61)</f>
        <v/>
      </c>
      <c r="I61" s="17" t="n"/>
      <c r="J61" s="17" t="n"/>
      <c r="K61" s="17" t="n"/>
      <c r="L61" s="44" t="str">
        <f>IF('每日复盘'!R61="","",'每日复盘'!R61)</f>
        <v/>
      </c>
      <c r="M61" s="36" t="str">
        <f>IF(OR(NOT(ISNUMBER(L61)),COUNT(H61:J61)&lt;3),"",IF(OR(AND(L61&gt;=3,H61=0),AND(L61&gt;=4,I61=0),AND(L61&gt;=5,J61=0)),"有断层","连续"))</f>
        <v/>
      </c>
      <c r="N61" s="27" t="n"/>
      <c r="O61" s="45" t="str">
        <f>IF(NOT(ISNUMBER(A61)),"",IF(COUNTIFS('交易记录'!$S$5:$S$304,A61,'交易记录'!$X$5:$X$304,"已平仓")=0,"",SUMIFS('交易记录'!$AB$5:$AB$304,'交易记录'!$S$5:$S$304,A61,'交易记录'!$X$5:$X$304,"已平仓")))</f>
        <v/>
      </c>
      <c r="P61" s="36" t="str">
        <f>IF(NOT(ISNUMBER(O61)),"",IF(O61&lt;=-'参数'!$C$9,"触及停手线",""))</f>
        <v/>
      </c>
      <c r="Q61" s="32" t="n"/>
      <c r="R61" s="32" t="n"/>
      <c r="S61" s="32" t="n"/>
    </row>
    <row r="62">
      <c r="A62" s="42" t="str">
        <f>IF('每日复盘'!A62="","",'每日复盘'!A62)</f>
        <v/>
      </c>
      <c r="B62" s="43" t="str">
        <f>IF('每日复盘'!AA62="","",'每日复盘'!AA62)</f>
        <v/>
      </c>
      <c r="C62" s="32" t="n"/>
      <c r="D62" s="32" t="n"/>
      <c r="E62" s="32" t="n"/>
      <c r="F62" s="32" t="n"/>
      <c r="G62" s="17" t="n"/>
      <c r="H62" s="44" t="str">
        <f>IF('每日复盘'!P62="","",'每日复盘'!P62)</f>
        <v/>
      </c>
      <c r="I62" s="17" t="n"/>
      <c r="J62" s="17" t="n"/>
      <c r="K62" s="17" t="n"/>
      <c r="L62" s="44" t="str">
        <f>IF('每日复盘'!R62="","",'每日复盘'!R62)</f>
        <v/>
      </c>
      <c r="M62" s="36" t="str">
        <f>IF(OR(NOT(ISNUMBER(L62)),COUNT(H62:J62)&lt;3),"",IF(OR(AND(L62&gt;=3,H62=0),AND(L62&gt;=4,I62=0),AND(L62&gt;=5,J62=0)),"有断层","连续"))</f>
        <v/>
      </c>
      <c r="N62" s="27" t="n"/>
      <c r="O62" s="45" t="str">
        <f>IF(NOT(ISNUMBER(A62)),"",IF(COUNTIFS('交易记录'!$S$5:$S$304,A62,'交易记录'!$X$5:$X$304,"已平仓")=0,"",SUMIFS('交易记录'!$AB$5:$AB$304,'交易记录'!$S$5:$S$304,A62,'交易记录'!$X$5:$X$304,"已平仓")))</f>
        <v/>
      </c>
      <c r="P62" s="36" t="str">
        <f>IF(NOT(ISNUMBER(O62)),"",IF(O62&lt;=-'参数'!$C$9,"触及停手线",""))</f>
        <v/>
      </c>
      <c r="Q62" s="32" t="n"/>
      <c r="R62" s="32" t="n"/>
      <c r="S62" s="32" t="n"/>
    </row>
    <row r="63">
      <c r="A63" s="42" t="str">
        <f>IF('每日复盘'!A63="","",'每日复盘'!A63)</f>
        <v/>
      </c>
      <c r="B63" s="43" t="str">
        <f>IF('每日复盘'!AA63="","",'每日复盘'!AA63)</f>
        <v/>
      </c>
      <c r="C63" s="32" t="n"/>
      <c r="D63" s="32" t="n"/>
      <c r="E63" s="32" t="n"/>
      <c r="F63" s="32" t="n"/>
      <c r="G63" s="17" t="n"/>
      <c r="H63" s="44" t="str">
        <f>IF('每日复盘'!P63="","",'每日复盘'!P63)</f>
        <v/>
      </c>
      <c r="I63" s="17" t="n"/>
      <c r="J63" s="17" t="n"/>
      <c r="K63" s="17" t="n"/>
      <c r="L63" s="44" t="str">
        <f>IF('每日复盘'!R63="","",'每日复盘'!R63)</f>
        <v/>
      </c>
      <c r="M63" s="36" t="str">
        <f>IF(OR(NOT(ISNUMBER(L63)),COUNT(H63:J63)&lt;3),"",IF(OR(AND(L63&gt;=3,H63=0),AND(L63&gt;=4,I63=0),AND(L63&gt;=5,J63=0)),"有断层","连续"))</f>
        <v/>
      </c>
      <c r="N63" s="27" t="n"/>
      <c r="O63" s="45" t="str">
        <f>IF(NOT(ISNUMBER(A63)),"",IF(COUNTIFS('交易记录'!$S$5:$S$304,A63,'交易记录'!$X$5:$X$304,"已平仓")=0,"",SUMIFS('交易记录'!$AB$5:$AB$304,'交易记录'!$S$5:$S$304,A63,'交易记录'!$X$5:$X$304,"已平仓")))</f>
        <v/>
      </c>
      <c r="P63" s="36" t="str">
        <f>IF(NOT(ISNUMBER(O63)),"",IF(O63&lt;=-'参数'!$C$9,"触及停手线",""))</f>
        <v/>
      </c>
      <c r="Q63" s="32" t="n"/>
      <c r="R63" s="32" t="n"/>
      <c r="S63" s="32" t="n"/>
    </row>
    <row r="64">
      <c r="A64" s="42" t="str">
        <f>IF('每日复盘'!A64="","",'每日复盘'!A64)</f>
        <v/>
      </c>
      <c r="B64" s="43" t="str">
        <f>IF('每日复盘'!AA64="","",'每日复盘'!AA64)</f>
        <v/>
      </c>
      <c r="C64" s="32" t="n"/>
      <c r="D64" s="32" t="n"/>
      <c r="E64" s="32" t="n"/>
      <c r="F64" s="32" t="n"/>
      <c r="G64" s="17" t="n"/>
      <c r="H64" s="44" t="str">
        <f>IF('每日复盘'!P64="","",'每日复盘'!P64)</f>
        <v/>
      </c>
      <c r="I64" s="17" t="n"/>
      <c r="J64" s="17" t="n"/>
      <c r="K64" s="17" t="n"/>
      <c r="L64" s="44" t="str">
        <f>IF('每日复盘'!R64="","",'每日复盘'!R64)</f>
        <v/>
      </c>
      <c r="M64" s="36" t="str">
        <f>IF(OR(NOT(ISNUMBER(L64)),COUNT(H64:J64)&lt;3),"",IF(OR(AND(L64&gt;=3,H64=0),AND(L64&gt;=4,I64=0),AND(L64&gt;=5,J64=0)),"有断层","连续"))</f>
        <v/>
      </c>
      <c r="N64" s="27" t="n"/>
      <c r="O64" s="45" t="str">
        <f>IF(NOT(ISNUMBER(A64)),"",IF(COUNTIFS('交易记录'!$S$5:$S$304,A64,'交易记录'!$X$5:$X$304,"已平仓")=0,"",SUMIFS('交易记录'!$AB$5:$AB$304,'交易记录'!$S$5:$S$304,A64,'交易记录'!$X$5:$X$304,"已平仓")))</f>
        <v/>
      </c>
      <c r="P64" s="36" t="str">
        <f>IF(NOT(ISNUMBER(O64)),"",IF(O64&lt;=-'参数'!$C$9,"触及停手线",""))</f>
        <v/>
      </c>
      <c r="Q64" s="32" t="n"/>
      <c r="R64" s="32" t="n"/>
      <c r="S64" s="32" t="n"/>
    </row>
    <row r="65">
      <c r="A65" s="42" t="str">
        <f>IF('每日复盘'!A65="","",'每日复盘'!A65)</f>
        <v/>
      </c>
      <c r="B65" s="43" t="str">
        <f>IF('每日复盘'!AA65="","",'每日复盘'!AA65)</f>
        <v/>
      </c>
      <c r="C65" s="32" t="n"/>
      <c r="D65" s="32" t="n"/>
      <c r="E65" s="32" t="n"/>
      <c r="F65" s="32" t="n"/>
      <c r="G65" s="17" t="n"/>
      <c r="H65" s="44" t="str">
        <f>IF('每日复盘'!P65="","",'每日复盘'!P65)</f>
        <v/>
      </c>
      <c r="I65" s="17" t="n"/>
      <c r="J65" s="17" t="n"/>
      <c r="K65" s="17" t="n"/>
      <c r="L65" s="44" t="str">
        <f>IF('每日复盘'!R65="","",'每日复盘'!R65)</f>
        <v/>
      </c>
      <c r="M65" s="36" t="str">
        <f>IF(OR(NOT(ISNUMBER(L65)),COUNT(H65:J65)&lt;3),"",IF(OR(AND(L65&gt;=3,H65=0),AND(L65&gt;=4,I65=0),AND(L65&gt;=5,J65=0)),"有断层","连续"))</f>
        <v/>
      </c>
      <c r="N65" s="27" t="n"/>
      <c r="O65" s="45" t="str">
        <f>IF(NOT(ISNUMBER(A65)),"",IF(COUNTIFS('交易记录'!$S$5:$S$304,A65,'交易记录'!$X$5:$X$304,"已平仓")=0,"",SUMIFS('交易记录'!$AB$5:$AB$304,'交易记录'!$S$5:$S$304,A65,'交易记录'!$X$5:$X$304,"已平仓")))</f>
        <v/>
      </c>
      <c r="P65" s="36" t="str">
        <f>IF(NOT(ISNUMBER(O65)),"",IF(O65&lt;=-'参数'!$C$9,"触及停手线",""))</f>
        <v/>
      </c>
      <c r="Q65" s="32" t="n"/>
      <c r="R65" s="32" t="n"/>
      <c r="S65" s="32" t="n"/>
    </row>
    <row r="66">
      <c r="A66" s="42" t="str">
        <f>IF('每日复盘'!A66="","",'每日复盘'!A66)</f>
        <v/>
      </c>
      <c r="B66" s="43" t="str">
        <f>IF('每日复盘'!AA66="","",'每日复盘'!AA66)</f>
        <v/>
      </c>
      <c r="C66" s="32" t="n"/>
      <c r="D66" s="32" t="n"/>
      <c r="E66" s="32" t="n"/>
      <c r="F66" s="32" t="n"/>
      <c r="G66" s="17" t="n"/>
      <c r="H66" s="44" t="str">
        <f>IF('每日复盘'!P66="","",'每日复盘'!P66)</f>
        <v/>
      </c>
      <c r="I66" s="17" t="n"/>
      <c r="J66" s="17" t="n"/>
      <c r="K66" s="17" t="n"/>
      <c r="L66" s="44" t="str">
        <f>IF('每日复盘'!R66="","",'每日复盘'!R66)</f>
        <v/>
      </c>
      <c r="M66" s="36" t="str">
        <f>IF(OR(NOT(ISNUMBER(L66)),COUNT(H66:J66)&lt;3),"",IF(OR(AND(L66&gt;=3,H66=0),AND(L66&gt;=4,I66=0),AND(L66&gt;=5,J66=0)),"有断层","连续"))</f>
        <v/>
      </c>
      <c r="N66" s="27" t="n"/>
      <c r="O66" s="45" t="str">
        <f>IF(NOT(ISNUMBER(A66)),"",IF(COUNTIFS('交易记录'!$S$5:$S$304,A66,'交易记录'!$X$5:$X$304,"已平仓")=0,"",SUMIFS('交易记录'!$AB$5:$AB$304,'交易记录'!$S$5:$S$304,A66,'交易记录'!$X$5:$X$304,"已平仓")))</f>
        <v/>
      </c>
      <c r="P66" s="36" t="str">
        <f>IF(NOT(ISNUMBER(O66)),"",IF(O66&lt;=-'参数'!$C$9,"触及停手线",""))</f>
        <v/>
      </c>
      <c r="Q66" s="32" t="n"/>
      <c r="R66" s="32" t="n"/>
      <c r="S66" s="32" t="n"/>
    </row>
    <row r="67">
      <c r="A67" s="42" t="str">
        <f>IF('每日复盘'!A67="","",'每日复盘'!A67)</f>
        <v/>
      </c>
      <c r="B67" s="43" t="str">
        <f>IF('每日复盘'!AA67="","",'每日复盘'!AA67)</f>
        <v/>
      </c>
      <c r="C67" s="32" t="n"/>
      <c r="D67" s="32" t="n"/>
      <c r="E67" s="32" t="n"/>
      <c r="F67" s="32" t="n"/>
      <c r="G67" s="17" t="n"/>
      <c r="H67" s="44" t="str">
        <f>IF('每日复盘'!P67="","",'每日复盘'!P67)</f>
        <v/>
      </c>
      <c r="I67" s="17" t="n"/>
      <c r="J67" s="17" t="n"/>
      <c r="K67" s="17" t="n"/>
      <c r="L67" s="44" t="str">
        <f>IF('每日复盘'!R67="","",'每日复盘'!R67)</f>
        <v/>
      </c>
      <c r="M67" s="36" t="str">
        <f>IF(OR(NOT(ISNUMBER(L67)),COUNT(H67:J67)&lt;3),"",IF(OR(AND(L67&gt;=3,H67=0),AND(L67&gt;=4,I67=0),AND(L67&gt;=5,J67=0)),"有断层","连续"))</f>
        <v/>
      </c>
      <c r="N67" s="27" t="n"/>
      <c r="O67" s="45" t="str">
        <f>IF(NOT(ISNUMBER(A67)),"",IF(COUNTIFS('交易记录'!$S$5:$S$304,A67,'交易记录'!$X$5:$X$304,"已平仓")=0,"",SUMIFS('交易记录'!$AB$5:$AB$304,'交易记录'!$S$5:$S$304,A67,'交易记录'!$X$5:$X$304,"已平仓")))</f>
        <v/>
      </c>
      <c r="P67" s="36" t="str">
        <f>IF(NOT(ISNUMBER(O67)),"",IF(O67&lt;=-'参数'!$C$9,"触及停手线",""))</f>
        <v/>
      </c>
      <c r="Q67" s="32" t="n"/>
      <c r="R67" s="32" t="n"/>
      <c r="S67" s="32" t="n"/>
    </row>
    <row r="68">
      <c r="A68" s="42" t="str">
        <f>IF('每日复盘'!A68="","",'每日复盘'!A68)</f>
        <v/>
      </c>
      <c r="B68" s="43" t="str">
        <f>IF('每日复盘'!AA68="","",'每日复盘'!AA68)</f>
        <v/>
      </c>
      <c r="C68" s="32" t="n"/>
      <c r="D68" s="32" t="n"/>
      <c r="E68" s="32" t="n"/>
      <c r="F68" s="32" t="n"/>
      <c r="G68" s="17" t="n"/>
      <c r="H68" s="44" t="str">
        <f>IF('每日复盘'!P68="","",'每日复盘'!P68)</f>
        <v/>
      </c>
      <c r="I68" s="17" t="n"/>
      <c r="J68" s="17" t="n"/>
      <c r="K68" s="17" t="n"/>
      <c r="L68" s="44" t="str">
        <f>IF('每日复盘'!R68="","",'每日复盘'!R68)</f>
        <v/>
      </c>
      <c r="M68" s="36" t="str">
        <f>IF(OR(NOT(ISNUMBER(L68)),COUNT(H68:J68)&lt;3),"",IF(OR(AND(L68&gt;=3,H68=0),AND(L68&gt;=4,I68=0),AND(L68&gt;=5,J68=0)),"有断层","连续"))</f>
        <v/>
      </c>
      <c r="N68" s="27" t="n"/>
      <c r="O68" s="45" t="str">
        <f>IF(NOT(ISNUMBER(A68)),"",IF(COUNTIFS('交易记录'!$S$5:$S$304,A68,'交易记录'!$X$5:$X$304,"已平仓")=0,"",SUMIFS('交易记录'!$AB$5:$AB$304,'交易记录'!$S$5:$S$304,A68,'交易记录'!$X$5:$X$304,"已平仓")))</f>
        <v/>
      </c>
      <c r="P68" s="36" t="str">
        <f>IF(NOT(ISNUMBER(O68)),"",IF(O68&lt;=-'参数'!$C$9,"触及停手线",""))</f>
        <v/>
      </c>
      <c r="Q68" s="32" t="n"/>
      <c r="R68" s="32" t="n"/>
      <c r="S68" s="32" t="n"/>
    </row>
    <row r="69">
      <c r="A69" s="42" t="str">
        <f>IF('每日复盘'!A69="","",'每日复盘'!A69)</f>
        <v/>
      </c>
      <c r="B69" s="43" t="str">
        <f>IF('每日复盘'!AA69="","",'每日复盘'!AA69)</f>
        <v/>
      </c>
      <c r="C69" s="32" t="n"/>
      <c r="D69" s="32" t="n"/>
      <c r="E69" s="32" t="n"/>
      <c r="F69" s="32" t="n"/>
      <c r="G69" s="17" t="n"/>
      <c r="H69" s="44" t="str">
        <f>IF('每日复盘'!P69="","",'每日复盘'!P69)</f>
        <v/>
      </c>
      <c r="I69" s="17" t="n"/>
      <c r="J69" s="17" t="n"/>
      <c r="K69" s="17" t="n"/>
      <c r="L69" s="44" t="str">
        <f>IF('每日复盘'!R69="","",'每日复盘'!R69)</f>
        <v/>
      </c>
      <c r="M69" s="36" t="str">
        <f>IF(OR(NOT(ISNUMBER(L69)),COUNT(H69:J69)&lt;3),"",IF(OR(AND(L69&gt;=3,H69=0),AND(L69&gt;=4,I69=0),AND(L69&gt;=5,J69=0)),"有断层","连续"))</f>
        <v/>
      </c>
      <c r="N69" s="27" t="n"/>
      <c r="O69" s="45" t="str">
        <f>IF(NOT(ISNUMBER(A69)),"",IF(COUNTIFS('交易记录'!$S$5:$S$304,A69,'交易记录'!$X$5:$X$304,"已平仓")=0,"",SUMIFS('交易记录'!$AB$5:$AB$304,'交易记录'!$S$5:$S$304,A69,'交易记录'!$X$5:$X$304,"已平仓")))</f>
        <v/>
      </c>
      <c r="P69" s="36" t="str">
        <f>IF(NOT(ISNUMBER(O69)),"",IF(O69&lt;=-'参数'!$C$9,"触及停手线",""))</f>
        <v/>
      </c>
      <c r="Q69" s="32" t="n"/>
      <c r="R69" s="32" t="n"/>
      <c r="S69" s="32" t="n"/>
    </row>
    <row r="70">
      <c r="A70" s="42" t="str">
        <f>IF('每日复盘'!A70="","",'每日复盘'!A70)</f>
        <v/>
      </c>
      <c r="B70" s="43" t="str">
        <f>IF('每日复盘'!AA70="","",'每日复盘'!AA70)</f>
        <v/>
      </c>
      <c r="C70" s="32" t="n"/>
      <c r="D70" s="32" t="n"/>
      <c r="E70" s="32" t="n"/>
      <c r="F70" s="32" t="n"/>
      <c r="G70" s="17" t="n"/>
      <c r="H70" s="44" t="str">
        <f>IF('每日复盘'!P70="","",'每日复盘'!P70)</f>
        <v/>
      </c>
      <c r="I70" s="17" t="n"/>
      <c r="J70" s="17" t="n"/>
      <c r="K70" s="17" t="n"/>
      <c r="L70" s="44" t="str">
        <f>IF('每日复盘'!R70="","",'每日复盘'!R70)</f>
        <v/>
      </c>
      <c r="M70" s="36" t="str">
        <f>IF(OR(NOT(ISNUMBER(L70)),COUNT(H70:J70)&lt;3),"",IF(OR(AND(L70&gt;=3,H70=0),AND(L70&gt;=4,I70=0),AND(L70&gt;=5,J70=0)),"有断层","连续"))</f>
        <v/>
      </c>
      <c r="N70" s="27" t="n"/>
      <c r="O70" s="45" t="str">
        <f>IF(NOT(ISNUMBER(A70)),"",IF(COUNTIFS('交易记录'!$S$5:$S$304,A70,'交易记录'!$X$5:$X$304,"已平仓")=0,"",SUMIFS('交易记录'!$AB$5:$AB$304,'交易记录'!$S$5:$S$304,A70,'交易记录'!$X$5:$X$304,"已平仓")))</f>
        <v/>
      </c>
      <c r="P70" s="36" t="str">
        <f>IF(NOT(ISNUMBER(O70)),"",IF(O70&lt;=-'参数'!$C$9,"触及停手线",""))</f>
        <v/>
      </c>
      <c r="Q70" s="32" t="n"/>
      <c r="R70" s="32" t="n"/>
      <c r="S70" s="32" t="n"/>
    </row>
    <row r="71">
      <c r="A71" s="42" t="str">
        <f>IF('每日复盘'!A71="","",'每日复盘'!A71)</f>
        <v/>
      </c>
      <c r="B71" s="43" t="str">
        <f>IF('每日复盘'!AA71="","",'每日复盘'!AA71)</f>
        <v/>
      </c>
      <c r="C71" s="32" t="n"/>
      <c r="D71" s="32" t="n"/>
      <c r="E71" s="32" t="n"/>
      <c r="F71" s="32" t="n"/>
      <c r="G71" s="17" t="n"/>
      <c r="H71" s="44" t="str">
        <f>IF('每日复盘'!P71="","",'每日复盘'!P71)</f>
        <v/>
      </c>
      <c r="I71" s="17" t="n"/>
      <c r="J71" s="17" t="n"/>
      <c r="K71" s="17" t="n"/>
      <c r="L71" s="44" t="str">
        <f>IF('每日复盘'!R71="","",'每日复盘'!R71)</f>
        <v/>
      </c>
      <c r="M71" s="36" t="str">
        <f>IF(OR(NOT(ISNUMBER(L71)),COUNT(H71:J71)&lt;3),"",IF(OR(AND(L71&gt;=3,H71=0),AND(L71&gt;=4,I71=0),AND(L71&gt;=5,J71=0)),"有断层","连续"))</f>
        <v/>
      </c>
      <c r="N71" s="27" t="n"/>
      <c r="O71" s="45" t="str">
        <f>IF(NOT(ISNUMBER(A71)),"",IF(COUNTIFS('交易记录'!$S$5:$S$304,A71,'交易记录'!$X$5:$X$304,"已平仓")=0,"",SUMIFS('交易记录'!$AB$5:$AB$304,'交易记录'!$S$5:$S$304,A71,'交易记录'!$X$5:$X$304,"已平仓")))</f>
        <v/>
      </c>
      <c r="P71" s="36" t="str">
        <f>IF(NOT(ISNUMBER(O71)),"",IF(O71&lt;=-'参数'!$C$9,"触及停手线",""))</f>
        <v/>
      </c>
      <c r="Q71" s="32" t="n"/>
      <c r="R71" s="32" t="n"/>
      <c r="S71" s="32" t="n"/>
    </row>
    <row r="72">
      <c r="A72" s="42" t="str">
        <f>IF('每日复盘'!A72="","",'每日复盘'!A72)</f>
        <v/>
      </c>
      <c r="B72" s="43" t="str">
        <f>IF('每日复盘'!AA72="","",'每日复盘'!AA72)</f>
        <v/>
      </c>
      <c r="C72" s="32" t="n"/>
      <c r="D72" s="32" t="n"/>
      <c r="E72" s="32" t="n"/>
      <c r="F72" s="32" t="n"/>
      <c r="G72" s="17" t="n"/>
      <c r="H72" s="44" t="str">
        <f>IF('每日复盘'!P72="","",'每日复盘'!P72)</f>
        <v/>
      </c>
      <c r="I72" s="17" t="n"/>
      <c r="J72" s="17" t="n"/>
      <c r="K72" s="17" t="n"/>
      <c r="L72" s="44" t="str">
        <f>IF('每日复盘'!R72="","",'每日复盘'!R72)</f>
        <v/>
      </c>
      <c r="M72" s="36" t="str">
        <f>IF(OR(NOT(ISNUMBER(L72)),COUNT(H72:J72)&lt;3),"",IF(OR(AND(L72&gt;=3,H72=0),AND(L72&gt;=4,I72=0),AND(L72&gt;=5,J72=0)),"有断层","连续"))</f>
        <v/>
      </c>
      <c r="N72" s="27" t="n"/>
      <c r="O72" s="45" t="str">
        <f>IF(NOT(ISNUMBER(A72)),"",IF(COUNTIFS('交易记录'!$S$5:$S$304,A72,'交易记录'!$X$5:$X$304,"已平仓")=0,"",SUMIFS('交易记录'!$AB$5:$AB$304,'交易记录'!$S$5:$S$304,A72,'交易记录'!$X$5:$X$304,"已平仓")))</f>
        <v/>
      </c>
      <c r="P72" s="36" t="str">
        <f>IF(NOT(ISNUMBER(O72)),"",IF(O72&lt;=-'参数'!$C$9,"触及停手线",""))</f>
        <v/>
      </c>
      <c r="Q72" s="32" t="n"/>
      <c r="R72" s="32" t="n"/>
      <c r="S72" s="32" t="n"/>
    </row>
    <row r="73">
      <c r="A73" s="42" t="str">
        <f>IF('每日复盘'!A73="","",'每日复盘'!A73)</f>
        <v/>
      </c>
      <c r="B73" s="43" t="str">
        <f>IF('每日复盘'!AA73="","",'每日复盘'!AA73)</f>
        <v/>
      </c>
      <c r="C73" s="32" t="n"/>
      <c r="D73" s="32" t="n"/>
      <c r="E73" s="32" t="n"/>
      <c r="F73" s="32" t="n"/>
      <c r="G73" s="17" t="n"/>
      <c r="H73" s="44" t="str">
        <f>IF('每日复盘'!P73="","",'每日复盘'!P73)</f>
        <v/>
      </c>
      <c r="I73" s="17" t="n"/>
      <c r="J73" s="17" t="n"/>
      <c r="K73" s="17" t="n"/>
      <c r="L73" s="44" t="str">
        <f>IF('每日复盘'!R73="","",'每日复盘'!R73)</f>
        <v/>
      </c>
      <c r="M73" s="36" t="str">
        <f>IF(OR(NOT(ISNUMBER(L73)),COUNT(H73:J73)&lt;3),"",IF(OR(AND(L73&gt;=3,H73=0),AND(L73&gt;=4,I73=0),AND(L73&gt;=5,J73=0)),"有断层","连续"))</f>
        <v/>
      </c>
      <c r="N73" s="27" t="n"/>
      <c r="O73" s="45" t="str">
        <f>IF(NOT(ISNUMBER(A73)),"",IF(COUNTIFS('交易记录'!$S$5:$S$304,A73,'交易记录'!$X$5:$X$304,"已平仓")=0,"",SUMIFS('交易记录'!$AB$5:$AB$304,'交易记录'!$S$5:$S$304,A73,'交易记录'!$X$5:$X$304,"已平仓")))</f>
        <v/>
      </c>
      <c r="P73" s="36" t="str">
        <f>IF(NOT(ISNUMBER(O73)),"",IF(O73&lt;=-'参数'!$C$9,"触及停手线",""))</f>
        <v/>
      </c>
      <c r="Q73" s="32" t="n"/>
      <c r="R73" s="32" t="n"/>
      <c r="S73" s="32" t="n"/>
    </row>
    <row r="74">
      <c r="A74" s="42" t="str">
        <f>IF('每日复盘'!A74="","",'每日复盘'!A74)</f>
        <v/>
      </c>
      <c r="B74" s="43" t="str">
        <f>IF('每日复盘'!AA74="","",'每日复盘'!AA74)</f>
        <v/>
      </c>
      <c r="C74" s="32" t="n"/>
      <c r="D74" s="32" t="n"/>
      <c r="E74" s="32" t="n"/>
      <c r="F74" s="32" t="n"/>
      <c r="G74" s="17" t="n"/>
      <c r="H74" s="44" t="str">
        <f>IF('每日复盘'!P74="","",'每日复盘'!P74)</f>
        <v/>
      </c>
      <c r="I74" s="17" t="n"/>
      <c r="J74" s="17" t="n"/>
      <c r="K74" s="17" t="n"/>
      <c r="L74" s="44" t="str">
        <f>IF('每日复盘'!R74="","",'每日复盘'!R74)</f>
        <v/>
      </c>
      <c r="M74" s="36" t="str">
        <f>IF(OR(NOT(ISNUMBER(L74)),COUNT(H74:J74)&lt;3),"",IF(OR(AND(L74&gt;=3,H74=0),AND(L74&gt;=4,I74=0),AND(L74&gt;=5,J74=0)),"有断层","连续"))</f>
        <v/>
      </c>
      <c r="N74" s="27" t="n"/>
      <c r="O74" s="45" t="str">
        <f>IF(NOT(ISNUMBER(A74)),"",IF(COUNTIFS('交易记录'!$S$5:$S$304,A74,'交易记录'!$X$5:$X$304,"已平仓")=0,"",SUMIFS('交易记录'!$AB$5:$AB$304,'交易记录'!$S$5:$S$304,A74,'交易记录'!$X$5:$X$304,"已平仓")))</f>
        <v/>
      </c>
      <c r="P74" s="36" t="str">
        <f>IF(NOT(ISNUMBER(O74)),"",IF(O74&lt;=-'参数'!$C$9,"触及停手线",""))</f>
        <v/>
      </c>
      <c r="Q74" s="32" t="n"/>
      <c r="R74" s="32" t="n"/>
      <c r="S74" s="32" t="n"/>
    </row>
    <row r="75">
      <c r="A75" s="42" t="str">
        <f>IF('每日复盘'!A75="","",'每日复盘'!A75)</f>
        <v/>
      </c>
      <c r="B75" s="43" t="str">
        <f>IF('每日复盘'!AA75="","",'每日复盘'!AA75)</f>
        <v/>
      </c>
      <c r="C75" s="32" t="n"/>
      <c r="D75" s="32" t="n"/>
      <c r="E75" s="32" t="n"/>
      <c r="F75" s="32" t="n"/>
      <c r="G75" s="17" t="n"/>
      <c r="H75" s="44" t="str">
        <f>IF('每日复盘'!P75="","",'每日复盘'!P75)</f>
        <v/>
      </c>
      <c r="I75" s="17" t="n"/>
      <c r="J75" s="17" t="n"/>
      <c r="K75" s="17" t="n"/>
      <c r="L75" s="44" t="str">
        <f>IF('每日复盘'!R75="","",'每日复盘'!R75)</f>
        <v/>
      </c>
      <c r="M75" s="36" t="str">
        <f>IF(OR(NOT(ISNUMBER(L75)),COUNT(H75:J75)&lt;3),"",IF(OR(AND(L75&gt;=3,H75=0),AND(L75&gt;=4,I75=0),AND(L75&gt;=5,J75=0)),"有断层","连续"))</f>
        <v/>
      </c>
      <c r="N75" s="27" t="n"/>
      <c r="O75" s="45" t="str">
        <f>IF(NOT(ISNUMBER(A75)),"",IF(COUNTIFS('交易记录'!$S$5:$S$304,A75,'交易记录'!$X$5:$X$304,"已平仓")=0,"",SUMIFS('交易记录'!$AB$5:$AB$304,'交易记录'!$S$5:$S$304,A75,'交易记录'!$X$5:$X$304,"已平仓")))</f>
        <v/>
      </c>
      <c r="P75" s="36" t="str">
        <f>IF(NOT(ISNUMBER(O75)),"",IF(O75&lt;=-'参数'!$C$9,"触及停手线",""))</f>
        <v/>
      </c>
      <c r="Q75" s="32" t="n"/>
      <c r="R75" s="32" t="n"/>
      <c r="S75" s="32" t="n"/>
    </row>
    <row r="76">
      <c r="A76" s="42" t="str">
        <f>IF('每日复盘'!A76="","",'每日复盘'!A76)</f>
        <v/>
      </c>
      <c r="B76" s="43" t="str">
        <f>IF('每日复盘'!AA76="","",'每日复盘'!AA76)</f>
        <v/>
      </c>
      <c r="C76" s="32" t="n"/>
      <c r="D76" s="32" t="n"/>
      <c r="E76" s="32" t="n"/>
      <c r="F76" s="32" t="n"/>
      <c r="G76" s="17" t="n"/>
      <c r="H76" s="44" t="str">
        <f>IF('每日复盘'!P76="","",'每日复盘'!P76)</f>
        <v/>
      </c>
      <c r="I76" s="17" t="n"/>
      <c r="J76" s="17" t="n"/>
      <c r="K76" s="17" t="n"/>
      <c r="L76" s="44" t="str">
        <f>IF('每日复盘'!R76="","",'每日复盘'!R76)</f>
        <v/>
      </c>
      <c r="M76" s="36" t="str">
        <f>IF(OR(NOT(ISNUMBER(L76)),COUNT(H76:J76)&lt;3),"",IF(OR(AND(L76&gt;=3,H76=0),AND(L76&gt;=4,I76=0),AND(L76&gt;=5,J76=0)),"有断层","连续"))</f>
        <v/>
      </c>
      <c r="N76" s="27" t="n"/>
      <c r="O76" s="45" t="str">
        <f>IF(NOT(ISNUMBER(A76)),"",IF(COUNTIFS('交易记录'!$S$5:$S$304,A76,'交易记录'!$X$5:$X$304,"已平仓")=0,"",SUMIFS('交易记录'!$AB$5:$AB$304,'交易记录'!$S$5:$S$304,A76,'交易记录'!$X$5:$X$304,"已平仓")))</f>
        <v/>
      </c>
      <c r="P76" s="36" t="str">
        <f>IF(NOT(ISNUMBER(O76)),"",IF(O76&lt;=-'参数'!$C$9,"触及停手线",""))</f>
        <v/>
      </c>
      <c r="Q76" s="32" t="n"/>
      <c r="R76" s="32" t="n"/>
      <c r="S76" s="32" t="n"/>
    </row>
    <row r="77">
      <c r="A77" s="42" t="str">
        <f>IF('每日复盘'!A77="","",'每日复盘'!A77)</f>
        <v/>
      </c>
      <c r="B77" s="43" t="str">
        <f>IF('每日复盘'!AA77="","",'每日复盘'!AA77)</f>
        <v/>
      </c>
      <c r="C77" s="32" t="n"/>
      <c r="D77" s="32" t="n"/>
      <c r="E77" s="32" t="n"/>
      <c r="F77" s="32" t="n"/>
      <c r="G77" s="17" t="n"/>
      <c r="H77" s="44" t="str">
        <f>IF('每日复盘'!P77="","",'每日复盘'!P77)</f>
        <v/>
      </c>
      <c r="I77" s="17" t="n"/>
      <c r="J77" s="17" t="n"/>
      <c r="K77" s="17" t="n"/>
      <c r="L77" s="44" t="str">
        <f>IF('每日复盘'!R77="","",'每日复盘'!R77)</f>
        <v/>
      </c>
      <c r="M77" s="36" t="str">
        <f>IF(OR(NOT(ISNUMBER(L77)),COUNT(H77:J77)&lt;3),"",IF(OR(AND(L77&gt;=3,H77=0),AND(L77&gt;=4,I77=0),AND(L77&gt;=5,J77=0)),"有断层","连续"))</f>
        <v/>
      </c>
      <c r="N77" s="27" t="n"/>
      <c r="O77" s="45" t="str">
        <f>IF(NOT(ISNUMBER(A77)),"",IF(COUNTIFS('交易记录'!$S$5:$S$304,A77,'交易记录'!$X$5:$X$304,"已平仓")=0,"",SUMIFS('交易记录'!$AB$5:$AB$304,'交易记录'!$S$5:$S$304,A77,'交易记录'!$X$5:$X$304,"已平仓")))</f>
        <v/>
      </c>
      <c r="P77" s="36" t="str">
        <f>IF(NOT(ISNUMBER(O77)),"",IF(O77&lt;=-'参数'!$C$9,"触及停手线",""))</f>
        <v/>
      </c>
      <c r="Q77" s="32" t="n"/>
      <c r="R77" s="32" t="n"/>
      <c r="S77" s="32" t="n"/>
    </row>
    <row r="78">
      <c r="A78" s="42" t="str">
        <f>IF('每日复盘'!A78="","",'每日复盘'!A78)</f>
        <v/>
      </c>
      <c r="B78" s="43" t="str">
        <f>IF('每日复盘'!AA78="","",'每日复盘'!AA78)</f>
        <v/>
      </c>
      <c r="C78" s="32" t="n"/>
      <c r="D78" s="32" t="n"/>
      <c r="E78" s="32" t="n"/>
      <c r="F78" s="32" t="n"/>
      <c r="G78" s="17" t="n"/>
      <c r="H78" s="44" t="str">
        <f>IF('每日复盘'!P78="","",'每日复盘'!P78)</f>
        <v/>
      </c>
      <c r="I78" s="17" t="n"/>
      <c r="J78" s="17" t="n"/>
      <c r="K78" s="17" t="n"/>
      <c r="L78" s="44" t="str">
        <f>IF('每日复盘'!R78="","",'每日复盘'!R78)</f>
        <v/>
      </c>
      <c r="M78" s="36" t="str">
        <f>IF(OR(NOT(ISNUMBER(L78)),COUNT(H78:J78)&lt;3),"",IF(OR(AND(L78&gt;=3,H78=0),AND(L78&gt;=4,I78=0),AND(L78&gt;=5,J78=0)),"有断层","连续"))</f>
        <v/>
      </c>
      <c r="N78" s="27" t="n"/>
      <c r="O78" s="45" t="str">
        <f>IF(NOT(ISNUMBER(A78)),"",IF(COUNTIFS('交易记录'!$S$5:$S$304,A78,'交易记录'!$X$5:$X$304,"已平仓")=0,"",SUMIFS('交易记录'!$AB$5:$AB$304,'交易记录'!$S$5:$S$304,A78,'交易记录'!$X$5:$X$304,"已平仓")))</f>
        <v/>
      </c>
      <c r="P78" s="36" t="str">
        <f>IF(NOT(ISNUMBER(O78)),"",IF(O78&lt;=-'参数'!$C$9,"触及停手线",""))</f>
        <v/>
      </c>
      <c r="Q78" s="32" t="n"/>
      <c r="R78" s="32" t="n"/>
      <c r="S78" s="32" t="n"/>
    </row>
    <row r="79">
      <c r="A79" s="42" t="str">
        <f>IF('每日复盘'!A79="","",'每日复盘'!A79)</f>
        <v/>
      </c>
      <c r="B79" s="43" t="str">
        <f>IF('每日复盘'!AA79="","",'每日复盘'!AA79)</f>
        <v/>
      </c>
      <c r="C79" s="32" t="n"/>
      <c r="D79" s="32" t="n"/>
      <c r="E79" s="32" t="n"/>
      <c r="F79" s="32" t="n"/>
      <c r="G79" s="17" t="n"/>
      <c r="H79" s="44" t="str">
        <f>IF('每日复盘'!P79="","",'每日复盘'!P79)</f>
        <v/>
      </c>
      <c r="I79" s="17" t="n"/>
      <c r="J79" s="17" t="n"/>
      <c r="K79" s="17" t="n"/>
      <c r="L79" s="44" t="str">
        <f>IF('每日复盘'!R79="","",'每日复盘'!R79)</f>
        <v/>
      </c>
      <c r="M79" s="36" t="str">
        <f>IF(OR(NOT(ISNUMBER(L79)),COUNT(H79:J79)&lt;3),"",IF(OR(AND(L79&gt;=3,H79=0),AND(L79&gt;=4,I79=0),AND(L79&gt;=5,J79=0)),"有断层","连续"))</f>
        <v/>
      </c>
      <c r="N79" s="27" t="n"/>
      <c r="O79" s="45" t="str">
        <f>IF(NOT(ISNUMBER(A79)),"",IF(COUNTIFS('交易记录'!$S$5:$S$304,A79,'交易记录'!$X$5:$X$304,"已平仓")=0,"",SUMIFS('交易记录'!$AB$5:$AB$304,'交易记录'!$S$5:$S$304,A79,'交易记录'!$X$5:$X$304,"已平仓")))</f>
        <v/>
      </c>
      <c r="P79" s="36" t="str">
        <f>IF(NOT(ISNUMBER(O79)),"",IF(O79&lt;=-'参数'!$C$9,"触及停手线",""))</f>
        <v/>
      </c>
      <c r="Q79" s="32" t="n"/>
      <c r="R79" s="32" t="n"/>
      <c r="S79" s="32" t="n"/>
    </row>
    <row r="80">
      <c r="A80" s="42" t="str">
        <f>IF('每日复盘'!A80="","",'每日复盘'!A80)</f>
        <v/>
      </c>
      <c r="B80" s="43" t="str">
        <f>IF('每日复盘'!AA80="","",'每日复盘'!AA80)</f>
        <v/>
      </c>
      <c r="C80" s="32" t="n"/>
      <c r="D80" s="32" t="n"/>
      <c r="E80" s="32" t="n"/>
      <c r="F80" s="32" t="n"/>
      <c r="G80" s="17" t="n"/>
      <c r="H80" s="44" t="str">
        <f>IF('每日复盘'!P80="","",'每日复盘'!P80)</f>
        <v/>
      </c>
      <c r="I80" s="17" t="n"/>
      <c r="J80" s="17" t="n"/>
      <c r="K80" s="17" t="n"/>
      <c r="L80" s="44" t="str">
        <f>IF('每日复盘'!R80="","",'每日复盘'!R80)</f>
        <v/>
      </c>
      <c r="M80" s="36" t="str">
        <f>IF(OR(NOT(ISNUMBER(L80)),COUNT(H80:J80)&lt;3),"",IF(OR(AND(L80&gt;=3,H80=0),AND(L80&gt;=4,I80=0),AND(L80&gt;=5,J80=0)),"有断层","连续"))</f>
        <v/>
      </c>
      <c r="N80" s="27" t="n"/>
      <c r="O80" s="45" t="str">
        <f>IF(NOT(ISNUMBER(A80)),"",IF(COUNTIFS('交易记录'!$S$5:$S$304,A80,'交易记录'!$X$5:$X$304,"已平仓")=0,"",SUMIFS('交易记录'!$AB$5:$AB$304,'交易记录'!$S$5:$S$304,A80,'交易记录'!$X$5:$X$304,"已平仓")))</f>
        <v/>
      </c>
      <c r="P80" s="36" t="str">
        <f>IF(NOT(ISNUMBER(O80)),"",IF(O80&lt;=-'参数'!$C$9,"触及停手线",""))</f>
        <v/>
      </c>
      <c r="Q80" s="32" t="n"/>
      <c r="R80" s="32" t="n"/>
      <c r="S80" s="32" t="n"/>
    </row>
    <row r="81">
      <c r="A81" s="42" t="str">
        <f>IF('每日复盘'!A81="","",'每日复盘'!A81)</f>
        <v/>
      </c>
      <c r="B81" s="43" t="str">
        <f>IF('每日复盘'!AA81="","",'每日复盘'!AA81)</f>
        <v/>
      </c>
      <c r="C81" s="32" t="n"/>
      <c r="D81" s="32" t="n"/>
      <c r="E81" s="32" t="n"/>
      <c r="F81" s="32" t="n"/>
      <c r="G81" s="17" t="n"/>
      <c r="H81" s="44" t="str">
        <f>IF('每日复盘'!P81="","",'每日复盘'!P81)</f>
        <v/>
      </c>
      <c r="I81" s="17" t="n"/>
      <c r="J81" s="17" t="n"/>
      <c r="K81" s="17" t="n"/>
      <c r="L81" s="44" t="str">
        <f>IF('每日复盘'!R81="","",'每日复盘'!R81)</f>
        <v/>
      </c>
      <c r="M81" s="36" t="str">
        <f>IF(OR(NOT(ISNUMBER(L81)),COUNT(H81:J81)&lt;3),"",IF(OR(AND(L81&gt;=3,H81=0),AND(L81&gt;=4,I81=0),AND(L81&gt;=5,J81=0)),"有断层","连续"))</f>
        <v/>
      </c>
      <c r="N81" s="27" t="n"/>
      <c r="O81" s="45" t="str">
        <f>IF(NOT(ISNUMBER(A81)),"",IF(COUNTIFS('交易记录'!$S$5:$S$304,A81,'交易记录'!$X$5:$X$304,"已平仓")=0,"",SUMIFS('交易记录'!$AB$5:$AB$304,'交易记录'!$S$5:$S$304,A81,'交易记录'!$X$5:$X$304,"已平仓")))</f>
        <v/>
      </c>
      <c r="P81" s="36" t="str">
        <f>IF(NOT(ISNUMBER(O81)),"",IF(O81&lt;=-'参数'!$C$9,"触及停手线",""))</f>
        <v/>
      </c>
      <c r="Q81" s="32" t="n"/>
      <c r="R81" s="32" t="n"/>
      <c r="S81" s="32" t="n"/>
    </row>
    <row r="82">
      <c r="A82" s="42" t="str">
        <f>IF('每日复盘'!A82="","",'每日复盘'!A82)</f>
        <v/>
      </c>
      <c r="B82" s="43" t="str">
        <f>IF('每日复盘'!AA82="","",'每日复盘'!AA82)</f>
        <v/>
      </c>
      <c r="C82" s="32" t="n"/>
      <c r="D82" s="32" t="n"/>
      <c r="E82" s="32" t="n"/>
      <c r="F82" s="32" t="n"/>
      <c r="G82" s="17" t="n"/>
      <c r="H82" s="44" t="str">
        <f>IF('每日复盘'!P82="","",'每日复盘'!P82)</f>
        <v/>
      </c>
      <c r="I82" s="17" t="n"/>
      <c r="J82" s="17" t="n"/>
      <c r="K82" s="17" t="n"/>
      <c r="L82" s="44" t="str">
        <f>IF('每日复盘'!R82="","",'每日复盘'!R82)</f>
        <v/>
      </c>
      <c r="M82" s="36" t="str">
        <f>IF(OR(NOT(ISNUMBER(L82)),COUNT(H82:J82)&lt;3),"",IF(OR(AND(L82&gt;=3,H82=0),AND(L82&gt;=4,I82=0),AND(L82&gt;=5,J82=0)),"有断层","连续"))</f>
        <v/>
      </c>
      <c r="N82" s="27" t="n"/>
      <c r="O82" s="45" t="str">
        <f>IF(NOT(ISNUMBER(A82)),"",IF(COUNTIFS('交易记录'!$S$5:$S$304,A82,'交易记录'!$X$5:$X$304,"已平仓")=0,"",SUMIFS('交易记录'!$AB$5:$AB$304,'交易记录'!$S$5:$S$304,A82,'交易记录'!$X$5:$X$304,"已平仓")))</f>
        <v/>
      </c>
      <c r="P82" s="36" t="str">
        <f>IF(NOT(ISNUMBER(O82)),"",IF(O82&lt;=-'参数'!$C$9,"触及停手线",""))</f>
        <v/>
      </c>
      <c r="Q82" s="32" t="n"/>
      <c r="R82" s="32" t="n"/>
      <c r="S82" s="32" t="n"/>
    </row>
    <row r="83">
      <c r="A83" s="42" t="str">
        <f>IF('每日复盘'!A83="","",'每日复盘'!A83)</f>
        <v/>
      </c>
      <c r="B83" s="43" t="str">
        <f>IF('每日复盘'!AA83="","",'每日复盘'!AA83)</f>
        <v/>
      </c>
      <c r="C83" s="32" t="n"/>
      <c r="D83" s="32" t="n"/>
      <c r="E83" s="32" t="n"/>
      <c r="F83" s="32" t="n"/>
      <c r="G83" s="17" t="n"/>
      <c r="H83" s="44" t="str">
        <f>IF('每日复盘'!P83="","",'每日复盘'!P83)</f>
        <v/>
      </c>
      <c r="I83" s="17" t="n"/>
      <c r="J83" s="17" t="n"/>
      <c r="K83" s="17" t="n"/>
      <c r="L83" s="44" t="str">
        <f>IF('每日复盘'!R83="","",'每日复盘'!R83)</f>
        <v/>
      </c>
      <c r="M83" s="36" t="str">
        <f>IF(OR(NOT(ISNUMBER(L83)),COUNT(H83:J83)&lt;3),"",IF(OR(AND(L83&gt;=3,H83=0),AND(L83&gt;=4,I83=0),AND(L83&gt;=5,J83=0)),"有断层","连续"))</f>
        <v/>
      </c>
      <c r="N83" s="27" t="n"/>
      <c r="O83" s="45" t="str">
        <f>IF(NOT(ISNUMBER(A83)),"",IF(COUNTIFS('交易记录'!$S$5:$S$304,A83,'交易记录'!$X$5:$X$304,"已平仓")=0,"",SUMIFS('交易记录'!$AB$5:$AB$304,'交易记录'!$S$5:$S$304,A83,'交易记录'!$X$5:$X$304,"已平仓")))</f>
        <v/>
      </c>
      <c r="P83" s="36" t="str">
        <f>IF(NOT(ISNUMBER(O83)),"",IF(O83&lt;=-'参数'!$C$9,"触及停手线",""))</f>
        <v/>
      </c>
      <c r="Q83" s="32" t="n"/>
      <c r="R83" s="32" t="n"/>
      <c r="S83" s="32" t="n"/>
    </row>
    <row r="84">
      <c r="A84" s="42" t="str">
        <f>IF('每日复盘'!A84="","",'每日复盘'!A84)</f>
        <v/>
      </c>
      <c r="B84" s="43" t="str">
        <f>IF('每日复盘'!AA84="","",'每日复盘'!AA84)</f>
        <v/>
      </c>
      <c r="C84" s="32" t="n"/>
      <c r="D84" s="32" t="n"/>
      <c r="E84" s="32" t="n"/>
      <c r="F84" s="32" t="n"/>
      <c r="G84" s="17" t="n"/>
      <c r="H84" s="44" t="str">
        <f>IF('每日复盘'!P84="","",'每日复盘'!P84)</f>
        <v/>
      </c>
      <c r="I84" s="17" t="n"/>
      <c r="J84" s="17" t="n"/>
      <c r="K84" s="17" t="n"/>
      <c r="L84" s="44" t="str">
        <f>IF('每日复盘'!R84="","",'每日复盘'!R84)</f>
        <v/>
      </c>
      <c r="M84" s="36" t="str">
        <f>IF(OR(NOT(ISNUMBER(L84)),COUNT(H84:J84)&lt;3),"",IF(OR(AND(L84&gt;=3,H84=0),AND(L84&gt;=4,I84=0),AND(L84&gt;=5,J84=0)),"有断层","连续"))</f>
        <v/>
      </c>
      <c r="N84" s="27" t="n"/>
      <c r="O84" s="45" t="str">
        <f>IF(NOT(ISNUMBER(A84)),"",IF(COUNTIFS('交易记录'!$S$5:$S$304,A84,'交易记录'!$X$5:$X$304,"已平仓")=0,"",SUMIFS('交易记录'!$AB$5:$AB$304,'交易记录'!$S$5:$S$304,A84,'交易记录'!$X$5:$X$304,"已平仓")))</f>
        <v/>
      </c>
      <c r="P84" s="36" t="str">
        <f>IF(NOT(ISNUMBER(O84)),"",IF(O84&lt;=-'参数'!$C$9,"触及停手线",""))</f>
        <v/>
      </c>
      <c r="Q84" s="32" t="n"/>
      <c r="R84" s="32" t="n"/>
      <c r="S84" s="32" t="n"/>
    </row>
    <row r="85">
      <c r="A85" s="42" t="str">
        <f>IF('每日复盘'!A85="","",'每日复盘'!A85)</f>
        <v/>
      </c>
      <c r="B85" s="43" t="str">
        <f>IF('每日复盘'!AA85="","",'每日复盘'!AA85)</f>
        <v/>
      </c>
      <c r="C85" s="32" t="n"/>
      <c r="D85" s="32" t="n"/>
      <c r="E85" s="32" t="n"/>
      <c r="F85" s="32" t="n"/>
      <c r="G85" s="17" t="n"/>
      <c r="H85" s="44" t="str">
        <f>IF('每日复盘'!P85="","",'每日复盘'!P85)</f>
        <v/>
      </c>
      <c r="I85" s="17" t="n"/>
      <c r="J85" s="17" t="n"/>
      <c r="K85" s="17" t="n"/>
      <c r="L85" s="44" t="str">
        <f>IF('每日复盘'!R85="","",'每日复盘'!R85)</f>
        <v/>
      </c>
      <c r="M85" s="36" t="str">
        <f>IF(OR(NOT(ISNUMBER(L85)),COUNT(H85:J85)&lt;3),"",IF(OR(AND(L85&gt;=3,H85=0),AND(L85&gt;=4,I85=0),AND(L85&gt;=5,J85=0)),"有断层","连续"))</f>
        <v/>
      </c>
      <c r="N85" s="27" t="n"/>
      <c r="O85" s="45" t="str">
        <f>IF(NOT(ISNUMBER(A85)),"",IF(COUNTIFS('交易记录'!$S$5:$S$304,A85,'交易记录'!$X$5:$X$304,"已平仓")=0,"",SUMIFS('交易记录'!$AB$5:$AB$304,'交易记录'!$S$5:$S$304,A85,'交易记录'!$X$5:$X$304,"已平仓")))</f>
        <v/>
      </c>
      <c r="P85" s="36" t="str">
        <f>IF(NOT(ISNUMBER(O85)),"",IF(O85&lt;=-'参数'!$C$9,"触及停手线",""))</f>
        <v/>
      </c>
      <c r="Q85" s="32" t="n"/>
      <c r="R85" s="32" t="n"/>
      <c r="S85" s="32" t="n"/>
    </row>
    <row r="86">
      <c r="A86" s="42" t="str">
        <f>IF('每日复盘'!A86="","",'每日复盘'!A86)</f>
        <v/>
      </c>
      <c r="B86" s="43" t="str">
        <f>IF('每日复盘'!AA86="","",'每日复盘'!AA86)</f>
        <v/>
      </c>
      <c r="C86" s="32" t="n"/>
      <c r="D86" s="32" t="n"/>
      <c r="E86" s="32" t="n"/>
      <c r="F86" s="32" t="n"/>
      <c r="G86" s="17" t="n"/>
      <c r="H86" s="44" t="str">
        <f>IF('每日复盘'!P86="","",'每日复盘'!P86)</f>
        <v/>
      </c>
      <c r="I86" s="17" t="n"/>
      <c r="J86" s="17" t="n"/>
      <c r="K86" s="17" t="n"/>
      <c r="L86" s="44" t="str">
        <f>IF('每日复盘'!R86="","",'每日复盘'!R86)</f>
        <v/>
      </c>
      <c r="M86" s="36" t="str">
        <f>IF(OR(NOT(ISNUMBER(L86)),COUNT(H86:J86)&lt;3),"",IF(OR(AND(L86&gt;=3,H86=0),AND(L86&gt;=4,I86=0),AND(L86&gt;=5,J86=0)),"有断层","连续"))</f>
        <v/>
      </c>
      <c r="N86" s="27" t="n"/>
      <c r="O86" s="45" t="str">
        <f>IF(NOT(ISNUMBER(A86)),"",IF(COUNTIFS('交易记录'!$S$5:$S$304,A86,'交易记录'!$X$5:$X$304,"已平仓")=0,"",SUMIFS('交易记录'!$AB$5:$AB$304,'交易记录'!$S$5:$S$304,A86,'交易记录'!$X$5:$X$304,"已平仓")))</f>
        <v/>
      </c>
      <c r="P86" s="36" t="str">
        <f>IF(NOT(ISNUMBER(O86)),"",IF(O86&lt;=-'参数'!$C$9,"触及停手线",""))</f>
        <v/>
      </c>
      <c r="Q86" s="32" t="n"/>
      <c r="R86" s="32" t="n"/>
      <c r="S86" s="32" t="n"/>
    </row>
    <row r="87">
      <c r="A87" s="42" t="str">
        <f>IF('每日复盘'!A87="","",'每日复盘'!A87)</f>
        <v/>
      </c>
      <c r="B87" s="43" t="str">
        <f>IF('每日复盘'!AA87="","",'每日复盘'!AA87)</f>
        <v/>
      </c>
      <c r="C87" s="32" t="n"/>
      <c r="D87" s="32" t="n"/>
      <c r="E87" s="32" t="n"/>
      <c r="F87" s="32" t="n"/>
      <c r="G87" s="17" t="n"/>
      <c r="H87" s="44" t="str">
        <f>IF('每日复盘'!P87="","",'每日复盘'!P87)</f>
        <v/>
      </c>
      <c r="I87" s="17" t="n"/>
      <c r="J87" s="17" t="n"/>
      <c r="K87" s="17" t="n"/>
      <c r="L87" s="44" t="str">
        <f>IF('每日复盘'!R87="","",'每日复盘'!R87)</f>
        <v/>
      </c>
      <c r="M87" s="36" t="str">
        <f>IF(OR(NOT(ISNUMBER(L87)),COUNT(H87:J87)&lt;3),"",IF(OR(AND(L87&gt;=3,H87=0),AND(L87&gt;=4,I87=0),AND(L87&gt;=5,J87=0)),"有断层","连续"))</f>
        <v/>
      </c>
      <c r="N87" s="27" t="n"/>
      <c r="O87" s="45" t="str">
        <f>IF(NOT(ISNUMBER(A87)),"",IF(COUNTIFS('交易记录'!$S$5:$S$304,A87,'交易记录'!$X$5:$X$304,"已平仓")=0,"",SUMIFS('交易记录'!$AB$5:$AB$304,'交易记录'!$S$5:$S$304,A87,'交易记录'!$X$5:$X$304,"已平仓")))</f>
        <v/>
      </c>
      <c r="P87" s="36" t="str">
        <f>IF(NOT(ISNUMBER(O87)),"",IF(O87&lt;=-'参数'!$C$9,"触及停手线",""))</f>
        <v/>
      </c>
      <c r="Q87" s="32" t="n"/>
      <c r="R87" s="32" t="n"/>
      <c r="S87" s="32" t="n"/>
    </row>
    <row r="88">
      <c r="A88" s="42" t="str">
        <f>IF('每日复盘'!A88="","",'每日复盘'!A88)</f>
        <v/>
      </c>
      <c r="B88" s="43" t="str">
        <f>IF('每日复盘'!AA88="","",'每日复盘'!AA88)</f>
        <v/>
      </c>
      <c r="C88" s="32" t="n"/>
      <c r="D88" s="32" t="n"/>
      <c r="E88" s="32" t="n"/>
      <c r="F88" s="32" t="n"/>
      <c r="G88" s="17" t="n"/>
      <c r="H88" s="44" t="str">
        <f>IF('每日复盘'!P88="","",'每日复盘'!P88)</f>
        <v/>
      </c>
      <c r="I88" s="17" t="n"/>
      <c r="J88" s="17" t="n"/>
      <c r="K88" s="17" t="n"/>
      <c r="L88" s="44" t="str">
        <f>IF('每日复盘'!R88="","",'每日复盘'!R88)</f>
        <v/>
      </c>
      <c r="M88" s="36" t="str">
        <f>IF(OR(NOT(ISNUMBER(L88)),COUNT(H88:J88)&lt;3),"",IF(OR(AND(L88&gt;=3,H88=0),AND(L88&gt;=4,I88=0),AND(L88&gt;=5,J88=0)),"有断层","连续"))</f>
        <v/>
      </c>
      <c r="N88" s="27" t="n"/>
      <c r="O88" s="45" t="str">
        <f>IF(NOT(ISNUMBER(A88)),"",IF(COUNTIFS('交易记录'!$S$5:$S$304,A88,'交易记录'!$X$5:$X$304,"已平仓")=0,"",SUMIFS('交易记录'!$AB$5:$AB$304,'交易记录'!$S$5:$S$304,A88,'交易记录'!$X$5:$X$304,"已平仓")))</f>
        <v/>
      </c>
      <c r="P88" s="36" t="str">
        <f>IF(NOT(ISNUMBER(O88)),"",IF(O88&lt;=-'参数'!$C$9,"触及停手线",""))</f>
        <v/>
      </c>
      <c r="Q88" s="32" t="n"/>
      <c r="R88" s="32" t="n"/>
      <c r="S88" s="32" t="n"/>
    </row>
    <row r="89">
      <c r="A89" s="42" t="str">
        <f>IF('每日复盘'!A89="","",'每日复盘'!A89)</f>
        <v/>
      </c>
      <c r="B89" s="43" t="str">
        <f>IF('每日复盘'!AA89="","",'每日复盘'!AA89)</f>
        <v/>
      </c>
      <c r="C89" s="32" t="n"/>
      <c r="D89" s="32" t="n"/>
      <c r="E89" s="32" t="n"/>
      <c r="F89" s="32" t="n"/>
      <c r="G89" s="17" t="n"/>
      <c r="H89" s="44" t="str">
        <f>IF('每日复盘'!P89="","",'每日复盘'!P89)</f>
        <v/>
      </c>
      <c r="I89" s="17" t="n"/>
      <c r="J89" s="17" t="n"/>
      <c r="K89" s="17" t="n"/>
      <c r="L89" s="44" t="str">
        <f>IF('每日复盘'!R89="","",'每日复盘'!R89)</f>
        <v/>
      </c>
      <c r="M89" s="36" t="str">
        <f>IF(OR(NOT(ISNUMBER(L89)),COUNT(H89:J89)&lt;3),"",IF(OR(AND(L89&gt;=3,H89=0),AND(L89&gt;=4,I89=0),AND(L89&gt;=5,J89=0)),"有断层","连续"))</f>
        <v/>
      </c>
      <c r="N89" s="27" t="n"/>
      <c r="O89" s="45" t="str">
        <f>IF(NOT(ISNUMBER(A89)),"",IF(COUNTIFS('交易记录'!$S$5:$S$304,A89,'交易记录'!$X$5:$X$304,"已平仓")=0,"",SUMIFS('交易记录'!$AB$5:$AB$304,'交易记录'!$S$5:$S$304,A89,'交易记录'!$X$5:$X$304,"已平仓")))</f>
        <v/>
      </c>
      <c r="P89" s="36" t="str">
        <f>IF(NOT(ISNUMBER(O89)),"",IF(O89&lt;=-'参数'!$C$9,"触及停手线",""))</f>
        <v/>
      </c>
      <c r="Q89" s="32" t="n"/>
      <c r="R89" s="32" t="n"/>
      <c r="S89" s="32" t="n"/>
    </row>
    <row r="90">
      <c r="A90" s="42" t="str">
        <f>IF('每日复盘'!A90="","",'每日复盘'!A90)</f>
        <v/>
      </c>
      <c r="B90" s="43" t="str">
        <f>IF('每日复盘'!AA90="","",'每日复盘'!AA90)</f>
        <v/>
      </c>
      <c r="C90" s="32" t="n"/>
      <c r="D90" s="32" t="n"/>
      <c r="E90" s="32" t="n"/>
      <c r="F90" s="32" t="n"/>
      <c r="G90" s="17" t="n"/>
      <c r="H90" s="44" t="str">
        <f>IF('每日复盘'!P90="","",'每日复盘'!P90)</f>
        <v/>
      </c>
      <c r="I90" s="17" t="n"/>
      <c r="J90" s="17" t="n"/>
      <c r="K90" s="17" t="n"/>
      <c r="L90" s="44" t="str">
        <f>IF('每日复盘'!R90="","",'每日复盘'!R90)</f>
        <v/>
      </c>
      <c r="M90" s="36" t="str">
        <f>IF(OR(NOT(ISNUMBER(L90)),COUNT(H90:J90)&lt;3),"",IF(OR(AND(L90&gt;=3,H90=0),AND(L90&gt;=4,I90=0),AND(L90&gt;=5,J90=0)),"有断层","连续"))</f>
        <v/>
      </c>
      <c r="N90" s="27" t="n"/>
      <c r="O90" s="45" t="str">
        <f>IF(NOT(ISNUMBER(A90)),"",IF(COUNTIFS('交易记录'!$S$5:$S$304,A90,'交易记录'!$X$5:$X$304,"已平仓")=0,"",SUMIFS('交易记录'!$AB$5:$AB$304,'交易记录'!$S$5:$S$304,A90,'交易记录'!$X$5:$X$304,"已平仓")))</f>
        <v/>
      </c>
      <c r="P90" s="36" t="str">
        <f>IF(NOT(ISNUMBER(O90)),"",IF(O90&lt;=-'参数'!$C$9,"触及停手线",""))</f>
        <v/>
      </c>
      <c r="Q90" s="32" t="n"/>
      <c r="R90" s="32" t="n"/>
      <c r="S90" s="32" t="n"/>
    </row>
    <row r="91">
      <c r="A91" s="42" t="str">
        <f>IF('每日复盘'!A91="","",'每日复盘'!A91)</f>
        <v/>
      </c>
      <c r="B91" s="43" t="str">
        <f>IF('每日复盘'!AA91="","",'每日复盘'!AA91)</f>
        <v/>
      </c>
      <c r="C91" s="32" t="n"/>
      <c r="D91" s="32" t="n"/>
      <c r="E91" s="32" t="n"/>
      <c r="F91" s="32" t="n"/>
      <c r="G91" s="17" t="n"/>
      <c r="H91" s="44" t="str">
        <f>IF('每日复盘'!P91="","",'每日复盘'!P91)</f>
        <v/>
      </c>
      <c r="I91" s="17" t="n"/>
      <c r="J91" s="17" t="n"/>
      <c r="K91" s="17" t="n"/>
      <c r="L91" s="44" t="str">
        <f>IF('每日复盘'!R91="","",'每日复盘'!R91)</f>
        <v/>
      </c>
      <c r="M91" s="36" t="str">
        <f>IF(OR(NOT(ISNUMBER(L91)),COUNT(H91:J91)&lt;3),"",IF(OR(AND(L91&gt;=3,H91=0),AND(L91&gt;=4,I91=0),AND(L91&gt;=5,J91=0)),"有断层","连续"))</f>
        <v/>
      </c>
      <c r="N91" s="27" t="n"/>
      <c r="O91" s="45" t="str">
        <f>IF(NOT(ISNUMBER(A91)),"",IF(COUNTIFS('交易记录'!$S$5:$S$304,A91,'交易记录'!$X$5:$X$304,"已平仓")=0,"",SUMIFS('交易记录'!$AB$5:$AB$304,'交易记录'!$S$5:$S$304,A91,'交易记录'!$X$5:$X$304,"已平仓")))</f>
        <v/>
      </c>
      <c r="P91" s="36" t="str">
        <f>IF(NOT(ISNUMBER(O91)),"",IF(O91&lt;=-'参数'!$C$9,"触及停手线",""))</f>
        <v/>
      </c>
      <c r="Q91" s="32" t="n"/>
      <c r="R91" s="32" t="n"/>
      <c r="S91" s="32" t="n"/>
    </row>
    <row r="92">
      <c r="A92" s="42" t="str">
        <f>IF('每日复盘'!A92="","",'每日复盘'!A92)</f>
        <v/>
      </c>
      <c r="B92" s="43" t="str">
        <f>IF('每日复盘'!AA92="","",'每日复盘'!AA92)</f>
        <v/>
      </c>
      <c r="C92" s="32" t="n"/>
      <c r="D92" s="32" t="n"/>
      <c r="E92" s="32" t="n"/>
      <c r="F92" s="32" t="n"/>
      <c r="G92" s="17" t="n"/>
      <c r="H92" s="44" t="str">
        <f>IF('每日复盘'!P92="","",'每日复盘'!P92)</f>
        <v/>
      </c>
      <c r="I92" s="17" t="n"/>
      <c r="J92" s="17" t="n"/>
      <c r="K92" s="17" t="n"/>
      <c r="L92" s="44" t="str">
        <f>IF('每日复盘'!R92="","",'每日复盘'!R92)</f>
        <v/>
      </c>
      <c r="M92" s="36" t="str">
        <f>IF(OR(NOT(ISNUMBER(L92)),COUNT(H92:J92)&lt;3),"",IF(OR(AND(L92&gt;=3,H92=0),AND(L92&gt;=4,I92=0),AND(L92&gt;=5,J92=0)),"有断层","连续"))</f>
        <v/>
      </c>
      <c r="N92" s="27" t="n"/>
      <c r="O92" s="45" t="str">
        <f>IF(NOT(ISNUMBER(A92)),"",IF(COUNTIFS('交易记录'!$S$5:$S$304,A92,'交易记录'!$X$5:$X$304,"已平仓")=0,"",SUMIFS('交易记录'!$AB$5:$AB$304,'交易记录'!$S$5:$S$304,A92,'交易记录'!$X$5:$X$304,"已平仓")))</f>
        <v/>
      </c>
      <c r="P92" s="36" t="str">
        <f>IF(NOT(ISNUMBER(O92)),"",IF(O92&lt;=-'参数'!$C$9,"触及停手线",""))</f>
        <v/>
      </c>
      <c r="Q92" s="32" t="n"/>
      <c r="R92" s="32" t="n"/>
      <c r="S92" s="32" t="n"/>
    </row>
    <row r="93">
      <c r="A93" s="42" t="str">
        <f>IF('每日复盘'!A93="","",'每日复盘'!A93)</f>
        <v/>
      </c>
      <c r="B93" s="43" t="str">
        <f>IF('每日复盘'!AA93="","",'每日复盘'!AA93)</f>
        <v/>
      </c>
      <c r="C93" s="32" t="n"/>
      <c r="D93" s="32" t="n"/>
      <c r="E93" s="32" t="n"/>
      <c r="F93" s="32" t="n"/>
      <c r="G93" s="17" t="n"/>
      <c r="H93" s="44" t="str">
        <f>IF('每日复盘'!P93="","",'每日复盘'!P93)</f>
        <v/>
      </c>
      <c r="I93" s="17" t="n"/>
      <c r="J93" s="17" t="n"/>
      <c r="K93" s="17" t="n"/>
      <c r="L93" s="44" t="str">
        <f>IF('每日复盘'!R93="","",'每日复盘'!R93)</f>
        <v/>
      </c>
      <c r="M93" s="36" t="str">
        <f>IF(OR(NOT(ISNUMBER(L93)),COUNT(H93:J93)&lt;3),"",IF(OR(AND(L93&gt;=3,H93=0),AND(L93&gt;=4,I93=0),AND(L93&gt;=5,J93=0)),"有断层","连续"))</f>
        <v/>
      </c>
      <c r="N93" s="27" t="n"/>
      <c r="O93" s="45" t="str">
        <f>IF(NOT(ISNUMBER(A93)),"",IF(COUNTIFS('交易记录'!$S$5:$S$304,A93,'交易记录'!$X$5:$X$304,"已平仓")=0,"",SUMIFS('交易记录'!$AB$5:$AB$304,'交易记录'!$S$5:$S$304,A93,'交易记录'!$X$5:$X$304,"已平仓")))</f>
        <v/>
      </c>
      <c r="P93" s="36" t="str">
        <f>IF(NOT(ISNUMBER(O93)),"",IF(O93&lt;=-'参数'!$C$9,"触及停手线",""))</f>
        <v/>
      </c>
      <c r="Q93" s="32" t="n"/>
      <c r="R93" s="32" t="n"/>
      <c r="S93" s="32" t="n"/>
    </row>
    <row r="94">
      <c r="A94" s="42" t="str">
        <f>IF('每日复盘'!A94="","",'每日复盘'!A94)</f>
        <v/>
      </c>
      <c r="B94" s="43" t="str">
        <f>IF('每日复盘'!AA94="","",'每日复盘'!AA94)</f>
        <v/>
      </c>
      <c r="C94" s="32" t="n"/>
      <c r="D94" s="32" t="n"/>
      <c r="E94" s="32" t="n"/>
      <c r="F94" s="32" t="n"/>
      <c r="G94" s="17" t="n"/>
      <c r="H94" s="44" t="str">
        <f>IF('每日复盘'!P94="","",'每日复盘'!P94)</f>
        <v/>
      </c>
      <c r="I94" s="17" t="n"/>
      <c r="J94" s="17" t="n"/>
      <c r="K94" s="17" t="n"/>
      <c r="L94" s="44" t="str">
        <f>IF('每日复盘'!R94="","",'每日复盘'!R94)</f>
        <v/>
      </c>
      <c r="M94" s="36" t="str">
        <f>IF(OR(NOT(ISNUMBER(L94)),COUNT(H94:J94)&lt;3),"",IF(OR(AND(L94&gt;=3,H94=0),AND(L94&gt;=4,I94=0),AND(L94&gt;=5,J94=0)),"有断层","连续"))</f>
        <v/>
      </c>
      <c r="N94" s="27" t="n"/>
      <c r="O94" s="45" t="str">
        <f>IF(NOT(ISNUMBER(A94)),"",IF(COUNTIFS('交易记录'!$S$5:$S$304,A94,'交易记录'!$X$5:$X$304,"已平仓")=0,"",SUMIFS('交易记录'!$AB$5:$AB$304,'交易记录'!$S$5:$S$304,A94,'交易记录'!$X$5:$X$304,"已平仓")))</f>
        <v/>
      </c>
      <c r="P94" s="36" t="str">
        <f>IF(NOT(ISNUMBER(O94)),"",IF(O94&lt;=-'参数'!$C$9,"触及停手线",""))</f>
        <v/>
      </c>
      <c r="Q94" s="32" t="n"/>
      <c r="R94" s="32" t="n"/>
      <c r="S94" s="32" t="n"/>
    </row>
    <row r="95">
      <c r="A95" s="42" t="str">
        <f>IF('每日复盘'!A95="","",'每日复盘'!A95)</f>
        <v/>
      </c>
      <c r="B95" s="43" t="str">
        <f>IF('每日复盘'!AA95="","",'每日复盘'!AA95)</f>
        <v/>
      </c>
      <c r="C95" s="32" t="n"/>
      <c r="D95" s="32" t="n"/>
      <c r="E95" s="32" t="n"/>
      <c r="F95" s="32" t="n"/>
      <c r="G95" s="17" t="n"/>
      <c r="H95" s="44" t="str">
        <f>IF('每日复盘'!P95="","",'每日复盘'!P95)</f>
        <v/>
      </c>
      <c r="I95" s="17" t="n"/>
      <c r="J95" s="17" t="n"/>
      <c r="K95" s="17" t="n"/>
      <c r="L95" s="44" t="str">
        <f>IF('每日复盘'!R95="","",'每日复盘'!R95)</f>
        <v/>
      </c>
      <c r="M95" s="36" t="str">
        <f>IF(OR(NOT(ISNUMBER(L95)),COUNT(H95:J95)&lt;3),"",IF(OR(AND(L95&gt;=3,H95=0),AND(L95&gt;=4,I95=0),AND(L95&gt;=5,J95=0)),"有断层","连续"))</f>
        <v/>
      </c>
      <c r="N95" s="27" t="n"/>
      <c r="O95" s="45" t="str">
        <f>IF(NOT(ISNUMBER(A95)),"",IF(COUNTIFS('交易记录'!$S$5:$S$304,A95,'交易记录'!$X$5:$X$304,"已平仓")=0,"",SUMIFS('交易记录'!$AB$5:$AB$304,'交易记录'!$S$5:$S$304,A95,'交易记录'!$X$5:$X$304,"已平仓")))</f>
        <v/>
      </c>
      <c r="P95" s="36" t="str">
        <f>IF(NOT(ISNUMBER(O95)),"",IF(O95&lt;=-'参数'!$C$9,"触及停手线",""))</f>
        <v/>
      </c>
      <c r="Q95" s="32" t="n"/>
      <c r="R95" s="32" t="n"/>
      <c r="S95" s="32" t="n"/>
    </row>
    <row r="96">
      <c r="A96" s="42" t="str">
        <f>IF('每日复盘'!A96="","",'每日复盘'!A96)</f>
        <v/>
      </c>
      <c r="B96" s="43" t="str">
        <f>IF('每日复盘'!AA96="","",'每日复盘'!AA96)</f>
        <v/>
      </c>
      <c r="C96" s="32" t="n"/>
      <c r="D96" s="32" t="n"/>
      <c r="E96" s="32" t="n"/>
      <c r="F96" s="32" t="n"/>
      <c r="G96" s="17" t="n"/>
      <c r="H96" s="44" t="str">
        <f>IF('每日复盘'!P96="","",'每日复盘'!P96)</f>
        <v/>
      </c>
      <c r="I96" s="17" t="n"/>
      <c r="J96" s="17" t="n"/>
      <c r="K96" s="17" t="n"/>
      <c r="L96" s="44" t="str">
        <f>IF('每日复盘'!R96="","",'每日复盘'!R96)</f>
        <v/>
      </c>
      <c r="M96" s="36" t="str">
        <f>IF(OR(NOT(ISNUMBER(L96)),COUNT(H96:J96)&lt;3),"",IF(OR(AND(L96&gt;=3,H96=0),AND(L96&gt;=4,I96=0),AND(L96&gt;=5,J96=0)),"有断层","连续"))</f>
        <v/>
      </c>
      <c r="N96" s="27" t="n"/>
      <c r="O96" s="45" t="str">
        <f>IF(NOT(ISNUMBER(A96)),"",IF(COUNTIFS('交易记录'!$S$5:$S$304,A96,'交易记录'!$X$5:$X$304,"已平仓")=0,"",SUMIFS('交易记录'!$AB$5:$AB$304,'交易记录'!$S$5:$S$304,A96,'交易记录'!$X$5:$X$304,"已平仓")))</f>
        <v/>
      </c>
      <c r="P96" s="36" t="str">
        <f>IF(NOT(ISNUMBER(O96)),"",IF(O96&lt;=-'参数'!$C$9,"触及停手线",""))</f>
        <v/>
      </c>
      <c r="Q96" s="32" t="n"/>
      <c r="R96" s="32" t="n"/>
      <c r="S96" s="32" t="n"/>
    </row>
    <row r="97">
      <c r="A97" s="42" t="str">
        <f>IF('每日复盘'!A97="","",'每日复盘'!A97)</f>
        <v/>
      </c>
      <c r="B97" s="43" t="str">
        <f>IF('每日复盘'!AA97="","",'每日复盘'!AA97)</f>
        <v/>
      </c>
      <c r="C97" s="32" t="n"/>
      <c r="D97" s="32" t="n"/>
      <c r="E97" s="32" t="n"/>
      <c r="F97" s="32" t="n"/>
      <c r="G97" s="17" t="n"/>
      <c r="H97" s="44" t="str">
        <f>IF('每日复盘'!P97="","",'每日复盘'!P97)</f>
        <v/>
      </c>
      <c r="I97" s="17" t="n"/>
      <c r="J97" s="17" t="n"/>
      <c r="K97" s="17" t="n"/>
      <c r="L97" s="44" t="str">
        <f>IF('每日复盘'!R97="","",'每日复盘'!R97)</f>
        <v/>
      </c>
      <c r="M97" s="36" t="str">
        <f>IF(OR(NOT(ISNUMBER(L97)),COUNT(H97:J97)&lt;3),"",IF(OR(AND(L97&gt;=3,H97=0),AND(L97&gt;=4,I97=0),AND(L97&gt;=5,J97=0)),"有断层","连续"))</f>
        <v/>
      </c>
      <c r="N97" s="27" t="n"/>
      <c r="O97" s="45" t="str">
        <f>IF(NOT(ISNUMBER(A97)),"",IF(COUNTIFS('交易记录'!$S$5:$S$304,A97,'交易记录'!$X$5:$X$304,"已平仓")=0,"",SUMIFS('交易记录'!$AB$5:$AB$304,'交易记录'!$S$5:$S$304,A97,'交易记录'!$X$5:$X$304,"已平仓")))</f>
        <v/>
      </c>
      <c r="P97" s="36" t="str">
        <f>IF(NOT(ISNUMBER(O97)),"",IF(O97&lt;=-'参数'!$C$9,"触及停手线",""))</f>
        <v/>
      </c>
      <c r="Q97" s="32" t="n"/>
      <c r="R97" s="32" t="n"/>
      <c r="S97" s="32" t="n"/>
    </row>
    <row r="98">
      <c r="A98" s="42" t="str">
        <f>IF('每日复盘'!A98="","",'每日复盘'!A98)</f>
        <v/>
      </c>
      <c r="B98" s="43" t="str">
        <f>IF('每日复盘'!AA98="","",'每日复盘'!AA98)</f>
        <v/>
      </c>
      <c r="C98" s="32" t="n"/>
      <c r="D98" s="32" t="n"/>
      <c r="E98" s="32" t="n"/>
      <c r="F98" s="32" t="n"/>
      <c r="G98" s="17" t="n"/>
      <c r="H98" s="44" t="str">
        <f>IF('每日复盘'!P98="","",'每日复盘'!P98)</f>
        <v/>
      </c>
      <c r="I98" s="17" t="n"/>
      <c r="J98" s="17" t="n"/>
      <c r="K98" s="17" t="n"/>
      <c r="L98" s="44" t="str">
        <f>IF('每日复盘'!R98="","",'每日复盘'!R98)</f>
        <v/>
      </c>
      <c r="M98" s="36" t="str">
        <f>IF(OR(NOT(ISNUMBER(L98)),COUNT(H98:J98)&lt;3),"",IF(OR(AND(L98&gt;=3,H98=0),AND(L98&gt;=4,I98=0),AND(L98&gt;=5,J98=0)),"有断层","连续"))</f>
        <v/>
      </c>
      <c r="N98" s="27" t="n"/>
      <c r="O98" s="45" t="str">
        <f>IF(NOT(ISNUMBER(A98)),"",IF(COUNTIFS('交易记录'!$S$5:$S$304,A98,'交易记录'!$X$5:$X$304,"已平仓")=0,"",SUMIFS('交易记录'!$AB$5:$AB$304,'交易记录'!$S$5:$S$304,A98,'交易记录'!$X$5:$X$304,"已平仓")))</f>
        <v/>
      </c>
      <c r="P98" s="36" t="str">
        <f>IF(NOT(ISNUMBER(O98)),"",IF(O98&lt;=-'参数'!$C$9,"触及停手线",""))</f>
        <v/>
      </c>
      <c r="Q98" s="32" t="n"/>
      <c r="R98" s="32" t="n"/>
      <c r="S98" s="32" t="n"/>
    </row>
    <row r="99">
      <c r="A99" s="42" t="str">
        <f>IF('每日复盘'!A99="","",'每日复盘'!A99)</f>
        <v/>
      </c>
      <c r="B99" s="43" t="str">
        <f>IF('每日复盘'!AA99="","",'每日复盘'!AA99)</f>
        <v/>
      </c>
      <c r="C99" s="32" t="n"/>
      <c r="D99" s="32" t="n"/>
      <c r="E99" s="32" t="n"/>
      <c r="F99" s="32" t="n"/>
      <c r="G99" s="17" t="n"/>
      <c r="H99" s="44" t="str">
        <f>IF('每日复盘'!P99="","",'每日复盘'!P99)</f>
        <v/>
      </c>
      <c r="I99" s="17" t="n"/>
      <c r="J99" s="17" t="n"/>
      <c r="K99" s="17" t="n"/>
      <c r="L99" s="44" t="str">
        <f>IF('每日复盘'!R99="","",'每日复盘'!R99)</f>
        <v/>
      </c>
      <c r="M99" s="36" t="str">
        <f>IF(OR(NOT(ISNUMBER(L99)),COUNT(H99:J99)&lt;3),"",IF(OR(AND(L99&gt;=3,H99=0),AND(L99&gt;=4,I99=0),AND(L99&gt;=5,J99=0)),"有断层","连续"))</f>
        <v/>
      </c>
      <c r="N99" s="27" t="n"/>
      <c r="O99" s="45" t="str">
        <f>IF(NOT(ISNUMBER(A99)),"",IF(COUNTIFS('交易记录'!$S$5:$S$304,A99,'交易记录'!$X$5:$X$304,"已平仓")=0,"",SUMIFS('交易记录'!$AB$5:$AB$304,'交易记录'!$S$5:$S$304,A99,'交易记录'!$X$5:$X$304,"已平仓")))</f>
        <v/>
      </c>
      <c r="P99" s="36" t="str">
        <f>IF(NOT(ISNUMBER(O99)),"",IF(O99&lt;=-'参数'!$C$9,"触及停手线",""))</f>
        <v/>
      </c>
      <c r="Q99" s="32" t="n"/>
      <c r="R99" s="32" t="n"/>
      <c r="S99" s="32" t="n"/>
    </row>
    <row r="100">
      <c r="A100" s="42" t="str">
        <f>IF('每日复盘'!A100="","",'每日复盘'!A100)</f>
        <v/>
      </c>
      <c r="B100" s="43" t="str">
        <f>IF('每日复盘'!AA100="","",'每日复盘'!AA100)</f>
        <v/>
      </c>
      <c r="C100" s="32" t="n"/>
      <c r="D100" s="32" t="n"/>
      <c r="E100" s="32" t="n"/>
      <c r="F100" s="32" t="n"/>
      <c r="G100" s="17" t="n"/>
      <c r="H100" s="44" t="str">
        <f>IF('每日复盘'!P100="","",'每日复盘'!P100)</f>
        <v/>
      </c>
      <c r="I100" s="17" t="n"/>
      <c r="J100" s="17" t="n"/>
      <c r="K100" s="17" t="n"/>
      <c r="L100" s="44" t="str">
        <f>IF('每日复盘'!R100="","",'每日复盘'!R100)</f>
        <v/>
      </c>
      <c r="M100" s="36" t="str">
        <f>IF(OR(NOT(ISNUMBER(L100)),COUNT(H100:J100)&lt;3),"",IF(OR(AND(L100&gt;=3,H100=0),AND(L100&gt;=4,I100=0),AND(L100&gt;=5,J100=0)),"有断层","连续"))</f>
        <v/>
      </c>
      <c r="N100" s="27" t="n"/>
      <c r="O100" s="45" t="str">
        <f>IF(NOT(ISNUMBER(A100)),"",IF(COUNTIFS('交易记录'!$S$5:$S$304,A100,'交易记录'!$X$5:$X$304,"已平仓")=0,"",SUMIFS('交易记录'!$AB$5:$AB$304,'交易记录'!$S$5:$S$304,A100,'交易记录'!$X$5:$X$304,"已平仓")))</f>
        <v/>
      </c>
      <c r="P100" s="36" t="str">
        <f>IF(NOT(ISNUMBER(O100)),"",IF(O100&lt;=-'参数'!$C$9,"触及停手线",""))</f>
        <v/>
      </c>
      <c r="Q100" s="32" t="n"/>
      <c r="R100" s="32" t="n"/>
      <c r="S100" s="32" t="n"/>
    </row>
    <row r="101">
      <c r="A101" s="42" t="str">
        <f>IF('每日复盘'!A101="","",'每日复盘'!A101)</f>
        <v/>
      </c>
      <c r="B101" s="43" t="str">
        <f>IF('每日复盘'!AA101="","",'每日复盘'!AA101)</f>
        <v/>
      </c>
      <c r="C101" s="32" t="n"/>
      <c r="D101" s="32" t="n"/>
      <c r="E101" s="32" t="n"/>
      <c r="F101" s="32" t="n"/>
      <c r="G101" s="17" t="n"/>
      <c r="H101" s="44" t="str">
        <f>IF('每日复盘'!P101="","",'每日复盘'!P101)</f>
        <v/>
      </c>
      <c r="I101" s="17" t="n"/>
      <c r="J101" s="17" t="n"/>
      <c r="K101" s="17" t="n"/>
      <c r="L101" s="44" t="str">
        <f>IF('每日复盘'!R101="","",'每日复盘'!R101)</f>
        <v/>
      </c>
      <c r="M101" s="36" t="str">
        <f>IF(OR(NOT(ISNUMBER(L101)),COUNT(H101:J101)&lt;3),"",IF(OR(AND(L101&gt;=3,H101=0),AND(L101&gt;=4,I101=0),AND(L101&gt;=5,J101=0)),"有断层","连续"))</f>
        <v/>
      </c>
      <c r="N101" s="27" t="n"/>
      <c r="O101" s="45" t="str">
        <f>IF(NOT(ISNUMBER(A101)),"",IF(COUNTIFS('交易记录'!$S$5:$S$304,A101,'交易记录'!$X$5:$X$304,"已平仓")=0,"",SUMIFS('交易记录'!$AB$5:$AB$304,'交易记录'!$S$5:$S$304,A101,'交易记录'!$X$5:$X$304,"已平仓")))</f>
        <v/>
      </c>
      <c r="P101" s="36" t="str">
        <f>IF(NOT(ISNUMBER(O101)),"",IF(O101&lt;=-'参数'!$C$9,"触及停手线",""))</f>
        <v/>
      </c>
      <c r="Q101" s="32" t="n"/>
      <c r="R101" s="32" t="n"/>
      <c r="S101" s="32" t="n"/>
    </row>
    <row r="102">
      <c r="A102" s="42" t="str">
        <f>IF('每日复盘'!A102="","",'每日复盘'!A102)</f>
        <v/>
      </c>
      <c r="B102" s="43" t="str">
        <f>IF('每日复盘'!AA102="","",'每日复盘'!AA102)</f>
        <v/>
      </c>
      <c r="C102" s="32" t="n"/>
      <c r="D102" s="32" t="n"/>
      <c r="E102" s="32" t="n"/>
      <c r="F102" s="32" t="n"/>
      <c r="G102" s="17" t="n"/>
      <c r="H102" s="44" t="str">
        <f>IF('每日复盘'!P102="","",'每日复盘'!P102)</f>
        <v/>
      </c>
      <c r="I102" s="17" t="n"/>
      <c r="J102" s="17" t="n"/>
      <c r="K102" s="17" t="n"/>
      <c r="L102" s="44" t="str">
        <f>IF('每日复盘'!R102="","",'每日复盘'!R102)</f>
        <v/>
      </c>
      <c r="M102" s="36" t="str">
        <f>IF(OR(NOT(ISNUMBER(L102)),COUNT(H102:J102)&lt;3),"",IF(OR(AND(L102&gt;=3,H102=0),AND(L102&gt;=4,I102=0),AND(L102&gt;=5,J102=0)),"有断层","连续"))</f>
        <v/>
      </c>
      <c r="N102" s="27" t="n"/>
      <c r="O102" s="45" t="str">
        <f>IF(NOT(ISNUMBER(A102)),"",IF(COUNTIFS('交易记录'!$S$5:$S$304,A102,'交易记录'!$X$5:$X$304,"已平仓")=0,"",SUMIFS('交易记录'!$AB$5:$AB$304,'交易记录'!$S$5:$S$304,A102,'交易记录'!$X$5:$X$304,"已平仓")))</f>
        <v/>
      </c>
      <c r="P102" s="36" t="str">
        <f>IF(NOT(ISNUMBER(O102)),"",IF(O102&lt;=-'参数'!$C$9,"触及停手线",""))</f>
        <v/>
      </c>
      <c r="Q102" s="32" t="n"/>
      <c r="R102" s="32" t="n"/>
      <c r="S102" s="32" t="n"/>
    </row>
    <row r="103">
      <c r="A103" s="42" t="str">
        <f>IF('每日复盘'!A103="","",'每日复盘'!A103)</f>
        <v/>
      </c>
      <c r="B103" s="43" t="str">
        <f>IF('每日复盘'!AA103="","",'每日复盘'!AA103)</f>
        <v/>
      </c>
      <c r="C103" s="32" t="n"/>
      <c r="D103" s="32" t="n"/>
      <c r="E103" s="32" t="n"/>
      <c r="F103" s="32" t="n"/>
      <c r="G103" s="17" t="n"/>
      <c r="H103" s="44" t="str">
        <f>IF('每日复盘'!P103="","",'每日复盘'!P103)</f>
        <v/>
      </c>
      <c r="I103" s="17" t="n"/>
      <c r="J103" s="17" t="n"/>
      <c r="K103" s="17" t="n"/>
      <c r="L103" s="44" t="str">
        <f>IF('每日复盘'!R103="","",'每日复盘'!R103)</f>
        <v/>
      </c>
      <c r="M103" s="36" t="str">
        <f>IF(OR(NOT(ISNUMBER(L103)),COUNT(H103:J103)&lt;3),"",IF(OR(AND(L103&gt;=3,H103=0),AND(L103&gt;=4,I103=0),AND(L103&gt;=5,J103=0)),"有断层","连续"))</f>
        <v/>
      </c>
      <c r="N103" s="27" t="n"/>
      <c r="O103" s="45" t="str">
        <f>IF(NOT(ISNUMBER(A103)),"",IF(COUNTIFS('交易记录'!$S$5:$S$304,A103,'交易记录'!$X$5:$X$304,"已平仓")=0,"",SUMIFS('交易记录'!$AB$5:$AB$304,'交易记录'!$S$5:$S$304,A103,'交易记录'!$X$5:$X$304,"已平仓")))</f>
        <v/>
      </c>
      <c r="P103" s="36" t="str">
        <f>IF(NOT(ISNUMBER(O103)),"",IF(O103&lt;=-'参数'!$C$9,"触及停手线",""))</f>
        <v/>
      </c>
      <c r="Q103" s="32" t="n"/>
      <c r="R103" s="32" t="n"/>
      <c r="S103" s="32" t="n"/>
    </row>
    <row r="104">
      <c r="A104" s="42" t="str">
        <f>IF('每日复盘'!A104="","",'每日复盘'!A104)</f>
        <v/>
      </c>
      <c r="B104" s="43" t="str">
        <f>IF('每日复盘'!AA104="","",'每日复盘'!AA104)</f>
        <v/>
      </c>
      <c r="C104" s="32" t="n"/>
      <c r="D104" s="32" t="n"/>
      <c r="E104" s="32" t="n"/>
      <c r="F104" s="32" t="n"/>
      <c r="G104" s="17" t="n"/>
      <c r="H104" s="44" t="str">
        <f>IF('每日复盘'!P104="","",'每日复盘'!P104)</f>
        <v/>
      </c>
      <c r="I104" s="17" t="n"/>
      <c r="J104" s="17" t="n"/>
      <c r="K104" s="17" t="n"/>
      <c r="L104" s="44" t="str">
        <f>IF('每日复盘'!R104="","",'每日复盘'!R104)</f>
        <v/>
      </c>
      <c r="M104" s="36" t="str">
        <f>IF(OR(NOT(ISNUMBER(L104)),COUNT(H104:J104)&lt;3),"",IF(OR(AND(L104&gt;=3,H104=0),AND(L104&gt;=4,I104=0),AND(L104&gt;=5,J104=0)),"有断层","连续"))</f>
        <v/>
      </c>
      <c r="N104" s="27" t="n"/>
      <c r="O104" s="45" t="str">
        <f>IF(NOT(ISNUMBER(A104)),"",IF(COUNTIFS('交易记录'!$S$5:$S$304,A104,'交易记录'!$X$5:$X$304,"已平仓")=0,"",SUMIFS('交易记录'!$AB$5:$AB$304,'交易记录'!$S$5:$S$304,A104,'交易记录'!$X$5:$X$304,"已平仓")))</f>
        <v/>
      </c>
      <c r="P104" s="36" t="str">
        <f>IF(NOT(ISNUMBER(O104)),"",IF(O104&lt;=-'参数'!$C$9,"触及停手线",""))</f>
        <v/>
      </c>
      <c r="Q104" s="32" t="n"/>
      <c r="R104" s="32" t="n"/>
      <c r="S104" s="32" t="n"/>
    </row>
    <row r="105">
      <c r="A105" s="42" t="str">
        <f>IF('每日复盘'!A105="","",'每日复盘'!A105)</f>
        <v/>
      </c>
      <c r="B105" s="43" t="str">
        <f>IF('每日复盘'!AA105="","",'每日复盘'!AA105)</f>
        <v/>
      </c>
      <c r="C105" s="32" t="n"/>
      <c r="D105" s="32" t="n"/>
      <c r="E105" s="32" t="n"/>
      <c r="F105" s="32" t="n"/>
      <c r="G105" s="17" t="n"/>
      <c r="H105" s="44" t="str">
        <f>IF('每日复盘'!P105="","",'每日复盘'!P105)</f>
        <v/>
      </c>
      <c r="I105" s="17" t="n"/>
      <c r="J105" s="17" t="n"/>
      <c r="K105" s="17" t="n"/>
      <c r="L105" s="44" t="str">
        <f>IF('每日复盘'!R105="","",'每日复盘'!R105)</f>
        <v/>
      </c>
      <c r="M105" s="36" t="str">
        <f>IF(OR(NOT(ISNUMBER(L105)),COUNT(H105:J105)&lt;3),"",IF(OR(AND(L105&gt;=3,H105=0),AND(L105&gt;=4,I105=0),AND(L105&gt;=5,J105=0)),"有断层","连续"))</f>
        <v/>
      </c>
      <c r="N105" s="27" t="n"/>
      <c r="O105" s="45" t="str">
        <f>IF(NOT(ISNUMBER(A105)),"",IF(COUNTIFS('交易记录'!$S$5:$S$304,A105,'交易记录'!$X$5:$X$304,"已平仓")=0,"",SUMIFS('交易记录'!$AB$5:$AB$304,'交易记录'!$S$5:$S$304,A105,'交易记录'!$X$5:$X$304,"已平仓")))</f>
        <v/>
      </c>
      <c r="P105" s="36" t="str">
        <f>IF(NOT(ISNUMBER(O105)),"",IF(O105&lt;=-'参数'!$C$9,"触及停手线",""))</f>
        <v/>
      </c>
      <c r="Q105" s="32" t="n"/>
      <c r="R105" s="32" t="n"/>
      <c r="S105" s="32" t="n"/>
    </row>
    <row r="106">
      <c r="A106" s="42" t="str">
        <f>IF('每日复盘'!A106="","",'每日复盘'!A106)</f>
        <v/>
      </c>
      <c r="B106" s="43" t="str">
        <f>IF('每日复盘'!AA106="","",'每日复盘'!AA106)</f>
        <v/>
      </c>
      <c r="C106" s="32" t="n"/>
      <c r="D106" s="32" t="n"/>
      <c r="E106" s="32" t="n"/>
      <c r="F106" s="32" t="n"/>
      <c r="G106" s="17" t="n"/>
      <c r="H106" s="44" t="str">
        <f>IF('每日复盘'!P106="","",'每日复盘'!P106)</f>
        <v/>
      </c>
      <c r="I106" s="17" t="n"/>
      <c r="J106" s="17" t="n"/>
      <c r="K106" s="17" t="n"/>
      <c r="L106" s="44" t="str">
        <f>IF('每日复盘'!R106="","",'每日复盘'!R106)</f>
        <v/>
      </c>
      <c r="M106" s="36" t="str">
        <f>IF(OR(NOT(ISNUMBER(L106)),COUNT(H106:J106)&lt;3),"",IF(OR(AND(L106&gt;=3,H106=0),AND(L106&gt;=4,I106=0),AND(L106&gt;=5,J106=0)),"有断层","连续"))</f>
        <v/>
      </c>
      <c r="N106" s="27" t="n"/>
      <c r="O106" s="45" t="str">
        <f>IF(NOT(ISNUMBER(A106)),"",IF(COUNTIFS('交易记录'!$S$5:$S$304,A106,'交易记录'!$X$5:$X$304,"已平仓")=0,"",SUMIFS('交易记录'!$AB$5:$AB$304,'交易记录'!$S$5:$S$304,A106,'交易记录'!$X$5:$X$304,"已平仓")))</f>
        <v/>
      </c>
      <c r="P106" s="36" t="str">
        <f>IF(NOT(ISNUMBER(O106)),"",IF(O106&lt;=-'参数'!$C$9,"触及停手线",""))</f>
        <v/>
      </c>
      <c r="Q106" s="32" t="n"/>
      <c r="R106" s="32" t="n"/>
      <c r="S106" s="32" t="n"/>
    </row>
    <row r="107">
      <c r="A107" s="42" t="str">
        <f>IF('每日复盘'!A107="","",'每日复盘'!A107)</f>
        <v/>
      </c>
      <c r="B107" s="43" t="str">
        <f>IF('每日复盘'!AA107="","",'每日复盘'!AA107)</f>
        <v/>
      </c>
      <c r="C107" s="32" t="n"/>
      <c r="D107" s="32" t="n"/>
      <c r="E107" s="32" t="n"/>
      <c r="F107" s="32" t="n"/>
      <c r="G107" s="17" t="n"/>
      <c r="H107" s="44" t="str">
        <f>IF('每日复盘'!P107="","",'每日复盘'!P107)</f>
        <v/>
      </c>
      <c r="I107" s="17" t="n"/>
      <c r="J107" s="17" t="n"/>
      <c r="K107" s="17" t="n"/>
      <c r="L107" s="44" t="str">
        <f>IF('每日复盘'!R107="","",'每日复盘'!R107)</f>
        <v/>
      </c>
      <c r="M107" s="36" t="str">
        <f>IF(OR(NOT(ISNUMBER(L107)),COUNT(H107:J107)&lt;3),"",IF(OR(AND(L107&gt;=3,H107=0),AND(L107&gt;=4,I107=0),AND(L107&gt;=5,J107=0)),"有断层","连续"))</f>
        <v/>
      </c>
      <c r="N107" s="27" t="n"/>
      <c r="O107" s="45" t="str">
        <f>IF(NOT(ISNUMBER(A107)),"",IF(COUNTIFS('交易记录'!$S$5:$S$304,A107,'交易记录'!$X$5:$X$304,"已平仓")=0,"",SUMIFS('交易记录'!$AB$5:$AB$304,'交易记录'!$S$5:$S$304,A107,'交易记录'!$X$5:$X$304,"已平仓")))</f>
        <v/>
      </c>
      <c r="P107" s="36" t="str">
        <f>IF(NOT(ISNUMBER(O107)),"",IF(O107&lt;=-'参数'!$C$9,"触及停手线",""))</f>
        <v/>
      </c>
      <c r="Q107" s="32" t="n"/>
      <c r="R107" s="32" t="n"/>
      <c r="S107" s="32" t="n"/>
    </row>
    <row r="108">
      <c r="A108" s="42" t="str">
        <f>IF('每日复盘'!A108="","",'每日复盘'!A108)</f>
        <v/>
      </c>
      <c r="B108" s="43" t="str">
        <f>IF('每日复盘'!AA108="","",'每日复盘'!AA108)</f>
        <v/>
      </c>
      <c r="C108" s="32" t="n"/>
      <c r="D108" s="32" t="n"/>
      <c r="E108" s="32" t="n"/>
      <c r="F108" s="32" t="n"/>
      <c r="G108" s="17" t="n"/>
      <c r="H108" s="44" t="str">
        <f>IF('每日复盘'!P108="","",'每日复盘'!P108)</f>
        <v/>
      </c>
      <c r="I108" s="17" t="n"/>
      <c r="J108" s="17" t="n"/>
      <c r="K108" s="17" t="n"/>
      <c r="L108" s="44" t="str">
        <f>IF('每日复盘'!R108="","",'每日复盘'!R108)</f>
        <v/>
      </c>
      <c r="M108" s="36" t="str">
        <f>IF(OR(NOT(ISNUMBER(L108)),COUNT(H108:J108)&lt;3),"",IF(OR(AND(L108&gt;=3,H108=0),AND(L108&gt;=4,I108=0),AND(L108&gt;=5,J108=0)),"有断层","连续"))</f>
        <v/>
      </c>
      <c r="N108" s="27" t="n"/>
      <c r="O108" s="45" t="str">
        <f>IF(NOT(ISNUMBER(A108)),"",IF(COUNTIFS('交易记录'!$S$5:$S$304,A108,'交易记录'!$X$5:$X$304,"已平仓")=0,"",SUMIFS('交易记录'!$AB$5:$AB$304,'交易记录'!$S$5:$S$304,A108,'交易记录'!$X$5:$X$304,"已平仓")))</f>
        <v/>
      </c>
      <c r="P108" s="36" t="str">
        <f>IF(NOT(ISNUMBER(O108)),"",IF(O108&lt;=-'参数'!$C$9,"触及停手线",""))</f>
        <v/>
      </c>
      <c r="Q108" s="32" t="n"/>
      <c r="R108" s="32" t="n"/>
      <c r="S108" s="32" t="n"/>
    </row>
    <row r="109">
      <c r="A109" s="42" t="str">
        <f>IF('每日复盘'!A109="","",'每日复盘'!A109)</f>
        <v/>
      </c>
      <c r="B109" s="43" t="str">
        <f>IF('每日复盘'!AA109="","",'每日复盘'!AA109)</f>
        <v/>
      </c>
      <c r="C109" s="32" t="n"/>
      <c r="D109" s="32" t="n"/>
      <c r="E109" s="32" t="n"/>
      <c r="F109" s="32" t="n"/>
      <c r="G109" s="17" t="n"/>
      <c r="H109" s="44" t="str">
        <f>IF('每日复盘'!P109="","",'每日复盘'!P109)</f>
        <v/>
      </c>
      <c r="I109" s="17" t="n"/>
      <c r="J109" s="17" t="n"/>
      <c r="K109" s="17" t="n"/>
      <c r="L109" s="44" t="str">
        <f>IF('每日复盘'!R109="","",'每日复盘'!R109)</f>
        <v/>
      </c>
      <c r="M109" s="36" t="str">
        <f>IF(OR(NOT(ISNUMBER(L109)),COUNT(H109:J109)&lt;3),"",IF(OR(AND(L109&gt;=3,H109=0),AND(L109&gt;=4,I109=0),AND(L109&gt;=5,J109=0)),"有断层","连续"))</f>
        <v/>
      </c>
      <c r="N109" s="27" t="n"/>
      <c r="O109" s="45" t="str">
        <f>IF(NOT(ISNUMBER(A109)),"",IF(COUNTIFS('交易记录'!$S$5:$S$304,A109,'交易记录'!$X$5:$X$304,"已平仓")=0,"",SUMIFS('交易记录'!$AB$5:$AB$304,'交易记录'!$S$5:$S$304,A109,'交易记录'!$X$5:$X$304,"已平仓")))</f>
        <v/>
      </c>
      <c r="P109" s="36" t="str">
        <f>IF(NOT(ISNUMBER(O109)),"",IF(O109&lt;=-'参数'!$C$9,"触及停手线",""))</f>
        <v/>
      </c>
      <c r="Q109" s="32" t="n"/>
      <c r="R109" s="32" t="n"/>
      <c r="S109" s="32" t="n"/>
    </row>
    <row r="110">
      <c r="A110" s="42" t="str">
        <f>IF('每日复盘'!A110="","",'每日复盘'!A110)</f>
        <v/>
      </c>
      <c r="B110" s="43" t="str">
        <f>IF('每日复盘'!AA110="","",'每日复盘'!AA110)</f>
        <v/>
      </c>
      <c r="C110" s="32" t="n"/>
      <c r="D110" s="32" t="n"/>
      <c r="E110" s="32" t="n"/>
      <c r="F110" s="32" t="n"/>
      <c r="G110" s="17" t="n"/>
      <c r="H110" s="44" t="str">
        <f>IF('每日复盘'!P110="","",'每日复盘'!P110)</f>
        <v/>
      </c>
      <c r="I110" s="17" t="n"/>
      <c r="J110" s="17" t="n"/>
      <c r="K110" s="17" t="n"/>
      <c r="L110" s="44" t="str">
        <f>IF('每日复盘'!R110="","",'每日复盘'!R110)</f>
        <v/>
      </c>
      <c r="M110" s="36" t="str">
        <f>IF(OR(NOT(ISNUMBER(L110)),COUNT(H110:J110)&lt;3),"",IF(OR(AND(L110&gt;=3,H110=0),AND(L110&gt;=4,I110=0),AND(L110&gt;=5,J110=0)),"有断层","连续"))</f>
        <v/>
      </c>
      <c r="N110" s="27" t="n"/>
      <c r="O110" s="45" t="str">
        <f>IF(NOT(ISNUMBER(A110)),"",IF(COUNTIFS('交易记录'!$S$5:$S$304,A110,'交易记录'!$X$5:$X$304,"已平仓")=0,"",SUMIFS('交易记录'!$AB$5:$AB$304,'交易记录'!$S$5:$S$304,A110,'交易记录'!$X$5:$X$304,"已平仓")))</f>
        <v/>
      </c>
      <c r="P110" s="36" t="str">
        <f>IF(NOT(ISNUMBER(O110)),"",IF(O110&lt;=-'参数'!$C$9,"触及停手线",""))</f>
        <v/>
      </c>
      <c r="Q110" s="32" t="n"/>
      <c r="R110" s="32" t="n"/>
      <c r="S110" s="32" t="n"/>
    </row>
    <row r="111">
      <c r="A111" s="42" t="str">
        <f>IF('每日复盘'!A111="","",'每日复盘'!A111)</f>
        <v/>
      </c>
      <c r="B111" s="43" t="str">
        <f>IF('每日复盘'!AA111="","",'每日复盘'!AA111)</f>
        <v/>
      </c>
      <c r="C111" s="32" t="n"/>
      <c r="D111" s="32" t="n"/>
      <c r="E111" s="32" t="n"/>
      <c r="F111" s="32" t="n"/>
      <c r="G111" s="17" t="n"/>
      <c r="H111" s="44" t="str">
        <f>IF('每日复盘'!P111="","",'每日复盘'!P111)</f>
        <v/>
      </c>
      <c r="I111" s="17" t="n"/>
      <c r="J111" s="17" t="n"/>
      <c r="K111" s="17" t="n"/>
      <c r="L111" s="44" t="str">
        <f>IF('每日复盘'!R111="","",'每日复盘'!R111)</f>
        <v/>
      </c>
      <c r="M111" s="36" t="str">
        <f>IF(OR(NOT(ISNUMBER(L111)),COUNT(H111:J111)&lt;3),"",IF(OR(AND(L111&gt;=3,H111=0),AND(L111&gt;=4,I111=0),AND(L111&gt;=5,J111=0)),"有断层","连续"))</f>
        <v/>
      </c>
      <c r="N111" s="27" t="n"/>
      <c r="O111" s="45" t="str">
        <f>IF(NOT(ISNUMBER(A111)),"",IF(COUNTIFS('交易记录'!$S$5:$S$304,A111,'交易记录'!$X$5:$X$304,"已平仓")=0,"",SUMIFS('交易记录'!$AB$5:$AB$304,'交易记录'!$S$5:$S$304,A111,'交易记录'!$X$5:$X$304,"已平仓")))</f>
        <v/>
      </c>
      <c r="P111" s="36" t="str">
        <f>IF(NOT(ISNUMBER(O111)),"",IF(O111&lt;=-'参数'!$C$9,"触及停手线",""))</f>
        <v/>
      </c>
      <c r="Q111" s="32" t="n"/>
      <c r="R111" s="32" t="n"/>
      <c r="S111" s="32" t="n"/>
    </row>
    <row r="112">
      <c r="A112" s="42" t="str">
        <f>IF('每日复盘'!A112="","",'每日复盘'!A112)</f>
        <v/>
      </c>
      <c r="B112" s="43" t="str">
        <f>IF('每日复盘'!AA112="","",'每日复盘'!AA112)</f>
        <v/>
      </c>
      <c r="C112" s="32" t="n"/>
      <c r="D112" s="32" t="n"/>
      <c r="E112" s="32" t="n"/>
      <c r="F112" s="32" t="n"/>
      <c r="G112" s="17" t="n"/>
      <c r="H112" s="44" t="str">
        <f>IF('每日复盘'!P112="","",'每日复盘'!P112)</f>
        <v/>
      </c>
      <c r="I112" s="17" t="n"/>
      <c r="J112" s="17" t="n"/>
      <c r="K112" s="17" t="n"/>
      <c r="L112" s="44" t="str">
        <f>IF('每日复盘'!R112="","",'每日复盘'!R112)</f>
        <v/>
      </c>
      <c r="M112" s="36" t="str">
        <f>IF(OR(NOT(ISNUMBER(L112)),COUNT(H112:J112)&lt;3),"",IF(OR(AND(L112&gt;=3,H112=0),AND(L112&gt;=4,I112=0),AND(L112&gt;=5,J112=0)),"有断层","连续"))</f>
        <v/>
      </c>
      <c r="N112" s="27" t="n"/>
      <c r="O112" s="45" t="str">
        <f>IF(NOT(ISNUMBER(A112)),"",IF(COUNTIFS('交易记录'!$S$5:$S$304,A112,'交易记录'!$X$5:$X$304,"已平仓")=0,"",SUMIFS('交易记录'!$AB$5:$AB$304,'交易记录'!$S$5:$S$304,A112,'交易记录'!$X$5:$X$304,"已平仓")))</f>
        <v/>
      </c>
      <c r="P112" s="36" t="str">
        <f>IF(NOT(ISNUMBER(O112)),"",IF(O112&lt;=-'参数'!$C$9,"触及停手线",""))</f>
        <v/>
      </c>
      <c r="Q112" s="32" t="n"/>
      <c r="R112" s="32" t="n"/>
      <c r="S112" s="32" t="n"/>
    </row>
    <row r="113">
      <c r="A113" s="42" t="str">
        <f>IF('每日复盘'!A113="","",'每日复盘'!A113)</f>
        <v/>
      </c>
      <c r="B113" s="43" t="str">
        <f>IF('每日复盘'!AA113="","",'每日复盘'!AA113)</f>
        <v/>
      </c>
      <c r="C113" s="32" t="n"/>
      <c r="D113" s="32" t="n"/>
      <c r="E113" s="32" t="n"/>
      <c r="F113" s="32" t="n"/>
      <c r="G113" s="17" t="n"/>
      <c r="H113" s="44" t="str">
        <f>IF('每日复盘'!P113="","",'每日复盘'!P113)</f>
        <v/>
      </c>
      <c r="I113" s="17" t="n"/>
      <c r="J113" s="17" t="n"/>
      <c r="K113" s="17" t="n"/>
      <c r="L113" s="44" t="str">
        <f>IF('每日复盘'!R113="","",'每日复盘'!R113)</f>
        <v/>
      </c>
      <c r="M113" s="36" t="str">
        <f>IF(OR(NOT(ISNUMBER(L113)),COUNT(H113:J113)&lt;3),"",IF(OR(AND(L113&gt;=3,H113=0),AND(L113&gt;=4,I113=0),AND(L113&gt;=5,J113=0)),"有断层","连续"))</f>
        <v/>
      </c>
      <c r="N113" s="27" t="n"/>
      <c r="O113" s="45" t="str">
        <f>IF(NOT(ISNUMBER(A113)),"",IF(COUNTIFS('交易记录'!$S$5:$S$304,A113,'交易记录'!$X$5:$X$304,"已平仓")=0,"",SUMIFS('交易记录'!$AB$5:$AB$304,'交易记录'!$S$5:$S$304,A113,'交易记录'!$X$5:$X$304,"已平仓")))</f>
        <v/>
      </c>
      <c r="P113" s="36" t="str">
        <f>IF(NOT(ISNUMBER(O113)),"",IF(O113&lt;=-'参数'!$C$9,"触及停手线",""))</f>
        <v/>
      </c>
      <c r="Q113" s="32" t="n"/>
      <c r="R113" s="32" t="n"/>
      <c r="S113" s="32" t="n"/>
    </row>
    <row r="114">
      <c r="A114" s="42" t="str">
        <f>IF('每日复盘'!A114="","",'每日复盘'!A114)</f>
        <v/>
      </c>
      <c r="B114" s="43" t="str">
        <f>IF('每日复盘'!AA114="","",'每日复盘'!AA114)</f>
        <v/>
      </c>
      <c r="C114" s="32" t="n"/>
      <c r="D114" s="32" t="n"/>
      <c r="E114" s="32" t="n"/>
      <c r="F114" s="32" t="n"/>
      <c r="G114" s="17" t="n"/>
      <c r="H114" s="44" t="str">
        <f>IF('每日复盘'!P114="","",'每日复盘'!P114)</f>
        <v/>
      </c>
      <c r="I114" s="17" t="n"/>
      <c r="J114" s="17" t="n"/>
      <c r="K114" s="17" t="n"/>
      <c r="L114" s="44" t="str">
        <f>IF('每日复盘'!R114="","",'每日复盘'!R114)</f>
        <v/>
      </c>
      <c r="M114" s="36" t="str">
        <f>IF(OR(NOT(ISNUMBER(L114)),COUNT(H114:J114)&lt;3),"",IF(OR(AND(L114&gt;=3,H114=0),AND(L114&gt;=4,I114=0),AND(L114&gt;=5,J114=0)),"有断层","连续"))</f>
        <v/>
      </c>
      <c r="N114" s="27" t="n"/>
      <c r="O114" s="45" t="str">
        <f>IF(NOT(ISNUMBER(A114)),"",IF(COUNTIFS('交易记录'!$S$5:$S$304,A114,'交易记录'!$X$5:$X$304,"已平仓")=0,"",SUMIFS('交易记录'!$AB$5:$AB$304,'交易记录'!$S$5:$S$304,A114,'交易记录'!$X$5:$X$304,"已平仓")))</f>
        <v/>
      </c>
      <c r="P114" s="36" t="str">
        <f>IF(NOT(ISNUMBER(O114)),"",IF(O114&lt;=-'参数'!$C$9,"触及停手线",""))</f>
        <v/>
      </c>
      <c r="Q114" s="32" t="n"/>
      <c r="R114" s="32" t="n"/>
      <c r="S114" s="32" t="n"/>
    </row>
    <row r="115">
      <c r="A115" s="42" t="str">
        <f>IF('每日复盘'!A115="","",'每日复盘'!A115)</f>
        <v/>
      </c>
      <c r="B115" s="43" t="str">
        <f>IF('每日复盘'!AA115="","",'每日复盘'!AA115)</f>
        <v/>
      </c>
      <c r="C115" s="32" t="n"/>
      <c r="D115" s="32" t="n"/>
      <c r="E115" s="32" t="n"/>
      <c r="F115" s="32" t="n"/>
      <c r="G115" s="17" t="n"/>
      <c r="H115" s="44" t="str">
        <f>IF('每日复盘'!P115="","",'每日复盘'!P115)</f>
        <v/>
      </c>
      <c r="I115" s="17" t="n"/>
      <c r="J115" s="17" t="n"/>
      <c r="K115" s="17" t="n"/>
      <c r="L115" s="44" t="str">
        <f>IF('每日复盘'!R115="","",'每日复盘'!R115)</f>
        <v/>
      </c>
      <c r="M115" s="36" t="str">
        <f>IF(OR(NOT(ISNUMBER(L115)),COUNT(H115:J115)&lt;3),"",IF(OR(AND(L115&gt;=3,H115=0),AND(L115&gt;=4,I115=0),AND(L115&gt;=5,J115=0)),"有断层","连续"))</f>
        <v/>
      </c>
      <c r="N115" s="27" t="n"/>
      <c r="O115" s="45" t="str">
        <f>IF(NOT(ISNUMBER(A115)),"",IF(COUNTIFS('交易记录'!$S$5:$S$304,A115,'交易记录'!$X$5:$X$304,"已平仓")=0,"",SUMIFS('交易记录'!$AB$5:$AB$304,'交易记录'!$S$5:$S$304,A115,'交易记录'!$X$5:$X$304,"已平仓")))</f>
        <v/>
      </c>
      <c r="P115" s="36" t="str">
        <f>IF(NOT(ISNUMBER(O115)),"",IF(O115&lt;=-'参数'!$C$9,"触及停手线",""))</f>
        <v/>
      </c>
      <c r="Q115" s="32" t="n"/>
      <c r="R115" s="32" t="n"/>
      <c r="S115" s="32" t="n"/>
    </row>
    <row r="116">
      <c r="A116" s="42" t="str">
        <f>IF('每日复盘'!A116="","",'每日复盘'!A116)</f>
        <v/>
      </c>
      <c r="B116" s="43" t="str">
        <f>IF('每日复盘'!AA116="","",'每日复盘'!AA116)</f>
        <v/>
      </c>
      <c r="C116" s="32" t="n"/>
      <c r="D116" s="32" t="n"/>
      <c r="E116" s="32" t="n"/>
      <c r="F116" s="32" t="n"/>
      <c r="G116" s="17" t="n"/>
      <c r="H116" s="44" t="str">
        <f>IF('每日复盘'!P116="","",'每日复盘'!P116)</f>
        <v/>
      </c>
      <c r="I116" s="17" t="n"/>
      <c r="J116" s="17" t="n"/>
      <c r="K116" s="17" t="n"/>
      <c r="L116" s="44" t="str">
        <f>IF('每日复盘'!R116="","",'每日复盘'!R116)</f>
        <v/>
      </c>
      <c r="M116" s="36" t="str">
        <f>IF(OR(NOT(ISNUMBER(L116)),COUNT(H116:J116)&lt;3),"",IF(OR(AND(L116&gt;=3,H116=0),AND(L116&gt;=4,I116=0),AND(L116&gt;=5,J116=0)),"有断层","连续"))</f>
        <v/>
      </c>
      <c r="N116" s="27" t="n"/>
      <c r="O116" s="45" t="str">
        <f>IF(NOT(ISNUMBER(A116)),"",IF(COUNTIFS('交易记录'!$S$5:$S$304,A116,'交易记录'!$X$5:$X$304,"已平仓")=0,"",SUMIFS('交易记录'!$AB$5:$AB$304,'交易记录'!$S$5:$S$304,A116,'交易记录'!$X$5:$X$304,"已平仓")))</f>
        <v/>
      </c>
      <c r="P116" s="36" t="str">
        <f>IF(NOT(ISNUMBER(O116)),"",IF(O116&lt;=-'参数'!$C$9,"触及停手线",""))</f>
        <v/>
      </c>
      <c r="Q116" s="32" t="n"/>
      <c r="R116" s="32" t="n"/>
      <c r="S116" s="32" t="n"/>
    </row>
    <row r="117">
      <c r="A117" s="42" t="str">
        <f>IF('每日复盘'!A117="","",'每日复盘'!A117)</f>
        <v/>
      </c>
      <c r="B117" s="43" t="str">
        <f>IF('每日复盘'!AA117="","",'每日复盘'!AA117)</f>
        <v/>
      </c>
      <c r="C117" s="32" t="n"/>
      <c r="D117" s="32" t="n"/>
      <c r="E117" s="32" t="n"/>
      <c r="F117" s="32" t="n"/>
      <c r="G117" s="17" t="n"/>
      <c r="H117" s="44" t="str">
        <f>IF('每日复盘'!P117="","",'每日复盘'!P117)</f>
        <v/>
      </c>
      <c r="I117" s="17" t="n"/>
      <c r="J117" s="17" t="n"/>
      <c r="K117" s="17" t="n"/>
      <c r="L117" s="44" t="str">
        <f>IF('每日复盘'!R117="","",'每日复盘'!R117)</f>
        <v/>
      </c>
      <c r="M117" s="36" t="str">
        <f>IF(OR(NOT(ISNUMBER(L117)),COUNT(H117:J117)&lt;3),"",IF(OR(AND(L117&gt;=3,H117=0),AND(L117&gt;=4,I117=0),AND(L117&gt;=5,J117=0)),"有断层","连续"))</f>
        <v/>
      </c>
      <c r="N117" s="27" t="n"/>
      <c r="O117" s="45" t="str">
        <f>IF(NOT(ISNUMBER(A117)),"",IF(COUNTIFS('交易记录'!$S$5:$S$304,A117,'交易记录'!$X$5:$X$304,"已平仓")=0,"",SUMIFS('交易记录'!$AB$5:$AB$304,'交易记录'!$S$5:$S$304,A117,'交易记录'!$X$5:$X$304,"已平仓")))</f>
        <v/>
      </c>
      <c r="P117" s="36" t="str">
        <f>IF(NOT(ISNUMBER(O117)),"",IF(O117&lt;=-'参数'!$C$9,"触及停手线",""))</f>
        <v/>
      </c>
      <c r="Q117" s="32" t="n"/>
      <c r="R117" s="32" t="n"/>
      <c r="S117" s="32" t="n"/>
    </row>
    <row r="118">
      <c r="A118" s="42" t="str">
        <f>IF('每日复盘'!A118="","",'每日复盘'!A118)</f>
        <v/>
      </c>
      <c r="B118" s="43" t="str">
        <f>IF('每日复盘'!AA118="","",'每日复盘'!AA118)</f>
        <v/>
      </c>
      <c r="C118" s="32" t="n"/>
      <c r="D118" s="32" t="n"/>
      <c r="E118" s="32" t="n"/>
      <c r="F118" s="32" t="n"/>
      <c r="G118" s="17" t="n"/>
      <c r="H118" s="44" t="str">
        <f>IF('每日复盘'!P118="","",'每日复盘'!P118)</f>
        <v/>
      </c>
      <c r="I118" s="17" t="n"/>
      <c r="J118" s="17" t="n"/>
      <c r="K118" s="17" t="n"/>
      <c r="L118" s="44" t="str">
        <f>IF('每日复盘'!R118="","",'每日复盘'!R118)</f>
        <v/>
      </c>
      <c r="M118" s="36" t="str">
        <f>IF(OR(NOT(ISNUMBER(L118)),COUNT(H118:J118)&lt;3),"",IF(OR(AND(L118&gt;=3,H118=0),AND(L118&gt;=4,I118=0),AND(L118&gt;=5,J118=0)),"有断层","连续"))</f>
        <v/>
      </c>
      <c r="N118" s="27" t="n"/>
      <c r="O118" s="45" t="str">
        <f>IF(NOT(ISNUMBER(A118)),"",IF(COUNTIFS('交易记录'!$S$5:$S$304,A118,'交易记录'!$X$5:$X$304,"已平仓")=0,"",SUMIFS('交易记录'!$AB$5:$AB$304,'交易记录'!$S$5:$S$304,A118,'交易记录'!$X$5:$X$304,"已平仓")))</f>
        <v/>
      </c>
      <c r="P118" s="36" t="str">
        <f>IF(NOT(ISNUMBER(O118)),"",IF(O118&lt;=-'参数'!$C$9,"触及停手线",""))</f>
        <v/>
      </c>
      <c r="Q118" s="32" t="n"/>
      <c r="R118" s="32" t="n"/>
      <c r="S118" s="32" t="n"/>
    </row>
    <row r="119">
      <c r="A119" s="42" t="str">
        <f>IF('每日复盘'!A119="","",'每日复盘'!A119)</f>
        <v/>
      </c>
      <c r="B119" s="43" t="str">
        <f>IF('每日复盘'!AA119="","",'每日复盘'!AA119)</f>
        <v/>
      </c>
      <c r="C119" s="32" t="n"/>
      <c r="D119" s="32" t="n"/>
      <c r="E119" s="32" t="n"/>
      <c r="F119" s="32" t="n"/>
      <c r="G119" s="17" t="n"/>
      <c r="H119" s="44" t="str">
        <f>IF('每日复盘'!P119="","",'每日复盘'!P119)</f>
        <v/>
      </c>
      <c r="I119" s="17" t="n"/>
      <c r="J119" s="17" t="n"/>
      <c r="K119" s="17" t="n"/>
      <c r="L119" s="44" t="str">
        <f>IF('每日复盘'!R119="","",'每日复盘'!R119)</f>
        <v/>
      </c>
      <c r="M119" s="36" t="str">
        <f>IF(OR(NOT(ISNUMBER(L119)),COUNT(H119:J119)&lt;3),"",IF(OR(AND(L119&gt;=3,H119=0),AND(L119&gt;=4,I119=0),AND(L119&gt;=5,J119=0)),"有断层","连续"))</f>
        <v/>
      </c>
      <c r="N119" s="27" t="n"/>
      <c r="O119" s="45" t="str">
        <f>IF(NOT(ISNUMBER(A119)),"",IF(COUNTIFS('交易记录'!$S$5:$S$304,A119,'交易记录'!$X$5:$X$304,"已平仓")=0,"",SUMIFS('交易记录'!$AB$5:$AB$304,'交易记录'!$S$5:$S$304,A119,'交易记录'!$X$5:$X$304,"已平仓")))</f>
        <v/>
      </c>
      <c r="P119" s="36" t="str">
        <f>IF(NOT(ISNUMBER(O119)),"",IF(O119&lt;=-'参数'!$C$9,"触及停手线",""))</f>
        <v/>
      </c>
      <c r="Q119" s="32" t="n"/>
      <c r="R119" s="32" t="n"/>
      <c r="S119" s="32" t="n"/>
    </row>
    <row r="120">
      <c r="A120" s="42" t="str">
        <f>IF('每日复盘'!A120="","",'每日复盘'!A120)</f>
        <v/>
      </c>
      <c r="B120" s="43" t="str">
        <f>IF('每日复盘'!AA120="","",'每日复盘'!AA120)</f>
        <v/>
      </c>
      <c r="C120" s="32" t="n"/>
      <c r="D120" s="32" t="n"/>
      <c r="E120" s="32" t="n"/>
      <c r="F120" s="32" t="n"/>
      <c r="G120" s="17" t="n"/>
      <c r="H120" s="44" t="str">
        <f>IF('每日复盘'!P120="","",'每日复盘'!P120)</f>
        <v/>
      </c>
      <c r="I120" s="17" t="n"/>
      <c r="J120" s="17" t="n"/>
      <c r="K120" s="17" t="n"/>
      <c r="L120" s="44" t="str">
        <f>IF('每日复盘'!R120="","",'每日复盘'!R120)</f>
        <v/>
      </c>
      <c r="M120" s="36" t="str">
        <f>IF(OR(NOT(ISNUMBER(L120)),COUNT(H120:J120)&lt;3),"",IF(OR(AND(L120&gt;=3,H120=0),AND(L120&gt;=4,I120=0),AND(L120&gt;=5,J120=0)),"有断层","连续"))</f>
        <v/>
      </c>
      <c r="N120" s="27" t="n"/>
      <c r="O120" s="45" t="str">
        <f>IF(NOT(ISNUMBER(A120)),"",IF(COUNTIFS('交易记录'!$S$5:$S$304,A120,'交易记录'!$X$5:$X$304,"已平仓")=0,"",SUMIFS('交易记录'!$AB$5:$AB$304,'交易记录'!$S$5:$S$304,A120,'交易记录'!$X$5:$X$304,"已平仓")))</f>
        <v/>
      </c>
      <c r="P120" s="36" t="str">
        <f>IF(NOT(ISNUMBER(O120)),"",IF(O120&lt;=-'参数'!$C$9,"触及停手线",""))</f>
        <v/>
      </c>
      <c r="Q120" s="32" t="n"/>
      <c r="R120" s="32" t="n"/>
      <c r="S120" s="32" t="n"/>
    </row>
    <row r="121">
      <c r="A121" s="42" t="str">
        <f>IF('每日复盘'!A121="","",'每日复盘'!A121)</f>
        <v/>
      </c>
      <c r="B121" s="43" t="str">
        <f>IF('每日复盘'!AA121="","",'每日复盘'!AA121)</f>
        <v/>
      </c>
      <c r="C121" s="32" t="n"/>
      <c r="D121" s="32" t="n"/>
      <c r="E121" s="32" t="n"/>
      <c r="F121" s="32" t="n"/>
      <c r="G121" s="17" t="n"/>
      <c r="H121" s="44" t="str">
        <f>IF('每日复盘'!P121="","",'每日复盘'!P121)</f>
        <v/>
      </c>
      <c r="I121" s="17" t="n"/>
      <c r="J121" s="17" t="n"/>
      <c r="K121" s="17" t="n"/>
      <c r="L121" s="44" t="str">
        <f>IF('每日复盘'!R121="","",'每日复盘'!R121)</f>
        <v/>
      </c>
      <c r="M121" s="36" t="str">
        <f>IF(OR(NOT(ISNUMBER(L121)),COUNT(H121:J121)&lt;3),"",IF(OR(AND(L121&gt;=3,H121=0),AND(L121&gt;=4,I121=0),AND(L121&gt;=5,J121=0)),"有断层","连续"))</f>
        <v/>
      </c>
      <c r="N121" s="27" t="n"/>
      <c r="O121" s="45" t="str">
        <f>IF(NOT(ISNUMBER(A121)),"",IF(COUNTIFS('交易记录'!$S$5:$S$304,A121,'交易记录'!$X$5:$X$304,"已平仓")=0,"",SUMIFS('交易记录'!$AB$5:$AB$304,'交易记录'!$S$5:$S$304,A121,'交易记录'!$X$5:$X$304,"已平仓")))</f>
        <v/>
      </c>
      <c r="P121" s="36" t="str">
        <f>IF(NOT(ISNUMBER(O121)),"",IF(O121&lt;=-'参数'!$C$9,"触及停手线",""))</f>
        <v/>
      </c>
      <c r="Q121" s="32" t="n"/>
      <c r="R121" s="32" t="n"/>
      <c r="S121" s="32" t="n"/>
    </row>
    <row r="122">
      <c r="A122" s="42" t="str">
        <f>IF('每日复盘'!A122="","",'每日复盘'!A122)</f>
        <v/>
      </c>
      <c r="B122" s="43" t="str">
        <f>IF('每日复盘'!AA122="","",'每日复盘'!AA122)</f>
        <v/>
      </c>
      <c r="C122" s="32" t="n"/>
      <c r="D122" s="32" t="n"/>
      <c r="E122" s="32" t="n"/>
      <c r="F122" s="32" t="n"/>
      <c r="G122" s="17" t="n"/>
      <c r="H122" s="44" t="str">
        <f>IF('每日复盘'!P122="","",'每日复盘'!P122)</f>
        <v/>
      </c>
      <c r="I122" s="17" t="n"/>
      <c r="J122" s="17" t="n"/>
      <c r="K122" s="17" t="n"/>
      <c r="L122" s="44" t="str">
        <f>IF('每日复盘'!R122="","",'每日复盘'!R122)</f>
        <v/>
      </c>
      <c r="M122" s="36" t="str">
        <f>IF(OR(NOT(ISNUMBER(L122)),COUNT(H122:J122)&lt;3),"",IF(OR(AND(L122&gt;=3,H122=0),AND(L122&gt;=4,I122=0),AND(L122&gt;=5,J122=0)),"有断层","连续"))</f>
        <v/>
      </c>
      <c r="N122" s="27" t="n"/>
      <c r="O122" s="45" t="str">
        <f>IF(NOT(ISNUMBER(A122)),"",IF(COUNTIFS('交易记录'!$S$5:$S$304,A122,'交易记录'!$X$5:$X$304,"已平仓")=0,"",SUMIFS('交易记录'!$AB$5:$AB$304,'交易记录'!$S$5:$S$304,A122,'交易记录'!$X$5:$X$304,"已平仓")))</f>
        <v/>
      </c>
      <c r="P122" s="36" t="str">
        <f>IF(NOT(ISNUMBER(O122)),"",IF(O122&lt;=-'参数'!$C$9,"触及停手线",""))</f>
        <v/>
      </c>
      <c r="Q122" s="32" t="n"/>
      <c r="R122" s="32" t="n"/>
      <c r="S122" s="32" t="n"/>
    </row>
    <row r="123">
      <c r="A123" s="42" t="str">
        <f>IF('每日复盘'!A123="","",'每日复盘'!A123)</f>
        <v/>
      </c>
      <c r="B123" s="43" t="str">
        <f>IF('每日复盘'!AA123="","",'每日复盘'!AA123)</f>
        <v/>
      </c>
      <c r="C123" s="32" t="n"/>
      <c r="D123" s="32" t="n"/>
      <c r="E123" s="32" t="n"/>
      <c r="F123" s="32" t="n"/>
      <c r="G123" s="17" t="n"/>
      <c r="H123" s="44" t="str">
        <f>IF('每日复盘'!P123="","",'每日复盘'!P123)</f>
        <v/>
      </c>
      <c r="I123" s="17" t="n"/>
      <c r="J123" s="17" t="n"/>
      <c r="K123" s="17" t="n"/>
      <c r="L123" s="44" t="str">
        <f>IF('每日复盘'!R123="","",'每日复盘'!R123)</f>
        <v/>
      </c>
      <c r="M123" s="36" t="str">
        <f>IF(OR(NOT(ISNUMBER(L123)),COUNT(H123:J123)&lt;3),"",IF(OR(AND(L123&gt;=3,H123=0),AND(L123&gt;=4,I123=0),AND(L123&gt;=5,J123=0)),"有断层","连续"))</f>
        <v/>
      </c>
      <c r="N123" s="27" t="n"/>
      <c r="O123" s="45" t="str">
        <f>IF(NOT(ISNUMBER(A123)),"",IF(COUNTIFS('交易记录'!$S$5:$S$304,A123,'交易记录'!$X$5:$X$304,"已平仓")=0,"",SUMIFS('交易记录'!$AB$5:$AB$304,'交易记录'!$S$5:$S$304,A123,'交易记录'!$X$5:$X$304,"已平仓")))</f>
        <v/>
      </c>
      <c r="P123" s="36" t="str">
        <f>IF(NOT(ISNUMBER(O123)),"",IF(O123&lt;=-'参数'!$C$9,"触及停手线",""))</f>
        <v/>
      </c>
      <c r="Q123" s="32" t="n"/>
      <c r="R123" s="32" t="n"/>
      <c r="S123" s="32" t="n"/>
    </row>
    <row r="124">
      <c r="A124" s="42" t="str">
        <f>IF('每日复盘'!A124="","",'每日复盘'!A124)</f>
        <v/>
      </c>
      <c r="B124" s="43" t="str">
        <f>IF('每日复盘'!AA124="","",'每日复盘'!AA124)</f>
        <v/>
      </c>
      <c r="C124" s="32" t="n"/>
      <c r="D124" s="32" t="n"/>
      <c r="E124" s="32" t="n"/>
      <c r="F124" s="32" t="n"/>
      <c r="G124" s="17" t="n"/>
      <c r="H124" s="44" t="str">
        <f>IF('每日复盘'!P124="","",'每日复盘'!P124)</f>
        <v/>
      </c>
      <c r="I124" s="17" t="n"/>
      <c r="J124" s="17" t="n"/>
      <c r="K124" s="17" t="n"/>
      <c r="L124" s="44" t="str">
        <f>IF('每日复盘'!R124="","",'每日复盘'!R124)</f>
        <v/>
      </c>
      <c r="M124" s="36" t="str">
        <f>IF(OR(NOT(ISNUMBER(L124)),COUNT(H124:J124)&lt;3),"",IF(OR(AND(L124&gt;=3,H124=0),AND(L124&gt;=4,I124=0),AND(L124&gt;=5,J124=0)),"有断层","连续"))</f>
        <v/>
      </c>
      <c r="N124" s="27" t="n"/>
      <c r="O124" s="45" t="str">
        <f>IF(NOT(ISNUMBER(A124)),"",IF(COUNTIFS('交易记录'!$S$5:$S$304,A124,'交易记录'!$X$5:$X$304,"已平仓")=0,"",SUMIFS('交易记录'!$AB$5:$AB$304,'交易记录'!$S$5:$S$304,A124,'交易记录'!$X$5:$X$304,"已平仓")))</f>
        <v/>
      </c>
      <c r="P124" s="36" t="str">
        <f>IF(NOT(ISNUMBER(O124)),"",IF(O124&lt;=-'参数'!$C$9,"触及停手线",""))</f>
        <v/>
      </c>
      <c r="Q124" s="32" t="n"/>
      <c r="R124" s="32" t="n"/>
      <c r="S124" s="32" t="n"/>
    </row>
    <row r="125">
      <c r="A125" s="42" t="str">
        <f>IF('每日复盘'!A125="","",'每日复盘'!A125)</f>
        <v/>
      </c>
      <c r="B125" s="43" t="str">
        <f>IF('每日复盘'!AA125="","",'每日复盘'!AA125)</f>
        <v/>
      </c>
      <c r="C125" s="32" t="n"/>
      <c r="D125" s="32" t="n"/>
      <c r="E125" s="32" t="n"/>
      <c r="F125" s="32" t="n"/>
      <c r="G125" s="17" t="n"/>
      <c r="H125" s="44" t="str">
        <f>IF('每日复盘'!P125="","",'每日复盘'!P125)</f>
        <v/>
      </c>
      <c r="I125" s="17" t="n"/>
      <c r="J125" s="17" t="n"/>
      <c r="K125" s="17" t="n"/>
      <c r="L125" s="44" t="str">
        <f>IF('每日复盘'!R125="","",'每日复盘'!R125)</f>
        <v/>
      </c>
      <c r="M125" s="36" t="str">
        <f>IF(OR(NOT(ISNUMBER(L125)),COUNT(H125:J125)&lt;3),"",IF(OR(AND(L125&gt;=3,H125=0),AND(L125&gt;=4,I125=0),AND(L125&gt;=5,J125=0)),"有断层","连续"))</f>
        <v/>
      </c>
      <c r="N125" s="27" t="n"/>
      <c r="O125" s="45" t="str">
        <f>IF(NOT(ISNUMBER(A125)),"",IF(COUNTIFS('交易记录'!$S$5:$S$304,A125,'交易记录'!$X$5:$X$304,"已平仓")=0,"",SUMIFS('交易记录'!$AB$5:$AB$304,'交易记录'!$S$5:$S$304,A125,'交易记录'!$X$5:$X$304,"已平仓")))</f>
        <v/>
      </c>
      <c r="P125" s="36" t="str">
        <f>IF(NOT(ISNUMBER(O125)),"",IF(O125&lt;=-'参数'!$C$9,"触及停手线",""))</f>
        <v/>
      </c>
      <c r="Q125" s="32" t="n"/>
      <c r="R125" s="32" t="n"/>
      <c r="S125" s="32" t="n"/>
    </row>
    <row r="126">
      <c r="A126" s="42" t="str">
        <f>IF('每日复盘'!A126="","",'每日复盘'!A126)</f>
        <v/>
      </c>
      <c r="B126" s="43" t="str">
        <f>IF('每日复盘'!AA126="","",'每日复盘'!AA126)</f>
        <v/>
      </c>
      <c r="C126" s="32" t="n"/>
      <c r="D126" s="32" t="n"/>
      <c r="E126" s="32" t="n"/>
      <c r="F126" s="32" t="n"/>
      <c r="G126" s="17" t="n"/>
      <c r="H126" s="44" t="str">
        <f>IF('每日复盘'!P126="","",'每日复盘'!P126)</f>
        <v/>
      </c>
      <c r="I126" s="17" t="n"/>
      <c r="J126" s="17" t="n"/>
      <c r="K126" s="17" t="n"/>
      <c r="L126" s="44" t="str">
        <f>IF('每日复盘'!R126="","",'每日复盘'!R126)</f>
        <v/>
      </c>
      <c r="M126" s="36" t="str">
        <f>IF(OR(NOT(ISNUMBER(L126)),COUNT(H126:J126)&lt;3),"",IF(OR(AND(L126&gt;=3,H126=0),AND(L126&gt;=4,I126=0),AND(L126&gt;=5,J126=0)),"有断层","连续"))</f>
        <v/>
      </c>
      <c r="N126" s="27" t="n"/>
      <c r="O126" s="45" t="str">
        <f>IF(NOT(ISNUMBER(A126)),"",IF(COUNTIFS('交易记录'!$S$5:$S$304,A126,'交易记录'!$X$5:$X$304,"已平仓")=0,"",SUMIFS('交易记录'!$AB$5:$AB$304,'交易记录'!$S$5:$S$304,A126,'交易记录'!$X$5:$X$304,"已平仓")))</f>
        <v/>
      </c>
      <c r="P126" s="36" t="str">
        <f>IF(NOT(ISNUMBER(O126)),"",IF(O126&lt;=-'参数'!$C$9,"触及停手线",""))</f>
        <v/>
      </c>
      <c r="Q126" s="32" t="n"/>
      <c r="R126" s="32" t="n"/>
      <c r="S126" s="32" t="n"/>
    </row>
    <row r="127">
      <c r="A127" s="42" t="str">
        <f>IF('每日复盘'!A127="","",'每日复盘'!A127)</f>
        <v/>
      </c>
      <c r="B127" s="43" t="str">
        <f>IF('每日复盘'!AA127="","",'每日复盘'!AA127)</f>
        <v/>
      </c>
      <c r="C127" s="32" t="n"/>
      <c r="D127" s="32" t="n"/>
      <c r="E127" s="32" t="n"/>
      <c r="F127" s="32" t="n"/>
      <c r="G127" s="17" t="n"/>
      <c r="H127" s="44" t="str">
        <f>IF('每日复盘'!P127="","",'每日复盘'!P127)</f>
        <v/>
      </c>
      <c r="I127" s="17" t="n"/>
      <c r="J127" s="17" t="n"/>
      <c r="K127" s="17" t="n"/>
      <c r="L127" s="44" t="str">
        <f>IF('每日复盘'!R127="","",'每日复盘'!R127)</f>
        <v/>
      </c>
      <c r="M127" s="36" t="str">
        <f>IF(OR(NOT(ISNUMBER(L127)),COUNT(H127:J127)&lt;3),"",IF(OR(AND(L127&gt;=3,H127=0),AND(L127&gt;=4,I127=0),AND(L127&gt;=5,J127=0)),"有断层","连续"))</f>
        <v/>
      </c>
      <c r="N127" s="27" t="n"/>
      <c r="O127" s="45" t="str">
        <f>IF(NOT(ISNUMBER(A127)),"",IF(COUNTIFS('交易记录'!$S$5:$S$304,A127,'交易记录'!$X$5:$X$304,"已平仓")=0,"",SUMIFS('交易记录'!$AB$5:$AB$304,'交易记录'!$S$5:$S$304,A127,'交易记录'!$X$5:$X$304,"已平仓")))</f>
        <v/>
      </c>
      <c r="P127" s="36" t="str">
        <f>IF(NOT(ISNUMBER(O127)),"",IF(O127&lt;=-'参数'!$C$9,"触及停手线",""))</f>
        <v/>
      </c>
      <c r="Q127" s="32" t="n"/>
      <c r="R127" s="32" t="n"/>
      <c r="S127" s="32" t="n"/>
    </row>
    <row r="128">
      <c r="A128" s="42" t="str">
        <f>IF('每日复盘'!A128="","",'每日复盘'!A128)</f>
        <v/>
      </c>
      <c r="B128" s="43" t="str">
        <f>IF('每日复盘'!AA128="","",'每日复盘'!AA128)</f>
        <v/>
      </c>
      <c r="C128" s="32" t="n"/>
      <c r="D128" s="32" t="n"/>
      <c r="E128" s="32" t="n"/>
      <c r="F128" s="32" t="n"/>
      <c r="G128" s="17" t="n"/>
      <c r="H128" s="44" t="str">
        <f>IF('每日复盘'!P128="","",'每日复盘'!P128)</f>
        <v/>
      </c>
      <c r="I128" s="17" t="n"/>
      <c r="J128" s="17" t="n"/>
      <c r="K128" s="17" t="n"/>
      <c r="L128" s="44" t="str">
        <f>IF('每日复盘'!R128="","",'每日复盘'!R128)</f>
        <v/>
      </c>
      <c r="M128" s="36" t="str">
        <f>IF(OR(NOT(ISNUMBER(L128)),COUNT(H128:J128)&lt;3),"",IF(OR(AND(L128&gt;=3,H128=0),AND(L128&gt;=4,I128=0),AND(L128&gt;=5,J128=0)),"有断层","连续"))</f>
        <v/>
      </c>
      <c r="N128" s="27" t="n"/>
      <c r="O128" s="45" t="str">
        <f>IF(NOT(ISNUMBER(A128)),"",IF(COUNTIFS('交易记录'!$S$5:$S$304,A128,'交易记录'!$X$5:$X$304,"已平仓")=0,"",SUMIFS('交易记录'!$AB$5:$AB$304,'交易记录'!$S$5:$S$304,A128,'交易记录'!$X$5:$X$304,"已平仓")))</f>
        <v/>
      </c>
      <c r="P128" s="36" t="str">
        <f>IF(NOT(ISNUMBER(O128)),"",IF(O128&lt;=-'参数'!$C$9,"触及停手线",""))</f>
        <v/>
      </c>
      <c r="Q128" s="32" t="n"/>
      <c r="R128" s="32" t="n"/>
      <c r="S128" s="32" t="n"/>
    </row>
    <row r="129">
      <c r="A129" s="42" t="str">
        <f>IF('每日复盘'!A129="","",'每日复盘'!A129)</f>
        <v/>
      </c>
      <c r="B129" s="43" t="str">
        <f>IF('每日复盘'!AA129="","",'每日复盘'!AA129)</f>
        <v/>
      </c>
      <c r="C129" s="32" t="n"/>
      <c r="D129" s="32" t="n"/>
      <c r="E129" s="32" t="n"/>
      <c r="F129" s="32" t="n"/>
      <c r="G129" s="17" t="n"/>
      <c r="H129" s="44" t="str">
        <f>IF('每日复盘'!P129="","",'每日复盘'!P129)</f>
        <v/>
      </c>
      <c r="I129" s="17" t="n"/>
      <c r="J129" s="17" t="n"/>
      <c r="K129" s="17" t="n"/>
      <c r="L129" s="44" t="str">
        <f>IF('每日复盘'!R129="","",'每日复盘'!R129)</f>
        <v/>
      </c>
      <c r="M129" s="36" t="str">
        <f>IF(OR(NOT(ISNUMBER(L129)),COUNT(H129:J129)&lt;3),"",IF(OR(AND(L129&gt;=3,H129=0),AND(L129&gt;=4,I129=0),AND(L129&gt;=5,J129=0)),"有断层","连续"))</f>
        <v/>
      </c>
      <c r="N129" s="27" t="n"/>
      <c r="O129" s="45" t="str">
        <f>IF(NOT(ISNUMBER(A129)),"",IF(COUNTIFS('交易记录'!$S$5:$S$304,A129,'交易记录'!$X$5:$X$304,"已平仓")=0,"",SUMIFS('交易记录'!$AB$5:$AB$304,'交易记录'!$S$5:$S$304,A129,'交易记录'!$X$5:$X$304,"已平仓")))</f>
        <v/>
      </c>
      <c r="P129" s="36" t="str">
        <f>IF(NOT(ISNUMBER(O129)),"",IF(O129&lt;=-'参数'!$C$9,"触及停手线",""))</f>
        <v/>
      </c>
      <c r="Q129" s="32" t="n"/>
      <c r="R129" s="32" t="n"/>
      <c r="S129" s="32" t="n"/>
    </row>
    <row r="130">
      <c r="A130" s="42" t="str">
        <f>IF('每日复盘'!A130="","",'每日复盘'!A130)</f>
        <v/>
      </c>
      <c r="B130" s="43" t="str">
        <f>IF('每日复盘'!AA130="","",'每日复盘'!AA130)</f>
        <v/>
      </c>
      <c r="C130" s="32" t="n"/>
      <c r="D130" s="32" t="n"/>
      <c r="E130" s="32" t="n"/>
      <c r="F130" s="32" t="n"/>
      <c r="G130" s="17" t="n"/>
      <c r="H130" s="44" t="str">
        <f>IF('每日复盘'!P130="","",'每日复盘'!P130)</f>
        <v/>
      </c>
      <c r="I130" s="17" t="n"/>
      <c r="J130" s="17" t="n"/>
      <c r="K130" s="17" t="n"/>
      <c r="L130" s="44" t="str">
        <f>IF('每日复盘'!R130="","",'每日复盘'!R130)</f>
        <v/>
      </c>
      <c r="M130" s="36" t="str">
        <f>IF(OR(NOT(ISNUMBER(L130)),COUNT(H130:J130)&lt;3),"",IF(OR(AND(L130&gt;=3,H130=0),AND(L130&gt;=4,I130=0),AND(L130&gt;=5,J130=0)),"有断层","连续"))</f>
        <v/>
      </c>
      <c r="N130" s="27" t="n"/>
      <c r="O130" s="45" t="str">
        <f>IF(NOT(ISNUMBER(A130)),"",IF(COUNTIFS('交易记录'!$S$5:$S$304,A130,'交易记录'!$X$5:$X$304,"已平仓")=0,"",SUMIFS('交易记录'!$AB$5:$AB$304,'交易记录'!$S$5:$S$304,A130,'交易记录'!$X$5:$X$304,"已平仓")))</f>
        <v/>
      </c>
      <c r="P130" s="36" t="str">
        <f>IF(NOT(ISNUMBER(O130)),"",IF(O130&lt;=-'参数'!$C$9,"触及停手线",""))</f>
        <v/>
      </c>
      <c r="Q130" s="32" t="n"/>
      <c r="R130" s="32" t="n"/>
      <c r="S130" s="32" t="n"/>
    </row>
    <row r="131">
      <c r="A131" s="42" t="str">
        <f>IF('每日复盘'!A131="","",'每日复盘'!A131)</f>
        <v/>
      </c>
      <c r="B131" s="43" t="str">
        <f>IF('每日复盘'!AA131="","",'每日复盘'!AA131)</f>
        <v/>
      </c>
      <c r="C131" s="32" t="n"/>
      <c r="D131" s="32" t="n"/>
      <c r="E131" s="32" t="n"/>
      <c r="F131" s="32" t="n"/>
      <c r="G131" s="17" t="n"/>
      <c r="H131" s="44" t="str">
        <f>IF('每日复盘'!P131="","",'每日复盘'!P131)</f>
        <v/>
      </c>
      <c r="I131" s="17" t="n"/>
      <c r="J131" s="17" t="n"/>
      <c r="K131" s="17" t="n"/>
      <c r="L131" s="44" t="str">
        <f>IF('每日复盘'!R131="","",'每日复盘'!R131)</f>
        <v/>
      </c>
      <c r="M131" s="36" t="str">
        <f>IF(OR(NOT(ISNUMBER(L131)),COUNT(H131:J131)&lt;3),"",IF(OR(AND(L131&gt;=3,H131=0),AND(L131&gt;=4,I131=0),AND(L131&gt;=5,J131=0)),"有断层","连续"))</f>
        <v/>
      </c>
      <c r="N131" s="27" t="n"/>
      <c r="O131" s="45" t="str">
        <f>IF(NOT(ISNUMBER(A131)),"",IF(COUNTIFS('交易记录'!$S$5:$S$304,A131,'交易记录'!$X$5:$X$304,"已平仓")=0,"",SUMIFS('交易记录'!$AB$5:$AB$304,'交易记录'!$S$5:$S$304,A131,'交易记录'!$X$5:$X$304,"已平仓")))</f>
        <v/>
      </c>
      <c r="P131" s="36" t="str">
        <f>IF(NOT(ISNUMBER(O131)),"",IF(O131&lt;=-'参数'!$C$9,"触及停手线",""))</f>
        <v/>
      </c>
      <c r="Q131" s="32" t="n"/>
      <c r="R131" s="32" t="n"/>
      <c r="S131" s="32" t="n"/>
    </row>
    <row r="132">
      <c r="A132" s="42" t="str">
        <f>IF('每日复盘'!A132="","",'每日复盘'!A132)</f>
        <v/>
      </c>
      <c r="B132" s="43" t="str">
        <f>IF('每日复盘'!AA132="","",'每日复盘'!AA132)</f>
        <v/>
      </c>
      <c r="C132" s="32" t="n"/>
      <c r="D132" s="32" t="n"/>
      <c r="E132" s="32" t="n"/>
      <c r="F132" s="32" t="n"/>
      <c r="G132" s="17" t="n"/>
      <c r="H132" s="44" t="str">
        <f>IF('每日复盘'!P132="","",'每日复盘'!P132)</f>
        <v/>
      </c>
      <c r="I132" s="17" t="n"/>
      <c r="J132" s="17" t="n"/>
      <c r="K132" s="17" t="n"/>
      <c r="L132" s="44" t="str">
        <f>IF('每日复盘'!R132="","",'每日复盘'!R132)</f>
        <v/>
      </c>
      <c r="M132" s="36" t="str">
        <f>IF(OR(NOT(ISNUMBER(L132)),COUNT(H132:J132)&lt;3),"",IF(OR(AND(L132&gt;=3,H132=0),AND(L132&gt;=4,I132=0),AND(L132&gt;=5,J132=0)),"有断层","连续"))</f>
        <v/>
      </c>
      <c r="N132" s="27" t="n"/>
      <c r="O132" s="45" t="str">
        <f>IF(NOT(ISNUMBER(A132)),"",IF(COUNTIFS('交易记录'!$S$5:$S$304,A132,'交易记录'!$X$5:$X$304,"已平仓")=0,"",SUMIFS('交易记录'!$AB$5:$AB$304,'交易记录'!$S$5:$S$304,A132,'交易记录'!$X$5:$X$304,"已平仓")))</f>
        <v/>
      </c>
      <c r="P132" s="36" t="str">
        <f>IF(NOT(ISNUMBER(O132)),"",IF(O132&lt;=-'参数'!$C$9,"触及停手线",""))</f>
        <v/>
      </c>
      <c r="Q132" s="32" t="n"/>
      <c r="R132" s="32" t="n"/>
      <c r="S132" s="32" t="n"/>
    </row>
    <row r="133">
      <c r="A133" s="42" t="str">
        <f>IF('每日复盘'!A133="","",'每日复盘'!A133)</f>
        <v/>
      </c>
      <c r="B133" s="43" t="str">
        <f>IF('每日复盘'!AA133="","",'每日复盘'!AA133)</f>
        <v/>
      </c>
      <c r="C133" s="32" t="n"/>
      <c r="D133" s="32" t="n"/>
      <c r="E133" s="32" t="n"/>
      <c r="F133" s="32" t="n"/>
      <c r="G133" s="17" t="n"/>
      <c r="H133" s="44" t="str">
        <f>IF('每日复盘'!P133="","",'每日复盘'!P133)</f>
        <v/>
      </c>
      <c r="I133" s="17" t="n"/>
      <c r="J133" s="17" t="n"/>
      <c r="K133" s="17" t="n"/>
      <c r="L133" s="44" t="str">
        <f>IF('每日复盘'!R133="","",'每日复盘'!R133)</f>
        <v/>
      </c>
      <c r="M133" s="36" t="str">
        <f>IF(OR(NOT(ISNUMBER(L133)),COUNT(H133:J133)&lt;3),"",IF(OR(AND(L133&gt;=3,H133=0),AND(L133&gt;=4,I133=0),AND(L133&gt;=5,J133=0)),"有断层","连续"))</f>
        <v/>
      </c>
      <c r="N133" s="27" t="n"/>
      <c r="O133" s="45" t="str">
        <f>IF(NOT(ISNUMBER(A133)),"",IF(COUNTIFS('交易记录'!$S$5:$S$304,A133,'交易记录'!$X$5:$X$304,"已平仓")=0,"",SUMIFS('交易记录'!$AB$5:$AB$304,'交易记录'!$S$5:$S$304,A133,'交易记录'!$X$5:$X$304,"已平仓")))</f>
        <v/>
      </c>
      <c r="P133" s="36" t="str">
        <f>IF(NOT(ISNUMBER(O133)),"",IF(O133&lt;=-'参数'!$C$9,"触及停手线",""))</f>
        <v/>
      </c>
      <c r="Q133" s="32" t="n"/>
      <c r="R133" s="32" t="n"/>
      <c r="S133" s="32" t="n"/>
    </row>
    <row r="134">
      <c r="A134" s="42" t="str">
        <f>IF('每日复盘'!A134="","",'每日复盘'!A134)</f>
        <v/>
      </c>
      <c r="B134" s="43" t="str">
        <f>IF('每日复盘'!AA134="","",'每日复盘'!AA134)</f>
        <v/>
      </c>
      <c r="C134" s="32" t="n"/>
      <c r="D134" s="32" t="n"/>
      <c r="E134" s="32" t="n"/>
      <c r="F134" s="32" t="n"/>
      <c r="G134" s="17" t="n"/>
      <c r="H134" s="44" t="str">
        <f>IF('每日复盘'!P134="","",'每日复盘'!P134)</f>
        <v/>
      </c>
      <c r="I134" s="17" t="n"/>
      <c r="J134" s="17" t="n"/>
      <c r="K134" s="17" t="n"/>
      <c r="L134" s="44" t="str">
        <f>IF('每日复盘'!R134="","",'每日复盘'!R134)</f>
        <v/>
      </c>
      <c r="M134" s="36" t="str">
        <f>IF(OR(NOT(ISNUMBER(L134)),COUNT(H134:J134)&lt;3),"",IF(OR(AND(L134&gt;=3,H134=0),AND(L134&gt;=4,I134=0),AND(L134&gt;=5,J134=0)),"有断层","连续"))</f>
        <v/>
      </c>
      <c r="N134" s="27" t="n"/>
      <c r="O134" s="45" t="str">
        <f>IF(NOT(ISNUMBER(A134)),"",IF(COUNTIFS('交易记录'!$S$5:$S$304,A134,'交易记录'!$X$5:$X$304,"已平仓")=0,"",SUMIFS('交易记录'!$AB$5:$AB$304,'交易记录'!$S$5:$S$304,A134,'交易记录'!$X$5:$X$304,"已平仓")))</f>
        <v/>
      </c>
      <c r="P134" s="36" t="str">
        <f>IF(NOT(ISNUMBER(O134)),"",IF(O134&lt;=-'参数'!$C$9,"触及停手线",""))</f>
        <v/>
      </c>
      <c r="Q134" s="32" t="n"/>
      <c r="R134" s="32" t="n"/>
      <c r="S134" s="32" t="n"/>
    </row>
    <row r="135">
      <c r="A135" s="42" t="str">
        <f>IF('每日复盘'!A135="","",'每日复盘'!A135)</f>
        <v/>
      </c>
      <c r="B135" s="43" t="str">
        <f>IF('每日复盘'!AA135="","",'每日复盘'!AA135)</f>
        <v/>
      </c>
      <c r="C135" s="32" t="n"/>
      <c r="D135" s="32" t="n"/>
      <c r="E135" s="32" t="n"/>
      <c r="F135" s="32" t="n"/>
      <c r="G135" s="17" t="n"/>
      <c r="H135" s="44" t="str">
        <f>IF('每日复盘'!P135="","",'每日复盘'!P135)</f>
        <v/>
      </c>
      <c r="I135" s="17" t="n"/>
      <c r="J135" s="17" t="n"/>
      <c r="K135" s="17" t="n"/>
      <c r="L135" s="44" t="str">
        <f>IF('每日复盘'!R135="","",'每日复盘'!R135)</f>
        <v/>
      </c>
      <c r="M135" s="36" t="str">
        <f>IF(OR(NOT(ISNUMBER(L135)),COUNT(H135:J135)&lt;3),"",IF(OR(AND(L135&gt;=3,H135=0),AND(L135&gt;=4,I135=0),AND(L135&gt;=5,J135=0)),"有断层","连续"))</f>
        <v/>
      </c>
      <c r="N135" s="27" t="n"/>
      <c r="O135" s="45" t="str">
        <f>IF(NOT(ISNUMBER(A135)),"",IF(COUNTIFS('交易记录'!$S$5:$S$304,A135,'交易记录'!$X$5:$X$304,"已平仓")=0,"",SUMIFS('交易记录'!$AB$5:$AB$304,'交易记录'!$S$5:$S$304,A135,'交易记录'!$X$5:$X$304,"已平仓")))</f>
        <v/>
      </c>
      <c r="P135" s="36" t="str">
        <f>IF(NOT(ISNUMBER(O135)),"",IF(O135&lt;=-'参数'!$C$9,"触及停手线",""))</f>
        <v/>
      </c>
      <c r="Q135" s="32" t="n"/>
      <c r="R135" s="32" t="n"/>
      <c r="S135" s="32" t="n"/>
    </row>
    <row r="136">
      <c r="A136" s="42" t="str">
        <f>IF('每日复盘'!A136="","",'每日复盘'!A136)</f>
        <v/>
      </c>
      <c r="B136" s="43" t="str">
        <f>IF('每日复盘'!AA136="","",'每日复盘'!AA136)</f>
        <v/>
      </c>
      <c r="C136" s="32" t="n"/>
      <c r="D136" s="32" t="n"/>
      <c r="E136" s="32" t="n"/>
      <c r="F136" s="32" t="n"/>
      <c r="G136" s="17" t="n"/>
      <c r="H136" s="44" t="str">
        <f>IF('每日复盘'!P136="","",'每日复盘'!P136)</f>
        <v/>
      </c>
      <c r="I136" s="17" t="n"/>
      <c r="J136" s="17" t="n"/>
      <c r="K136" s="17" t="n"/>
      <c r="L136" s="44" t="str">
        <f>IF('每日复盘'!R136="","",'每日复盘'!R136)</f>
        <v/>
      </c>
      <c r="M136" s="36" t="str">
        <f>IF(OR(NOT(ISNUMBER(L136)),COUNT(H136:J136)&lt;3),"",IF(OR(AND(L136&gt;=3,H136=0),AND(L136&gt;=4,I136=0),AND(L136&gt;=5,J136=0)),"有断层","连续"))</f>
        <v/>
      </c>
      <c r="N136" s="27" t="n"/>
      <c r="O136" s="45" t="str">
        <f>IF(NOT(ISNUMBER(A136)),"",IF(COUNTIFS('交易记录'!$S$5:$S$304,A136,'交易记录'!$X$5:$X$304,"已平仓")=0,"",SUMIFS('交易记录'!$AB$5:$AB$304,'交易记录'!$S$5:$S$304,A136,'交易记录'!$X$5:$X$304,"已平仓")))</f>
        <v/>
      </c>
      <c r="P136" s="36" t="str">
        <f>IF(NOT(ISNUMBER(O136)),"",IF(O136&lt;=-'参数'!$C$9,"触及停手线",""))</f>
        <v/>
      </c>
      <c r="Q136" s="32" t="n"/>
      <c r="R136" s="32" t="n"/>
      <c r="S136" s="32" t="n"/>
    </row>
    <row r="137">
      <c r="A137" s="42" t="str">
        <f>IF('每日复盘'!A137="","",'每日复盘'!A137)</f>
        <v/>
      </c>
      <c r="B137" s="43" t="str">
        <f>IF('每日复盘'!AA137="","",'每日复盘'!AA137)</f>
        <v/>
      </c>
      <c r="C137" s="32" t="n"/>
      <c r="D137" s="32" t="n"/>
      <c r="E137" s="32" t="n"/>
      <c r="F137" s="32" t="n"/>
      <c r="G137" s="17" t="n"/>
      <c r="H137" s="44" t="str">
        <f>IF('每日复盘'!P137="","",'每日复盘'!P137)</f>
        <v/>
      </c>
      <c r="I137" s="17" t="n"/>
      <c r="J137" s="17" t="n"/>
      <c r="K137" s="17" t="n"/>
      <c r="L137" s="44" t="str">
        <f>IF('每日复盘'!R137="","",'每日复盘'!R137)</f>
        <v/>
      </c>
      <c r="M137" s="36" t="str">
        <f>IF(OR(NOT(ISNUMBER(L137)),COUNT(H137:J137)&lt;3),"",IF(OR(AND(L137&gt;=3,H137=0),AND(L137&gt;=4,I137=0),AND(L137&gt;=5,J137=0)),"有断层","连续"))</f>
        <v/>
      </c>
      <c r="N137" s="27" t="n"/>
      <c r="O137" s="45" t="str">
        <f>IF(NOT(ISNUMBER(A137)),"",IF(COUNTIFS('交易记录'!$S$5:$S$304,A137,'交易记录'!$X$5:$X$304,"已平仓")=0,"",SUMIFS('交易记录'!$AB$5:$AB$304,'交易记录'!$S$5:$S$304,A137,'交易记录'!$X$5:$X$304,"已平仓")))</f>
        <v/>
      </c>
      <c r="P137" s="36" t="str">
        <f>IF(NOT(ISNUMBER(O137)),"",IF(O137&lt;=-'参数'!$C$9,"触及停手线",""))</f>
        <v/>
      </c>
      <c r="Q137" s="32" t="n"/>
      <c r="R137" s="32" t="n"/>
      <c r="S137" s="32" t="n"/>
    </row>
    <row r="138">
      <c r="A138" s="42" t="str">
        <f>IF('每日复盘'!A138="","",'每日复盘'!A138)</f>
        <v/>
      </c>
      <c r="B138" s="43" t="str">
        <f>IF('每日复盘'!AA138="","",'每日复盘'!AA138)</f>
        <v/>
      </c>
      <c r="C138" s="32" t="n"/>
      <c r="D138" s="32" t="n"/>
      <c r="E138" s="32" t="n"/>
      <c r="F138" s="32" t="n"/>
      <c r="G138" s="17" t="n"/>
      <c r="H138" s="44" t="str">
        <f>IF('每日复盘'!P138="","",'每日复盘'!P138)</f>
        <v/>
      </c>
      <c r="I138" s="17" t="n"/>
      <c r="J138" s="17" t="n"/>
      <c r="K138" s="17" t="n"/>
      <c r="L138" s="44" t="str">
        <f>IF('每日复盘'!R138="","",'每日复盘'!R138)</f>
        <v/>
      </c>
      <c r="M138" s="36" t="str">
        <f>IF(OR(NOT(ISNUMBER(L138)),COUNT(H138:J138)&lt;3),"",IF(OR(AND(L138&gt;=3,H138=0),AND(L138&gt;=4,I138=0),AND(L138&gt;=5,J138=0)),"有断层","连续"))</f>
        <v/>
      </c>
      <c r="N138" s="27" t="n"/>
      <c r="O138" s="45" t="str">
        <f>IF(NOT(ISNUMBER(A138)),"",IF(COUNTIFS('交易记录'!$S$5:$S$304,A138,'交易记录'!$X$5:$X$304,"已平仓")=0,"",SUMIFS('交易记录'!$AB$5:$AB$304,'交易记录'!$S$5:$S$304,A138,'交易记录'!$X$5:$X$304,"已平仓")))</f>
        <v/>
      </c>
      <c r="P138" s="36" t="str">
        <f>IF(NOT(ISNUMBER(O138)),"",IF(O138&lt;=-'参数'!$C$9,"触及停手线",""))</f>
        <v/>
      </c>
      <c r="Q138" s="32" t="n"/>
      <c r="R138" s="32" t="n"/>
      <c r="S138" s="32" t="n"/>
    </row>
    <row r="139">
      <c r="A139" s="42" t="str">
        <f>IF('每日复盘'!A139="","",'每日复盘'!A139)</f>
        <v/>
      </c>
      <c r="B139" s="43" t="str">
        <f>IF('每日复盘'!AA139="","",'每日复盘'!AA139)</f>
        <v/>
      </c>
      <c r="C139" s="32" t="n"/>
      <c r="D139" s="32" t="n"/>
      <c r="E139" s="32" t="n"/>
      <c r="F139" s="32" t="n"/>
      <c r="G139" s="17" t="n"/>
      <c r="H139" s="44" t="str">
        <f>IF('每日复盘'!P139="","",'每日复盘'!P139)</f>
        <v/>
      </c>
      <c r="I139" s="17" t="n"/>
      <c r="J139" s="17" t="n"/>
      <c r="K139" s="17" t="n"/>
      <c r="L139" s="44" t="str">
        <f>IF('每日复盘'!R139="","",'每日复盘'!R139)</f>
        <v/>
      </c>
      <c r="M139" s="36" t="str">
        <f>IF(OR(NOT(ISNUMBER(L139)),COUNT(H139:J139)&lt;3),"",IF(OR(AND(L139&gt;=3,H139=0),AND(L139&gt;=4,I139=0),AND(L139&gt;=5,J139=0)),"有断层","连续"))</f>
        <v/>
      </c>
      <c r="N139" s="27" t="n"/>
      <c r="O139" s="45" t="str">
        <f>IF(NOT(ISNUMBER(A139)),"",IF(COUNTIFS('交易记录'!$S$5:$S$304,A139,'交易记录'!$X$5:$X$304,"已平仓")=0,"",SUMIFS('交易记录'!$AB$5:$AB$304,'交易记录'!$S$5:$S$304,A139,'交易记录'!$X$5:$X$304,"已平仓")))</f>
        <v/>
      </c>
      <c r="P139" s="36" t="str">
        <f>IF(NOT(ISNUMBER(O139)),"",IF(O139&lt;=-'参数'!$C$9,"触及停手线",""))</f>
        <v/>
      </c>
      <c r="Q139" s="32" t="n"/>
      <c r="R139" s="32" t="n"/>
      <c r="S139" s="32" t="n"/>
    </row>
    <row r="140">
      <c r="A140" s="42" t="str">
        <f>IF('每日复盘'!A140="","",'每日复盘'!A140)</f>
        <v/>
      </c>
      <c r="B140" s="43" t="str">
        <f>IF('每日复盘'!AA140="","",'每日复盘'!AA140)</f>
        <v/>
      </c>
      <c r="C140" s="32" t="n"/>
      <c r="D140" s="32" t="n"/>
      <c r="E140" s="32" t="n"/>
      <c r="F140" s="32" t="n"/>
      <c r="G140" s="17" t="n"/>
      <c r="H140" s="44" t="str">
        <f>IF('每日复盘'!P140="","",'每日复盘'!P140)</f>
        <v/>
      </c>
      <c r="I140" s="17" t="n"/>
      <c r="J140" s="17" t="n"/>
      <c r="K140" s="17" t="n"/>
      <c r="L140" s="44" t="str">
        <f>IF('每日复盘'!R140="","",'每日复盘'!R140)</f>
        <v/>
      </c>
      <c r="M140" s="36" t="str">
        <f>IF(OR(NOT(ISNUMBER(L140)),COUNT(H140:J140)&lt;3),"",IF(OR(AND(L140&gt;=3,H140=0),AND(L140&gt;=4,I140=0),AND(L140&gt;=5,J140=0)),"有断层","连续"))</f>
        <v/>
      </c>
      <c r="N140" s="27" t="n"/>
      <c r="O140" s="45" t="str">
        <f>IF(NOT(ISNUMBER(A140)),"",IF(COUNTIFS('交易记录'!$S$5:$S$304,A140,'交易记录'!$X$5:$X$304,"已平仓")=0,"",SUMIFS('交易记录'!$AB$5:$AB$304,'交易记录'!$S$5:$S$304,A140,'交易记录'!$X$5:$X$304,"已平仓")))</f>
        <v/>
      </c>
      <c r="P140" s="36" t="str">
        <f>IF(NOT(ISNUMBER(O140)),"",IF(O140&lt;=-'参数'!$C$9,"触及停手线",""))</f>
        <v/>
      </c>
      <c r="Q140" s="32" t="n"/>
      <c r="R140" s="32" t="n"/>
      <c r="S140" s="32" t="n"/>
    </row>
    <row r="141">
      <c r="A141" s="42" t="str">
        <f>IF('每日复盘'!A141="","",'每日复盘'!A141)</f>
        <v/>
      </c>
      <c r="B141" s="43" t="str">
        <f>IF('每日复盘'!AA141="","",'每日复盘'!AA141)</f>
        <v/>
      </c>
      <c r="C141" s="32" t="n"/>
      <c r="D141" s="32" t="n"/>
      <c r="E141" s="32" t="n"/>
      <c r="F141" s="32" t="n"/>
      <c r="G141" s="17" t="n"/>
      <c r="H141" s="44" t="str">
        <f>IF('每日复盘'!P141="","",'每日复盘'!P141)</f>
        <v/>
      </c>
      <c r="I141" s="17" t="n"/>
      <c r="J141" s="17" t="n"/>
      <c r="K141" s="17" t="n"/>
      <c r="L141" s="44" t="str">
        <f>IF('每日复盘'!R141="","",'每日复盘'!R141)</f>
        <v/>
      </c>
      <c r="M141" s="36" t="str">
        <f>IF(OR(NOT(ISNUMBER(L141)),COUNT(H141:J141)&lt;3),"",IF(OR(AND(L141&gt;=3,H141=0),AND(L141&gt;=4,I141=0),AND(L141&gt;=5,J141=0)),"有断层","连续"))</f>
        <v/>
      </c>
      <c r="N141" s="27" t="n"/>
      <c r="O141" s="45" t="str">
        <f>IF(NOT(ISNUMBER(A141)),"",IF(COUNTIFS('交易记录'!$S$5:$S$304,A141,'交易记录'!$X$5:$X$304,"已平仓")=0,"",SUMIFS('交易记录'!$AB$5:$AB$304,'交易记录'!$S$5:$S$304,A141,'交易记录'!$X$5:$X$304,"已平仓")))</f>
        <v/>
      </c>
      <c r="P141" s="36" t="str">
        <f>IF(NOT(ISNUMBER(O141)),"",IF(O141&lt;=-'参数'!$C$9,"触及停手线",""))</f>
        <v/>
      </c>
      <c r="Q141" s="32" t="n"/>
      <c r="R141" s="32" t="n"/>
      <c r="S141" s="32" t="n"/>
    </row>
    <row r="142">
      <c r="A142" s="42" t="str">
        <f>IF('每日复盘'!A142="","",'每日复盘'!A142)</f>
        <v/>
      </c>
      <c r="B142" s="43" t="str">
        <f>IF('每日复盘'!AA142="","",'每日复盘'!AA142)</f>
        <v/>
      </c>
      <c r="C142" s="32" t="n"/>
      <c r="D142" s="32" t="n"/>
      <c r="E142" s="32" t="n"/>
      <c r="F142" s="32" t="n"/>
      <c r="G142" s="17" t="n"/>
      <c r="H142" s="44" t="str">
        <f>IF('每日复盘'!P142="","",'每日复盘'!P142)</f>
        <v/>
      </c>
      <c r="I142" s="17" t="n"/>
      <c r="J142" s="17" t="n"/>
      <c r="K142" s="17" t="n"/>
      <c r="L142" s="44" t="str">
        <f>IF('每日复盘'!R142="","",'每日复盘'!R142)</f>
        <v/>
      </c>
      <c r="M142" s="36" t="str">
        <f>IF(OR(NOT(ISNUMBER(L142)),COUNT(H142:J142)&lt;3),"",IF(OR(AND(L142&gt;=3,H142=0),AND(L142&gt;=4,I142=0),AND(L142&gt;=5,J142=0)),"有断层","连续"))</f>
        <v/>
      </c>
      <c r="N142" s="27" t="n"/>
      <c r="O142" s="45" t="str">
        <f>IF(NOT(ISNUMBER(A142)),"",IF(COUNTIFS('交易记录'!$S$5:$S$304,A142,'交易记录'!$X$5:$X$304,"已平仓")=0,"",SUMIFS('交易记录'!$AB$5:$AB$304,'交易记录'!$S$5:$S$304,A142,'交易记录'!$X$5:$X$304,"已平仓")))</f>
        <v/>
      </c>
      <c r="P142" s="36" t="str">
        <f>IF(NOT(ISNUMBER(O142)),"",IF(O142&lt;=-'参数'!$C$9,"触及停手线",""))</f>
        <v/>
      </c>
      <c r="Q142" s="32" t="n"/>
      <c r="R142" s="32" t="n"/>
      <c r="S142" s="32" t="n"/>
    </row>
    <row r="143">
      <c r="A143" s="42" t="str">
        <f>IF('每日复盘'!A143="","",'每日复盘'!A143)</f>
        <v/>
      </c>
      <c r="B143" s="43" t="str">
        <f>IF('每日复盘'!AA143="","",'每日复盘'!AA143)</f>
        <v/>
      </c>
      <c r="C143" s="32" t="n"/>
      <c r="D143" s="32" t="n"/>
      <c r="E143" s="32" t="n"/>
      <c r="F143" s="32" t="n"/>
      <c r="G143" s="17" t="n"/>
      <c r="H143" s="44" t="str">
        <f>IF('每日复盘'!P143="","",'每日复盘'!P143)</f>
        <v/>
      </c>
      <c r="I143" s="17" t="n"/>
      <c r="J143" s="17" t="n"/>
      <c r="K143" s="17" t="n"/>
      <c r="L143" s="44" t="str">
        <f>IF('每日复盘'!R143="","",'每日复盘'!R143)</f>
        <v/>
      </c>
      <c r="M143" s="36" t="str">
        <f>IF(OR(NOT(ISNUMBER(L143)),COUNT(H143:J143)&lt;3),"",IF(OR(AND(L143&gt;=3,H143=0),AND(L143&gt;=4,I143=0),AND(L143&gt;=5,J143=0)),"有断层","连续"))</f>
        <v/>
      </c>
      <c r="N143" s="27" t="n"/>
      <c r="O143" s="45" t="str">
        <f>IF(NOT(ISNUMBER(A143)),"",IF(COUNTIFS('交易记录'!$S$5:$S$304,A143,'交易记录'!$X$5:$X$304,"已平仓")=0,"",SUMIFS('交易记录'!$AB$5:$AB$304,'交易记录'!$S$5:$S$304,A143,'交易记录'!$X$5:$X$304,"已平仓")))</f>
        <v/>
      </c>
      <c r="P143" s="36" t="str">
        <f>IF(NOT(ISNUMBER(O143)),"",IF(O143&lt;=-'参数'!$C$9,"触及停手线",""))</f>
        <v/>
      </c>
      <c r="Q143" s="32" t="n"/>
      <c r="R143" s="32" t="n"/>
      <c r="S143" s="32" t="n"/>
    </row>
    <row r="144">
      <c r="A144" s="42" t="str">
        <f>IF('每日复盘'!A144="","",'每日复盘'!A144)</f>
        <v/>
      </c>
      <c r="B144" s="43" t="str">
        <f>IF('每日复盘'!AA144="","",'每日复盘'!AA144)</f>
        <v/>
      </c>
      <c r="C144" s="32" t="n"/>
      <c r="D144" s="32" t="n"/>
      <c r="E144" s="32" t="n"/>
      <c r="F144" s="32" t="n"/>
      <c r="G144" s="17" t="n"/>
      <c r="H144" s="44" t="str">
        <f>IF('每日复盘'!P144="","",'每日复盘'!P144)</f>
        <v/>
      </c>
      <c r="I144" s="17" t="n"/>
      <c r="J144" s="17" t="n"/>
      <c r="K144" s="17" t="n"/>
      <c r="L144" s="44" t="str">
        <f>IF('每日复盘'!R144="","",'每日复盘'!R144)</f>
        <v/>
      </c>
      <c r="M144" s="36" t="str">
        <f>IF(OR(NOT(ISNUMBER(L144)),COUNT(H144:J144)&lt;3),"",IF(OR(AND(L144&gt;=3,H144=0),AND(L144&gt;=4,I144=0),AND(L144&gt;=5,J144=0)),"有断层","连续"))</f>
        <v/>
      </c>
      <c r="N144" s="27" t="n"/>
      <c r="O144" s="45" t="str">
        <f>IF(NOT(ISNUMBER(A144)),"",IF(COUNTIFS('交易记录'!$S$5:$S$304,A144,'交易记录'!$X$5:$X$304,"已平仓")=0,"",SUMIFS('交易记录'!$AB$5:$AB$304,'交易记录'!$S$5:$S$304,A144,'交易记录'!$X$5:$X$304,"已平仓")))</f>
        <v/>
      </c>
      <c r="P144" s="36" t="str">
        <f>IF(NOT(ISNUMBER(O144)),"",IF(O144&lt;=-'参数'!$C$9,"触及停手线",""))</f>
        <v/>
      </c>
      <c r="Q144" s="32" t="n"/>
      <c r="R144" s="32" t="n"/>
      <c r="S144" s="32" t="n"/>
    </row>
    <row r="145">
      <c r="A145" s="42" t="str">
        <f>IF('每日复盘'!A145="","",'每日复盘'!A145)</f>
        <v/>
      </c>
      <c r="B145" s="43" t="str">
        <f>IF('每日复盘'!AA145="","",'每日复盘'!AA145)</f>
        <v/>
      </c>
      <c r="C145" s="32" t="n"/>
      <c r="D145" s="32" t="n"/>
      <c r="E145" s="32" t="n"/>
      <c r="F145" s="32" t="n"/>
      <c r="G145" s="17" t="n"/>
      <c r="H145" s="44" t="str">
        <f>IF('每日复盘'!P145="","",'每日复盘'!P145)</f>
        <v/>
      </c>
      <c r="I145" s="17" t="n"/>
      <c r="J145" s="17" t="n"/>
      <c r="K145" s="17" t="n"/>
      <c r="L145" s="44" t="str">
        <f>IF('每日复盘'!R145="","",'每日复盘'!R145)</f>
        <v/>
      </c>
      <c r="M145" s="36" t="str">
        <f>IF(OR(NOT(ISNUMBER(L145)),COUNT(H145:J145)&lt;3),"",IF(OR(AND(L145&gt;=3,H145=0),AND(L145&gt;=4,I145=0),AND(L145&gt;=5,J145=0)),"有断层","连续"))</f>
        <v/>
      </c>
      <c r="N145" s="27" t="n"/>
      <c r="O145" s="45" t="str">
        <f>IF(NOT(ISNUMBER(A145)),"",IF(COUNTIFS('交易记录'!$S$5:$S$304,A145,'交易记录'!$X$5:$X$304,"已平仓")=0,"",SUMIFS('交易记录'!$AB$5:$AB$304,'交易记录'!$S$5:$S$304,A145,'交易记录'!$X$5:$X$304,"已平仓")))</f>
        <v/>
      </c>
      <c r="P145" s="36" t="str">
        <f>IF(NOT(ISNUMBER(O145)),"",IF(O145&lt;=-'参数'!$C$9,"触及停手线",""))</f>
        <v/>
      </c>
      <c r="Q145" s="32" t="n"/>
      <c r="R145" s="32" t="n"/>
      <c r="S145" s="32" t="n"/>
    </row>
    <row r="146">
      <c r="A146" s="42" t="str">
        <f>IF('每日复盘'!A146="","",'每日复盘'!A146)</f>
        <v/>
      </c>
      <c r="B146" s="43" t="str">
        <f>IF('每日复盘'!AA146="","",'每日复盘'!AA146)</f>
        <v/>
      </c>
      <c r="C146" s="32" t="n"/>
      <c r="D146" s="32" t="n"/>
      <c r="E146" s="32" t="n"/>
      <c r="F146" s="32" t="n"/>
      <c r="G146" s="17" t="n"/>
      <c r="H146" s="44" t="str">
        <f>IF('每日复盘'!P146="","",'每日复盘'!P146)</f>
        <v/>
      </c>
      <c r="I146" s="17" t="n"/>
      <c r="J146" s="17" t="n"/>
      <c r="K146" s="17" t="n"/>
      <c r="L146" s="44" t="str">
        <f>IF('每日复盘'!R146="","",'每日复盘'!R146)</f>
        <v/>
      </c>
      <c r="M146" s="36" t="str">
        <f>IF(OR(NOT(ISNUMBER(L146)),COUNT(H146:J146)&lt;3),"",IF(OR(AND(L146&gt;=3,H146=0),AND(L146&gt;=4,I146=0),AND(L146&gt;=5,J146=0)),"有断层","连续"))</f>
        <v/>
      </c>
      <c r="N146" s="27" t="n"/>
      <c r="O146" s="45" t="str">
        <f>IF(NOT(ISNUMBER(A146)),"",IF(COUNTIFS('交易记录'!$S$5:$S$304,A146,'交易记录'!$X$5:$X$304,"已平仓")=0,"",SUMIFS('交易记录'!$AB$5:$AB$304,'交易记录'!$S$5:$S$304,A146,'交易记录'!$X$5:$X$304,"已平仓")))</f>
        <v/>
      </c>
      <c r="P146" s="36" t="str">
        <f>IF(NOT(ISNUMBER(O146)),"",IF(O146&lt;=-'参数'!$C$9,"触及停手线",""))</f>
        <v/>
      </c>
      <c r="Q146" s="32" t="n"/>
      <c r="R146" s="32" t="n"/>
      <c r="S146" s="32" t="n"/>
    </row>
    <row r="147">
      <c r="A147" s="42" t="str">
        <f>IF('每日复盘'!A147="","",'每日复盘'!A147)</f>
        <v/>
      </c>
      <c r="B147" s="43" t="str">
        <f>IF('每日复盘'!AA147="","",'每日复盘'!AA147)</f>
        <v/>
      </c>
      <c r="C147" s="32" t="n"/>
      <c r="D147" s="32" t="n"/>
      <c r="E147" s="32" t="n"/>
      <c r="F147" s="32" t="n"/>
      <c r="G147" s="17" t="n"/>
      <c r="H147" s="44" t="str">
        <f>IF('每日复盘'!P147="","",'每日复盘'!P147)</f>
        <v/>
      </c>
      <c r="I147" s="17" t="n"/>
      <c r="J147" s="17" t="n"/>
      <c r="K147" s="17" t="n"/>
      <c r="L147" s="44" t="str">
        <f>IF('每日复盘'!R147="","",'每日复盘'!R147)</f>
        <v/>
      </c>
      <c r="M147" s="36" t="str">
        <f>IF(OR(NOT(ISNUMBER(L147)),COUNT(H147:J147)&lt;3),"",IF(OR(AND(L147&gt;=3,H147=0),AND(L147&gt;=4,I147=0),AND(L147&gt;=5,J147=0)),"有断层","连续"))</f>
        <v/>
      </c>
      <c r="N147" s="27" t="n"/>
      <c r="O147" s="45" t="str">
        <f>IF(NOT(ISNUMBER(A147)),"",IF(COUNTIFS('交易记录'!$S$5:$S$304,A147,'交易记录'!$X$5:$X$304,"已平仓")=0,"",SUMIFS('交易记录'!$AB$5:$AB$304,'交易记录'!$S$5:$S$304,A147,'交易记录'!$X$5:$X$304,"已平仓")))</f>
        <v/>
      </c>
      <c r="P147" s="36" t="str">
        <f>IF(NOT(ISNUMBER(O147)),"",IF(O147&lt;=-'参数'!$C$9,"触及停手线",""))</f>
        <v/>
      </c>
      <c r="Q147" s="32" t="n"/>
      <c r="R147" s="32" t="n"/>
      <c r="S147" s="32" t="n"/>
    </row>
    <row r="148">
      <c r="A148" s="42" t="str">
        <f>IF('每日复盘'!A148="","",'每日复盘'!A148)</f>
        <v/>
      </c>
      <c r="B148" s="43" t="str">
        <f>IF('每日复盘'!AA148="","",'每日复盘'!AA148)</f>
        <v/>
      </c>
      <c r="C148" s="32" t="n"/>
      <c r="D148" s="32" t="n"/>
      <c r="E148" s="32" t="n"/>
      <c r="F148" s="32" t="n"/>
      <c r="G148" s="17" t="n"/>
      <c r="H148" s="44" t="str">
        <f>IF('每日复盘'!P148="","",'每日复盘'!P148)</f>
        <v/>
      </c>
      <c r="I148" s="17" t="n"/>
      <c r="J148" s="17" t="n"/>
      <c r="K148" s="17" t="n"/>
      <c r="L148" s="44" t="str">
        <f>IF('每日复盘'!R148="","",'每日复盘'!R148)</f>
        <v/>
      </c>
      <c r="M148" s="36" t="str">
        <f>IF(OR(NOT(ISNUMBER(L148)),COUNT(H148:J148)&lt;3),"",IF(OR(AND(L148&gt;=3,H148=0),AND(L148&gt;=4,I148=0),AND(L148&gt;=5,J148=0)),"有断层","连续"))</f>
        <v/>
      </c>
      <c r="N148" s="27" t="n"/>
      <c r="O148" s="45" t="str">
        <f>IF(NOT(ISNUMBER(A148)),"",IF(COUNTIFS('交易记录'!$S$5:$S$304,A148,'交易记录'!$X$5:$X$304,"已平仓")=0,"",SUMIFS('交易记录'!$AB$5:$AB$304,'交易记录'!$S$5:$S$304,A148,'交易记录'!$X$5:$X$304,"已平仓")))</f>
        <v/>
      </c>
      <c r="P148" s="36" t="str">
        <f>IF(NOT(ISNUMBER(O148)),"",IF(O148&lt;=-'参数'!$C$9,"触及停手线",""))</f>
        <v/>
      </c>
      <c r="Q148" s="32" t="n"/>
      <c r="R148" s="32" t="n"/>
      <c r="S148" s="32" t="n"/>
    </row>
    <row r="149">
      <c r="A149" s="42" t="str">
        <f>IF('每日复盘'!A149="","",'每日复盘'!A149)</f>
        <v/>
      </c>
      <c r="B149" s="43" t="str">
        <f>IF('每日复盘'!AA149="","",'每日复盘'!AA149)</f>
        <v/>
      </c>
      <c r="C149" s="32" t="n"/>
      <c r="D149" s="32" t="n"/>
      <c r="E149" s="32" t="n"/>
      <c r="F149" s="32" t="n"/>
      <c r="G149" s="17" t="n"/>
      <c r="H149" s="44" t="str">
        <f>IF('每日复盘'!P149="","",'每日复盘'!P149)</f>
        <v/>
      </c>
      <c r="I149" s="17" t="n"/>
      <c r="J149" s="17" t="n"/>
      <c r="K149" s="17" t="n"/>
      <c r="L149" s="44" t="str">
        <f>IF('每日复盘'!R149="","",'每日复盘'!R149)</f>
        <v/>
      </c>
      <c r="M149" s="36" t="str">
        <f>IF(OR(NOT(ISNUMBER(L149)),COUNT(H149:J149)&lt;3),"",IF(OR(AND(L149&gt;=3,H149=0),AND(L149&gt;=4,I149=0),AND(L149&gt;=5,J149=0)),"有断层","连续"))</f>
        <v/>
      </c>
      <c r="N149" s="27" t="n"/>
      <c r="O149" s="45" t="str">
        <f>IF(NOT(ISNUMBER(A149)),"",IF(COUNTIFS('交易记录'!$S$5:$S$304,A149,'交易记录'!$X$5:$X$304,"已平仓")=0,"",SUMIFS('交易记录'!$AB$5:$AB$304,'交易记录'!$S$5:$S$304,A149,'交易记录'!$X$5:$X$304,"已平仓")))</f>
        <v/>
      </c>
      <c r="P149" s="36" t="str">
        <f>IF(NOT(ISNUMBER(O149)),"",IF(O149&lt;=-'参数'!$C$9,"触及停手线",""))</f>
        <v/>
      </c>
      <c r="Q149" s="32" t="n"/>
      <c r="R149" s="32" t="n"/>
      <c r="S149" s="32" t="n"/>
    </row>
    <row r="150">
      <c r="A150" s="42" t="str">
        <f>IF('每日复盘'!A150="","",'每日复盘'!A150)</f>
        <v/>
      </c>
      <c r="B150" s="43" t="str">
        <f>IF('每日复盘'!AA150="","",'每日复盘'!AA150)</f>
        <v/>
      </c>
      <c r="C150" s="32" t="n"/>
      <c r="D150" s="32" t="n"/>
      <c r="E150" s="32" t="n"/>
      <c r="F150" s="32" t="n"/>
      <c r="G150" s="17" t="n"/>
      <c r="H150" s="44" t="str">
        <f>IF('每日复盘'!P150="","",'每日复盘'!P150)</f>
        <v/>
      </c>
      <c r="I150" s="17" t="n"/>
      <c r="J150" s="17" t="n"/>
      <c r="K150" s="17" t="n"/>
      <c r="L150" s="44" t="str">
        <f>IF('每日复盘'!R150="","",'每日复盘'!R150)</f>
        <v/>
      </c>
      <c r="M150" s="36" t="str">
        <f>IF(OR(NOT(ISNUMBER(L150)),COUNT(H150:J150)&lt;3),"",IF(OR(AND(L150&gt;=3,H150=0),AND(L150&gt;=4,I150=0),AND(L150&gt;=5,J150=0)),"有断层","连续"))</f>
        <v/>
      </c>
      <c r="N150" s="27" t="n"/>
      <c r="O150" s="45" t="str">
        <f>IF(NOT(ISNUMBER(A150)),"",IF(COUNTIFS('交易记录'!$S$5:$S$304,A150,'交易记录'!$X$5:$X$304,"已平仓")=0,"",SUMIFS('交易记录'!$AB$5:$AB$304,'交易记录'!$S$5:$S$304,A150,'交易记录'!$X$5:$X$304,"已平仓")))</f>
        <v/>
      </c>
      <c r="P150" s="36" t="str">
        <f>IF(NOT(ISNUMBER(O150)),"",IF(O150&lt;=-'参数'!$C$9,"触及停手线",""))</f>
        <v/>
      </c>
      <c r="Q150" s="32" t="n"/>
      <c r="R150" s="32" t="n"/>
      <c r="S150" s="32" t="n"/>
    </row>
    <row r="151">
      <c r="A151" s="42" t="str">
        <f>IF('每日复盘'!A151="","",'每日复盘'!A151)</f>
        <v/>
      </c>
      <c r="B151" s="43" t="str">
        <f>IF('每日复盘'!AA151="","",'每日复盘'!AA151)</f>
        <v/>
      </c>
      <c r="C151" s="32" t="n"/>
      <c r="D151" s="32" t="n"/>
      <c r="E151" s="32" t="n"/>
      <c r="F151" s="32" t="n"/>
      <c r="G151" s="17" t="n"/>
      <c r="H151" s="44" t="str">
        <f>IF('每日复盘'!P151="","",'每日复盘'!P151)</f>
        <v/>
      </c>
      <c r="I151" s="17" t="n"/>
      <c r="J151" s="17" t="n"/>
      <c r="K151" s="17" t="n"/>
      <c r="L151" s="44" t="str">
        <f>IF('每日复盘'!R151="","",'每日复盘'!R151)</f>
        <v/>
      </c>
      <c r="M151" s="36" t="str">
        <f>IF(OR(NOT(ISNUMBER(L151)),COUNT(H151:J151)&lt;3),"",IF(OR(AND(L151&gt;=3,H151=0),AND(L151&gt;=4,I151=0),AND(L151&gt;=5,J151=0)),"有断层","连续"))</f>
        <v/>
      </c>
      <c r="N151" s="27" t="n"/>
      <c r="O151" s="45" t="str">
        <f>IF(NOT(ISNUMBER(A151)),"",IF(COUNTIFS('交易记录'!$S$5:$S$304,A151,'交易记录'!$X$5:$X$304,"已平仓")=0,"",SUMIFS('交易记录'!$AB$5:$AB$304,'交易记录'!$S$5:$S$304,A151,'交易记录'!$X$5:$X$304,"已平仓")))</f>
        <v/>
      </c>
      <c r="P151" s="36" t="str">
        <f>IF(NOT(ISNUMBER(O151)),"",IF(O151&lt;=-'参数'!$C$9,"触及停手线",""))</f>
        <v/>
      </c>
      <c r="Q151" s="32" t="n"/>
      <c r="R151" s="32" t="n"/>
      <c r="S151" s="32" t="n"/>
    </row>
    <row r="152">
      <c r="A152" s="42" t="str">
        <f>IF('每日复盘'!A152="","",'每日复盘'!A152)</f>
        <v/>
      </c>
      <c r="B152" s="43" t="str">
        <f>IF('每日复盘'!AA152="","",'每日复盘'!AA152)</f>
        <v/>
      </c>
      <c r="C152" s="32" t="n"/>
      <c r="D152" s="32" t="n"/>
      <c r="E152" s="32" t="n"/>
      <c r="F152" s="32" t="n"/>
      <c r="G152" s="17" t="n"/>
      <c r="H152" s="44" t="str">
        <f>IF('每日复盘'!P152="","",'每日复盘'!P152)</f>
        <v/>
      </c>
      <c r="I152" s="17" t="n"/>
      <c r="J152" s="17" t="n"/>
      <c r="K152" s="17" t="n"/>
      <c r="L152" s="44" t="str">
        <f>IF('每日复盘'!R152="","",'每日复盘'!R152)</f>
        <v/>
      </c>
      <c r="M152" s="36" t="str">
        <f>IF(OR(NOT(ISNUMBER(L152)),COUNT(H152:J152)&lt;3),"",IF(OR(AND(L152&gt;=3,H152=0),AND(L152&gt;=4,I152=0),AND(L152&gt;=5,J152=0)),"有断层","连续"))</f>
        <v/>
      </c>
      <c r="N152" s="27" t="n"/>
      <c r="O152" s="45" t="str">
        <f>IF(NOT(ISNUMBER(A152)),"",IF(COUNTIFS('交易记录'!$S$5:$S$304,A152,'交易记录'!$X$5:$X$304,"已平仓")=0,"",SUMIFS('交易记录'!$AB$5:$AB$304,'交易记录'!$S$5:$S$304,A152,'交易记录'!$X$5:$X$304,"已平仓")))</f>
        <v/>
      </c>
      <c r="P152" s="36" t="str">
        <f>IF(NOT(ISNUMBER(O152)),"",IF(O152&lt;=-'参数'!$C$9,"触及停手线",""))</f>
        <v/>
      </c>
      <c r="Q152" s="32" t="n"/>
      <c r="R152" s="32" t="n"/>
      <c r="S152" s="32" t="n"/>
    </row>
    <row r="153">
      <c r="A153" s="42" t="str">
        <f>IF('每日复盘'!A153="","",'每日复盘'!A153)</f>
        <v/>
      </c>
      <c r="B153" s="43" t="str">
        <f>IF('每日复盘'!AA153="","",'每日复盘'!AA153)</f>
        <v/>
      </c>
      <c r="C153" s="32" t="n"/>
      <c r="D153" s="32" t="n"/>
      <c r="E153" s="32" t="n"/>
      <c r="F153" s="32" t="n"/>
      <c r="G153" s="17" t="n"/>
      <c r="H153" s="44" t="str">
        <f>IF('每日复盘'!P153="","",'每日复盘'!P153)</f>
        <v/>
      </c>
      <c r="I153" s="17" t="n"/>
      <c r="J153" s="17" t="n"/>
      <c r="K153" s="17" t="n"/>
      <c r="L153" s="44" t="str">
        <f>IF('每日复盘'!R153="","",'每日复盘'!R153)</f>
        <v/>
      </c>
      <c r="M153" s="36" t="str">
        <f>IF(OR(NOT(ISNUMBER(L153)),COUNT(H153:J153)&lt;3),"",IF(OR(AND(L153&gt;=3,H153=0),AND(L153&gt;=4,I153=0),AND(L153&gt;=5,J153=0)),"有断层","连续"))</f>
        <v/>
      </c>
      <c r="N153" s="27" t="n"/>
      <c r="O153" s="45" t="str">
        <f>IF(NOT(ISNUMBER(A153)),"",IF(COUNTIFS('交易记录'!$S$5:$S$304,A153,'交易记录'!$X$5:$X$304,"已平仓")=0,"",SUMIFS('交易记录'!$AB$5:$AB$304,'交易记录'!$S$5:$S$304,A153,'交易记录'!$X$5:$X$304,"已平仓")))</f>
        <v/>
      </c>
      <c r="P153" s="36" t="str">
        <f>IF(NOT(ISNUMBER(O153)),"",IF(O153&lt;=-'参数'!$C$9,"触及停手线",""))</f>
        <v/>
      </c>
      <c r="Q153" s="32" t="n"/>
      <c r="R153" s="32" t="n"/>
      <c r="S153" s="32" t="n"/>
    </row>
    <row r="154">
      <c r="A154" s="42" t="str">
        <f>IF('每日复盘'!A154="","",'每日复盘'!A154)</f>
        <v/>
      </c>
      <c r="B154" s="43" t="str">
        <f>IF('每日复盘'!AA154="","",'每日复盘'!AA154)</f>
        <v/>
      </c>
      <c r="C154" s="32" t="n"/>
      <c r="D154" s="32" t="n"/>
      <c r="E154" s="32" t="n"/>
      <c r="F154" s="32" t="n"/>
      <c r="G154" s="17" t="n"/>
      <c r="H154" s="44" t="str">
        <f>IF('每日复盘'!P154="","",'每日复盘'!P154)</f>
        <v/>
      </c>
      <c r="I154" s="17" t="n"/>
      <c r="J154" s="17" t="n"/>
      <c r="K154" s="17" t="n"/>
      <c r="L154" s="44" t="str">
        <f>IF('每日复盘'!R154="","",'每日复盘'!R154)</f>
        <v/>
      </c>
      <c r="M154" s="36" t="str">
        <f>IF(OR(NOT(ISNUMBER(L154)),COUNT(H154:J154)&lt;3),"",IF(OR(AND(L154&gt;=3,H154=0),AND(L154&gt;=4,I154=0),AND(L154&gt;=5,J154=0)),"有断层","连续"))</f>
        <v/>
      </c>
      <c r="N154" s="27" t="n"/>
      <c r="O154" s="45" t="str">
        <f>IF(NOT(ISNUMBER(A154)),"",IF(COUNTIFS('交易记录'!$S$5:$S$304,A154,'交易记录'!$X$5:$X$304,"已平仓")=0,"",SUMIFS('交易记录'!$AB$5:$AB$304,'交易记录'!$S$5:$S$304,A154,'交易记录'!$X$5:$X$304,"已平仓")))</f>
        <v/>
      </c>
      <c r="P154" s="36" t="str">
        <f>IF(NOT(ISNUMBER(O154)),"",IF(O154&lt;=-'参数'!$C$9,"触及停手线",""))</f>
        <v/>
      </c>
      <c r="Q154" s="32" t="n"/>
      <c r="R154" s="32" t="n"/>
      <c r="S154" s="32" t="n"/>
    </row>
    <row r="155">
      <c r="A155" s="42" t="str">
        <f>IF('每日复盘'!A155="","",'每日复盘'!A155)</f>
        <v/>
      </c>
      <c r="B155" s="43" t="str">
        <f>IF('每日复盘'!AA155="","",'每日复盘'!AA155)</f>
        <v/>
      </c>
      <c r="C155" s="32" t="n"/>
      <c r="D155" s="32" t="n"/>
      <c r="E155" s="32" t="n"/>
      <c r="F155" s="32" t="n"/>
      <c r="G155" s="17" t="n"/>
      <c r="H155" s="44" t="str">
        <f>IF('每日复盘'!P155="","",'每日复盘'!P155)</f>
        <v/>
      </c>
      <c r="I155" s="17" t="n"/>
      <c r="J155" s="17" t="n"/>
      <c r="K155" s="17" t="n"/>
      <c r="L155" s="44" t="str">
        <f>IF('每日复盘'!R155="","",'每日复盘'!R155)</f>
        <v/>
      </c>
      <c r="M155" s="36" t="str">
        <f>IF(OR(NOT(ISNUMBER(L155)),COUNT(H155:J155)&lt;3),"",IF(OR(AND(L155&gt;=3,H155=0),AND(L155&gt;=4,I155=0),AND(L155&gt;=5,J155=0)),"有断层","连续"))</f>
        <v/>
      </c>
      <c r="N155" s="27" t="n"/>
      <c r="O155" s="45" t="str">
        <f>IF(NOT(ISNUMBER(A155)),"",IF(COUNTIFS('交易记录'!$S$5:$S$304,A155,'交易记录'!$X$5:$X$304,"已平仓")=0,"",SUMIFS('交易记录'!$AB$5:$AB$304,'交易记录'!$S$5:$S$304,A155,'交易记录'!$X$5:$X$304,"已平仓")))</f>
        <v/>
      </c>
      <c r="P155" s="36" t="str">
        <f>IF(NOT(ISNUMBER(O155)),"",IF(O155&lt;=-'参数'!$C$9,"触及停手线",""))</f>
        <v/>
      </c>
      <c r="Q155" s="32" t="n"/>
      <c r="R155" s="32" t="n"/>
      <c r="S155" s="32" t="n"/>
    </row>
    <row r="156">
      <c r="A156" s="42" t="str">
        <f>IF('每日复盘'!A156="","",'每日复盘'!A156)</f>
        <v/>
      </c>
      <c r="B156" s="43" t="str">
        <f>IF('每日复盘'!AA156="","",'每日复盘'!AA156)</f>
        <v/>
      </c>
      <c r="C156" s="32" t="n"/>
      <c r="D156" s="32" t="n"/>
      <c r="E156" s="32" t="n"/>
      <c r="F156" s="32" t="n"/>
      <c r="G156" s="17" t="n"/>
      <c r="H156" s="44" t="str">
        <f>IF('每日复盘'!P156="","",'每日复盘'!P156)</f>
        <v/>
      </c>
      <c r="I156" s="17" t="n"/>
      <c r="J156" s="17" t="n"/>
      <c r="K156" s="17" t="n"/>
      <c r="L156" s="44" t="str">
        <f>IF('每日复盘'!R156="","",'每日复盘'!R156)</f>
        <v/>
      </c>
      <c r="M156" s="36" t="str">
        <f>IF(OR(NOT(ISNUMBER(L156)),COUNT(H156:J156)&lt;3),"",IF(OR(AND(L156&gt;=3,H156=0),AND(L156&gt;=4,I156=0),AND(L156&gt;=5,J156=0)),"有断层","连续"))</f>
        <v/>
      </c>
      <c r="N156" s="27" t="n"/>
      <c r="O156" s="45" t="str">
        <f>IF(NOT(ISNUMBER(A156)),"",IF(COUNTIFS('交易记录'!$S$5:$S$304,A156,'交易记录'!$X$5:$X$304,"已平仓")=0,"",SUMIFS('交易记录'!$AB$5:$AB$304,'交易记录'!$S$5:$S$304,A156,'交易记录'!$X$5:$X$304,"已平仓")))</f>
        <v/>
      </c>
      <c r="P156" s="36" t="str">
        <f>IF(NOT(ISNUMBER(O156)),"",IF(O156&lt;=-'参数'!$C$9,"触及停手线",""))</f>
        <v/>
      </c>
      <c r="Q156" s="32" t="n"/>
      <c r="R156" s="32" t="n"/>
      <c r="S156" s="32" t="n"/>
    </row>
    <row r="157">
      <c r="A157" s="42" t="str">
        <f>IF('每日复盘'!A157="","",'每日复盘'!A157)</f>
        <v/>
      </c>
      <c r="B157" s="43" t="str">
        <f>IF('每日复盘'!AA157="","",'每日复盘'!AA157)</f>
        <v/>
      </c>
      <c r="C157" s="32" t="n"/>
      <c r="D157" s="32" t="n"/>
      <c r="E157" s="32" t="n"/>
      <c r="F157" s="32" t="n"/>
      <c r="G157" s="17" t="n"/>
      <c r="H157" s="44" t="str">
        <f>IF('每日复盘'!P157="","",'每日复盘'!P157)</f>
        <v/>
      </c>
      <c r="I157" s="17" t="n"/>
      <c r="J157" s="17" t="n"/>
      <c r="K157" s="17" t="n"/>
      <c r="L157" s="44" t="str">
        <f>IF('每日复盘'!R157="","",'每日复盘'!R157)</f>
        <v/>
      </c>
      <c r="M157" s="36" t="str">
        <f>IF(OR(NOT(ISNUMBER(L157)),COUNT(H157:J157)&lt;3),"",IF(OR(AND(L157&gt;=3,H157=0),AND(L157&gt;=4,I157=0),AND(L157&gt;=5,J157=0)),"有断层","连续"))</f>
        <v/>
      </c>
      <c r="N157" s="27" t="n"/>
      <c r="O157" s="45" t="str">
        <f>IF(NOT(ISNUMBER(A157)),"",IF(COUNTIFS('交易记录'!$S$5:$S$304,A157,'交易记录'!$X$5:$X$304,"已平仓")=0,"",SUMIFS('交易记录'!$AB$5:$AB$304,'交易记录'!$S$5:$S$304,A157,'交易记录'!$X$5:$X$304,"已平仓")))</f>
        <v/>
      </c>
      <c r="P157" s="36" t="str">
        <f>IF(NOT(ISNUMBER(O157)),"",IF(O157&lt;=-'参数'!$C$9,"触及停手线",""))</f>
        <v/>
      </c>
      <c r="Q157" s="32" t="n"/>
      <c r="R157" s="32" t="n"/>
      <c r="S157" s="32" t="n"/>
    </row>
    <row r="158">
      <c r="A158" s="42" t="str">
        <f>IF('每日复盘'!A158="","",'每日复盘'!A158)</f>
        <v/>
      </c>
      <c r="B158" s="43" t="str">
        <f>IF('每日复盘'!AA158="","",'每日复盘'!AA158)</f>
        <v/>
      </c>
      <c r="C158" s="32" t="n"/>
      <c r="D158" s="32" t="n"/>
      <c r="E158" s="32" t="n"/>
      <c r="F158" s="32" t="n"/>
      <c r="G158" s="17" t="n"/>
      <c r="H158" s="44" t="str">
        <f>IF('每日复盘'!P158="","",'每日复盘'!P158)</f>
        <v/>
      </c>
      <c r="I158" s="17" t="n"/>
      <c r="J158" s="17" t="n"/>
      <c r="K158" s="17" t="n"/>
      <c r="L158" s="44" t="str">
        <f>IF('每日复盘'!R158="","",'每日复盘'!R158)</f>
        <v/>
      </c>
      <c r="M158" s="36" t="str">
        <f>IF(OR(NOT(ISNUMBER(L158)),COUNT(H158:J158)&lt;3),"",IF(OR(AND(L158&gt;=3,H158=0),AND(L158&gt;=4,I158=0),AND(L158&gt;=5,J158=0)),"有断层","连续"))</f>
        <v/>
      </c>
      <c r="N158" s="27" t="n"/>
      <c r="O158" s="45" t="str">
        <f>IF(NOT(ISNUMBER(A158)),"",IF(COUNTIFS('交易记录'!$S$5:$S$304,A158,'交易记录'!$X$5:$X$304,"已平仓")=0,"",SUMIFS('交易记录'!$AB$5:$AB$304,'交易记录'!$S$5:$S$304,A158,'交易记录'!$X$5:$X$304,"已平仓")))</f>
        <v/>
      </c>
      <c r="P158" s="36" t="str">
        <f>IF(NOT(ISNUMBER(O158)),"",IF(O158&lt;=-'参数'!$C$9,"触及停手线",""))</f>
        <v/>
      </c>
      <c r="Q158" s="32" t="n"/>
      <c r="R158" s="32" t="n"/>
      <c r="S158" s="32" t="n"/>
    </row>
    <row r="159">
      <c r="A159" s="42" t="str">
        <f>IF('每日复盘'!A159="","",'每日复盘'!A159)</f>
        <v/>
      </c>
      <c r="B159" s="43" t="str">
        <f>IF('每日复盘'!AA159="","",'每日复盘'!AA159)</f>
        <v/>
      </c>
      <c r="C159" s="32" t="n"/>
      <c r="D159" s="32" t="n"/>
      <c r="E159" s="32" t="n"/>
      <c r="F159" s="32" t="n"/>
      <c r="G159" s="17" t="n"/>
      <c r="H159" s="44" t="str">
        <f>IF('每日复盘'!P159="","",'每日复盘'!P159)</f>
        <v/>
      </c>
      <c r="I159" s="17" t="n"/>
      <c r="J159" s="17" t="n"/>
      <c r="K159" s="17" t="n"/>
      <c r="L159" s="44" t="str">
        <f>IF('每日复盘'!R159="","",'每日复盘'!R159)</f>
        <v/>
      </c>
      <c r="M159" s="36" t="str">
        <f>IF(OR(NOT(ISNUMBER(L159)),COUNT(H159:J159)&lt;3),"",IF(OR(AND(L159&gt;=3,H159=0),AND(L159&gt;=4,I159=0),AND(L159&gt;=5,J159=0)),"有断层","连续"))</f>
        <v/>
      </c>
      <c r="N159" s="27" t="n"/>
      <c r="O159" s="45" t="str">
        <f>IF(NOT(ISNUMBER(A159)),"",IF(COUNTIFS('交易记录'!$S$5:$S$304,A159,'交易记录'!$X$5:$X$304,"已平仓")=0,"",SUMIFS('交易记录'!$AB$5:$AB$304,'交易记录'!$S$5:$S$304,A159,'交易记录'!$X$5:$X$304,"已平仓")))</f>
        <v/>
      </c>
      <c r="P159" s="36" t="str">
        <f>IF(NOT(ISNUMBER(O159)),"",IF(O159&lt;=-'参数'!$C$9,"触及停手线",""))</f>
        <v/>
      </c>
      <c r="Q159" s="32" t="n"/>
      <c r="R159" s="32" t="n"/>
      <c r="S159" s="32" t="n"/>
    </row>
    <row r="160">
      <c r="A160" s="42" t="str">
        <f>IF('每日复盘'!A160="","",'每日复盘'!A160)</f>
        <v/>
      </c>
      <c r="B160" s="43" t="str">
        <f>IF('每日复盘'!AA160="","",'每日复盘'!AA160)</f>
        <v/>
      </c>
      <c r="C160" s="32" t="n"/>
      <c r="D160" s="32" t="n"/>
      <c r="E160" s="32" t="n"/>
      <c r="F160" s="32" t="n"/>
      <c r="G160" s="17" t="n"/>
      <c r="H160" s="44" t="str">
        <f>IF('每日复盘'!P160="","",'每日复盘'!P160)</f>
        <v/>
      </c>
      <c r="I160" s="17" t="n"/>
      <c r="J160" s="17" t="n"/>
      <c r="K160" s="17" t="n"/>
      <c r="L160" s="44" t="str">
        <f>IF('每日复盘'!R160="","",'每日复盘'!R160)</f>
        <v/>
      </c>
      <c r="M160" s="36" t="str">
        <f>IF(OR(NOT(ISNUMBER(L160)),COUNT(H160:J160)&lt;3),"",IF(OR(AND(L160&gt;=3,H160=0),AND(L160&gt;=4,I160=0),AND(L160&gt;=5,J160=0)),"有断层","连续"))</f>
        <v/>
      </c>
      <c r="N160" s="27" t="n"/>
      <c r="O160" s="45" t="str">
        <f>IF(NOT(ISNUMBER(A160)),"",IF(COUNTIFS('交易记录'!$S$5:$S$304,A160,'交易记录'!$X$5:$X$304,"已平仓")=0,"",SUMIFS('交易记录'!$AB$5:$AB$304,'交易记录'!$S$5:$S$304,A160,'交易记录'!$X$5:$X$304,"已平仓")))</f>
        <v/>
      </c>
      <c r="P160" s="36" t="str">
        <f>IF(NOT(ISNUMBER(O160)),"",IF(O160&lt;=-'参数'!$C$9,"触及停手线",""))</f>
        <v/>
      </c>
      <c r="Q160" s="32" t="n"/>
      <c r="R160" s="32" t="n"/>
      <c r="S160" s="32" t="n"/>
    </row>
    <row r="161">
      <c r="A161" s="42" t="str">
        <f>IF('每日复盘'!A161="","",'每日复盘'!A161)</f>
        <v/>
      </c>
      <c r="B161" s="43" t="str">
        <f>IF('每日复盘'!AA161="","",'每日复盘'!AA161)</f>
        <v/>
      </c>
      <c r="C161" s="32" t="n"/>
      <c r="D161" s="32" t="n"/>
      <c r="E161" s="32" t="n"/>
      <c r="F161" s="32" t="n"/>
      <c r="G161" s="17" t="n"/>
      <c r="H161" s="44" t="str">
        <f>IF('每日复盘'!P161="","",'每日复盘'!P161)</f>
        <v/>
      </c>
      <c r="I161" s="17" t="n"/>
      <c r="J161" s="17" t="n"/>
      <c r="K161" s="17" t="n"/>
      <c r="L161" s="44" t="str">
        <f>IF('每日复盘'!R161="","",'每日复盘'!R161)</f>
        <v/>
      </c>
      <c r="M161" s="36" t="str">
        <f>IF(OR(NOT(ISNUMBER(L161)),COUNT(H161:J161)&lt;3),"",IF(OR(AND(L161&gt;=3,H161=0),AND(L161&gt;=4,I161=0),AND(L161&gt;=5,J161=0)),"有断层","连续"))</f>
        <v/>
      </c>
      <c r="N161" s="27" t="n"/>
      <c r="O161" s="45" t="str">
        <f>IF(NOT(ISNUMBER(A161)),"",IF(COUNTIFS('交易记录'!$S$5:$S$304,A161,'交易记录'!$X$5:$X$304,"已平仓")=0,"",SUMIFS('交易记录'!$AB$5:$AB$304,'交易记录'!$S$5:$S$304,A161,'交易记录'!$X$5:$X$304,"已平仓")))</f>
        <v/>
      </c>
      <c r="P161" s="36" t="str">
        <f>IF(NOT(ISNUMBER(O161)),"",IF(O161&lt;=-'参数'!$C$9,"触及停手线",""))</f>
        <v/>
      </c>
      <c r="Q161" s="32" t="n"/>
      <c r="R161" s="32" t="n"/>
      <c r="S161" s="32" t="n"/>
    </row>
    <row r="162">
      <c r="A162" s="42" t="str">
        <f>IF('每日复盘'!A162="","",'每日复盘'!A162)</f>
        <v/>
      </c>
      <c r="B162" s="43" t="str">
        <f>IF('每日复盘'!AA162="","",'每日复盘'!AA162)</f>
        <v/>
      </c>
      <c r="C162" s="32" t="n"/>
      <c r="D162" s="32" t="n"/>
      <c r="E162" s="32" t="n"/>
      <c r="F162" s="32" t="n"/>
      <c r="G162" s="17" t="n"/>
      <c r="H162" s="44" t="str">
        <f>IF('每日复盘'!P162="","",'每日复盘'!P162)</f>
        <v/>
      </c>
      <c r="I162" s="17" t="n"/>
      <c r="J162" s="17" t="n"/>
      <c r="K162" s="17" t="n"/>
      <c r="L162" s="44" t="str">
        <f>IF('每日复盘'!R162="","",'每日复盘'!R162)</f>
        <v/>
      </c>
      <c r="M162" s="36" t="str">
        <f>IF(OR(NOT(ISNUMBER(L162)),COUNT(H162:J162)&lt;3),"",IF(OR(AND(L162&gt;=3,H162=0),AND(L162&gt;=4,I162=0),AND(L162&gt;=5,J162=0)),"有断层","连续"))</f>
        <v/>
      </c>
      <c r="N162" s="27" t="n"/>
      <c r="O162" s="45" t="str">
        <f>IF(NOT(ISNUMBER(A162)),"",IF(COUNTIFS('交易记录'!$S$5:$S$304,A162,'交易记录'!$X$5:$X$304,"已平仓")=0,"",SUMIFS('交易记录'!$AB$5:$AB$304,'交易记录'!$S$5:$S$304,A162,'交易记录'!$X$5:$X$304,"已平仓")))</f>
        <v/>
      </c>
      <c r="P162" s="36" t="str">
        <f>IF(NOT(ISNUMBER(O162)),"",IF(O162&lt;=-'参数'!$C$9,"触及停手线",""))</f>
        <v/>
      </c>
      <c r="Q162" s="32" t="n"/>
      <c r="R162" s="32" t="n"/>
      <c r="S162" s="32" t="n"/>
    </row>
    <row r="163">
      <c r="A163" s="42" t="str">
        <f>IF('每日复盘'!A163="","",'每日复盘'!A163)</f>
        <v/>
      </c>
      <c r="B163" s="43" t="str">
        <f>IF('每日复盘'!AA163="","",'每日复盘'!AA163)</f>
        <v/>
      </c>
      <c r="C163" s="32" t="n"/>
      <c r="D163" s="32" t="n"/>
      <c r="E163" s="32" t="n"/>
      <c r="F163" s="32" t="n"/>
      <c r="G163" s="17" t="n"/>
      <c r="H163" s="44" t="str">
        <f>IF('每日复盘'!P163="","",'每日复盘'!P163)</f>
        <v/>
      </c>
      <c r="I163" s="17" t="n"/>
      <c r="J163" s="17" t="n"/>
      <c r="K163" s="17" t="n"/>
      <c r="L163" s="44" t="str">
        <f>IF('每日复盘'!R163="","",'每日复盘'!R163)</f>
        <v/>
      </c>
      <c r="M163" s="36" t="str">
        <f>IF(OR(NOT(ISNUMBER(L163)),COUNT(H163:J163)&lt;3),"",IF(OR(AND(L163&gt;=3,H163=0),AND(L163&gt;=4,I163=0),AND(L163&gt;=5,J163=0)),"有断层","连续"))</f>
        <v/>
      </c>
      <c r="N163" s="27" t="n"/>
      <c r="O163" s="45" t="str">
        <f>IF(NOT(ISNUMBER(A163)),"",IF(COUNTIFS('交易记录'!$S$5:$S$304,A163,'交易记录'!$X$5:$X$304,"已平仓")=0,"",SUMIFS('交易记录'!$AB$5:$AB$304,'交易记录'!$S$5:$S$304,A163,'交易记录'!$X$5:$X$304,"已平仓")))</f>
        <v/>
      </c>
      <c r="P163" s="36" t="str">
        <f>IF(NOT(ISNUMBER(O163)),"",IF(O163&lt;=-'参数'!$C$9,"触及停手线",""))</f>
        <v/>
      </c>
      <c r="Q163" s="32" t="n"/>
      <c r="R163" s="32" t="n"/>
      <c r="S163" s="32" t="n"/>
    </row>
    <row r="164">
      <c r="A164" s="42" t="str">
        <f>IF('每日复盘'!A164="","",'每日复盘'!A164)</f>
        <v/>
      </c>
      <c r="B164" s="43" t="str">
        <f>IF('每日复盘'!AA164="","",'每日复盘'!AA164)</f>
        <v/>
      </c>
      <c r="C164" s="32" t="n"/>
      <c r="D164" s="32" t="n"/>
      <c r="E164" s="32" t="n"/>
      <c r="F164" s="32" t="n"/>
      <c r="G164" s="17" t="n"/>
      <c r="H164" s="44" t="str">
        <f>IF('每日复盘'!P164="","",'每日复盘'!P164)</f>
        <v/>
      </c>
      <c r="I164" s="17" t="n"/>
      <c r="J164" s="17" t="n"/>
      <c r="K164" s="17" t="n"/>
      <c r="L164" s="44" t="str">
        <f>IF('每日复盘'!R164="","",'每日复盘'!R164)</f>
        <v/>
      </c>
      <c r="M164" s="36" t="str">
        <f>IF(OR(NOT(ISNUMBER(L164)),COUNT(H164:J164)&lt;3),"",IF(OR(AND(L164&gt;=3,H164=0),AND(L164&gt;=4,I164=0),AND(L164&gt;=5,J164=0)),"有断层","连续"))</f>
        <v/>
      </c>
      <c r="N164" s="27" t="n"/>
      <c r="O164" s="45" t="str">
        <f>IF(NOT(ISNUMBER(A164)),"",IF(COUNTIFS('交易记录'!$S$5:$S$304,A164,'交易记录'!$X$5:$X$304,"已平仓")=0,"",SUMIFS('交易记录'!$AB$5:$AB$304,'交易记录'!$S$5:$S$304,A164,'交易记录'!$X$5:$X$304,"已平仓")))</f>
        <v/>
      </c>
      <c r="P164" s="36" t="str">
        <f>IF(NOT(ISNUMBER(O164)),"",IF(O164&lt;=-'参数'!$C$9,"触及停手线",""))</f>
        <v/>
      </c>
      <c r="Q164" s="32" t="n"/>
      <c r="R164" s="32" t="n"/>
      <c r="S164" s="32" t="n"/>
    </row>
    <row r="165">
      <c r="A165" s="42" t="str">
        <f>IF('每日复盘'!A165="","",'每日复盘'!A165)</f>
        <v/>
      </c>
      <c r="B165" s="43" t="str">
        <f>IF('每日复盘'!AA165="","",'每日复盘'!AA165)</f>
        <v/>
      </c>
      <c r="C165" s="32" t="n"/>
      <c r="D165" s="32" t="n"/>
      <c r="E165" s="32" t="n"/>
      <c r="F165" s="32" t="n"/>
      <c r="G165" s="17" t="n"/>
      <c r="H165" s="44" t="str">
        <f>IF('每日复盘'!P165="","",'每日复盘'!P165)</f>
        <v/>
      </c>
      <c r="I165" s="17" t="n"/>
      <c r="J165" s="17" t="n"/>
      <c r="K165" s="17" t="n"/>
      <c r="L165" s="44" t="str">
        <f>IF('每日复盘'!R165="","",'每日复盘'!R165)</f>
        <v/>
      </c>
      <c r="M165" s="36" t="str">
        <f>IF(OR(NOT(ISNUMBER(L165)),COUNT(H165:J165)&lt;3),"",IF(OR(AND(L165&gt;=3,H165=0),AND(L165&gt;=4,I165=0),AND(L165&gt;=5,J165=0)),"有断层","连续"))</f>
        <v/>
      </c>
      <c r="N165" s="27" t="n"/>
      <c r="O165" s="45" t="str">
        <f>IF(NOT(ISNUMBER(A165)),"",IF(COUNTIFS('交易记录'!$S$5:$S$304,A165,'交易记录'!$X$5:$X$304,"已平仓")=0,"",SUMIFS('交易记录'!$AB$5:$AB$304,'交易记录'!$S$5:$S$304,A165,'交易记录'!$X$5:$X$304,"已平仓")))</f>
        <v/>
      </c>
      <c r="P165" s="36" t="str">
        <f>IF(NOT(ISNUMBER(O165)),"",IF(O165&lt;=-'参数'!$C$9,"触及停手线",""))</f>
        <v/>
      </c>
      <c r="Q165" s="32" t="n"/>
      <c r="R165" s="32" t="n"/>
      <c r="S165" s="32" t="n"/>
    </row>
    <row r="166">
      <c r="A166" s="42" t="str">
        <f>IF('每日复盘'!A166="","",'每日复盘'!A166)</f>
        <v/>
      </c>
      <c r="B166" s="43" t="str">
        <f>IF('每日复盘'!AA166="","",'每日复盘'!AA166)</f>
        <v/>
      </c>
      <c r="C166" s="32" t="n"/>
      <c r="D166" s="32" t="n"/>
      <c r="E166" s="32" t="n"/>
      <c r="F166" s="32" t="n"/>
      <c r="G166" s="17" t="n"/>
      <c r="H166" s="44" t="str">
        <f>IF('每日复盘'!P166="","",'每日复盘'!P166)</f>
        <v/>
      </c>
      <c r="I166" s="17" t="n"/>
      <c r="J166" s="17" t="n"/>
      <c r="K166" s="17" t="n"/>
      <c r="L166" s="44" t="str">
        <f>IF('每日复盘'!R166="","",'每日复盘'!R166)</f>
        <v/>
      </c>
      <c r="M166" s="36" t="str">
        <f>IF(OR(NOT(ISNUMBER(L166)),COUNT(H166:J166)&lt;3),"",IF(OR(AND(L166&gt;=3,H166=0),AND(L166&gt;=4,I166=0),AND(L166&gt;=5,J166=0)),"有断层","连续"))</f>
        <v/>
      </c>
      <c r="N166" s="27" t="n"/>
      <c r="O166" s="45" t="str">
        <f>IF(NOT(ISNUMBER(A166)),"",IF(COUNTIFS('交易记录'!$S$5:$S$304,A166,'交易记录'!$X$5:$X$304,"已平仓")=0,"",SUMIFS('交易记录'!$AB$5:$AB$304,'交易记录'!$S$5:$S$304,A166,'交易记录'!$X$5:$X$304,"已平仓")))</f>
        <v/>
      </c>
      <c r="P166" s="36" t="str">
        <f>IF(NOT(ISNUMBER(O166)),"",IF(O166&lt;=-'参数'!$C$9,"触及停手线",""))</f>
        <v/>
      </c>
      <c r="Q166" s="32" t="n"/>
      <c r="R166" s="32" t="n"/>
      <c r="S166" s="32" t="n"/>
    </row>
    <row r="167">
      <c r="A167" s="42" t="str">
        <f>IF('每日复盘'!A167="","",'每日复盘'!A167)</f>
        <v/>
      </c>
      <c r="B167" s="43" t="str">
        <f>IF('每日复盘'!AA167="","",'每日复盘'!AA167)</f>
        <v/>
      </c>
      <c r="C167" s="32" t="n"/>
      <c r="D167" s="32" t="n"/>
      <c r="E167" s="32" t="n"/>
      <c r="F167" s="32" t="n"/>
      <c r="G167" s="17" t="n"/>
      <c r="H167" s="44" t="str">
        <f>IF('每日复盘'!P167="","",'每日复盘'!P167)</f>
        <v/>
      </c>
      <c r="I167" s="17" t="n"/>
      <c r="J167" s="17" t="n"/>
      <c r="K167" s="17" t="n"/>
      <c r="L167" s="44" t="str">
        <f>IF('每日复盘'!R167="","",'每日复盘'!R167)</f>
        <v/>
      </c>
      <c r="M167" s="36" t="str">
        <f>IF(OR(NOT(ISNUMBER(L167)),COUNT(H167:J167)&lt;3),"",IF(OR(AND(L167&gt;=3,H167=0),AND(L167&gt;=4,I167=0),AND(L167&gt;=5,J167=0)),"有断层","连续"))</f>
        <v/>
      </c>
      <c r="N167" s="27" t="n"/>
      <c r="O167" s="45" t="str">
        <f>IF(NOT(ISNUMBER(A167)),"",IF(COUNTIFS('交易记录'!$S$5:$S$304,A167,'交易记录'!$X$5:$X$304,"已平仓")=0,"",SUMIFS('交易记录'!$AB$5:$AB$304,'交易记录'!$S$5:$S$304,A167,'交易记录'!$X$5:$X$304,"已平仓")))</f>
        <v/>
      </c>
      <c r="P167" s="36" t="str">
        <f>IF(NOT(ISNUMBER(O167)),"",IF(O167&lt;=-'参数'!$C$9,"触及停手线",""))</f>
        <v/>
      </c>
      <c r="Q167" s="32" t="n"/>
      <c r="R167" s="32" t="n"/>
      <c r="S167" s="32" t="n"/>
    </row>
    <row r="168">
      <c r="A168" s="42" t="str">
        <f>IF('每日复盘'!A168="","",'每日复盘'!A168)</f>
        <v/>
      </c>
      <c r="B168" s="43" t="str">
        <f>IF('每日复盘'!AA168="","",'每日复盘'!AA168)</f>
        <v/>
      </c>
      <c r="C168" s="32" t="n"/>
      <c r="D168" s="32" t="n"/>
      <c r="E168" s="32" t="n"/>
      <c r="F168" s="32" t="n"/>
      <c r="G168" s="17" t="n"/>
      <c r="H168" s="44" t="str">
        <f>IF('每日复盘'!P168="","",'每日复盘'!P168)</f>
        <v/>
      </c>
      <c r="I168" s="17" t="n"/>
      <c r="J168" s="17" t="n"/>
      <c r="K168" s="17" t="n"/>
      <c r="L168" s="44" t="str">
        <f>IF('每日复盘'!R168="","",'每日复盘'!R168)</f>
        <v/>
      </c>
      <c r="M168" s="36" t="str">
        <f>IF(OR(NOT(ISNUMBER(L168)),COUNT(H168:J168)&lt;3),"",IF(OR(AND(L168&gt;=3,H168=0),AND(L168&gt;=4,I168=0),AND(L168&gt;=5,J168=0)),"有断层","连续"))</f>
        <v/>
      </c>
      <c r="N168" s="27" t="n"/>
      <c r="O168" s="45" t="str">
        <f>IF(NOT(ISNUMBER(A168)),"",IF(COUNTIFS('交易记录'!$S$5:$S$304,A168,'交易记录'!$X$5:$X$304,"已平仓")=0,"",SUMIFS('交易记录'!$AB$5:$AB$304,'交易记录'!$S$5:$S$304,A168,'交易记录'!$X$5:$X$304,"已平仓")))</f>
        <v/>
      </c>
      <c r="P168" s="36" t="str">
        <f>IF(NOT(ISNUMBER(O168)),"",IF(O168&lt;=-'参数'!$C$9,"触及停手线",""))</f>
        <v/>
      </c>
      <c r="Q168" s="32" t="n"/>
      <c r="R168" s="32" t="n"/>
      <c r="S168" s="32" t="n"/>
    </row>
    <row r="169">
      <c r="A169" s="42" t="str">
        <f>IF('每日复盘'!A169="","",'每日复盘'!A169)</f>
        <v/>
      </c>
      <c r="B169" s="43" t="str">
        <f>IF('每日复盘'!AA169="","",'每日复盘'!AA169)</f>
        <v/>
      </c>
      <c r="C169" s="32" t="n"/>
      <c r="D169" s="32" t="n"/>
      <c r="E169" s="32" t="n"/>
      <c r="F169" s="32" t="n"/>
      <c r="G169" s="17" t="n"/>
      <c r="H169" s="44" t="str">
        <f>IF('每日复盘'!P169="","",'每日复盘'!P169)</f>
        <v/>
      </c>
      <c r="I169" s="17" t="n"/>
      <c r="J169" s="17" t="n"/>
      <c r="K169" s="17" t="n"/>
      <c r="L169" s="44" t="str">
        <f>IF('每日复盘'!R169="","",'每日复盘'!R169)</f>
        <v/>
      </c>
      <c r="M169" s="36" t="str">
        <f>IF(OR(NOT(ISNUMBER(L169)),COUNT(H169:J169)&lt;3),"",IF(OR(AND(L169&gt;=3,H169=0),AND(L169&gt;=4,I169=0),AND(L169&gt;=5,J169=0)),"有断层","连续"))</f>
        <v/>
      </c>
      <c r="N169" s="27" t="n"/>
      <c r="O169" s="45" t="str">
        <f>IF(NOT(ISNUMBER(A169)),"",IF(COUNTIFS('交易记录'!$S$5:$S$304,A169,'交易记录'!$X$5:$X$304,"已平仓")=0,"",SUMIFS('交易记录'!$AB$5:$AB$304,'交易记录'!$S$5:$S$304,A169,'交易记录'!$X$5:$X$304,"已平仓")))</f>
        <v/>
      </c>
      <c r="P169" s="36" t="str">
        <f>IF(NOT(ISNUMBER(O169)),"",IF(O169&lt;=-'参数'!$C$9,"触及停手线",""))</f>
        <v/>
      </c>
      <c r="Q169" s="32" t="n"/>
      <c r="R169" s="32" t="n"/>
      <c r="S169" s="32" t="n"/>
    </row>
    <row r="170">
      <c r="A170" s="42" t="str">
        <f>IF('每日复盘'!A170="","",'每日复盘'!A170)</f>
        <v/>
      </c>
      <c r="B170" s="43" t="str">
        <f>IF('每日复盘'!AA170="","",'每日复盘'!AA170)</f>
        <v/>
      </c>
      <c r="C170" s="32" t="n"/>
      <c r="D170" s="32" t="n"/>
      <c r="E170" s="32" t="n"/>
      <c r="F170" s="32" t="n"/>
      <c r="G170" s="17" t="n"/>
      <c r="H170" s="44" t="str">
        <f>IF('每日复盘'!P170="","",'每日复盘'!P170)</f>
        <v/>
      </c>
      <c r="I170" s="17" t="n"/>
      <c r="J170" s="17" t="n"/>
      <c r="K170" s="17" t="n"/>
      <c r="L170" s="44" t="str">
        <f>IF('每日复盘'!R170="","",'每日复盘'!R170)</f>
        <v/>
      </c>
      <c r="M170" s="36" t="str">
        <f>IF(OR(NOT(ISNUMBER(L170)),COUNT(H170:J170)&lt;3),"",IF(OR(AND(L170&gt;=3,H170=0),AND(L170&gt;=4,I170=0),AND(L170&gt;=5,J170=0)),"有断层","连续"))</f>
        <v/>
      </c>
      <c r="N170" s="27" t="n"/>
      <c r="O170" s="45" t="str">
        <f>IF(NOT(ISNUMBER(A170)),"",IF(COUNTIFS('交易记录'!$S$5:$S$304,A170,'交易记录'!$X$5:$X$304,"已平仓")=0,"",SUMIFS('交易记录'!$AB$5:$AB$304,'交易记录'!$S$5:$S$304,A170,'交易记录'!$X$5:$X$304,"已平仓")))</f>
        <v/>
      </c>
      <c r="P170" s="36" t="str">
        <f>IF(NOT(ISNUMBER(O170)),"",IF(O170&lt;=-'参数'!$C$9,"触及停手线",""))</f>
        <v/>
      </c>
      <c r="Q170" s="32" t="n"/>
      <c r="R170" s="32" t="n"/>
      <c r="S170" s="32" t="n"/>
    </row>
    <row r="171">
      <c r="A171" s="42" t="str">
        <f>IF('每日复盘'!A171="","",'每日复盘'!A171)</f>
        <v/>
      </c>
      <c r="B171" s="43" t="str">
        <f>IF('每日复盘'!AA171="","",'每日复盘'!AA171)</f>
        <v/>
      </c>
      <c r="C171" s="32" t="n"/>
      <c r="D171" s="32" t="n"/>
      <c r="E171" s="32" t="n"/>
      <c r="F171" s="32" t="n"/>
      <c r="G171" s="17" t="n"/>
      <c r="H171" s="44" t="str">
        <f>IF('每日复盘'!P171="","",'每日复盘'!P171)</f>
        <v/>
      </c>
      <c r="I171" s="17" t="n"/>
      <c r="J171" s="17" t="n"/>
      <c r="K171" s="17" t="n"/>
      <c r="L171" s="44" t="str">
        <f>IF('每日复盘'!R171="","",'每日复盘'!R171)</f>
        <v/>
      </c>
      <c r="M171" s="36" t="str">
        <f>IF(OR(NOT(ISNUMBER(L171)),COUNT(H171:J171)&lt;3),"",IF(OR(AND(L171&gt;=3,H171=0),AND(L171&gt;=4,I171=0),AND(L171&gt;=5,J171=0)),"有断层","连续"))</f>
        <v/>
      </c>
      <c r="N171" s="27" t="n"/>
      <c r="O171" s="45" t="str">
        <f>IF(NOT(ISNUMBER(A171)),"",IF(COUNTIFS('交易记录'!$S$5:$S$304,A171,'交易记录'!$X$5:$X$304,"已平仓")=0,"",SUMIFS('交易记录'!$AB$5:$AB$304,'交易记录'!$S$5:$S$304,A171,'交易记录'!$X$5:$X$304,"已平仓")))</f>
        <v/>
      </c>
      <c r="P171" s="36" t="str">
        <f>IF(NOT(ISNUMBER(O171)),"",IF(O171&lt;=-'参数'!$C$9,"触及停手线",""))</f>
        <v/>
      </c>
      <c r="Q171" s="32" t="n"/>
      <c r="R171" s="32" t="n"/>
      <c r="S171" s="32" t="n"/>
    </row>
    <row r="172">
      <c r="A172" s="42" t="str">
        <f>IF('每日复盘'!A172="","",'每日复盘'!A172)</f>
        <v/>
      </c>
      <c r="B172" s="43" t="str">
        <f>IF('每日复盘'!AA172="","",'每日复盘'!AA172)</f>
        <v/>
      </c>
      <c r="C172" s="32" t="n"/>
      <c r="D172" s="32" t="n"/>
      <c r="E172" s="32" t="n"/>
      <c r="F172" s="32" t="n"/>
      <c r="G172" s="17" t="n"/>
      <c r="H172" s="44" t="str">
        <f>IF('每日复盘'!P172="","",'每日复盘'!P172)</f>
        <v/>
      </c>
      <c r="I172" s="17" t="n"/>
      <c r="J172" s="17" t="n"/>
      <c r="K172" s="17" t="n"/>
      <c r="L172" s="44" t="str">
        <f>IF('每日复盘'!R172="","",'每日复盘'!R172)</f>
        <v/>
      </c>
      <c r="M172" s="36" t="str">
        <f>IF(OR(NOT(ISNUMBER(L172)),COUNT(H172:J172)&lt;3),"",IF(OR(AND(L172&gt;=3,H172=0),AND(L172&gt;=4,I172=0),AND(L172&gt;=5,J172=0)),"有断层","连续"))</f>
        <v/>
      </c>
      <c r="N172" s="27" t="n"/>
      <c r="O172" s="45" t="str">
        <f>IF(NOT(ISNUMBER(A172)),"",IF(COUNTIFS('交易记录'!$S$5:$S$304,A172,'交易记录'!$X$5:$X$304,"已平仓")=0,"",SUMIFS('交易记录'!$AB$5:$AB$304,'交易记录'!$S$5:$S$304,A172,'交易记录'!$X$5:$X$304,"已平仓")))</f>
        <v/>
      </c>
      <c r="P172" s="36" t="str">
        <f>IF(NOT(ISNUMBER(O172)),"",IF(O172&lt;=-'参数'!$C$9,"触及停手线",""))</f>
        <v/>
      </c>
      <c r="Q172" s="32" t="n"/>
      <c r="R172" s="32" t="n"/>
      <c r="S172" s="32" t="n"/>
    </row>
    <row r="173">
      <c r="A173" s="42" t="str">
        <f>IF('每日复盘'!A173="","",'每日复盘'!A173)</f>
        <v/>
      </c>
      <c r="B173" s="43" t="str">
        <f>IF('每日复盘'!AA173="","",'每日复盘'!AA173)</f>
        <v/>
      </c>
      <c r="C173" s="32" t="n"/>
      <c r="D173" s="32" t="n"/>
      <c r="E173" s="32" t="n"/>
      <c r="F173" s="32" t="n"/>
      <c r="G173" s="17" t="n"/>
      <c r="H173" s="44" t="str">
        <f>IF('每日复盘'!P173="","",'每日复盘'!P173)</f>
        <v/>
      </c>
      <c r="I173" s="17" t="n"/>
      <c r="J173" s="17" t="n"/>
      <c r="K173" s="17" t="n"/>
      <c r="L173" s="44" t="str">
        <f>IF('每日复盘'!R173="","",'每日复盘'!R173)</f>
        <v/>
      </c>
      <c r="M173" s="36" t="str">
        <f>IF(OR(NOT(ISNUMBER(L173)),COUNT(H173:J173)&lt;3),"",IF(OR(AND(L173&gt;=3,H173=0),AND(L173&gt;=4,I173=0),AND(L173&gt;=5,J173=0)),"有断层","连续"))</f>
        <v/>
      </c>
      <c r="N173" s="27" t="n"/>
      <c r="O173" s="45" t="str">
        <f>IF(NOT(ISNUMBER(A173)),"",IF(COUNTIFS('交易记录'!$S$5:$S$304,A173,'交易记录'!$X$5:$X$304,"已平仓")=0,"",SUMIFS('交易记录'!$AB$5:$AB$304,'交易记录'!$S$5:$S$304,A173,'交易记录'!$X$5:$X$304,"已平仓")))</f>
        <v/>
      </c>
      <c r="P173" s="36" t="str">
        <f>IF(NOT(ISNUMBER(O173)),"",IF(O173&lt;=-'参数'!$C$9,"触及停手线",""))</f>
        <v/>
      </c>
      <c r="Q173" s="32" t="n"/>
      <c r="R173" s="32" t="n"/>
      <c r="S173" s="32" t="n"/>
    </row>
    <row r="174">
      <c r="A174" s="42" t="str">
        <f>IF('每日复盘'!A174="","",'每日复盘'!A174)</f>
        <v/>
      </c>
      <c r="B174" s="43" t="str">
        <f>IF('每日复盘'!AA174="","",'每日复盘'!AA174)</f>
        <v/>
      </c>
      <c r="C174" s="32" t="n"/>
      <c r="D174" s="32" t="n"/>
      <c r="E174" s="32" t="n"/>
      <c r="F174" s="32" t="n"/>
      <c r="G174" s="17" t="n"/>
      <c r="H174" s="44" t="str">
        <f>IF('每日复盘'!P174="","",'每日复盘'!P174)</f>
        <v/>
      </c>
      <c r="I174" s="17" t="n"/>
      <c r="J174" s="17" t="n"/>
      <c r="K174" s="17" t="n"/>
      <c r="L174" s="44" t="str">
        <f>IF('每日复盘'!R174="","",'每日复盘'!R174)</f>
        <v/>
      </c>
      <c r="M174" s="36" t="str">
        <f>IF(OR(NOT(ISNUMBER(L174)),COUNT(H174:J174)&lt;3),"",IF(OR(AND(L174&gt;=3,H174=0),AND(L174&gt;=4,I174=0),AND(L174&gt;=5,J174=0)),"有断层","连续"))</f>
        <v/>
      </c>
      <c r="N174" s="27" t="n"/>
      <c r="O174" s="45" t="str">
        <f>IF(NOT(ISNUMBER(A174)),"",IF(COUNTIFS('交易记录'!$S$5:$S$304,A174,'交易记录'!$X$5:$X$304,"已平仓")=0,"",SUMIFS('交易记录'!$AB$5:$AB$304,'交易记录'!$S$5:$S$304,A174,'交易记录'!$X$5:$X$304,"已平仓")))</f>
        <v/>
      </c>
      <c r="P174" s="36" t="str">
        <f>IF(NOT(ISNUMBER(O174)),"",IF(O174&lt;=-'参数'!$C$9,"触及停手线",""))</f>
        <v/>
      </c>
      <c r="Q174" s="32" t="n"/>
      <c r="R174" s="32" t="n"/>
      <c r="S174" s="32" t="n"/>
    </row>
    <row r="175">
      <c r="A175" s="42" t="str">
        <f>IF('每日复盘'!A175="","",'每日复盘'!A175)</f>
        <v/>
      </c>
      <c r="B175" s="43" t="str">
        <f>IF('每日复盘'!AA175="","",'每日复盘'!AA175)</f>
        <v/>
      </c>
      <c r="C175" s="32" t="n"/>
      <c r="D175" s="32" t="n"/>
      <c r="E175" s="32" t="n"/>
      <c r="F175" s="32" t="n"/>
      <c r="G175" s="17" t="n"/>
      <c r="H175" s="44" t="str">
        <f>IF('每日复盘'!P175="","",'每日复盘'!P175)</f>
        <v/>
      </c>
      <c r="I175" s="17" t="n"/>
      <c r="J175" s="17" t="n"/>
      <c r="K175" s="17" t="n"/>
      <c r="L175" s="44" t="str">
        <f>IF('每日复盘'!R175="","",'每日复盘'!R175)</f>
        <v/>
      </c>
      <c r="M175" s="36" t="str">
        <f>IF(OR(NOT(ISNUMBER(L175)),COUNT(H175:J175)&lt;3),"",IF(OR(AND(L175&gt;=3,H175=0),AND(L175&gt;=4,I175=0),AND(L175&gt;=5,J175=0)),"有断层","连续"))</f>
        <v/>
      </c>
      <c r="N175" s="27" t="n"/>
      <c r="O175" s="45" t="str">
        <f>IF(NOT(ISNUMBER(A175)),"",IF(COUNTIFS('交易记录'!$S$5:$S$304,A175,'交易记录'!$X$5:$X$304,"已平仓")=0,"",SUMIFS('交易记录'!$AB$5:$AB$304,'交易记录'!$S$5:$S$304,A175,'交易记录'!$X$5:$X$304,"已平仓")))</f>
        <v/>
      </c>
      <c r="P175" s="36" t="str">
        <f>IF(NOT(ISNUMBER(O175)),"",IF(O175&lt;=-'参数'!$C$9,"触及停手线",""))</f>
        <v/>
      </c>
      <c r="Q175" s="32" t="n"/>
      <c r="R175" s="32" t="n"/>
      <c r="S175" s="32" t="n"/>
    </row>
    <row r="176">
      <c r="A176" s="42" t="str">
        <f>IF('每日复盘'!A176="","",'每日复盘'!A176)</f>
        <v/>
      </c>
      <c r="B176" s="43" t="str">
        <f>IF('每日复盘'!AA176="","",'每日复盘'!AA176)</f>
        <v/>
      </c>
      <c r="C176" s="32" t="n"/>
      <c r="D176" s="32" t="n"/>
      <c r="E176" s="32" t="n"/>
      <c r="F176" s="32" t="n"/>
      <c r="G176" s="17" t="n"/>
      <c r="H176" s="44" t="str">
        <f>IF('每日复盘'!P176="","",'每日复盘'!P176)</f>
        <v/>
      </c>
      <c r="I176" s="17" t="n"/>
      <c r="J176" s="17" t="n"/>
      <c r="K176" s="17" t="n"/>
      <c r="L176" s="44" t="str">
        <f>IF('每日复盘'!R176="","",'每日复盘'!R176)</f>
        <v/>
      </c>
      <c r="M176" s="36" t="str">
        <f>IF(OR(NOT(ISNUMBER(L176)),COUNT(H176:J176)&lt;3),"",IF(OR(AND(L176&gt;=3,H176=0),AND(L176&gt;=4,I176=0),AND(L176&gt;=5,J176=0)),"有断层","连续"))</f>
        <v/>
      </c>
      <c r="N176" s="27" t="n"/>
      <c r="O176" s="45" t="str">
        <f>IF(NOT(ISNUMBER(A176)),"",IF(COUNTIFS('交易记录'!$S$5:$S$304,A176,'交易记录'!$X$5:$X$304,"已平仓")=0,"",SUMIFS('交易记录'!$AB$5:$AB$304,'交易记录'!$S$5:$S$304,A176,'交易记录'!$X$5:$X$304,"已平仓")))</f>
        <v/>
      </c>
      <c r="P176" s="36" t="str">
        <f>IF(NOT(ISNUMBER(O176)),"",IF(O176&lt;=-'参数'!$C$9,"触及停手线",""))</f>
        <v/>
      </c>
      <c r="Q176" s="32" t="n"/>
      <c r="R176" s="32" t="n"/>
      <c r="S176" s="32" t="n"/>
    </row>
    <row r="177">
      <c r="A177" s="42" t="str">
        <f>IF('每日复盘'!A177="","",'每日复盘'!A177)</f>
        <v/>
      </c>
      <c r="B177" s="43" t="str">
        <f>IF('每日复盘'!AA177="","",'每日复盘'!AA177)</f>
        <v/>
      </c>
      <c r="C177" s="32" t="n"/>
      <c r="D177" s="32" t="n"/>
      <c r="E177" s="32" t="n"/>
      <c r="F177" s="32" t="n"/>
      <c r="G177" s="17" t="n"/>
      <c r="H177" s="44" t="str">
        <f>IF('每日复盘'!P177="","",'每日复盘'!P177)</f>
        <v/>
      </c>
      <c r="I177" s="17" t="n"/>
      <c r="J177" s="17" t="n"/>
      <c r="K177" s="17" t="n"/>
      <c r="L177" s="44" t="str">
        <f>IF('每日复盘'!R177="","",'每日复盘'!R177)</f>
        <v/>
      </c>
      <c r="M177" s="36" t="str">
        <f>IF(OR(NOT(ISNUMBER(L177)),COUNT(H177:J177)&lt;3),"",IF(OR(AND(L177&gt;=3,H177=0),AND(L177&gt;=4,I177=0),AND(L177&gt;=5,J177=0)),"有断层","连续"))</f>
        <v/>
      </c>
      <c r="N177" s="27" t="n"/>
      <c r="O177" s="45" t="str">
        <f>IF(NOT(ISNUMBER(A177)),"",IF(COUNTIFS('交易记录'!$S$5:$S$304,A177,'交易记录'!$X$5:$X$304,"已平仓")=0,"",SUMIFS('交易记录'!$AB$5:$AB$304,'交易记录'!$S$5:$S$304,A177,'交易记录'!$X$5:$X$304,"已平仓")))</f>
        <v/>
      </c>
      <c r="P177" s="36" t="str">
        <f>IF(NOT(ISNUMBER(O177)),"",IF(O177&lt;=-'参数'!$C$9,"触及停手线",""))</f>
        <v/>
      </c>
      <c r="Q177" s="32" t="n"/>
      <c r="R177" s="32" t="n"/>
      <c r="S177" s="32" t="n"/>
    </row>
    <row r="178">
      <c r="A178" s="42" t="str">
        <f>IF('每日复盘'!A178="","",'每日复盘'!A178)</f>
        <v/>
      </c>
      <c r="B178" s="43" t="str">
        <f>IF('每日复盘'!AA178="","",'每日复盘'!AA178)</f>
        <v/>
      </c>
      <c r="C178" s="32" t="n"/>
      <c r="D178" s="32" t="n"/>
      <c r="E178" s="32" t="n"/>
      <c r="F178" s="32" t="n"/>
      <c r="G178" s="17" t="n"/>
      <c r="H178" s="44" t="str">
        <f>IF('每日复盘'!P178="","",'每日复盘'!P178)</f>
        <v/>
      </c>
      <c r="I178" s="17" t="n"/>
      <c r="J178" s="17" t="n"/>
      <c r="K178" s="17" t="n"/>
      <c r="L178" s="44" t="str">
        <f>IF('每日复盘'!R178="","",'每日复盘'!R178)</f>
        <v/>
      </c>
      <c r="M178" s="36" t="str">
        <f>IF(OR(NOT(ISNUMBER(L178)),COUNT(H178:J178)&lt;3),"",IF(OR(AND(L178&gt;=3,H178=0),AND(L178&gt;=4,I178=0),AND(L178&gt;=5,J178=0)),"有断层","连续"))</f>
        <v/>
      </c>
      <c r="N178" s="27" t="n"/>
      <c r="O178" s="45" t="str">
        <f>IF(NOT(ISNUMBER(A178)),"",IF(COUNTIFS('交易记录'!$S$5:$S$304,A178,'交易记录'!$X$5:$X$304,"已平仓")=0,"",SUMIFS('交易记录'!$AB$5:$AB$304,'交易记录'!$S$5:$S$304,A178,'交易记录'!$X$5:$X$304,"已平仓")))</f>
        <v/>
      </c>
      <c r="P178" s="36" t="str">
        <f>IF(NOT(ISNUMBER(O178)),"",IF(O178&lt;=-'参数'!$C$9,"触及停手线",""))</f>
        <v/>
      </c>
      <c r="Q178" s="32" t="n"/>
      <c r="R178" s="32" t="n"/>
      <c r="S178" s="32" t="n"/>
    </row>
    <row r="179">
      <c r="A179" s="42" t="str">
        <f>IF('每日复盘'!A179="","",'每日复盘'!A179)</f>
        <v/>
      </c>
      <c r="B179" s="43" t="str">
        <f>IF('每日复盘'!AA179="","",'每日复盘'!AA179)</f>
        <v/>
      </c>
      <c r="C179" s="32" t="n"/>
      <c r="D179" s="32" t="n"/>
      <c r="E179" s="32" t="n"/>
      <c r="F179" s="32" t="n"/>
      <c r="G179" s="17" t="n"/>
      <c r="H179" s="44" t="str">
        <f>IF('每日复盘'!P179="","",'每日复盘'!P179)</f>
        <v/>
      </c>
      <c r="I179" s="17" t="n"/>
      <c r="J179" s="17" t="n"/>
      <c r="K179" s="17" t="n"/>
      <c r="L179" s="44" t="str">
        <f>IF('每日复盘'!R179="","",'每日复盘'!R179)</f>
        <v/>
      </c>
      <c r="M179" s="36" t="str">
        <f>IF(OR(NOT(ISNUMBER(L179)),COUNT(H179:J179)&lt;3),"",IF(OR(AND(L179&gt;=3,H179=0),AND(L179&gt;=4,I179=0),AND(L179&gt;=5,J179=0)),"有断层","连续"))</f>
        <v/>
      </c>
      <c r="N179" s="27" t="n"/>
      <c r="O179" s="45" t="str">
        <f>IF(NOT(ISNUMBER(A179)),"",IF(COUNTIFS('交易记录'!$S$5:$S$304,A179,'交易记录'!$X$5:$X$304,"已平仓")=0,"",SUMIFS('交易记录'!$AB$5:$AB$304,'交易记录'!$S$5:$S$304,A179,'交易记录'!$X$5:$X$304,"已平仓")))</f>
        <v/>
      </c>
      <c r="P179" s="36" t="str">
        <f>IF(NOT(ISNUMBER(O179)),"",IF(O179&lt;=-'参数'!$C$9,"触及停手线",""))</f>
        <v/>
      </c>
      <c r="Q179" s="32" t="n"/>
      <c r="R179" s="32" t="n"/>
      <c r="S179" s="32" t="n"/>
    </row>
    <row r="180">
      <c r="A180" s="42" t="str">
        <f>IF('每日复盘'!A180="","",'每日复盘'!A180)</f>
        <v/>
      </c>
      <c r="B180" s="43" t="str">
        <f>IF('每日复盘'!AA180="","",'每日复盘'!AA180)</f>
        <v/>
      </c>
      <c r="C180" s="32" t="n"/>
      <c r="D180" s="32" t="n"/>
      <c r="E180" s="32" t="n"/>
      <c r="F180" s="32" t="n"/>
      <c r="G180" s="17" t="n"/>
      <c r="H180" s="44" t="str">
        <f>IF('每日复盘'!P180="","",'每日复盘'!P180)</f>
        <v/>
      </c>
      <c r="I180" s="17" t="n"/>
      <c r="J180" s="17" t="n"/>
      <c r="K180" s="17" t="n"/>
      <c r="L180" s="44" t="str">
        <f>IF('每日复盘'!R180="","",'每日复盘'!R180)</f>
        <v/>
      </c>
      <c r="M180" s="36" t="str">
        <f>IF(OR(NOT(ISNUMBER(L180)),COUNT(H180:J180)&lt;3),"",IF(OR(AND(L180&gt;=3,H180=0),AND(L180&gt;=4,I180=0),AND(L180&gt;=5,J180=0)),"有断层","连续"))</f>
        <v/>
      </c>
      <c r="N180" s="27" t="n"/>
      <c r="O180" s="45" t="str">
        <f>IF(NOT(ISNUMBER(A180)),"",IF(COUNTIFS('交易记录'!$S$5:$S$304,A180,'交易记录'!$X$5:$X$304,"已平仓")=0,"",SUMIFS('交易记录'!$AB$5:$AB$304,'交易记录'!$S$5:$S$304,A180,'交易记录'!$X$5:$X$304,"已平仓")))</f>
        <v/>
      </c>
      <c r="P180" s="36" t="str">
        <f>IF(NOT(ISNUMBER(O180)),"",IF(O180&lt;=-'参数'!$C$9,"触及停手线",""))</f>
        <v/>
      </c>
      <c r="Q180" s="32" t="n"/>
      <c r="R180" s="32" t="n"/>
      <c r="S180" s="32" t="n"/>
    </row>
    <row r="181">
      <c r="A181" s="42" t="str">
        <f>IF('每日复盘'!A181="","",'每日复盘'!A181)</f>
        <v/>
      </c>
      <c r="B181" s="43" t="str">
        <f>IF('每日复盘'!AA181="","",'每日复盘'!AA181)</f>
        <v/>
      </c>
      <c r="C181" s="32" t="n"/>
      <c r="D181" s="32" t="n"/>
      <c r="E181" s="32" t="n"/>
      <c r="F181" s="32" t="n"/>
      <c r="G181" s="17" t="n"/>
      <c r="H181" s="44" t="str">
        <f>IF('每日复盘'!P181="","",'每日复盘'!P181)</f>
        <v/>
      </c>
      <c r="I181" s="17" t="n"/>
      <c r="J181" s="17" t="n"/>
      <c r="K181" s="17" t="n"/>
      <c r="L181" s="44" t="str">
        <f>IF('每日复盘'!R181="","",'每日复盘'!R181)</f>
        <v/>
      </c>
      <c r="M181" s="36" t="str">
        <f>IF(OR(NOT(ISNUMBER(L181)),COUNT(H181:J181)&lt;3),"",IF(OR(AND(L181&gt;=3,H181=0),AND(L181&gt;=4,I181=0),AND(L181&gt;=5,J181=0)),"有断层","连续"))</f>
        <v/>
      </c>
      <c r="N181" s="27" t="n"/>
      <c r="O181" s="45" t="str">
        <f>IF(NOT(ISNUMBER(A181)),"",IF(COUNTIFS('交易记录'!$S$5:$S$304,A181,'交易记录'!$X$5:$X$304,"已平仓")=0,"",SUMIFS('交易记录'!$AB$5:$AB$304,'交易记录'!$S$5:$S$304,A181,'交易记录'!$X$5:$X$304,"已平仓")))</f>
        <v/>
      </c>
      <c r="P181" s="36" t="str">
        <f>IF(NOT(ISNUMBER(O181)),"",IF(O181&lt;=-'参数'!$C$9,"触及停手线",""))</f>
        <v/>
      </c>
      <c r="Q181" s="32" t="n"/>
      <c r="R181" s="32" t="n"/>
      <c r="S181" s="32" t="n"/>
    </row>
    <row r="182">
      <c r="A182" s="42" t="str">
        <f>IF('每日复盘'!A182="","",'每日复盘'!A182)</f>
        <v/>
      </c>
      <c r="B182" s="43" t="str">
        <f>IF('每日复盘'!AA182="","",'每日复盘'!AA182)</f>
        <v/>
      </c>
      <c r="C182" s="32" t="n"/>
      <c r="D182" s="32" t="n"/>
      <c r="E182" s="32" t="n"/>
      <c r="F182" s="32" t="n"/>
      <c r="G182" s="17" t="n"/>
      <c r="H182" s="44" t="str">
        <f>IF('每日复盘'!P182="","",'每日复盘'!P182)</f>
        <v/>
      </c>
      <c r="I182" s="17" t="n"/>
      <c r="J182" s="17" t="n"/>
      <c r="K182" s="17" t="n"/>
      <c r="L182" s="44" t="str">
        <f>IF('每日复盘'!R182="","",'每日复盘'!R182)</f>
        <v/>
      </c>
      <c r="M182" s="36" t="str">
        <f>IF(OR(NOT(ISNUMBER(L182)),COUNT(H182:J182)&lt;3),"",IF(OR(AND(L182&gt;=3,H182=0),AND(L182&gt;=4,I182=0),AND(L182&gt;=5,J182=0)),"有断层","连续"))</f>
        <v/>
      </c>
      <c r="N182" s="27" t="n"/>
      <c r="O182" s="45" t="str">
        <f>IF(NOT(ISNUMBER(A182)),"",IF(COUNTIFS('交易记录'!$S$5:$S$304,A182,'交易记录'!$X$5:$X$304,"已平仓")=0,"",SUMIFS('交易记录'!$AB$5:$AB$304,'交易记录'!$S$5:$S$304,A182,'交易记录'!$X$5:$X$304,"已平仓")))</f>
        <v/>
      </c>
      <c r="P182" s="36" t="str">
        <f>IF(NOT(ISNUMBER(O182)),"",IF(O182&lt;=-'参数'!$C$9,"触及停手线",""))</f>
        <v/>
      </c>
      <c r="Q182" s="32" t="n"/>
      <c r="R182" s="32" t="n"/>
      <c r="S182" s="32" t="n"/>
    </row>
    <row r="183">
      <c r="A183" s="42" t="str">
        <f>IF('每日复盘'!A183="","",'每日复盘'!A183)</f>
        <v/>
      </c>
      <c r="B183" s="43" t="str">
        <f>IF('每日复盘'!AA183="","",'每日复盘'!AA183)</f>
        <v/>
      </c>
      <c r="C183" s="32" t="n"/>
      <c r="D183" s="32" t="n"/>
      <c r="E183" s="32" t="n"/>
      <c r="F183" s="32" t="n"/>
      <c r="G183" s="17" t="n"/>
      <c r="H183" s="44" t="str">
        <f>IF('每日复盘'!P183="","",'每日复盘'!P183)</f>
        <v/>
      </c>
      <c r="I183" s="17" t="n"/>
      <c r="J183" s="17" t="n"/>
      <c r="K183" s="17" t="n"/>
      <c r="L183" s="44" t="str">
        <f>IF('每日复盘'!R183="","",'每日复盘'!R183)</f>
        <v/>
      </c>
      <c r="M183" s="36" t="str">
        <f>IF(OR(NOT(ISNUMBER(L183)),COUNT(H183:J183)&lt;3),"",IF(OR(AND(L183&gt;=3,H183=0),AND(L183&gt;=4,I183=0),AND(L183&gt;=5,J183=0)),"有断层","连续"))</f>
        <v/>
      </c>
      <c r="N183" s="27" t="n"/>
      <c r="O183" s="45" t="str">
        <f>IF(NOT(ISNUMBER(A183)),"",IF(COUNTIFS('交易记录'!$S$5:$S$304,A183,'交易记录'!$X$5:$X$304,"已平仓")=0,"",SUMIFS('交易记录'!$AB$5:$AB$304,'交易记录'!$S$5:$S$304,A183,'交易记录'!$X$5:$X$304,"已平仓")))</f>
        <v/>
      </c>
      <c r="P183" s="36" t="str">
        <f>IF(NOT(ISNUMBER(O183)),"",IF(O183&lt;=-'参数'!$C$9,"触及停手线",""))</f>
        <v/>
      </c>
      <c r="Q183" s="32" t="n"/>
      <c r="R183" s="32" t="n"/>
      <c r="S183" s="32" t="n"/>
    </row>
    <row r="184">
      <c r="A184" s="42" t="str">
        <f>IF('每日复盘'!A184="","",'每日复盘'!A184)</f>
        <v/>
      </c>
      <c r="B184" s="43" t="str">
        <f>IF('每日复盘'!AA184="","",'每日复盘'!AA184)</f>
        <v/>
      </c>
      <c r="C184" s="32" t="n"/>
      <c r="D184" s="32" t="n"/>
      <c r="E184" s="32" t="n"/>
      <c r="F184" s="32" t="n"/>
      <c r="G184" s="17" t="n"/>
      <c r="H184" s="44" t="str">
        <f>IF('每日复盘'!P184="","",'每日复盘'!P184)</f>
        <v/>
      </c>
      <c r="I184" s="17" t="n"/>
      <c r="J184" s="17" t="n"/>
      <c r="K184" s="17" t="n"/>
      <c r="L184" s="44" t="str">
        <f>IF('每日复盘'!R184="","",'每日复盘'!R184)</f>
        <v/>
      </c>
      <c r="M184" s="36" t="str">
        <f>IF(OR(NOT(ISNUMBER(L184)),COUNT(H184:J184)&lt;3),"",IF(OR(AND(L184&gt;=3,H184=0),AND(L184&gt;=4,I184=0),AND(L184&gt;=5,J184=0)),"有断层","连续"))</f>
        <v/>
      </c>
      <c r="N184" s="27" t="n"/>
      <c r="O184" s="45" t="str">
        <f>IF(NOT(ISNUMBER(A184)),"",IF(COUNTIFS('交易记录'!$S$5:$S$304,A184,'交易记录'!$X$5:$X$304,"已平仓")=0,"",SUMIFS('交易记录'!$AB$5:$AB$304,'交易记录'!$S$5:$S$304,A184,'交易记录'!$X$5:$X$304,"已平仓")))</f>
        <v/>
      </c>
      <c r="P184" s="36" t="str">
        <f>IF(NOT(ISNUMBER(O184)),"",IF(O184&lt;=-'参数'!$C$9,"触及停手线",""))</f>
        <v/>
      </c>
      <c r="Q184" s="32" t="n"/>
      <c r="R184" s="32" t="n"/>
      <c r="S184" s="32" t="n"/>
    </row>
    <row r="185">
      <c r="A185" s="42" t="str">
        <f>IF('每日复盘'!A185="","",'每日复盘'!A185)</f>
        <v/>
      </c>
      <c r="B185" s="43" t="str">
        <f>IF('每日复盘'!AA185="","",'每日复盘'!AA185)</f>
        <v/>
      </c>
      <c r="C185" s="32" t="n"/>
      <c r="D185" s="32" t="n"/>
      <c r="E185" s="32" t="n"/>
      <c r="F185" s="32" t="n"/>
      <c r="G185" s="17" t="n"/>
      <c r="H185" s="44" t="str">
        <f>IF('每日复盘'!P185="","",'每日复盘'!P185)</f>
        <v/>
      </c>
      <c r="I185" s="17" t="n"/>
      <c r="J185" s="17" t="n"/>
      <c r="K185" s="17" t="n"/>
      <c r="L185" s="44" t="str">
        <f>IF('每日复盘'!R185="","",'每日复盘'!R185)</f>
        <v/>
      </c>
      <c r="M185" s="36" t="str">
        <f>IF(OR(NOT(ISNUMBER(L185)),COUNT(H185:J185)&lt;3),"",IF(OR(AND(L185&gt;=3,H185=0),AND(L185&gt;=4,I185=0),AND(L185&gt;=5,J185=0)),"有断层","连续"))</f>
        <v/>
      </c>
      <c r="N185" s="27" t="n"/>
      <c r="O185" s="45" t="str">
        <f>IF(NOT(ISNUMBER(A185)),"",IF(COUNTIFS('交易记录'!$S$5:$S$304,A185,'交易记录'!$X$5:$X$304,"已平仓")=0,"",SUMIFS('交易记录'!$AB$5:$AB$304,'交易记录'!$S$5:$S$304,A185,'交易记录'!$X$5:$X$304,"已平仓")))</f>
        <v/>
      </c>
      <c r="P185" s="36" t="str">
        <f>IF(NOT(ISNUMBER(O185)),"",IF(O185&lt;=-'参数'!$C$9,"触及停手线",""))</f>
        <v/>
      </c>
      <c r="Q185" s="32" t="n"/>
      <c r="R185" s="32" t="n"/>
      <c r="S185" s="32" t="n"/>
    </row>
    <row r="186">
      <c r="A186" s="42" t="str">
        <f>IF('每日复盘'!A186="","",'每日复盘'!A186)</f>
        <v/>
      </c>
      <c r="B186" s="43" t="str">
        <f>IF('每日复盘'!AA186="","",'每日复盘'!AA186)</f>
        <v/>
      </c>
      <c r="C186" s="32" t="n"/>
      <c r="D186" s="32" t="n"/>
      <c r="E186" s="32" t="n"/>
      <c r="F186" s="32" t="n"/>
      <c r="G186" s="17" t="n"/>
      <c r="H186" s="44" t="str">
        <f>IF('每日复盘'!P186="","",'每日复盘'!P186)</f>
        <v/>
      </c>
      <c r="I186" s="17" t="n"/>
      <c r="J186" s="17" t="n"/>
      <c r="K186" s="17" t="n"/>
      <c r="L186" s="44" t="str">
        <f>IF('每日复盘'!R186="","",'每日复盘'!R186)</f>
        <v/>
      </c>
      <c r="M186" s="36" t="str">
        <f>IF(OR(NOT(ISNUMBER(L186)),COUNT(H186:J186)&lt;3),"",IF(OR(AND(L186&gt;=3,H186=0),AND(L186&gt;=4,I186=0),AND(L186&gt;=5,J186=0)),"有断层","连续"))</f>
        <v/>
      </c>
      <c r="N186" s="27" t="n"/>
      <c r="O186" s="45" t="str">
        <f>IF(NOT(ISNUMBER(A186)),"",IF(COUNTIFS('交易记录'!$S$5:$S$304,A186,'交易记录'!$X$5:$X$304,"已平仓")=0,"",SUMIFS('交易记录'!$AB$5:$AB$304,'交易记录'!$S$5:$S$304,A186,'交易记录'!$X$5:$X$304,"已平仓")))</f>
        <v/>
      </c>
      <c r="P186" s="36" t="str">
        <f>IF(NOT(ISNUMBER(O186)),"",IF(O186&lt;=-'参数'!$C$9,"触及停手线",""))</f>
        <v/>
      </c>
      <c r="Q186" s="32" t="n"/>
      <c r="R186" s="32" t="n"/>
      <c r="S186" s="32" t="n"/>
    </row>
    <row r="187">
      <c r="A187" s="42" t="str">
        <f>IF('每日复盘'!A187="","",'每日复盘'!A187)</f>
        <v/>
      </c>
      <c r="B187" s="43" t="str">
        <f>IF('每日复盘'!AA187="","",'每日复盘'!AA187)</f>
        <v/>
      </c>
      <c r="C187" s="32" t="n"/>
      <c r="D187" s="32" t="n"/>
      <c r="E187" s="32" t="n"/>
      <c r="F187" s="32" t="n"/>
      <c r="G187" s="17" t="n"/>
      <c r="H187" s="44" t="str">
        <f>IF('每日复盘'!P187="","",'每日复盘'!P187)</f>
        <v/>
      </c>
      <c r="I187" s="17" t="n"/>
      <c r="J187" s="17" t="n"/>
      <c r="K187" s="17" t="n"/>
      <c r="L187" s="44" t="str">
        <f>IF('每日复盘'!R187="","",'每日复盘'!R187)</f>
        <v/>
      </c>
      <c r="M187" s="36" t="str">
        <f>IF(OR(NOT(ISNUMBER(L187)),COUNT(H187:J187)&lt;3),"",IF(OR(AND(L187&gt;=3,H187=0),AND(L187&gt;=4,I187=0),AND(L187&gt;=5,J187=0)),"有断层","连续"))</f>
        <v/>
      </c>
      <c r="N187" s="27" t="n"/>
      <c r="O187" s="45" t="str">
        <f>IF(NOT(ISNUMBER(A187)),"",IF(COUNTIFS('交易记录'!$S$5:$S$304,A187,'交易记录'!$X$5:$X$304,"已平仓")=0,"",SUMIFS('交易记录'!$AB$5:$AB$304,'交易记录'!$S$5:$S$304,A187,'交易记录'!$X$5:$X$304,"已平仓")))</f>
        <v/>
      </c>
      <c r="P187" s="36" t="str">
        <f>IF(NOT(ISNUMBER(O187)),"",IF(O187&lt;=-'参数'!$C$9,"触及停手线",""))</f>
        <v/>
      </c>
      <c r="Q187" s="32" t="n"/>
      <c r="R187" s="32" t="n"/>
      <c r="S187" s="32" t="n"/>
    </row>
    <row r="188">
      <c r="A188" s="42" t="str">
        <f>IF('每日复盘'!A188="","",'每日复盘'!A188)</f>
        <v/>
      </c>
      <c r="B188" s="43" t="str">
        <f>IF('每日复盘'!AA188="","",'每日复盘'!AA188)</f>
        <v/>
      </c>
      <c r="C188" s="32" t="n"/>
      <c r="D188" s="32" t="n"/>
      <c r="E188" s="32" t="n"/>
      <c r="F188" s="32" t="n"/>
      <c r="G188" s="17" t="n"/>
      <c r="H188" s="44" t="str">
        <f>IF('每日复盘'!P188="","",'每日复盘'!P188)</f>
        <v/>
      </c>
      <c r="I188" s="17" t="n"/>
      <c r="J188" s="17" t="n"/>
      <c r="K188" s="17" t="n"/>
      <c r="L188" s="44" t="str">
        <f>IF('每日复盘'!R188="","",'每日复盘'!R188)</f>
        <v/>
      </c>
      <c r="M188" s="36" t="str">
        <f>IF(OR(NOT(ISNUMBER(L188)),COUNT(H188:J188)&lt;3),"",IF(OR(AND(L188&gt;=3,H188=0),AND(L188&gt;=4,I188=0),AND(L188&gt;=5,J188=0)),"有断层","连续"))</f>
        <v/>
      </c>
      <c r="N188" s="27" t="n"/>
      <c r="O188" s="45" t="str">
        <f>IF(NOT(ISNUMBER(A188)),"",IF(COUNTIFS('交易记录'!$S$5:$S$304,A188,'交易记录'!$X$5:$X$304,"已平仓")=0,"",SUMIFS('交易记录'!$AB$5:$AB$304,'交易记录'!$S$5:$S$304,A188,'交易记录'!$X$5:$X$304,"已平仓")))</f>
        <v/>
      </c>
      <c r="P188" s="36" t="str">
        <f>IF(NOT(ISNUMBER(O188)),"",IF(O188&lt;=-'参数'!$C$9,"触及停手线",""))</f>
        <v/>
      </c>
      <c r="Q188" s="32" t="n"/>
      <c r="R188" s="32" t="n"/>
      <c r="S188" s="32" t="n"/>
    </row>
    <row r="189">
      <c r="A189" s="42" t="str">
        <f>IF('每日复盘'!A189="","",'每日复盘'!A189)</f>
        <v/>
      </c>
      <c r="B189" s="43" t="str">
        <f>IF('每日复盘'!AA189="","",'每日复盘'!AA189)</f>
        <v/>
      </c>
      <c r="C189" s="32" t="n"/>
      <c r="D189" s="32" t="n"/>
      <c r="E189" s="32" t="n"/>
      <c r="F189" s="32" t="n"/>
      <c r="G189" s="17" t="n"/>
      <c r="H189" s="44" t="str">
        <f>IF('每日复盘'!P189="","",'每日复盘'!P189)</f>
        <v/>
      </c>
      <c r="I189" s="17" t="n"/>
      <c r="J189" s="17" t="n"/>
      <c r="K189" s="17" t="n"/>
      <c r="L189" s="44" t="str">
        <f>IF('每日复盘'!R189="","",'每日复盘'!R189)</f>
        <v/>
      </c>
      <c r="M189" s="36" t="str">
        <f>IF(OR(NOT(ISNUMBER(L189)),COUNT(H189:J189)&lt;3),"",IF(OR(AND(L189&gt;=3,H189=0),AND(L189&gt;=4,I189=0),AND(L189&gt;=5,J189=0)),"有断层","连续"))</f>
        <v/>
      </c>
      <c r="N189" s="27" t="n"/>
      <c r="O189" s="45" t="str">
        <f>IF(NOT(ISNUMBER(A189)),"",IF(COUNTIFS('交易记录'!$S$5:$S$304,A189,'交易记录'!$X$5:$X$304,"已平仓")=0,"",SUMIFS('交易记录'!$AB$5:$AB$304,'交易记录'!$S$5:$S$304,A189,'交易记录'!$X$5:$X$304,"已平仓")))</f>
        <v/>
      </c>
      <c r="P189" s="36" t="str">
        <f>IF(NOT(ISNUMBER(O189)),"",IF(O189&lt;=-'参数'!$C$9,"触及停手线",""))</f>
        <v/>
      </c>
      <c r="Q189" s="32" t="n"/>
      <c r="R189" s="32" t="n"/>
      <c r="S189" s="32" t="n"/>
    </row>
    <row r="190">
      <c r="A190" s="42" t="str">
        <f>IF('每日复盘'!A190="","",'每日复盘'!A190)</f>
        <v/>
      </c>
      <c r="B190" s="43" t="str">
        <f>IF('每日复盘'!AA190="","",'每日复盘'!AA190)</f>
        <v/>
      </c>
      <c r="C190" s="32" t="n"/>
      <c r="D190" s="32" t="n"/>
      <c r="E190" s="32" t="n"/>
      <c r="F190" s="32" t="n"/>
      <c r="G190" s="17" t="n"/>
      <c r="H190" s="44" t="str">
        <f>IF('每日复盘'!P190="","",'每日复盘'!P190)</f>
        <v/>
      </c>
      <c r="I190" s="17" t="n"/>
      <c r="J190" s="17" t="n"/>
      <c r="K190" s="17" t="n"/>
      <c r="L190" s="44" t="str">
        <f>IF('每日复盘'!R190="","",'每日复盘'!R190)</f>
        <v/>
      </c>
      <c r="M190" s="36" t="str">
        <f>IF(OR(NOT(ISNUMBER(L190)),COUNT(H190:J190)&lt;3),"",IF(OR(AND(L190&gt;=3,H190=0),AND(L190&gt;=4,I190=0),AND(L190&gt;=5,J190=0)),"有断层","连续"))</f>
        <v/>
      </c>
      <c r="N190" s="27" t="n"/>
      <c r="O190" s="45" t="str">
        <f>IF(NOT(ISNUMBER(A190)),"",IF(COUNTIFS('交易记录'!$S$5:$S$304,A190,'交易记录'!$X$5:$X$304,"已平仓")=0,"",SUMIFS('交易记录'!$AB$5:$AB$304,'交易记录'!$S$5:$S$304,A190,'交易记录'!$X$5:$X$304,"已平仓")))</f>
        <v/>
      </c>
      <c r="P190" s="36" t="str">
        <f>IF(NOT(ISNUMBER(O190)),"",IF(O190&lt;=-'参数'!$C$9,"触及停手线",""))</f>
        <v/>
      </c>
      <c r="Q190" s="32" t="n"/>
      <c r="R190" s="32" t="n"/>
      <c r="S190" s="32" t="n"/>
    </row>
    <row r="191">
      <c r="A191" s="42" t="str">
        <f>IF('每日复盘'!A191="","",'每日复盘'!A191)</f>
        <v/>
      </c>
      <c r="B191" s="43" t="str">
        <f>IF('每日复盘'!AA191="","",'每日复盘'!AA191)</f>
        <v/>
      </c>
      <c r="C191" s="32" t="n"/>
      <c r="D191" s="32" t="n"/>
      <c r="E191" s="32" t="n"/>
      <c r="F191" s="32" t="n"/>
      <c r="G191" s="17" t="n"/>
      <c r="H191" s="44" t="str">
        <f>IF('每日复盘'!P191="","",'每日复盘'!P191)</f>
        <v/>
      </c>
      <c r="I191" s="17" t="n"/>
      <c r="J191" s="17" t="n"/>
      <c r="K191" s="17" t="n"/>
      <c r="L191" s="44" t="str">
        <f>IF('每日复盘'!R191="","",'每日复盘'!R191)</f>
        <v/>
      </c>
      <c r="M191" s="36" t="str">
        <f>IF(OR(NOT(ISNUMBER(L191)),COUNT(H191:J191)&lt;3),"",IF(OR(AND(L191&gt;=3,H191=0),AND(L191&gt;=4,I191=0),AND(L191&gt;=5,J191=0)),"有断层","连续"))</f>
        <v/>
      </c>
      <c r="N191" s="27" t="n"/>
      <c r="O191" s="45" t="str">
        <f>IF(NOT(ISNUMBER(A191)),"",IF(COUNTIFS('交易记录'!$S$5:$S$304,A191,'交易记录'!$X$5:$X$304,"已平仓")=0,"",SUMIFS('交易记录'!$AB$5:$AB$304,'交易记录'!$S$5:$S$304,A191,'交易记录'!$X$5:$X$304,"已平仓")))</f>
        <v/>
      </c>
      <c r="P191" s="36" t="str">
        <f>IF(NOT(ISNUMBER(O191)),"",IF(O191&lt;=-'参数'!$C$9,"触及停手线",""))</f>
        <v/>
      </c>
      <c r="Q191" s="32" t="n"/>
      <c r="R191" s="32" t="n"/>
      <c r="S191" s="32" t="n"/>
    </row>
    <row r="192">
      <c r="A192" s="42" t="str">
        <f>IF('每日复盘'!A192="","",'每日复盘'!A192)</f>
        <v/>
      </c>
      <c r="B192" s="43" t="str">
        <f>IF('每日复盘'!AA192="","",'每日复盘'!AA192)</f>
        <v/>
      </c>
      <c r="C192" s="32" t="n"/>
      <c r="D192" s="32" t="n"/>
      <c r="E192" s="32" t="n"/>
      <c r="F192" s="32" t="n"/>
      <c r="G192" s="17" t="n"/>
      <c r="H192" s="44" t="str">
        <f>IF('每日复盘'!P192="","",'每日复盘'!P192)</f>
        <v/>
      </c>
      <c r="I192" s="17" t="n"/>
      <c r="J192" s="17" t="n"/>
      <c r="K192" s="17" t="n"/>
      <c r="L192" s="44" t="str">
        <f>IF('每日复盘'!R192="","",'每日复盘'!R192)</f>
        <v/>
      </c>
      <c r="M192" s="36" t="str">
        <f>IF(OR(NOT(ISNUMBER(L192)),COUNT(H192:J192)&lt;3),"",IF(OR(AND(L192&gt;=3,H192=0),AND(L192&gt;=4,I192=0),AND(L192&gt;=5,J192=0)),"有断层","连续"))</f>
        <v/>
      </c>
      <c r="N192" s="27" t="n"/>
      <c r="O192" s="45" t="str">
        <f>IF(NOT(ISNUMBER(A192)),"",IF(COUNTIFS('交易记录'!$S$5:$S$304,A192,'交易记录'!$X$5:$X$304,"已平仓")=0,"",SUMIFS('交易记录'!$AB$5:$AB$304,'交易记录'!$S$5:$S$304,A192,'交易记录'!$X$5:$X$304,"已平仓")))</f>
        <v/>
      </c>
      <c r="P192" s="36" t="str">
        <f>IF(NOT(ISNUMBER(O192)),"",IF(O192&lt;=-'参数'!$C$9,"触及停手线",""))</f>
        <v/>
      </c>
      <c r="Q192" s="32" t="n"/>
      <c r="R192" s="32" t="n"/>
      <c r="S192" s="32" t="n"/>
    </row>
    <row r="193">
      <c r="A193" s="42" t="str">
        <f>IF('每日复盘'!A193="","",'每日复盘'!A193)</f>
        <v/>
      </c>
      <c r="B193" s="43" t="str">
        <f>IF('每日复盘'!AA193="","",'每日复盘'!AA193)</f>
        <v/>
      </c>
      <c r="C193" s="32" t="n"/>
      <c r="D193" s="32" t="n"/>
      <c r="E193" s="32" t="n"/>
      <c r="F193" s="32" t="n"/>
      <c r="G193" s="17" t="n"/>
      <c r="H193" s="44" t="str">
        <f>IF('每日复盘'!P193="","",'每日复盘'!P193)</f>
        <v/>
      </c>
      <c r="I193" s="17" t="n"/>
      <c r="J193" s="17" t="n"/>
      <c r="K193" s="17" t="n"/>
      <c r="L193" s="44" t="str">
        <f>IF('每日复盘'!R193="","",'每日复盘'!R193)</f>
        <v/>
      </c>
      <c r="M193" s="36" t="str">
        <f>IF(OR(NOT(ISNUMBER(L193)),COUNT(H193:J193)&lt;3),"",IF(OR(AND(L193&gt;=3,H193=0),AND(L193&gt;=4,I193=0),AND(L193&gt;=5,J193=0)),"有断层","连续"))</f>
        <v/>
      </c>
      <c r="N193" s="27" t="n"/>
      <c r="O193" s="45" t="str">
        <f>IF(NOT(ISNUMBER(A193)),"",IF(COUNTIFS('交易记录'!$S$5:$S$304,A193,'交易记录'!$X$5:$X$304,"已平仓")=0,"",SUMIFS('交易记录'!$AB$5:$AB$304,'交易记录'!$S$5:$S$304,A193,'交易记录'!$X$5:$X$304,"已平仓")))</f>
        <v/>
      </c>
      <c r="P193" s="36" t="str">
        <f>IF(NOT(ISNUMBER(O193)),"",IF(O193&lt;=-'参数'!$C$9,"触及停手线",""))</f>
        <v/>
      </c>
      <c r="Q193" s="32" t="n"/>
      <c r="R193" s="32" t="n"/>
      <c r="S193" s="32" t="n"/>
    </row>
    <row r="194">
      <c r="A194" s="42" t="str">
        <f>IF('每日复盘'!A194="","",'每日复盘'!A194)</f>
        <v/>
      </c>
      <c r="B194" s="43" t="str">
        <f>IF('每日复盘'!AA194="","",'每日复盘'!AA194)</f>
        <v/>
      </c>
      <c r="C194" s="32" t="n"/>
      <c r="D194" s="32" t="n"/>
      <c r="E194" s="32" t="n"/>
      <c r="F194" s="32" t="n"/>
      <c r="G194" s="17" t="n"/>
      <c r="H194" s="44" t="str">
        <f>IF('每日复盘'!P194="","",'每日复盘'!P194)</f>
        <v/>
      </c>
      <c r="I194" s="17" t="n"/>
      <c r="J194" s="17" t="n"/>
      <c r="K194" s="17" t="n"/>
      <c r="L194" s="44" t="str">
        <f>IF('每日复盘'!R194="","",'每日复盘'!R194)</f>
        <v/>
      </c>
      <c r="M194" s="36" t="str">
        <f>IF(OR(NOT(ISNUMBER(L194)),COUNT(H194:J194)&lt;3),"",IF(OR(AND(L194&gt;=3,H194=0),AND(L194&gt;=4,I194=0),AND(L194&gt;=5,J194=0)),"有断层","连续"))</f>
        <v/>
      </c>
      <c r="N194" s="27" t="n"/>
      <c r="O194" s="45" t="str">
        <f>IF(NOT(ISNUMBER(A194)),"",IF(COUNTIFS('交易记录'!$S$5:$S$304,A194,'交易记录'!$X$5:$X$304,"已平仓")=0,"",SUMIFS('交易记录'!$AB$5:$AB$304,'交易记录'!$S$5:$S$304,A194,'交易记录'!$X$5:$X$304,"已平仓")))</f>
        <v/>
      </c>
      <c r="P194" s="36" t="str">
        <f>IF(NOT(ISNUMBER(O194)),"",IF(O194&lt;=-'参数'!$C$9,"触及停手线",""))</f>
        <v/>
      </c>
      <c r="Q194" s="32" t="n"/>
      <c r="R194" s="32" t="n"/>
      <c r="S194" s="32" t="n"/>
    </row>
    <row r="195">
      <c r="A195" s="42" t="str">
        <f>IF('每日复盘'!A195="","",'每日复盘'!A195)</f>
        <v/>
      </c>
      <c r="B195" s="43" t="str">
        <f>IF('每日复盘'!AA195="","",'每日复盘'!AA195)</f>
        <v/>
      </c>
      <c r="C195" s="32" t="n"/>
      <c r="D195" s="32" t="n"/>
      <c r="E195" s="32" t="n"/>
      <c r="F195" s="32" t="n"/>
      <c r="G195" s="17" t="n"/>
      <c r="H195" s="44" t="str">
        <f>IF('每日复盘'!P195="","",'每日复盘'!P195)</f>
        <v/>
      </c>
      <c r="I195" s="17" t="n"/>
      <c r="J195" s="17" t="n"/>
      <c r="K195" s="17" t="n"/>
      <c r="L195" s="44" t="str">
        <f>IF('每日复盘'!R195="","",'每日复盘'!R195)</f>
        <v/>
      </c>
      <c r="M195" s="36" t="str">
        <f>IF(OR(NOT(ISNUMBER(L195)),COUNT(H195:J195)&lt;3),"",IF(OR(AND(L195&gt;=3,H195=0),AND(L195&gt;=4,I195=0),AND(L195&gt;=5,J195=0)),"有断层","连续"))</f>
        <v/>
      </c>
      <c r="N195" s="27" t="n"/>
      <c r="O195" s="45" t="str">
        <f>IF(NOT(ISNUMBER(A195)),"",IF(COUNTIFS('交易记录'!$S$5:$S$304,A195,'交易记录'!$X$5:$X$304,"已平仓")=0,"",SUMIFS('交易记录'!$AB$5:$AB$304,'交易记录'!$S$5:$S$304,A195,'交易记录'!$X$5:$X$304,"已平仓")))</f>
        <v/>
      </c>
      <c r="P195" s="36" t="str">
        <f>IF(NOT(ISNUMBER(O195)),"",IF(O195&lt;=-'参数'!$C$9,"触及停手线",""))</f>
        <v/>
      </c>
      <c r="Q195" s="32" t="n"/>
      <c r="R195" s="32" t="n"/>
      <c r="S195" s="32" t="n"/>
    </row>
    <row r="196">
      <c r="A196" s="42" t="str">
        <f>IF('每日复盘'!A196="","",'每日复盘'!A196)</f>
        <v/>
      </c>
      <c r="B196" s="43" t="str">
        <f>IF('每日复盘'!AA196="","",'每日复盘'!AA196)</f>
        <v/>
      </c>
      <c r="C196" s="32" t="n"/>
      <c r="D196" s="32" t="n"/>
      <c r="E196" s="32" t="n"/>
      <c r="F196" s="32" t="n"/>
      <c r="G196" s="17" t="n"/>
      <c r="H196" s="44" t="str">
        <f>IF('每日复盘'!P196="","",'每日复盘'!P196)</f>
        <v/>
      </c>
      <c r="I196" s="17" t="n"/>
      <c r="J196" s="17" t="n"/>
      <c r="K196" s="17" t="n"/>
      <c r="L196" s="44" t="str">
        <f>IF('每日复盘'!R196="","",'每日复盘'!R196)</f>
        <v/>
      </c>
      <c r="M196" s="36" t="str">
        <f>IF(OR(NOT(ISNUMBER(L196)),COUNT(H196:J196)&lt;3),"",IF(OR(AND(L196&gt;=3,H196=0),AND(L196&gt;=4,I196=0),AND(L196&gt;=5,J196=0)),"有断层","连续"))</f>
        <v/>
      </c>
      <c r="N196" s="27" t="n"/>
      <c r="O196" s="45" t="str">
        <f>IF(NOT(ISNUMBER(A196)),"",IF(COUNTIFS('交易记录'!$S$5:$S$304,A196,'交易记录'!$X$5:$X$304,"已平仓")=0,"",SUMIFS('交易记录'!$AB$5:$AB$304,'交易记录'!$S$5:$S$304,A196,'交易记录'!$X$5:$X$304,"已平仓")))</f>
        <v/>
      </c>
      <c r="P196" s="36" t="str">
        <f>IF(NOT(ISNUMBER(O196)),"",IF(O196&lt;=-'参数'!$C$9,"触及停手线",""))</f>
        <v/>
      </c>
      <c r="Q196" s="32" t="n"/>
      <c r="R196" s="32" t="n"/>
      <c r="S196" s="32" t="n"/>
    </row>
    <row r="197">
      <c r="A197" s="42" t="str">
        <f>IF('每日复盘'!A197="","",'每日复盘'!A197)</f>
        <v/>
      </c>
      <c r="B197" s="43" t="str">
        <f>IF('每日复盘'!AA197="","",'每日复盘'!AA197)</f>
        <v/>
      </c>
      <c r="C197" s="32" t="n"/>
      <c r="D197" s="32" t="n"/>
      <c r="E197" s="32" t="n"/>
      <c r="F197" s="32" t="n"/>
      <c r="G197" s="17" t="n"/>
      <c r="H197" s="44" t="str">
        <f>IF('每日复盘'!P197="","",'每日复盘'!P197)</f>
        <v/>
      </c>
      <c r="I197" s="17" t="n"/>
      <c r="J197" s="17" t="n"/>
      <c r="K197" s="17" t="n"/>
      <c r="L197" s="44" t="str">
        <f>IF('每日复盘'!R197="","",'每日复盘'!R197)</f>
        <v/>
      </c>
      <c r="M197" s="36" t="str">
        <f>IF(OR(NOT(ISNUMBER(L197)),COUNT(H197:J197)&lt;3),"",IF(OR(AND(L197&gt;=3,H197=0),AND(L197&gt;=4,I197=0),AND(L197&gt;=5,J197=0)),"有断层","连续"))</f>
        <v/>
      </c>
      <c r="N197" s="27" t="n"/>
      <c r="O197" s="45" t="str">
        <f>IF(NOT(ISNUMBER(A197)),"",IF(COUNTIFS('交易记录'!$S$5:$S$304,A197,'交易记录'!$X$5:$X$304,"已平仓")=0,"",SUMIFS('交易记录'!$AB$5:$AB$304,'交易记录'!$S$5:$S$304,A197,'交易记录'!$X$5:$X$304,"已平仓")))</f>
        <v/>
      </c>
      <c r="P197" s="36" t="str">
        <f>IF(NOT(ISNUMBER(O197)),"",IF(O197&lt;=-'参数'!$C$9,"触及停手线",""))</f>
        <v/>
      </c>
      <c r="Q197" s="32" t="n"/>
      <c r="R197" s="32" t="n"/>
      <c r="S197" s="32" t="n"/>
    </row>
    <row r="198">
      <c r="A198" s="42" t="str">
        <f>IF('每日复盘'!A198="","",'每日复盘'!A198)</f>
        <v/>
      </c>
      <c r="B198" s="43" t="str">
        <f>IF('每日复盘'!AA198="","",'每日复盘'!AA198)</f>
        <v/>
      </c>
      <c r="C198" s="32" t="n"/>
      <c r="D198" s="32" t="n"/>
      <c r="E198" s="32" t="n"/>
      <c r="F198" s="32" t="n"/>
      <c r="G198" s="17" t="n"/>
      <c r="H198" s="44" t="str">
        <f>IF('每日复盘'!P198="","",'每日复盘'!P198)</f>
        <v/>
      </c>
      <c r="I198" s="17" t="n"/>
      <c r="J198" s="17" t="n"/>
      <c r="K198" s="17" t="n"/>
      <c r="L198" s="44" t="str">
        <f>IF('每日复盘'!R198="","",'每日复盘'!R198)</f>
        <v/>
      </c>
      <c r="M198" s="36" t="str">
        <f>IF(OR(NOT(ISNUMBER(L198)),COUNT(H198:J198)&lt;3),"",IF(OR(AND(L198&gt;=3,H198=0),AND(L198&gt;=4,I198=0),AND(L198&gt;=5,J198=0)),"有断层","连续"))</f>
        <v/>
      </c>
      <c r="N198" s="27" t="n"/>
      <c r="O198" s="45" t="str">
        <f>IF(NOT(ISNUMBER(A198)),"",IF(COUNTIFS('交易记录'!$S$5:$S$304,A198,'交易记录'!$X$5:$X$304,"已平仓")=0,"",SUMIFS('交易记录'!$AB$5:$AB$304,'交易记录'!$S$5:$S$304,A198,'交易记录'!$X$5:$X$304,"已平仓")))</f>
        <v/>
      </c>
      <c r="P198" s="36" t="str">
        <f>IF(NOT(ISNUMBER(O198)),"",IF(O198&lt;=-'参数'!$C$9,"触及停手线",""))</f>
        <v/>
      </c>
      <c r="Q198" s="32" t="n"/>
      <c r="R198" s="32" t="n"/>
      <c r="S198" s="32" t="n"/>
    </row>
    <row r="199">
      <c r="A199" s="42" t="str">
        <f>IF('每日复盘'!A199="","",'每日复盘'!A199)</f>
        <v/>
      </c>
      <c r="B199" s="43" t="str">
        <f>IF('每日复盘'!AA199="","",'每日复盘'!AA199)</f>
        <v/>
      </c>
      <c r="C199" s="32" t="n"/>
      <c r="D199" s="32" t="n"/>
      <c r="E199" s="32" t="n"/>
      <c r="F199" s="32" t="n"/>
      <c r="G199" s="17" t="n"/>
      <c r="H199" s="44" t="str">
        <f>IF('每日复盘'!P199="","",'每日复盘'!P199)</f>
        <v/>
      </c>
      <c r="I199" s="17" t="n"/>
      <c r="J199" s="17" t="n"/>
      <c r="K199" s="17" t="n"/>
      <c r="L199" s="44" t="str">
        <f>IF('每日复盘'!R199="","",'每日复盘'!R199)</f>
        <v/>
      </c>
      <c r="M199" s="36" t="str">
        <f>IF(OR(NOT(ISNUMBER(L199)),COUNT(H199:J199)&lt;3),"",IF(OR(AND(L199&gt;=3,H199=0),AND(L199&gt;=4,I199=0),AND(L199&gt;=5,J199=0)),"有断层","连续"))</f>
        <v/>
      </c>
      <c r="N199" s="27" t="n"/>
      <c r="O199" s="45" t="str">
        <f>IF(NOT(ISNUMBER(A199)),"",IF(COUNTIFS('交易记录'!$S$5:$S$304,A199,'交易记录'!$X$5:$X$304,"已平仓")=0,"",SUMIFS('交易记录'!$AB$5:$AB$304,'交易记录'!$S$5:$S$304,A199,'交易记录'!$X$5:$X$304,"已平仓")))</f>
        <v/>
      </c>
      <c r="P199" s="36" t="str">
        <f>IF(NOT(ISNUMBER(O199)),"",IF(O199&lt;=-'参数'!$C$9,"触及停手线",""))</f>
        <v/>
      </c>
      <c r="Q199" s="32" t="n"/>
      <c r="R199" s="32" t="n"/>
      <c r="S199" s="32" t="n"/>
    </row>
    <row r="200">
      <c r="A200" s="42" t="str">
        <f>IF('每日复盘'!A200="","",'每日复盘'!A200)</f>
        <v/>
      </c>
      <c r="B200" s="43" t="str">
        <f>IF('每日复盘'!AA200="","",'每日复盘'!AA200)</f>
        <v/>
      </c>
      <c r="C200" s="32" t="n"/>
      <c r="D200" s="32" t="n"/>
      <c r="E200" s="32" t="n"/>
      <c r="F200" s="32" t="n"/>
      <c r="G200" s="17" t="n"/>
      <c r="H200" s="44" t="str">
        <f>IF('每日复盘'!P200="","",'每日复盘'!P200)</f>
        <v/>
      </c>
      <c r="I200" s="17" t="n"/>
      <c r="J200" s="17" t="n"/>
      <c r="K200" s="17" t="n"/>
      <c r="L200" s="44" t="str">
        <f>IF('每日复盘'!R200="","",'每日复盘'!R200)</f>
        <v/>
      </c>
      <c r="M200" s="36" t="str">
        <f>IF(OR(NOT(ISNUMBER(L200)),COUNT(H200:J200)&lt;3),"",IF(OR(AND(L200&gt;=3,H200=0),AND(L200&gt;=4,I200=0),AND(L200&gt;=5,J200=0)),"有断层","连续"))</f>
        <v/>
      </c>
      <c r="N200" s="27" t="n"/>
      <c r="O200" s="45" t="str">
        <f>IF(NOT(ISNUMBER(A200)),"",IF(COUNTIFS('交易记录'!$S$5:$S$304,A200,'交易记录'!$X$5:$X$304,"已平仓")=0,"",SUMIFS('交易记录'!$AB$5:$AB$304,'交易记录'!$S$5:$S$304,A200,'交易记录'!$X$5:$X$304,"已平仓")))</f>
        <v/>
      </c>
      <c r="P200" s="36" t="str">
        <f>IF(NOT(ISNUMBER(O200)),"",IF(O200&lt;=-'参数'!$C$9,"触及停手线",""))</f>
        <v/>
      </c>
      <c r="Q200" s="32" t="n"/>
      <c r="R200" s="32" t="n"/>
      <c r="S200" s="32" t="n"/>
    </row>
    <row r="201">
      <c r="A201" s="42" t="str">
        <f>IF('每日复盘'!A201="","",'每日复盘'!A201)</f>
        <v/>
      </c>
      <c r="B201" s="43" t="str">
        <f>IF('每日复盘'!AA201="","",'每日复盘'!AA201)</f>
        <v/>
      </c>
      <c r="C201" s="32" t="n"/>
      <c r="D201" s="32" t="n"/>
      <c r="E201" s="32" t="n"/>
      <c r="F201" s="32" t="n"/>
      <c r="G201" s="17" t="n"/>
      <c r="H201" s="44" t="str">
        <f>IF('每日复盘'!P201="","",'每日复盘'!P201)</f>
        <v/>
      </c>
      <c r="I201" s="17" t="n"/>
      <c r="J201" s="17" t="n"/>
      <c r="K201" s="17" t="n"/>
      <c r="L201" s="44" t="str">
        <f>IF('每日复盘'!R201="","",'每日复盘'!R201)</f>
        <v/>
      </c>
      <c r="M201" s="36" t="str">
        <f>IF(OR(NOT(ISNUMBER(L201)),COUNT(H201:J201)&lt;3),"",IF(OR(AND(L201&gt;=3,H201=0),AND(L201&gt;=4,I201=0),AND(L201&gt;=5,J201=0)),"有断层","连续"))</f>
        <v/>
      </c>
      <c r="N201" s="27" t="n"/>
      <c r="O201" s="45" t="str">
        <f>IF(NOT(ISNUMBER(A201)),"",IF(COUNTIFS('交易记录'!$S$5:$S$304,A201,'交易记录'!$X$5:$X$304,"已平仓")=0,"",SUMIFS('交易记录'!$AB$5:$AB$304,'交易记录'!$S$5:$S$304,A201,'交易记录'!$X$5:$X$304,"已平仓")))</f>
        <v/>
      </c>
      <c r="P201" s="36" t="str">
        <f>IF(NOT(ISNUMBER(O201)),"",IF(O201&lt;=-'参数'!$C$9,"触及停手线",""))</f>
        <v/>
      </c>
      <c r="Q201" s="32" t="n"/>
      <c r="R201" s="32" t="n"/>
      <c r="S201" s="32" t="n"/>
    </row>
    <row r="202">
      <c r="A202" s="42" t="str">
        <f>IF('每日复盘'!A202="","",'每日复盘'!A202)</f>
        <v/>
      </c>
      <c r="B202" s="43" t="str">
        <f>IF('每日复盘'!AA202="","",'每日复盘'!AA202)</f>
        <v/>
      </c>
      <c r="C202" s="32" t="n"/>
      <c r="D202" s="32" t="n"/>
      <c r="E202" s="32" t="n"/>
      <c r="F202" s="32" t="n"/>
      <c r="G202" s="17" t="n"/>
      <c r="H202" s="44" t="str">
        <f>IF('每日复盘'!P202="","",'每日复盘'!P202)</f>
        <v/>
      </c>
      <c r="I202" s="17" t="n"/>
      <c r="J202" s="17" t="n"/>
      <c r="K202" s="17" t="n"/>
      <c r="L202" s="44" t="str">
        <f>IF('每日复盘'!R202="","",'每日复盘'!R202)</f>
        <v/>
      </c>
      <c r="M202" s="36" t="str">
        <f>IF(OR(NOT(ISNUMBER(L202)),COUNT(H202:J202)&lt;3),"",IF(OR(AND(L202&gt;=3,H202=0),AND(L202&gt;=4,I202=0),AND(L202&gt;=5,J202=0)),"有断层","连续"))</f>
        <v/>
      </c>
      <c r="N202" s="27" t="n"/>
      <c r="O202" s="45" t="str">
        <f>IF(NOT(ISNUMBER(A202)),"",IF(COUNTIFS('交易记录'!$S$5:$S$304,A202,'交易记录'!$X$5:$X$304,"已平仓")=0,"",SUMIFS('交易记录'!$AB$5:$AB$304,'交易记录'!$S$5:$S$304,A202,'交易记录'!$X$5:$X$304,"已平仓")))</f>
        <v/>
      </c>
      <c r="P202" s="36" t="str">
        <f>IF(NOT(ISNUMBER(O202)),"",IF(O202&lt;=-'参数'!$C$9,"触及停手线",""))</f>
        <v/>
      </c>
      <c r="Q202" s="32" t="n"/>
      <c r="R202" s="32" t="n"/>
      <c r="S202" s="32" t="n"/>
    </row>
    <row r="203">
      <c r="A203" s="42" t="str">
        <f>IF('每日复盘'!A203="","",'每日复盘'!A203)</f>
        <v/>
      </c>
      <c r="B203" s="43" t="str">
        <f>IF('每日复盘'!AA203="","",'每日复盘'!AA203)</f>
        <v/>
      </c>
      <c r="C203" s="32" t="n"/>
      <c r="D203" s="32" t="n"/>
      <c r="E203" s="32" t="n"/>
      <c r="F203" s="32" t="n"/>
      <c r="G203" s="17" t="n"/>
      <c r="H203" s="44" t="str">
        <f>IF('每日复盘'!P203="","",'每日复盘'!P203)</f>
        <v/>
      </c>
      <c r="I203" s="17" t="n"/>
      <c r="J203" s="17" t="n"/>
      <c r="K203" s="17" t="n"/>
      <c r="L203" s="44" t="str">
        <f>IF('每日复盘'!R203="","",'每日复盘'!R203)</f>
        <v/>
      </c>
      <c r="M203" s="36" t="str">
        <f>IF(OR(NOT(ISNUMBER(L203)),COUNT(H203:J203)&lt;3),"",IF(OR(AND(L203&gt;=3,H203=0),AND(L203&gt;=4,I203=0),AND(L203&gt;=5,J203=0)),"有断层","连续"))</f>
        <v/>
      </c>
      <c r="N203" s="27" t="n"/>
      <c r="O203" s="45" t="str">
        <f>IF(NOT(ISNUMBER(A203)),"",IF(COUNTIFS('交易记录'!$S$5:$S$304,A203,'交易记录'!$X$5:$X$304,"已平仓")=0,"",SUMIFS('交易记录'!$AB$5:$AB$304,'交易记录'!$S$5:$S$304,A203,'交易记录'!$X$5:$X$304,"已平仓")))</f>
        <v/>
      </c>
      <c r="P203" s="36" t="str">
        <f>IF(NOT(ISNUMBER(O203)),"",IF(O203&lt;=-'参数'!$C$9,"触及停手线",""))</f>
        <v/>
      </c>
      <c r="Q203" s="32" t="n"/>
      <c r="R203" s="32" t="n"/>
      <c r="S203" s="32" t="n"/>
    </row>
    <row r="204">
      <c r="A204" s="42" t="str">
        <f>IF('每日复盘'!A204="","",'每日复盘'!A204)</f>
        <v/>
      </c>
      <c r="B204" s="43" t="str">
        <f>IF('每日复盘'!AA204="","",'每日复盘'!AA204)</f>
        <v/>
      </c>
      <c r="C204" s="32" t="n"/>
      <c r="D204" s="32" t="n"/>
      <c r="E204" s="32" t="n"/>
      <c r="F204" s="32" t="n"/>
      <c r="G204" s="17" t="n"/>
      <c r="H204" s="44" t="str">
        <f>IF('每日复盘'!P204="","",'每日复盘'!P204)</f>
        <v/>
      </c>
      <c r="I204" s="17" t="n"/>
      <c r="J204" s="17" t="n"/>
      <c r="K204" s="17" t="n"/>
      <c r="L204" s="44" t="str">
        <f>IF('每日复盘'!R204="","",'每日复盘'!R204)</f>
        <v/>
      </c>
      <c r="M204" s="36" t="str">
        <f>IF(OR(NOT(ISNUMBER(L204)),COUNT(H204:J204)&lt;3),"",IF(OR(AND(L204&gt;=3,H204=0),AND(L204&gt;=4,I204=0),AND(L204&gt;=5,J204=0)),"有断层","连续"))</f>
        <v/>
      </c>
      <c r="N204" s="27" t="n"/>
      <c r="O204" s="45" t="str">
        <f>IF(NOT(ISNUMBER(A204)),"",IF(COUNTIFS('交易记录'!$S$5:$S$304,A204,'交易记录'!$X$5:$X$304,"已平仓")=0,"",SUMIFS('交易记录'!$AB$5:$AB$304,'交易记录'!$S$5:$S$304,A204,'交易记录'!$X$5:$X$304,"已平仓")))</f>
        <v/>
      </c>
      <c r="P204" s="36" t="str">
        <f>IF(NOT(ISNUMBER(O204)),"",IF(O204&lt;=-'参数'!$C$9,"触及停手线",""))</f>
        <v/>
      </c>
      <c r="Q204" s="32" t="n"/>
      <c r="R204" s="32" t="n"/>
      <c r="S204" s="32" t="n"/>
    </row>
    <row r="205">
      <c r="A205" s="42" t="str">
        <f>IF('每日复盘'!A205="","",'每日复盘'!A205)</f>
        <v/>
      </c>
      <c r="B205" s="43" t="str">
        <f>IF('每日复盘'!AA205="","",'每日复盘'!AA205)</f>
        <v/>
      </c>
      <c r="C205" s="32" t="n"/>
      <c r="D205" s="32" t="n"/>
      <c r="E205" s="32" t="n"/>
      <c r="F205" s="32" t="n"/>
      <c r="G205" s="17" t="n"/>
      <c r="H205" s="44" t="str">
        <f>IF('每日复盘'!P205="","",'每日复盘'!P205)</f>
        <v/>
      </c>
      <c r="I205" s="17" t="n"/>
      <c r="J205" s="17" t="n"/>
      <c r="K205" s="17" t="n"/>
      <c r="L205" s="44" t="str">
        <f>IF('每日复盘'!R205="","",'每日复盘'!R205)</f>
        <v/>
      </c>
      <c r="M205" s="36" t="str">
        <f>IF(OR(NOT(ISNUMBER(L205)),COUNT(H205:J205)&lt;3),"",IF(OR(AND(L205&gt;=3,H205=0),AND(L205&gt;=4,I205=0),AND(L205&gt;=5,J205=0)),"有断层","连续"))</f>
        <v/>
      </c>
      <c r="N205" s="27" t="n"/>
      <c r="O205" s="45" t="str">
        <f>IF(NOT(ISNUMBER(A205)),"",IF(COUNTIFS('交易记录'!$S$5:$S$304,A205,'交易记录'!$X$5:$X$304,"已平仓")=0,"",SUMIFS('交易记录'!$AB$5:$AB$304,'交易记录'!$S$5:$S$304,A205,'交易记录'!$X$5:$X$304,"已平仓")))</f>
        <v/>
      </c>
      <c r="P205" s="36" t="str">
        <f>IF(NOT(ISNUMBER(O205)),"",IF(O205&lt;=-'参数'!$C$9,"触及停手线",""))</f>
        <v/>
      </c>
      <c r="Q205" s="32" t="n"/>
      <c r="R205" s="32" t="n"/>
      <c r="S205" s="32" t="n"/>
    </row>
    <row r="206">
      <c r="A206" s="42" t="str">
        <f>IF('每日复盘'!A206="","",'每日复盘'!A206)</f>
        <v/>
      </c>
      <c r="B206" s="43" t="str">
        <f>IF('每日复盘'!AA206="","",'每日复盘'!AA206)</f>
        <v/>
      </c>
      <c r="C206" s="32" t="n"/>
      <c r="D206" s="32" t="n"/>
      <c r="E206" s="32" t="n"/>
      <c r="F206" s="32" t="n"/>
      <c r="G206" s="17" t="n"/>
      <c r="H206" s="44" t="str">
        <f>IF('每日复盘'!P206="","",'每日复盘'!P206)</f>
        <v/>
      </c>
      <c r="I206" s="17" t="n"/>
      <c r="J206" s="17" t="n"/>
      <c r="K206" s="17" t="n"/>
      <c r="L206" s="44" t="str">
        <f>IF('每日复盘'!R206="","",'每日复盘'!R206)</f>
        <v/>
      </c>
      <c r="M206" s="36" t="str">
        <f>IF(OR(NOT(ISNUMBER(L206)),COUNT(H206:J206)&lt;3),"",IF(OR(AND(L206&gt;=3,H206=0),AND(L206&gt;=4,I206=0),AND(L206&gt;=5,J206=0)),"有断层","连续"))</f>
        <v/>
      </c>
      <c r="N206" s="27" t="n"/>
      <c r="O206" s="45" t="str">
        <f>IF(NOT(ISNUMBER(A206)),"",IF(COUNTIFS('交易记录'!$S$5:$S$304,A206,'交易记录'!$X$5:$X$304,"已平仓")=0,"",SUMIFS('交易记录'!$AB$5:$AB$304,'交易记录'!$S$5:$S$304,A206,'交易记录'!$X$5:$X$304,"已平仓")))</f>
        <v/>
      </c>
      <c r="P206" s="36" t="str">
        <f>IF(NOT(ISNUMBER(O206)),"",IF(O206&lt;=-'参数'!$C$9,"触及停手线",""))</f>
        <v/>
      </c>
      <c r="Q206" s="32" t="n"/>
      <c r="R206" s="32" t="n"/>
      <c r="S206" s="32" t="n"/>
    </row>
    <row r="207">
      <c r="A207" s="42" t="str">
        <f>IF('每日复盘'!A207="","",'每日复盘'!A207)</f>
        <v/>
      </c>
      <c r="B207" s="43" t="str">
        <f>IF('每日复盘'!AA207="","",'每日复盘'!AA207)</f>
        <v/>
      </c>
      <c r="C207" s="32" t="n"/>
      <c r="D207" s="32" t="n"/>
      <c r="E207" s="32" t="n"/>
      <c r="F207" s="32" t="n"/>
      <c r="G207" s="17" t="n"/>
      <c r="H207" s="44" t="str">
        <f>IF('每日复盘'!P207="","",'每日复盘'!P207)</f>
        <v/>
      </c>
      <c r="I207" s="17" t="n"/>
      <c r="J207" s="17" t="n"/>
      <c r="K207" s="17" t="n"/>
      <c r="L207" s="44" t="str">
        <f>IF('每日复盘'!R207="","",'每日复盘'!R207)</f>
        <v/>
      </c>
      <c r="M207" s="36" t="str">
        <f>IF(OR(NOT(ISNUMBER(L207)),COUNT(H207:J207)&lt;3),"",IF(OR(AND(L207&gt;=3,H207=0),AND(L207&gt;=4,I207=0),AND(L207&gt;=5,J207=0)),"有断层","连续"))</f>
        <v/>
      </c>
      <c r="N207" s="27" t="n"/>
      <c r="O207" s="45" t="str">
        <f>IF(NOT(ISNUMBER(A207)),"",IF(COUNTIFS('交易记录'!$S$5:$S$304,A207,'交易记录'!$X$5:$X$304,"已平仓")=0,"",SUMIFS('交易记录'!$AB$5:$AB$304,'交易记录'!$S$5:$S$304,A207,'交易记录'!$X$5:$X$304,"已平仓")))</f>
        <v/>
      </c>
      <c r="P207" s="36" t="str">
        <f>IF(NOT(ISNUMBER(O207)),"",IF(O207&lt;=-'参数'!$C$9,"触及停手线",""))</f>
        <v/>
      </c>
      <c r="Q207" s="32" t="n"/>
      <c r="R207" s="32" t="n"/>
      <c r="S207" s="32" t="n"/>
    </row>
    <row r="208">
      <c r="A208" s="42" t="str">
        <f>IF('每日复盘'!A208="","",'每日复盘'!A208)</f>
        <v/>
      </c>
      <c r="B208" s="43" t="str">
        <f>IF('每日复盘'!AA208="","",'每日复盘'!AA208)</f>
        <v/>
      </c>
      <c r="C208" s="32" t="n"/>
      <c r="D208" s="32" t="n"/>
      <c r="E208" s="32" t="n"/>
      <c r="F208" s="32" t="n"/>
      <c r="G208" s="17" t="n"/>
      <c r="H208" s="44" t="str">
        <f>IF('每日复盘'!P208="","",'每日复盘'!P208)</f>
        <v/>
      </c>
      <c r="I208" s="17" t="n"/>
      <c r="J208" s="17" t="n"/>
      <c r="K208" s="17" t="n"/>
      <c r="L208" s="44" t="str">
        <f>IF('每日复盘'!R208="","",'每日复盘'!R208)</f>
        <v/>
      </c>
      <c r="M208" s="36" t="str">
        <f>IF(OR(NOT(ISNUMBER(L208)),COUNT(H208:J208)&lt;3),"",IF(OR(AND(L208&gt;=3,H208=0),AND(L208&gt;=4,I208=0),AND(L208&gt;=5,J208=0)),"有断层","连续"))</f>
        <v/>
      </c>
      <c r="N208" s="27" t="n"/>
      <c r="O208" s="45" t="str">
        <f>IF(NOT(ISNUMBER(A208)),"",IF(COUNTIFS('交易记录'!$S$5:$S$304,A208,'交易记录'!$X$5:$X$304,"已平仓")=0,"",SUMIFS('交易记录'!$AB$5:$AB$304,'交易记录'!$S$5:$S$304,A208,'交易记录'!$X$5:$X$304,"已平仓")))</f>
        <v/>
      </c>
      <c r="P208" s="36" t="str">
        <f>IF(NOT(ISNUMBER(O208)),"",IF(O208&lt;=-'参数'!$C$9,"触及停手线",""))</f>
        <v/>
      </c>
      <c r="Q208" s="32" t="n"/>
      <c r="R208" s="32" t="n"/>
      <c r="S208" s="32" t="n"/>
    </row>
    <row r="209">
      <c r="A209" s="42" t="str">
        <f>IF('每日复盘'!A209="","",'每日复盘'!A209)</f>
        <v/>
      </c>
      <c r="B209" s="43" t="str">
        <f>IF('每日复盘'!AA209="","",'每日复盘'!AA209)</f>
        <v/>
      </c>
      <c r="C209" s="32" t="n"/>
      <c r="D209" s="32" t="n"/>
      <c r="E209" s="32" t="n"/>
      <c r="F209" s="32" t="n"/>
      <c r="G209" s="17" t="n"/>
      <c r="H209" s="44" t="str">
        <f>IF('每日复盘'!P209="","",'每日复盘'!P209)</f>
        <v/>
      </c>
      <c r="I209" s="17" t="n"/>
      <c r="J209" s="17" t="n"/>
      <c r="K209" s="17" t="n"/>
      <c r="L209" s="44" t="str">
        <f>IF('每日复盘'!R209="","",'每日复盘'!R209)</f>
        <v/>
      </c>
      <c r="M209" s="36" t="str">
        <f>IF(OR(NOT(ISNUMBER(L209)),COUNT(H209:J209)&lt;3),"",IF(OR(AND(L209&gt;=3,H209=0),AND(L209&gt;=4,I209=0),AND(L209&gt;=5,J209=0)),"有断层","连续"))</f>
        <v/>
      </c>
      <c r="N209" s="27" t="n"/>
      <c r="O209" s="45" t="str">
        <f>IF(NOT(ISNUMBER(A209)),"",IF(COUNTIFS('交易记录'!$S$5:$S$304,A209,'交易记录'!$X$5:$X$304,"已平仓")=0,"",SUMIFS('交易记录'!$AB$5:$AB$304,'交易记录'!$S$5:$S$304,A209,'交易记录'!$X$5:$X$304,"已平仓")))</f>
        <v/>
      </c>
      <c r="P209" s="36" t="str">
        <f>IF(NOT(ISNUMBER(O209)),"",IF(O209&lt;=-'参数'!$C$9,"触及停手线",""))</f>
        <v/>
      </c>
      <c r="Q209" s="32" t="n"/>
      <c r="R209" s="32" t="n"/>
      <c r="S209" s="32" t="n"/>
    </row>
    <row r="210">
      <c r="A210" s="42" t="str">
        <f>IF('每日复盘'!A210="","",'每日复盘'!A210)</f>
        <v/>
      </c>
      <c r="B210" s="43" t="str">
        <f>IF('每日复盘'!AA210="","",'每日复盘'!AA210)</f>
        <v/>
      </c>
      <c r="C210" s="32" t="n"/>
      <c r="D210" s="32" t="n"/>
      <c r="E210" s="32" t="n"/>
      <c r="F210" s="32" t="n"/>
      <c r="G210" s="17" t="n"/>
      <c r="H210" s="44" t="str">
        <f>IF('每日复盘'!P210="","",'每日复盘'!P210)</f>
        <v/>
      </c>
      <c r="I210" s="17" t="n"/>
      <c r="J210" s="17" t="n"/>
      <c r="K210" s="17" t="n"/>
      <c r="L210" s="44" t="str">
        <f>IF('每日复盘'!R210="","",'每日复盘'!R210)</f>
        <v/>
      </c>
      <c r="M210" s="36" t="str">
        <f>IF(OR(NOT(ISNUMBER(L210)),COUNT(H210:J210)&lt;3),"",IF(OR(AND(L210&gt;=3,H210=0),AND(L210&gt;=4,I210=0),AND(L210&gt;=5,J210=0)),"有断层","连续"))</f>
        <v/>
      </c>
      <c r="N210" s="27" t="n"/>
      <c r="O210" s="45" t="str">
        <f>IF(NOT(ISNUMBER(A210)),"",IF(COUNTIFS('交易记录'!$S$5:$S$304,A210,'交易记录'!$X$5:$X$304,"已平仓")=0,"",SUMIFS('交易记录'!$AB$5:$AB$304,'交易记录'!$S$5:$S$304,A210,'交易记录'!$X$5:$X$304,"已平仓")))</f>
        <v/>
      </c>
      <c r="P210" s="36" t="str">
        <f>IF(NOT(ISNUMBER(O210)),"",IF(O210&lt;=-'参数'!$C$9,"触及停手线",""))</f>
        <v/>
      </c>
      <c r="Q210" s="32" t="n"/>
      <c r="R210" s="32" t="n"/>
      <c r="S210" s="32" t="n"/>
    </row>
    <row r="211">
      <c r="A211" s="42" t="str">
        <f>IF('每日复盘'!A211="","",'每日复盘'!A211)</f>
        <v/>
      </c>
      <c r="B211" s="43" t="str">
        <f>IF('每日复盘'!AA211="","",'每日复盘'!AA211)</f>
        <v/>
      </c>
      <c r="C211" s="32" t="n"/>
      <c r="D211" s="32" t="n"/>
      <c r="E211" s="32" t="n"/>
      <c r="F211" s="32" t="n"/>
      <c r="G211" s="17" t="n"/>
      <c r="H211" s="44" t="str">
        <f>IF('每日复盘'!P211="","",'每日复盘'!P211)</f>
        <v/>
      </c>
      <c r="I211" s="17" t="n"/>
      <c r="J211" s="17" t="n"/>
      <c r="K211" s="17" t="n"/>
      <c r="L211" s="44" t="str">
        <f>IF('每日复盘'!R211="","",'每日复盘'!R211)</f>
        <v/>
      </c>
      <c r="M211" s="36" t="str">
        <f>IF(OR(NOT(ISNUMBER(L211)),COUNT(H211:J211)&lt;3),"",IF(OR(AND(L211&gt;=3,H211=0),AND(L211&gt;=4,I211=0),AND(L211&gt;=5,J211=0)),"有断层","连续"))</f>
        <v/>
      </c>
      <c r="N211" s="27" t="n"/>
      <c r="O211" s="45" t="str">
        <f>IF(NOT(ISNUMBER(A211)),"",IF(COUNTIFS('交易记录'!$S$5:$S$304,A211,'交易记录'!$X$5:$X$304,"已平仓")=0,"",SUMIFS('交易记录'!$AB$5:$AB$304,'交易记录'!$S$5:$S$304,A211,'交易记录'!$X$5:$X$304,"已平仓")))</f>
        <v/>
      </c>
      <c r="P211" s="36" t="str">
        <f>IF(NOT(ISNUMBER(O211)),"",IF(O211&lt;=-'参数'!$C$9,"触及停手线",""))</f>
        <v/>
      </c>
      <c r="Q211" s="32" t="n"/>
      <c r="R211" s="32" t="n"/>
      <c r="S211" s="32" t="n"/>
    </row>
    <row r="212">
      <c r="A212" s="42" t="str">
        <f>IF('每日复盘'!A212="","",'每日复盘'!A212)</f>
        <v/>
      </c>
      <c r="B212" s="43" t="str">
        <f>IF('每日复盘'!AA212="","",'每日复盘'!AA212)</f>
        <v/>
      </c>
      <c r="C212" s="32" t="n"/>
      <c r="D212" s="32" t="n"/>
      <c r="E212" s="32" t="n"/>
      <c r="F212" s="32" t="n"/>
      <c r="G212" s="17" t="n"/>
      <c r="H212" s="44" t="str">
        <f>IF('每日复盘'!P212="","",'每日复盘'!P212)</f>
        <v/>
      </c>
      <c r="I212" s="17" t="n"/>
      <c r="J212" s="17" t="n"/>
      <c r="K212" s="17" t="n"/>
      <c r="L212" s="44" t="str">
        <f>IF('每日复盘'!R212="","",'每日复盘'!R212)</f>
        <v/>
      </c>
      <c r="M212" s="36" t="str">
        <f>IF(OR(NOT(ISNUMBER(L212)),COUNT(H212:J212)&lt;3),"",IF(OR(AND(L212&gt;=3,H212=0),AND(L212&gt;=4,I212=0),AND(L212&gt;=5,J212=0)),"有断层","连续"))</f>
        <v/>
      </c>
      <c r="N212" s="27" t="n"/>
      <c r="O212" s="45" t="str">
        <f>IF(NOT(ISNUMBER(A212)),"",IF(COUNTIFS('交易记录'!$S$5:$S$304,A212,'交易记录'!$X$5:$X$304,"已平仓")=0,"",SUMIFS('交易记录'!$AB$5:$AB$304,'交易记录'!$S$5:$S$304,A212,'交易记录'!$X$5:$X$304,"已平仓")))</f>
        <v/>
      </c>
      <c r="P212" s="36" t="str">
        <f>IF(NOT(ISNUMBER(O212)),"",IF(O212&lt;=-'参数'!$C$9,"触及停手线",""))</f>
        <v/>
      </c>
      <c r="Q212" s="32" t="n"/>
      <c r="R212" s="32" t="n"/>
      <c r="S212" s="32" t="n"/>
    </row>
    <row r="213">
      <c r="A213" s="42" t="str">
        <f>IF('每日复盘'!A213="","",'每日复盘'!A213)</f>
        <v/>
      </c>
      <c r="B213" s="43" t="str">
        <f>IF('每日复盘'!AA213="","",'每日复盘'!AA213)</f>
        <v/>
      </c>
      <c r="C213" s="32" t="n"/>
      <c r="D213" s="32" t="n"/>
      <c r="E213" s="32" t="n"/>
      <c r="F213" s="32" t="n"/>
      <c r="G213" s="17" t="n"/>
      <c r="H213" s="44" t="str">
        <f>IF('每日复盘'!P213="","",'每日复盘'!P213)</f>
        <v/>
      </c>
      <c r="I213" s="17" t="n"/>
      <c r="J213" s="17" t="n"/>
      <c r="K213" s="17" t="n"/>
      <c r="L213" s="44" t="str">
        <f>IF('每日复盘'!R213="","",'每日复盘'!R213)</f>
        <v/>
      </c>
      <c r="M213" s="36" t="str">
        <f>IF(OR(NOT(ISNUMBER(L213)),COUNT(H213:J213)&lt;3),"",IF(OR(AND(L213&gt;=3,H213=0),AND(L213&gt;=4,I213=0),AND(L213&gt;=5,J213=0)),"有断层","连续"))</f>
        <v/>
      </c>
      <c r="N213" s="27" t="n"/>
      <c r="O213" s="45" t="str">
        <f>IF(NOT(ISNUMBER(A213)),"",IF(COUNTIFS('交易记录'!$S$5:$S$304,A213,'交易记录'!$X$5:$X$304,"已平仓")=0,"",SUMIFS('交易记录'!$AB$5:$AB$304,'交易记录'!$S$5:$S$304,A213,'交易记录'!$X$5:$X$304,"已平仓")))</f>
        <v/>
      </c>
      <c r="P213" s="36" t="str">
        <f>IF(NOT(ISNUMBER(O213)),"",IF(O213&lt;=-'参数'!$C$9,"触及停手线",""))</f>
        <v/>
      </c>
      <c r="Q213" s="32" t="n"/>
      <c r="R213" s="32" t="n"/>
      <c r="S213" s="32" t="n"/>
    </row>
    <row r="214">
      <c r="A214" s="42" t="str">
        <f>IF('每日复盘'!A214="","",'每日复盘'!A214)</f>
        <v/>
      </c>
      <c r="B214" s="43" t="str">
        <f>IF('每日复盘'!AA214="","",'每日复盘'!AA214)</f>
        <v/>
      </c>
      <c r="C214" s="32" t="n"/>
      <c r="D214" s="32" t="n"/>
      <c r="E214" s="32" t="n"/>
      <c r="F214" s="32" t="n"/>
      <c r="G214" s="17" t="n"/>
      <c r="H214" s="44" t="str">
        <f>IF('每日复盘'!P214="","",'每日复盘'!P214)</f>
        <v/>
      </c>
      <c r="I214" s="17" t="n"/>
      <c r="J214" s="17" t="n"/>
      <c r="K214" s="17" t="n"/>
      <c r="L214" s="44" t="str">
        <f>IF('每日复盘'!R214="","",'每日复盘'!R214)</f>
        <v/>
      </c>
      <c r="M214" s="36" t="str">
        <f>IF(OR(NOT(ISNUMBER(L214)),COUNT(H214:J214)&lt;3),"",IF(OR(AND(L214&gt;=3,H214=0),AND(L214&gt;=4,I214=0),AND(L214&gt;=5,J214=0)),"有断层","连续"))</f>
        <v/>
      </c>
      <c r="N214" s="27" t="n"/>
      <c r="O214" s="45" t="str">
        <f>IF(NOT(ISNUMBER(A214)),"",IF(COUNTIFS('交易记录'!$S$5:$S$304,A214,'交易记录'!$X$5:$X$304,"已平仓")=0,"",SUMIFS('交易记录'!$AB$5:$AB$304,'交易记录'!$S$5:$S$304,A214,'交易记录'!$X$5:$X$304,"已平仓")))</f>
        <v/>
      </c>
      <c r="P214" s="36" t="str">
        <f>IF(NOT(ISNUMBER(O214)),"",IF(O214&lt;=-'参数'!$C$9,"触及停手线",""))</f>
        <v/>
      </c>
      <c r="Q214" s="32" t="n"/>
      <c r="R214" s="32" t="n"/>
      <c r="S214" s="32" t="n"/>
    </row>
    <row r="215">
      <c r="A215" s="42" t="str">
        <f>IF('每日复盘'!A215="","",'每日复盘'!A215)</f>
        <v/>
      </c>
      <c r="B215" s="43" t="str">
        <f>IF('每日复盘'!AA215="","",'每日复盘'!AA215)</f>
        <v/>
      </c>
      <c r="C215" s="32" t="n"/>
      <c r="D215" s="32" t="n"/>
      <c r="E215" s="32" t="n"/>
      <c r="F215" s="32" t="n"/>
      <c r="G215" s="17" t="n"/>
      <c r="H215" s="44" t="str">
        <f>IF('每日复盘'!P215="","",'每日复盘'!P215)</f>
        <v/>
      </c>
      <c r="I215" s="17" t="n"/>
      <c r="J215" s="17" t="n"/>
      <c r="K215" s="17" t="n"/>
      <c r="L215" s="44" t="str">
        <f>IF('每日复盘'!R215="","",'每日复盘'!R215)</f>
        <v/>
      </c>
      <c r="M215" s="36" t="str">
        <f>IF(OR(NOT(ISNUMBER(L215)),COUNT(H215:J215)&lt;3),"",IF(OR(AND(L215&gt;=3,H215=0),AND(L215&gt;=4,I215=0),AND(L215&gt;=5,J215=0)),"有断层","连续"))</f>
        <v/>
      </c>
      <c r="N215" s="27" t="n"/>
      <c r="O215" s="45" t="str">
        <f>IF(NOT(ISNUMBER(A215)),"",IF(COUNTIFS('交易记录'!$S$5:$S$304,A215,'交易记录'!$X$5:$X$304,"已平仓")=0,"",SUMIFS('交易记录'!$AB$5:$AB$304,'交易记录'!$S$5:$S$304,A215,'交易记录'!$X$5:$X$304,"已平仓")))</f>
        <v/>
      </c>
      <c r="P215" s="36" t="str">
        <f>IF(NOT(ISNUMBER(O215)),"",IF(O215&lt;=-'参数'!$C$9,"触及停手线",""))</f>
        <v/>
      </c>
      <c r="Q215" s="32" t="n"/>
      <c r="R215" s="32" t="n"/>
      <c r="S215" s="32" t="n"/>
    </row>
    <row r="216">
      <c r="A216" s="42" t="str">
        <f>IF('每日复盘'!A216="","",'每日复盘'!A216)</f>
        <v/>
      </c>
      <c r="B216" s="43" t="str">
        <f>IF('每日复盘'!AA216="","",'每日复盘'!AA216)</f>
        <v/>
      </c>
      <c r="C216" s="32" t="n"/>
      <c r="D216" s="32" t="n"/>
      <c r="E216" s="32" t="n"/>
      <c r="F216" s="32" t="n"/>
      <c r="G216" s="17" t="n"/>
      <c r="H216" s="44" t="str">
        <f>IF('每日复盘'!P216="","",'每日复盘'!P216)</f>
        <v/>
      </c>
      <c r="I216" s="17" t="n"/>
      <c r="J216" s="17" t="n"/>
      <c r="K216" s="17" t="n"/>
      <c r="L216" s="44" t="str">
        <f>IF('每日复盘'!R216="","",'每日复盘'!R216)</f>
        <v/>
      </c>
      <c r="M216" s="36" t="str">
        <f>IF(OR(NOT(ISNUMBER(L216)),COUNT(H216:J216)&lt;3),"",IF(OR(AND(L216&gt;=3,H216=0),AND(L216&gt;=4,I216=0),AND(L216&gt;=5,J216=0)),"有断层","连续"))</f>
        <v/>
      </c>
      <c r="N216" s="27" t="n"/>
      <c r="O216" s="45" t="str">
        <f>IF(NOT(ISNUMBER(A216)),"",IF(COUNTIFS('交易记录'!$S$5:$S$304,A216,'交易记录'!$X$5:$X$304,"已平仓")=0,"",SUMIFS('交易记录'!$AB$5:$AB$304,'交易记录'!$S$5:$S$304,A216,'交易记录'!$X$5:$X$304,"已平仓")))</f>
        <v/>
      </c>
      <c r="P216" s="36" t="str">
        <f>IF(NOT(ISNUMBER(O216)),"",IF(O216&lt;=-'参数'!$C$9,"触及停手线",""))</f>
        <v/>
      </c>
      <c r="Q216" s="32" t="n"/>
      <c r="R216" s="32" t="n"/>
      <c r="S216" s="32" t="n"/>
    </row>
    <row r="217">
      <c r="A217" s="42" t="str">
        <f>IF('每日复盘'!A217="","",'每日复盘'!A217)</f>
        <v/>
      </c>
      <c r="B217" s="43" t="str">
        <f>IF('每日复盘'!AA217="","",'每日复盘'!AA217)</f>
        <v/>
      </c>
      <c r="C217" s="32" t="n"/>
      <c r="D217" s="32" t="n"/>
      <c r="E217" s="32" t="n"/>
      <c r="F217" s="32" t="n"/>
      <c r="G217" s="17" t="n"/>
      <c r="H217" s="44" t="str">
        <f>IF('每日复盘'!P217="","",'每日复盘'!P217)</f>
        <v/>
      </c>
      <c r="I217" s="17" t="n"/>
      <c r="J217" s="17" t="n"/>
      <c r="K217" s="17" t="n"/>
      <c r="L217" s="44" t="str">
        <f>IF('每日复盘'!R217="","",'每日复盘'!R217)</f>
        <v/>
      </c>
      <c r="M217" s="36" t="str">
        <f>IF(OR(NOT(ISNUMBER(L217)),COUNT(H217:J217)&lt;3),"",IF(OR(AND(L217&gt;=3,H217=0),AND(L217&gt;=4,I217=0),AND(L217&gt;=5,J217=0)),"有断层","连续"))</f>
        <v/>
      </c>
      <c r="N217" s="27" t="n"/>
      <c r="O217" s="45" t="str">
        <f>IF(NOT(ISNUMBER(A217)),"",IF(COUNTIFS('交易记录'!$S$5:$S$304,A217,'交易记录'!$X$5:$X$304,"已平仓")=0,"",SUMIFS('交易记录'!$AB$5:$AB$304,'交易记录'!$S$5:$S$304,A217,'交易记录'!$X$5:$X$304,"已平仓")))</f>
        <v/>
      </c>
      <c r="P217" s="36" t="str">
        <f>IF(NOT(ISNUMBER(O217)),"",IF(O217&lt;=-'参数'!$C$9,"触及停手线",""))</f>
        <v/>
      </c>
      <c r="Q217" s="32" t="n"/>
      <c r="R217" s="32" t="n"/>
      <c r="S217" s="32" t="n"/>
    </row>
    <row r="218">
      <c r="A218" s="42" t="str">
        <f>IF('每日复盘'!A218="","",'每日复盘'!A218)</f>
        <v/>
      </c>
      <c r="B218" s="43" t="str">
        <f>IF('每日复盘'!AA218="","",'每日复盘'!AA218)</f>
        <v/>
      </c>
      <c r="C218" s="32" t="n"/>
      <c r="D218" s="32" t="n"/>
      <c r="E218" s="32" t="n"/>
      <c r="F218" s="32" t="n"/>
      <c r="G218" s="17" t="n"/>
      <c r="H218" s="44" t="str">
        <f>IF('每日复盘'!P218="","",'每日复盘'!P218)</f>
        <v/>
      </c>
      <c r="I218" s="17" t="n"/>
      <c r="J218" s="17" t="n"/>
      <c r="K218" s="17" t="n"/>
      <c r="L218" s="44" t="str">
        <f>IF('每日复盘'!R218="","",'每日复盘'!R218)</f>
        <v/>
      </c>
      <c r="M218" s="36" t="str">
        <f>IF(OR(NOT(ISNUMBER(L218)),COUNT(H218:J218)&lt;3),"",IF(OR(AND(L218&gt;=3,H218=0),AND(L218&gt;=4,I218=0),AND(L218&gt;=5,J218=0)),"有断层","连续"))</f>
        <v/>
      </c>
      <c r="N218" s="27" t="n"/>
      <c r="O218" s="45" t="str">
        <f>IF(NOT(ISNUMBER(A218)),"",IF(COUNTIFS('交易记录'!$S$5:$S$304,A218,'交易记录'!$X$5:$X$304,"已平仓")=0,"",SUMIFS('交易记录'!$AB$5:$AB$304,'交易记录'!$S$5:$S$304,A218,'交易记录'!$X$5:$X$304,"已平仓")))</f>
        <v/>
      </c>
      <c r="P218" s="36" t="str">
        <f>IF(NOT(ISNUMBER(O218)),"",IF(O218&lt;=-'参数'!$C$9,"触及停手线",""))</f>
        <v/>
      </c>
      <c r="Q218" s="32" t="n"/>
      <c r="R218" s="32" t="n"/>
      <c r="S218" s="32" t="n"/>
    </row>
    <row r="219">
      <c r="A219" s="42" t="str">
        <f>IF('每日复盘'!A219="","",'每日复盘'!A219)</f>
        <v/>
      </c>
      <c r="B219" s="43" t="str">
        <f>IF('每日复盘'!AA219="","",'每日复盘'!AA219)</f>
        <v/>
      </c>
      <c r="C219" s="32" t="n"/>
      <c r="D219" s="32" t="n"/>
      <c r="E219" s="32" t="n"/>
      <c r="F219" s="32" t="n"/>
      <c r="G219" s="17" t="n"/>
      <c r="H219" s="44" t="str">
        <f>IF('每日复盘'!P219="","",'每日复盘'!P219)</f>
        <v/>
      </c>
      <c r="I219" s="17" t="n"/>
      <c r="J219" s="17" t="n"/>
      <c r="K219" s="17" t="n"/>
      <c r="L219" s="44" t="str">
        <f>IF('每日复盘'!R219="","",'每日复盘'!R219)</f>
        <v/>
      </c>
      <c r="M219" s="36" t="str">
        <f>IF(OR(NOT(ISNUMBER(L219)),COUNT(H219:J219)&lt;3),"",IF(OR(AND(L219&gt;=3,H219=0),AND(L219&gt;=4,I219=0),AND(L219&gt;=5,J219=0)),"有断层","连续"))</f>
        <v/>
      </c>
      <c r="N219" s="27" t="n"/>
      <c r="O219" s="45" t="str">
        <f>IF(NOT(ISNUMBER(A219)),"",IF(COUNTIFS('交易记录'!$S$5:$S$304,A219,'交易记录'!$X$5:$X$304,"已平仓")=0,"",SUMIFS('交易记录'!$AB$5:$AB$304,'交易记录'!$S$5:$S$304,A219,'交易记录'!$X$5:$X$304,"已平仓")))</f>
        <v/>
      </c>
      <c r="P219" s="36" t="str">
        <f>IF(NOT(ISNUMBER(O219)),"",IF(O219&lt;=-'参数'!$C$9,"触及停手线",""))</f>
        <v/>
      </c>
      <c r="Q219" s="32" t="n"/>
      <c r="R219" s="32" t="n"/>
      <c r="S219" s="32" t="n"/>
    </row>
    <row r="220">
      <c r="A220" s="42" t="str">
        <f>IF('每日复盘'!A220="","",'每日复盘'!A220)</f>
        <v/>
      </c>
      <c r="B220" s="43" t="str">
        <f>IF('每日复盘'!AA220="","",'每日复盘'!AA220)</f>
        <v/>
      </c>
      <c r="C220" s="32" t="n"/>
      <c r="D220" s="32" t="n"/>
      <c r="E220" s="32" t="n"/>
      <c r="F220" s="32" t="n"/>
      <c r="G220" s="17" t="n"/>
      <c r="H220" s="44" t="str">
        <f>IF('每日复盘'!P220="","",'每日复盘'!P220)</f>
        <v/>
      </c>
      <c r="I220" s="17" t="n"/>
      <c r="J220" s="17" t="n"/>
      <c r="K220" s="17" t="n"/>
      <c r="L220" s="44" t="str">
        <f>IF('每日复盘'!R220="","",'每日复盘'!R220)</f>
        <v/>
      </c>
      <c r="M220" s="36" t="str">
        <f>IF(OR(NOT(ISNUMBER(L220)),COUNT(H220:J220)&lt;3),"",IF(OR(AND(L220&gt;=3,H220=0),AND(L220&gt;=4,I220=0),AND(L220&gt;=5,J220=0)),"有断层","连续"))</f>
        <v/>
      </c>
      <c r="N220" s="27" t="n"/>
      <c r="O220" s="45" t="str">
        <f>IF(NOT(ISNUMBER(A220)),"",IF(COUNTIFS('交易记录'!$S$5:$S$304,A220,'交易记录'!$X$5:$X$304,"已平仓")=0,"",SUMIFS('交易记录'!$AB$5:$AB$304,'交易记录'!$S$5:$S$304,A220,'交易记录'!$X$5:$X$304,"已平仓")))</f>
        <v/>
      </c>
      <c r="P220" s="36" t="str">
        <f>IF(NOT(ISNUMBER(O220)),"",IF(O220&lt;=-'参数'!$C$9,"触及停手线",""))</f>
        <v/>
      </c>
      <c r="Q220" s="32" t="n"/>
      <c r="R220" s="32" t="n"/>
      <c r="S220" s="32" t="n"/>
    </row>
    <row r="221">
      <c r="A221" s="42" t="str">
        <f>IF('每日复盘'!A221="","",'每日复盘'!A221)</f>
        <v/>
      </c>
      <c r="B221" s="43" t="str">
        <f>IF('每日复盘'!AA221="","",'每日复盘'!AA221)</f>
        <v/>
      </c>
      <c r="C221" s="32" t="n"/>
      <c r="D221" s="32" t="n"/>
      <c r="E221" s="32" t="n"/>
      <c r="F221" s="32" t="n"/>
      <c r="G221" s="17" t="n"/>
      <c r="H221" s="44" t="str">
        <f>IF('每日复盘'!P221="","",'每日复盘'!P221)</f>
        <v/>
      </c>
      <c r="I221" s="17" t="n"/>
      <c r="J221" s="17" t="n"/>
      <c r="K221" s="17" t="n"/>
      <c r="L221" s="44" t="str">
        <f>IF('每日复盘'!R221="","",'每日复盘'!R221)</f>
        <v/>
      </c>
      <c r="M221" s="36" t="str">
        <f>IF(OR(NOT(ISNUMBER(L221)),COUNT(H221:J221)&lt;3),"",IF(OR(AND(L221&gt;=3,H221=0),AND(L221&gt;=4,I221=0),AND(L221&gt;=5,J221=0)),"有断层","连续"))</f>
        <v/>
      </c>
      <c r="N221" s="27" t="n"/>
      <c r="O221" s="45" t="str">
        <f>IF(NOT(ISNUMBER(A221)),"",IF(COUNTIFS('交易记录'!$S$5:$S$304,A221,'交易记录'!$X$5:$X$304,"已平仓")=0,"",SUMIFS('交易记录'!$AB$5:$AB$304,'交易记录'!$S$5:$S$304,A221,'交易记录'!$X$5:$X$304,"已平仓")))</f>
        <v/>
      </c>
      <c r="P221" s="36" t="str">
        <f>IF(NOT(ISNUMBER(O221)),"",IF(O221&lt;=-'参数'!$C$9,"触及停手线",""))</f>
        <v/>
      </c>
      <c r="Q221" s="32" t="n"/>
      <c r="R221" s="32" t="n"/>
      <c r="S221" s="32" t="n"/>
    </row>
    <row r="222">
      <c r="A222" s="42" t="str">
        <f>IF('每日复盘'!A222="","",'每日复盘'!A222)</f>
        <v/>
      </c>
      <c r="B222" s="43" t="str">
        <f>IF('每日复盘'!AA222="","",'每日复盘'!AA222)</f>
        <v/>
      </c>
      <c r="C222" s="32" t="n"/>
      <c r="D222" s="32" t="n"/>
      <c r="E222" s="32" t="n"/>
      <c r="F222" s="32" t="n"/>
      <c r="G222" s="17" t="n"/>
      <c r="H222" s="44" t="str">
        <f>IF('每日复盘'!P222="","",'每日复盘'!P222)</f>
        <v/>
      </c>
      <c r="I222" s="17" t="n"/>
      <c r="J222" s="17" t="n"/>
      <c r="K222" s="17" t="n"/>
      <c r="L222" s="44" t="str">
        <f>IF('每日复盘'!R222="","",'每日复盘'!R222)</f>
        <v/>
      </c>
      <c r="M222" s="36" t="str">
        <f>IF(OR(NOT(ISNUMBER(L222)),COUNT(H222:J222)&lt;3),"",IF(OR(AND(L222&gt;=3,H222=0),AND(L222&gt;=4,I222=0),AND(L222&gt;=5,J222=0)),"有断层","连续"))</f>
        <v/>
      </c>
      <c r="N222" s="27" t="n"/>
      <c r="O222" s="45" t="str">
        <f>IF(NOT(ISNUMBER(A222)),"",IF(COUNTIFS('交易记录'!$S$5:$S$304,A222,'交易记录'!$X$5:$X$304,"已平仓")=0,"",SUMIFS('交易记录'!$AB$5:$AB$304,'交易记录'!$S$5:$S$304,A222,'交易记录'!$X$5:$X$304,"已平仓")))</f>
        <v/>
      </c>
      <c r="P222" s="36" t="str">
        <f>IF(NOT(ISNUMBER(O222)),"",IF(O222&lt;=-'参数'!$C$9,"触及停手线",""))</f>
        <v/>
      </c>
      <c r="Q222" s="32" t="n"/>
      <c r="R222" s="32" t="n"/>
      <c r="S222" s="32" t="n"/>
    </row>
    <row r="223">
      <c r="A223" s="42" t="str">
        <f>IF('每日复盘'!A223="","",'每日复盘'!A223)</f>
        <v/>
      </c>
      <c r="B223" s="43" t="str">
        <f>IF('每日复盘'!AA223="","",'每日复盘'!AA223)</f>
        <v/>
      </c>
      <c r="C223" s="32" t="n"/>
      <c r="D223" s="32" t="n"/>
      <c r="E223" s="32" t="n"/>
      <c r="F223" s="32" t="n"/>
      <c r="G223" s="17" t="n"/>
      <c r="H223" s="44" t="str">
        <f>IF('每日复盘'!P223="","",'每日复盘'!P223)</f>
        <v/>
      </c>
      <c r="I223" s="17" t="n"/>
      <c r="J223" s="17" t="n"/>
      <c r="K223" s="17" t="n"/>
      <c r="L223" s="44" t="str">
        <f>IF('每日复盘'!R223="","",'每日复盘'!R223)</f>
        <v/>
      </c>
      <c r="M223" s="36" t="str">
        <f>IF(OR(NOT(ISNUMBER(L223)),COUNT(H223:J223)&lt;3),"",IF(OR(AND(L223&gt;=3,H223=0),AND(L223&gt;=4,I223=0),AND(L223&gt;=5,J223=0)),"有断层","连续"))</f>
        <v/>
      </c>
      <c r="N223" s="27" t="n"/>
      <c r="O223" s="45" t="str">
        <f>IF(NOT(ISNUMBER(A223)),"",IF(COUNTIFS('交易记录'!$S$5:$S$304,A223,'交易记录'!$X$5:$X$304,"已平仓")=0,"",SUMIFS('交易记录'!$AB$5:$AB$304,'交易记录'!$S$5:$S$304,A223,'交易记录'!$X$5:$X$304,"已平仓")))</f>
        <v/>
      </c>
      <c r="P223" s="36" t="str">
        <f>IF(NOT(ISNUMBER(O223)),"",IF(O223&lt;=-'参数'!$C$9,"触及停手线",""))</f>
        <v/>
      </c>
      <c r="Q223" s="32" t="n"/>
      <c r="R223" s="32" t="n"/>
      <c r="S223" s="32" t="n"/>
    </row>
    <row r="224">
      <c r="A224" s="42" t="str">
        <f>IF('每日复盘'!A224="","",'每日复盘'!A224)</f>
        <v/>
      </c>
      <c r="B224" s="43" t="str">
        <f>IF('每日复盘'!AA224="","",'每日复盘'!AA224)</f>
        <v/>
      </c>
      <c r="C224" s="32" t="n"/>
      <c r="D224" s="32" t="n"/>
      <c r="E224" s="32" t="n"/>
      <c r="F224" s="32" t="n"/>
      <c r="G224" s="17" t="n"/>
      <c r="H224" s="44" t="str">
        <f>IF('每日复盘'!P224="","",'每日复盘'!P224)</f>
        <v/>
      </c>
      <c r="I224" s="17" t="n"/>
      <c r="J224" s="17" t="n"/>
      <c r="K224" s="17" t="n"/>
      <c r="L224" s="44" t="str">
        <f>IF('每日复盘'!R224="","",'每日复盘'!R224)</f>
        <v/>
      </c>
      <c r="M224" s="36" t="str">
        <f>IF(OR(NOT(ISNUMBER(L224)),COUNT(H224:J224)&lt;3),"",IF(OR(AND(L224&gt;=3,H224=0),AND(L224&gt;=4,I224=0),AND(L224&gt;=5,J224=0)),"有断层","连续"))</f>
        <v/>
      </c>
      <c r="N224" s="27" t="n"/>
      <c r="O224" s="45" t="str">
        <f>IF(NOT(ISNUMBER(A224)),"",IF(COUNTIFS('交易记录'!$S$5:$S$304,A224,'交易记录'!$X$5:$X$304,"已平仓")=0,"",SUMIFS('交易记录'!$AB$5:$AB$304,'交易记录'!$S$5:$S$304,A224,'交易记录'!$X$5:$X$304,"已平仓")))</f>
        <v/>
      </c>
      <c r="P224" s="36" t="str">
        <f>IF(NOT(ISNUMBER(O224)),"",IF(O224&lt;=-'参数'!$C$9,"触及停手线",""))</f>
        <v/>
      </c>
      <c r="Q224" s="32" t="n"/>
      <c r="R224" s="32" t="n"/>
      <c r="S224" s="32" t="n"/>
    </row>
    <row r="225">
      <c r="A225" s="42" t="str">
        <f>IF('每日复盘'!A225="","",'每日复盘'!A225)</f>
        <v/>
      </c>
      <c r="B225" s="43" t="str">
        <f>IF('每日复盘'!AA225="","",'每日复盘'!AA225)</f>
        <v/>
      </c>
      <c r="C225" s="32" t="n"/>
      <c r="D225" s="32" t="n"/>
      <c r="E225" s="32" t="n"/>
      <c r="F225" s="32" t="n"/>
      <c r="G225" s="17" t="n"/>
      <c r="H225" s="44" t="str">
        <f>IF('每日复盘'!P225="","",'每日复盘'!P225)</f>
        <v/>
      </c>
      <c r="I225" s="17" t="n"/>
      <c r="J225" s="17" t="n"/>
      <c r="K225" s="17" t="n"/>
      <c r="L225" s="44" t="str">
        <f>IF('每日复盘'!R225="","",'每日复盘'!R225)</f>
        <v/>
      </c>
      <c r="M225" s="36" t="str">
        <f>IF(OR(NOT(ISNUMBER(L225)),COUNT(H225:J225)&lt;3),"",IF(OR(AND(L225&gt;=3,H225=0),AND(L225&gt;=4,I225=0),AND(L225&gt;=5,J225=0)),"有断层","连续"))</f>
        <v/>
      </c>
      <c r="N225" s="27" t="n"/>
      <c r="O225" s="45" t="str">
        <f>IF(NOT(ISNUMBER(A225)),"",IF(COUNTIFS('交易记录'!$S$5:$S$304,A225,'交易记录'!$X$5:$X$304,"已平仓")=0,"",SUMIFS('交易记录'!$AB$5:$AB$304,'交易记录'!$S$5:$S$304,A225,'交易记录'!$X$5:$X$304,"已平仓")))</f>
        <v/>
      </c>
      <c r="P225" s="36" t="str">
        <f>IF(NOT(ISNUMBER(O225)),"",IF(O225&lt;=-'参数'!$C$9,"触及停手线",""))</f>
        <v/>
      </c>
      <c r="Q225" s="32" t="n"/>
      <c r="R225" s="32" t="n"/>
      <c r="S225" s="32" t="n"/>
    </row>
    <row r="226">
      <c r="A226" s="42" t="str">
        <f>IF('每日复盘'!A226="","",'每日复盘'!A226)</f>
        <v/>
      </c>
      <c r="B226" s="43" t="str">
        <f>IF('每日复盘'!AA226="","",'每日复盘'!AA226)</f>
        <v/>
      </c>
      <c r="C226" s="32" t="n"/>
      <c r="D226" s="32" t="n"/>
      <c r="E226" s="32" t="n"/>
      <c r="F226" s="32" t="n"/>
      <c r="G226" s="17" t="n"/>
      <c r="H226" s="44" t="str">
        <f>IF('每日复盘'!P226="","",'每日复盘'!P226)</f>
        <v/>
      </c>
      <c r="I226" s="17" t="n"/>
      <c r="J226" s="17" t="n"/>
      <c r="K226" s="17" t="n"/>
      <c r="L226" s="44" t="str">
        <f>IF('每日复盘'!R226="","",'每日复盘'!R226)</f>
        <v/>
      </c>
      <c r="M226" s="36" t="str">
        <f>IF(OR(NOT(ISNUMBER(L226)),COUNT(H226:J226)&lt;3),"",IF(OR(AND(L226&gt;=3,H226=0),AND(L226&gt;=4,I226=0),AND(L226&gt;=5,J226=0)),"有断层","连续"))</f>
        <v/>
      </c>
      <c r="N226" s="27" t="n"/>
      <c r="O226" s="45" t="str">
        <f>IF(NOT(ISNUMBER(A226)),"",IF(COUNTIFS('交易记录'!$S$5:$S$304,A226,'交易记录'!$X$5:$X$304,"已平仓")=0,"",SUMIFS('交易记录'!$AB$5:$AB$304,'交易记录'!$S$5:$S$304,A226,'交易记录'!$X$5:$X$304,"已平仓")))</f>
        <v/>
      </c>
      <c r="P226" s="36" t="str">
        <f>IF(NOT(ISNUMBER(O226)),"",IF(O226&lt;=-'参数'!$C$9,"触及停手线",""))</f>
        <v/>
      </c>
      <c r="Q226" s="32" t="n"/>
      <c r="R226" s="32" t="n"/>
      <c r="S226" s="32" t="n"/>
    </row>
    <row r="227">
      <c r="A227" s="42" t="str">
        <f>IF('每日复盘'!A227="","",'每日复盘'!A227)</f>
        <v/>
      </c>
      <c r="B227" s="43" t="str">
        <f>IF('每日复盘'!AA227="","",'每日复盘'!AA227)</f>
        <v/>
      </c>
      <c r="C227" s="32" t="n"/>
      <c r="D227" s="32" t="n"/>
      <c r="E227" s="32" t="n"/>
      <c r="F227" s="32" t="n"/>
      <c r="G227" s="17" t="n"/>
      <c r="H227" s="44" t="str">
        <f>IF('每日复盘'!P227="","",'每日复盘'!P227)</f>
        <v/>
      </c>
      <c r="I227" s="17" t="n"/>
      <c r="J227" s="17" t="n"/>
      <c r="K227" s="17" t="n"/>
      <c r="L227" s="44" t="str">
        <f>IF('每日复盘'!R227="","",'每日复盘'!R227)</f>
        <v/>
      </c>
      <c r="M227" s="36" t="str">
        <f>IF(OR(NOT(ISNUMBER(L227)),COUNT(H227:J227)&lt;3),"",IF(OR(AND(L227&gt;=3,H227=0),AND(L227&gt;=4,I227=0),AND(L227&gt;=5,J227=0)),"有断层","连续"))</f>
        <v/>
      </c>
      <c r="N227" s="27" t="n"/>
      <c r="O227" s="45" t="str">
        <f>IF(NOT(ISNUMBER(A227)),"",IF(COUNTIFS('交易记录'!$S$5:$S$304,A227,'交易记录'!$X$5:$X$304,"已平仓")=0,"",SUMIFS('交易记录'!$AB$5:$AB$304,'交易记录'!$S$5:$S$304,A227,'交易记录'!$X$5:$X$304,"已平仓")))</f>
        <v/>
      </c>
      <c r="P227" s="36" t="str">
        <f>IF(NOT(ISNUMBER(O227)),"",IF(O227&lt;=-'参数'!$C$9,"触及停手线",""))</f>
        <v/>
      </c>
      <c r="Q227" s="32" t="n"/>
      <c r="R227" s="32" t="n"/>
      <c r="S227" s="32" t="n"/>
    </row>
    <row r="228">
      <c r="A228" s="42" t="str">
        <f>IF('每日复盘'!A228="","",'每日复盘'!A228)</f>
        <v/>
      </c>
      <c r="B228" s="43" t="str">
        <f>IF('每日复盘'!AA228="","",'每日复盘'!AA228)</f>
        <v/>
      </c>
      <c r="C228" s="32" t="n"/>
      <c r="D228" s="32" t="n"/>
      <c r="E228" s="32" t="n"/>
      <c r="F228" s="32" t="n"/>
      <c r="G228" s="17" t="n"/>
      <c r="H228" s="44" t="str">
        <f>IF('每日复盘'!P228="","",'每日复盘'!P228)</f>
        <v/>
      </c>
      <c r="I228" s="17" t="n"/>
      <c r="J228" s="17" t="n"/>
      <c r="K228" s="17" t="n"/>
      <c r="L228" s="44" t="str">
        <f>IF('每日复盘'!R228="","",'每日复盘'!R228)</f>
        <v/>
      </c>
      <c r="M228" s="36" t="str">
        <f>IF(OR(NOT(ISNUMBER(L228)),COUNT(H228:J228)&lt;3),"",IF(OR(AND(L228&gt;=3,H228=0),AND(L228&gt;=4,I228=0),AND(L228&gt;=5,J228=0)),"有断层","连续"))</f>
        <v/>
      </c>
      <c r="N228" s="27" t="n"/>
      <c r="O228" s="45" t="str">
        <f>IF(NOT(ISNUMBER(A228)),"",IF(COUNTIFS('交易记录'!$S$5:$S$304,A228,'交易记录'!$X$5:$X$304,"已平仓")=0,"",SUMIFS('交易记录'!$AB$5:$AB$304,'交易记录'!$S$5:$S$304,A228,'交易记录'!$X$5:$X$304,"已平仓")))</f>
        <v/>
      </c>
      <c r="P228" s="36" t="str">
        <f>IF(NOT(ISNUMBER(O228)),"",IF(O228&lt;=-'参数'!$C$9,"触及停手线",""))</f>
        <v/>
      </c>
      <c r="Q228" s="32" t="n"/>
      <c r="R228" s="32" t="n"/>
      <c r="S228" s="32" t="n"/>
    </row>
    <row r="229">
      <c r="A229" s="42" t="str">
        <f>IF('每日复盘'!A229="","",'每日复盘'!A229)</f>
        <v/>
      </c>
      <c r="B229" s="43" t="str">
        <f>IF('每日复盘'!AA229="","",'每日复盘'!AA229)</f>
        <v/>
      </c>
      <c r="C229" s="32" t="n"/>
      <c r="D229" s="32" t="n"/>
      <c r="E229" s="32" t="n"/>
      <c r="F229" s="32" t="n"/>
      <c r="G229" s="17" t="n"/>
      <c r="H229" s="44" t="str">
        <f>IF('每日复盘'!P229="","",'每日复盘'!P229)</f>
        <v/>
      </c>
      <c r="I229" s="17" t="n"/>
      <c r="J229" s="17" t="n"/>
      <c r="K229" s="17" t="n"/>
      <c r="L229" s="44" t="str">
        <f>IF('每日复盘'!R229="","",'每日复盘'!R229)</f>
        <v/>
      </c>
      <c r="M229" s="36" t="str">
        <f>IF(OR(NOT(ISNUMBER(L229)),COUNT(H229:J229)&lt;3),"",IF(OR(AND(L229&gt;=3,H229=0),AND(L229&gt;=4,I229=0),AND(L229&gt;=5,J229=0)),"有断层","连续"))</f>
        <v/>
      </c>
      <c r="N229" s="27" t="n"/>
      <c r="O229" s="45" t="str">
        <f>IF(NOT(ISNUMBER(A229)),"",IF(COUNTIFS('交易记录'!$S$5:$S$304,A229,'交易记录'!$X$5:$X$304,"已平仓")=0,"",SUMIFS('交易记录'!$AB$5:$AB$304,'交易记录'!$S$5:$S$304,A229,'交易记录'!$X$5:$X$304,"已平仓")))</f>
        <v/>
      </c>
      <c r="P229" s="36" t="str">
        <f>IF(NOT(ISNUMBER(O229)),"",IF(O229&lt;=-'参数'!$C$9,"触及停手线",""))</f>
        <v/>
      </c>
      <c r="Q229" s="32" t="n"/>
      <c r="R229" s="32" t="n"/>
      <c r="S229" s="32" t="n"/>
    </row>
    <row r="230">
      <c r="A230" s="42" t="str">
        <f>IF('每日复盘'!A230="","",'每日复盘'!A230)</f>
        <v/>
      </c>
      <c r="B230" s="43" t="str">
        <f>IF('每日复盘'!AA230="","",'每日复盘'!AA230)</f>
        <v/>
      </c>
      <c r="C230" s="32" t="n"/>
      <c r="D230" s="32" t="n"/>
      <c r="E230" s="32" t="n"/>
      <c r="F230" s="32" t="n"/>
      <c r="G230" s="17" t="n"/>
      <c r="H230" s="44" t="str">
        <f>IF('每日复盘'!P230="","",'每日复盘'!P230)</f>
        <v/>
      </c>
      <c r="I230" s="17" t="n"/>
      <c r="J230" s="17" t="n"/>
      <c r="K230" s="17" t="n"/>
      <c r="L230" s="44" t="str">
        <f>IF('每日复盘'!R230="","",'每日复盘'!R230)</f>
        <v/>
      </c>
      <c r="M230" s="36" t="str">
        <f>IF(OR(NOT(ISNUMBER(L230)),COUNT(H230:J230)&lt;3),"",IF(OR(AND(L230&gt;=3,H230=0),AND(L230&gt;=4,I230=0),AND(L230&gt;=5,J230=0)),"有断层","连续"))</f>
        <v/>
      </c>
      <c r="N230" s="27" t="n"/>
      <c r="O230" s="45" t="str">
        <f>IF(NOT(ISNUMBER(A230)),"",IF(COUNTIFS('交易记录'!$S$5:$S$304,A230,'交易记录'!$X$5:$X$304,"已平仓")=0,"",SUMIFS('交易记录'!$AB$5:$AB$304,'交易记录'!$S$5:$S$304,A230,'交易记录'!$X$5:$X$304,"已平仓")))</f>
        <v/>
      </c>
      <c r="P230" s="36" t="str">
        <f>IF(NOT(ISNUMBER(O230)),"",IF(O230&lt;=-'参数'!$C$9,"触及停手线",""))</f>
        <v/>
      </c>
      <c r="Q230" s="32" t="n"/>
      <c r="R230" s="32" t="n"/>
      <c r="S230" s="32" t="n"/>
    </row>
    <row r="231">
      <c r="A231" s="42" t="str">
        <f>IF('每日复盘'!A231="","",'每日复盘'!A231)</f>
        <v/>
      </c>
      <c r="B231" s="43" t="str">
        <f>IF('每日复盘'!AA231="","",'每日复盘'!AA231)</f>
        <v/>
      </c>
      <c r="C231" s="32" t="n"/>
      <c r="D231" s="32" t="n"/>
      <c r="E231" s="32" t="n"/>
      <c r="F231" s="32" t="n"/>
      <c r="G231" s="17" t="n"/>
      <c r="H231" s="44" t="str">
        <f>IF('每日复盘'!P231="","",'每日复盘'!P231)</f>
        <v/>
      </c>
      <c r="I231" s="17" t="n"/>
      <c r="J231" s="17" t="n"/>
      <c r="K231" s="17" t="n"/>
      <c r="L231" s="44" t="str">
        <f>IF('每日复盘'!R231="","",'每日复盘'!R231)</f>
        <v/>
      </c>
      <c r="M231" s="36" t="str">
        <f>IF(OR(NOT(ISNUMBER(L231)),COUNT(H231:J231)&lt;3),"",IF(OR(AND(L231&gt;=3,H231=0),AND(L231&gt;=4,I231=0),AND(L231&gt;=5,J231=0)),"有断层","连续"))</f>
        <v/>
      </c>
      <c r="N231" s="27" t="n"/>
      <c r="O231" s="45" t="str">
        <f>IF(NOT(ISNUMBER(A231)),"",IF(COUNTIFS('交易记录'!$S$5:$S$304,A231,'交易记录'!$X$5:$X$304,"已平仓")=0,"",SUMIFS('交易记录'!$AB$5:$AB$304,'交易记录'!$S$5:$S$304,A231,'交易记录'!$X$5:$X$304,"已平仓")))</f>
        <v/>
      </c>
      <c r="P231" s="36" t="str">
        <f>IF(NOT(ISNUMBER(O231)),"",IF(O231&lt;=-'参数'!$C$9,"触及停手线",""))</f>
        <v/>
      </c>
      <c r="Q231" s="32" t="n"/>
      <c r="R231" s="32" t="n"/>
      <c r="S231" s="32" t="n"/>
    </row>
    <row r="232">
      <c r="A232" s="42" t="str">
        <f>IF('每日复盘'!A232="","",'每日复盘'!A232)</f>
        <v/>
      </c>
      <c r="B232" s="43" t="str">
        <f>IF('每日复盘'!AA232="","",'每日复盘'!AA232)</f>
        <v/>
      </c>
      <c r="C232" s="32" t="n"/>
      <c r="D232" s="32" t="n"/>
      <c r="E232" s="32" t="n"/>
      <c r="F232" s="32" t="n"/>
      <c r="G232" s="17" t="n"/>
      <c r="H232" s="44" t="str">
        <f>IF('每日复盘'!P232="","",'每日复盘'!P232)</f>
        <v/>
      </c>
      <c r="I232" s="17" t="n"/>
      <c r="J232" s="17" t="n"/>
      <c r="K232" s="17" t="n"/>
      <c r="L232" s="44" t="str">
        <f>IF('每日复盘'!R232="","",'每日复盘'!R232)</f>
        <v/>
      </c>
      <c r="M232" s="36" t="str">
        <f>IF(OR(NOT(ISNUMBER(L232)),COUNT(H232:J232)&lt;3),"",IF(OR(AND(L232&gt;=3,H232=0),AND(L232&gt;=4,I232=0),AND(L232&gt;=5,J232=0)),"有断层","连续"))</f>
        <v/>
      </c>
      <c r="N232" s="27" t="n"/>
      <c r="O232" s="45" t="str">
        <f>IF(NOT(ISNUMBER(A232)),"",IF(COUNTIFS('交易记录'!$S$5:$S$304,A232,'交易记录'!$X$5:$X$304,"已平仓")=0,"",SUMIFS('交易记录'!$AB$5:$AB$304,'交易记录'!$S$5:$S$304,A232,'交易记录'!$X$5:$X$304,"已平仓")))</f>
        <v/>
      </c>
      <c r="P232" s="36" t="str">
        <f>IF(NOT(ISNUMBER(O232)),"",IF(O232&lt;=-'参数'!$C$9,"触及停手线",""))</f>
        <v/>
      </c>
      <c r="Q232" s="32" t="n"/>
      <c r="R232" s="32" t="n"/>
      <c r="S232" s="32" t="n"/>
    </row>
    <row r="233">
      <c r="A233" s="42" t="str">
        <f>IF('每日复盘'!A233="","",'每日复盘'!A233)</f>
        <v/>
      </c>
      <c r="B233" s="43" t="str">
        <f>IF('每日复盘'!AA233="","",'每日复盘'!AA233)</f>
        <v/>
      </c>
      <c r="C233" s="32" t="n"/>
      <c r="D233" s="32" t="n"/>
      <c r="E233" s="32" t="n"/>
      <c r="F233" s="32" t="n"/>
      <c r="G233" s="17" t="n"/>
      <c r="H233" s="44" t="str">
        <f>IF('每日复盘'!P233="","",'每日复盘'!P233)</f>
        <v/>
      </c>
      <c r="I233" s="17" t="n"/>
      <c r="J233" s="17" t="n"/>
      <c r="K233" s="17" t="n"/>
      <c r="L233" s="44" t="str">
        <f>IF('每日复盘'!R233="","",'每日复盘'!R233)</f>
        <v/>
      </c>
      <c r="M233" s="36" t="str">
        <f>IF(OR(NOT(ISNUMBER(L233)),COUNT(H233:J233)&lt;3),"",IF(OR(AND(L233&gt;=3,H233=0),AND(L233&gt;=4,I233=0),AND(L233&gt;=5,J233=0)),"有断层","连续"))</f>
        <v/>
      </c>
      <c r="N233" s="27" t="n"/>
      <c r="O233" s="45" t="str">
        <f>IF(NOT(ISNUMBER(A233)),"",IF(COUNTIFS('交易记录'!$S$5:$S$304,A233,'交易记录'!$X$5:$X$304,"已平仓")=0,"",SUMIFS('交易记录'!$AB$5:$AB$304,'交易记录'!$S$5:$S$304,A233,'交易记录'!$X$5:$X$304,"已平仓")))</f>
        <v/>
      </c>
      <c r="P233" s="36" t="str">
        <f>IF(NOT(ISNUMBER(O233)),"",IF(O233&lt;=-'参数'!$C$9,"触及停手线",""))</f>
        <v/>
      </c>
      <c r="Q233" s="32" t="n"/>
      <c r="R233" s="32" t="n"/>
      <c r="S233" s="32" t="n"/>
    </row>
    <row r="234">
      <c r="A234" s="42" t="str">
        <f>IF('每日复盘'!A234="","",'每日复盘'!A234)</f>
        <v/>
      </c>
      <c r="B234" s="43" t="str">
        <f>IF('每日复盘'!AA234="","",'每日复盘'!AA234)</f>
        <v/>
      </c>
      <c r="C234" s="32" t="n"/>
      <c r="D234" s="32" t="n"/>
      <c r="E234" s="32" t="n"/>
      <c r="F234" s="32" t="n"/>
      <c r="G234" s="17" t="n"/>
      <c r="H234" s="44" t="str">
        <f>IF('每日复盘'!P234="","",'每日复盘'!P234)</f>
        <v/>
      </c>
      <c r="I234" s="17" t="n"/>
      <c r="J234" s="17" t="n"/>
      <c r="K234" s="17" t="n"/>
      <c r="L234" s="44" t="str">
        <f>IF('每日复盘'!R234="","",'每日复盘'!R234)</f>
        <v/>
      </c>
      <c r="M234" s="36" t="str">
        <f>IF(OR(NOT(ISNUMBER(L234)),COUNT(H234:J234)&lt;3),"",IF(OR(AND(L234&gt;=3,H234=0),AND(L234&gt;=4,I234=0),AND(L234&gt;=5,J234=0)),"有断层","连续"))</f>
        <v/>
      </c>
      <c r="N234" s="27" t="n"/>
      <c r="O234" s="45" t="str">
        <f>IF(NOT(ISNUMBER(A234)),"",IF(COUNTIFS('交易记录'!$S$5:$S$304,A234,'交易记录'!$X$5:$X$304,"已平仓")=0,"",SUMIFS('交易记录'!$AB$5:$AB$304,'交易记录'!$S$5:$S$304,A234,'交易记录'!$X$5:$X$304,"已平仓")))</f>
        <v/>
      </c>
      <c r="P234" s="36" t="str">
        <f>IF(NOT(ISNUMBER(O234)),"",IF(O234&lt;=-'参数'!$C$9,"触及停手线",""))</f>
        <v/>
      </c>
      <c r="Q234" s="32" t="n"/>
      <c r="R234" s="32" t="n"/>
      <c r="S234" s="32" t="n"/>
    </row>
    <row r="235">
      <c r="A235" s="42" t="str">
        <f>IF('每日复盘'!A235="","",'每日复盘'!A235)</f>
        <v/>
      </c>
      <c r="B235" s="43" t="str">
        <f>IF('每日复盘'!AA235="","",'每日复盘'!AA235)</f>
        <v/>
      </c>
      <c r="C235" s="32" t="n"/>
      <c r="D235" s="32" t="n"/>
      <c r="E235" s="32" t="n"/>
      <c r="F235" s="32" t="n"/>
      <c r="G235" s="17" t="n"/>
      <c r="H235" s="44" t="str">
        <f>IF('每日复盘'!P235="","",'每日复盘'!P235)</f>
        <v/>
      </c>
      <c r="I235" s="17" t="n"/>
      <c r="J235" s="17" t="n"/>
      <c r="K235" s="17" t="n"/>
      <c r="L235" s="44" t="str">
        <f>IF('每日复盘'!R235="","",'每日复盘'!R235)</f>
        <v/>
      </c>
      <c r="M235" s="36" t="str">
        <f>IF(OR(NOT(ISNUMBER(L235)),COUNT(H235:J235)&lt;3),"",IF(OR(AND(L235&gt;=3,H235=0),AND(L235&gt;=4,I235=0),AND(L235&gt;=5,J235=0)),"有断层","连续"))</f>
        <v/>
      </c>
      <c r="N235" s="27" t="n"/>
      <c r="O235" s="45" t="str">
        <f>IF(NOT(ISNUMBER(A235)),"",IF(COUNTIFS('交易记录'!$S$5:$S$304,A235,'交易记录'!$X$5:$X$304,"已平仓")=0,"",SUMIFS('交易记录'!$AB$5:$AB$304,'交易记录'!$S$5:$S$304,A235,'交易记录'!$X$5:$X$304,"已平仓")))</f>
        <v/>
      </c>
      <c r="P235" s="36" t="str">
        <f>IF(NOT(ISNUMBER(O235)),"",IF(O235&lt;=-'参数'!$C$9,"触及停手线",""))</f>
        <v/>
      </c>
      <c r="Q235" s="32" t="n"/>
      <c r="R235" s="32" t="n"/>
      <c r="S235" s="32" t="n"/>
    </row>
    <row r="236">
      <c r="A236" s="42" t="str">
        <f>IF('每日复盘'!A236="","",'每日复盘'!A236)</f>
        <v/>
      </c>
      <c r="B236" s="43" t="str">
        <f>IF('每日复盘'!AA236="","",'每日复盘'!AA236)</f>
        <v/>
      </c>
      <c r="C236" s="32" t="n"/>
      <c r="D236" s="32" t="n"/>
      <c r="E236" s="32" t="n"/>
      <c r="F236" s="32" t="n"/>
      <c r="G236" s="17" t="n"/>
      <c r="H236" s="44" t="str">
        <f>IF('每日复盘'!P236="","",'每日复盘'!P236)</f>
        <v/>
      </c>
      <c r="I236" s="17" t="n"/>
      <c r="J236" s="17" t="n"/>
      <c r="K236" s="17" t="n"/>
      <c r="L236" s="44" t="str">
        <f>IF('每日复盘'!R236="","",'每日复盘'!R236)</f>
        <v/>
      </c>
      <c r="M236" s="36" t="str">
        <f>IF(OR(NOT(ISNUMBER(L236)),COUNT(H236:J236)&lt;3),"",IF(OR(AND(L236&gt;=3,H236=0),AND(L236&gt;=4,I236=0),AND(L236&gt;=5,J236=0)),"有断层","连续"))</f>
        <v/>
      </c>
      <c r="N236" s="27" t="n"/>
      <c r="O236" s="45" t="str">
        <f>IF(NOT(ISNUMBER(A236)),"",IF(COUNTIFS('交易记录'!$S$5:$S$304,A236,'交易记录'!$X$5:$X$304,"已平仓")=0,"",SUMIFS('交易记录'!$AB$5:$AB$304,'交易记录'!$S$5:$S$304,A236,'交易记录'!$X$5:$X$304,"已平仓")))</f>
        <v/>
      </c>
      <c r="P236" s="36" t="str">
        <f>IF(NOT(ISNUMBER(O236)),"",IF(O236&lt;=-'参数'!$C$9,"触及停手线",""))</f>
        <v/>
      </c>
      <c r="Q236" s="32" t="n"/>
      <c r="R236" s="32" t="n"/>
      <c r="S236" s="32" t="n"/>
    </row>
    <row r="237">
      <c r="A237" s="42" t="str">
        <f>IF('每日复盘'!A237="","",'每日复盘'!A237)</f>
        <v/>
      </c>
      <c r="B237" s="43" t="str">
        <f>IF('每日复盘'!AA237="","",'每日复盘'!AA237)</f>
        <v/>
      </c>
      <c r="C237" s="32" t="n"/>
      <c r="D237" s="32" t="n"/>
      <c r="E237" s="32" t="n"/>
      <c r="F237" s="32" t="n"/>
      <c r="G237" s="17" t="n"/>
      <c r="H237" s="44" t="str">
        <f>IF('每日复盘'!P237="","",'每日复盘'!P237)</f>
        <v/>
      </c>
      <c r="I237" s="17" t="n"/>
      <c r="J237" s="17" t="n"/>
      <c r="K237" s="17" t="n"/>
      <c r="L237" s="44" t="str">
        <f>IF('每日复盘'!R237="","",'每日复盘'!R237)</f>
        <v/>
      </c>
      <c r="M237" s="36" t="str">
        <f>IF(OR(NOT(ISNUMBER(L237)),COUNT(H237:J237)&lt;3),"",IF(OR(AND(L237&gt;=3,H237=0),AND(L237&gt;=4,I237=0),AND(L237&gt;=5,J237=0)),"有断层","连续"))</f>
        <v/>
      </c>
      <c r="N237" s="27" t="n"/>
      <c r="O237" s="45" t="str">
        <f>IF(NOT(ISNUMBER(A237)),"",IF(COUNTIFS('交易记录'!$S$5:$S$304,A237,'交易记录'!$X$5:$X$304,"已平仓")=0,"",SUMIFS('交易记录'!$AB$5:$AB$304,'交易记录'!$S$5:$S$304,A237,'交易记录'!$X$5:$X$304,"已平仓")))</f>
        <v/>
      </c>
      <c r="P237" s="36" t="str">
        <f>IF(NOT(ISNUMBER(O237)),"",IF(O237&lt;=-'参数'!$C$9,"触及停手线",""))</f>
        <v/>
      </c>
      <c r="Q237" s="32" t="n"/>
      <c r="R237" s="32" t="n"/>
      <c r="S237" s="32" t="n"/>
    </row>
    <row r="238">
      <c r="A238" s="42" t="str">
        <f>IF('每日复盘'!A238="","",'每日复盘'!A238)</f>
        <v/>
      </c>
      <c r="B238" s="43" t="str">
        <f>IF('每日复盘'!AA238="","",'每日复盘'!AA238)</f>
        <v/>
      </c>
      <c r="C238" s="32" t="n"/>
      <c r="D238" s="32" t="n"/>
      <c r="E238" s="32" t="n"/>
      <c r="F238" s="32" t="n"/>
      <c r="G238" s="17" t="n"/>
      <c r="H238" s="44" t="str">
        <f>IF('每日复盘'!P238="","",'每日复盘'!P238)</f>
        <v/>
      </c>
      <c r="I238" s="17" t="n"/>
      <c r="J238" s="17" t="n"/>
      <c r="K238" s="17" t="n"/>
      <c r="L238" s="44" t="str">
        <f>IF('每日复盘'!R238="","",'每日复盘'!R238)</f>
        <v/>
      </c>
      <c r="M238" s="36" t="str">
        <f>IF(OR(NOT(ISNUMBER(L238)),COUNT(H238:J238)&lt;3),"",IF(OR(AND(L238&gt;=3,H238=0),AND(L238&gt;=4,I238=0),AND(L238&gt;=5,J238=0)),"有断层","连续"))</f>
        <v/>
      </c>
      <c r="N238" s="27" t="n"/>
      <c r="O238" s="45" t="str">
        <f>IF(NOT(ISNUMBER(A238)),"",IF(COUNTIFS('交易记录'!$S$5:$S$304,A238,'交易记录'!$X$5:$X$304,"已平仓")=0,"",SUMIFS('交易记录'!$AB$5:$AB$304,'交易记录'!$S$5:$S$304,A238,'交易记录'!$X$5:$X$304,"已平仓")))</f>
        <v/>
      </c>
      <c r="P238" s="36" t="str">
        <f>IF(NOT(ISNUMBER(O238)),"",IF(O238&lt;=-'参数'!$C$9,"触及停手线",""))</f>
        <v/>
      </c>
      <c r="Q238" s="32" t="n"/>
      <c r="R238" s="32" t="n"/>
      <c r="S238" s="32" t="n"/>
    </row>
    <row r="239">
      <c r="A239" s="42" t="str">
        <f>IF('每日复盘'!A239="","",'每日复盘'!A239)</f>
        <v/>
      </c>
      <c r="B239" s="43" t="str">
        <f>IF('每日复盘'!AA239="","",'每日复盘'!AA239)</f>
        <v/>
      </c>
      <c r="C239" s="32" t="n"/>
      <c r="D239" s="32" t="n"/>
      <c r="E239" s="32" t="n"/>
      <c r="F239" s="32" t="n"/>
      <c r="G239" s="17" t="n"/>
      <c r="H239" s="44" t="str">
        <f>IF('每日复盘'!P239="","",'每日复盘'!P239)</f>
        <v/>
      </c>
      <c r="I239" s="17" t="n"/>
      <c r="J239" s="17" t="n"/>
      <c r="K239" s="17" t="n"/>
      <c r="L239" s="44" t="str">
        <f>IF('每日复盘'!R239="","",'每日复盘'!R239)</f>
        <v/>
      </c>
      <c r="M239" s="36" t="str">
        <f>IF(OR(NOT(ISNUMBER(L239)),COUNT(H239:J239)&lt;3),"",IF(OR(AND(L239&gt;=3,H239=0),AND(L239&gt;=4,I239=0),AND(L239&gt;=5,J239=0)),"有断层","连续"))</f>
        <v/>
      </c>
      <c r="N239" s="27" t="n"/>
      <c r="O239" s="45" t="str">
        <f>IF(NOT(ISNUMBER(A239)),"",IF(COUNTIFS('交易记录'!$S$5:$S$304,A239,'交易记录'!$X$5:$X$304,"已平仓")=0,"",SUMIFS('交易记录'!$AB$5:$AB$304,'交易记录'!$S$5:$S$304,A239,'交易记录'!$X$5:$X$304,"已平仓")))</f>
        <v/>
      </c>
      <c r="P239" s="36" t="str">
        <f>IF(NOT(ISNUMBER(O239)),"",IF(O239&lt;=-'参数'!$C$9,"触及停手线",""))</f>
        <v/>
      </c>
      <c r="Q239" s="32" t="n"/>
      <c r="R239" s="32" t="n"/>
      <c r="S239" s="32" t="n"/>
    </row>
    <row r="240">
      <c r="A240" s="42" t="str">
        <f>IF('每日复盘'!A240="","",'每日复盘'!A240)</f>
        <v/>
      </c>
      <c r="B240" s="43" t="str">
        <f>IF('每日复盘'!AA240="","",'每日复盘'!AA240)</f>
        <v/>
      </c>
      <c r="C240" s="32" t="n"/>
      <c r="D240" s="32" t="n"/>
      <c r="E240" s="32" t="n"/>
      <c r="F240" s="32" t="n"/>
      <c r="G240" s="17" t="n"/>
      <c r="H240" s="44" t="str">
        <f>IF('每日复盘'!P240="","",'每日复盘'!P240)</f>
        <v/>
      </c>
      <c r="I240" s="17" t="n"/>
      <c r="J240" s="17" t="n"/>
      <c r="K240" s="17" t="n"/>
      <c r="L240" s="44" t="str">
        <f>IF('每日复盘'!R240="","",'每日复盘'!R240)</f>
        <v/>
      </c>
      <c r="M240" s="36" t="str">
        <f>IF(OR(NOT(ISNUMBER(L240)),COUNT(H240:J240)&lt;3),"",IF(OR(AND(L240&gt;=3,H240=0),AND(L240&gt;=4,I240=0),AND(L240&gt;=5,J240=0)),"有断层","连续"))</f>
        <v/>
      </c>
      <c r="N240" s="27" t="n"/>
      <c r="O240" s="45" t="str">
        <f>IF(NOT(ISNUMBER(A240)),"",IF(COUNTIFS('交易记录'!$S$5:$S$304,A240,'交易记录'!$X$5:$X$304,"已平仓")=0,"",SUMIFS('交易记录'!$AB$5:$AB$304,'交易记录'!$S$5:$S$304,A240,'交易记录'!$X$5:$X$304,"已平仓")))</f>
        <v/>
      </c>
      <c r="P240" s="36" t="str">
        <f>IF(NOT(ISNUMBER(O240)),"",IF(O240&lt;=-'参数'!$C$9,"触及停手线",""))</f>
        <v/>
      </c>
      <c r="Q240" s="32" t="n"/>
      <c r="R240" s="32" t="n"/>
      <c r="S240" s="32" t="n"/>
    </row>
    <row r="241">
      <c r="A241" s="42" t="str">
        <f>IF('每日复盘'!A241="","",'每日复盘'!A241)</f>
        <v/>
      </c>
      <c r="B241" s="43" t="str">
        <f>IF('每日复盘'!AA241="","",'每日复盘'!AA241)</f>
        <v/>
      </c>
      <c r="C241" s="32" t="n"/>
      <c r="D241" s="32" t="n"/>
      <c r="E241" s="32" t="n"/>
      <c r="F241" s="32" t="n"/>
      <c r="G241" s="17" t="n"/>
      <c r="H241" s="44" t="str">
        <f>IF('每日复盘'!P241="","",'每日复盘'!P241)</f>
        <v/>
      </c>
      <c r="I241" s="17" t="n"/>
      <c r="J241" s="17" t="n"/>
      <c r="K241" s="17" t="n"/>
      <c r="L241" s="44" t="str">
        <f>IF('每日复盘'!R241="","",'每日复盘'!R241)</f>
        <v/>
      </c>
      <c r="M241" s="36" t="str">
        <f>IF(OR(NOT(ISNUMBER(L241)),COUNT(H241:J241)&lt;3),"",IF(OR(AND(L241&gt;=3,H241=0),AND(L241&gt;=4,I241=0),AND(L241&gt;=5,J241=0)),"有断层","连续"))</f>
        <v/>
      </c>
      <c r="N241" s="27" t="n"/>
      <c r="O241" s="45" t="str">
        <f>IF(NOT(ISNUMBER(A241)),"",IF(COUNTIFS('交易记录'!$S$5:$S$304,A241,'交易记录'!$X$5:$X$304,"已平仓")=0,"",SUMIFS('交易记录'!$AB$5:$AB$304,'交易记录'!$S$5:$S$304,A241,'交易记录'!$X$5:$X$304,"已平仓")))</f>
        <v/>
      </c>
      <c r="P241" s="36" t="str">
        <f>IF(NOT(ISNUMBER(O241)),"",IF(O241&lt;=-'参数'!$C$9,"触及停手线",""))</f>
        <v/>
      </c>
      <c r="Q241" s="32" t="n"/>
      <c r="R241" s="32" t="n"/>
      <c r="S241" s="32" t="n"/>
    </row>
    <row r="242">
      <c r="A242" s="42" t="str">
        <f>IF('每日复盘'!A242="","",'每日复盘'!A242)</f>
        <v/>
      </c>
      <c r="B242" s="43" t="str">
        <f>IF('每日复盘'!AA242="","",'每日复盘'!AA242)</f>
        <v/>
      </c>
      <c r="C242" s="32" t="n"/>
      <c r="D242" s="32" t="n"/>
      <c r="E242" s="32" t="n"/>
      <c r="F242" s="32" t="n"/>
      <c r="G242" s="17" t="n"/>
      <c r="H242" s="44" t="str">
        <f>IF('每日复盘'!P242="","",'每日复盘'!P242)</f>
        <v/>
      </c>
      <c r="I242" s="17" t="n"/>
      <c r="J242" s="17" t="n"/>
      <c r="K242" s="17" t="n"/>
      <c r="L242" s="44" t="str">
        <f>IF('每日复盘'!R242="","",'每日复盘'!R242)</f>
        <v/>
      </c>
      <c r="M242" s="36" t="str">
        <f>IF(OR(NOT(ISNUMBER(L242)),COUNT(H242:J242)&lt;3),"",IF(OR(AND(L242&gt;=3,H242=0),AND(L242&gt;=4,I242=0),AND(L242&gt;=5,J242=0)),"有断层","连续"))</f>
        <v/>
      </c>
      <c r="N242" s="27" t="n"/>
      <c r="O242" s="45" t="str">
        <f>IF(NOT(ISNUMBER(A242)),"",IF(COUNTIFS('交易记录'!$S$5:$S$304,A242,'交易记录'!$X$5:$X$304,"已平仓")=0,"",SUMIFS('交易记录'!$AB$5:$AB$304,'交易记录'!$S$5:$S$304,A242,'交易记录'!$X$5:$X$304,"已平仓")))</f>
        <v/>
      </c>
      <c r="P242" s="36" t="str">
        <f>IF(NOT(ISNUMBER(O242)),"",IF(O242&lt;=-'参数'!$C$9,"触及停手线",""))</f>
        <v/>
      </c>
      <c r="Q242" s="32" t="n"/>
      <c r="R242" s="32" t="n"/>
      <c r="S242" s="32" t="n"/>
    </row>
    <row r="243">
      <c r="A243" s="42" t="str">
        <f>IF('每日复盘'!A243="","",'每日复盘'!A243)</f>
        <v/>
      </c>
      <c r="B243" s="43" t="str">
        <f>IF('每日复盘'!AA243="","",'每日复盘'!AA243)</f>
        <v/>
      </c>
      <c r="C243" s="32" t="n"/>
      <c r="D243" s="32" t="n"/>
      <c r="E243" s="32" t="n"/>
      <c r="F243" s="32" t="n"/>
      <c r="G243" s="17" t="n"/>
      <c r="H243" s="44" t="str">
        <f>IF('每日复盘'!P243="","",'每日复盘'!P243)</f>
        <v/>
      </c>
      <c r="I243" s="17" t="n"/>
      <c r="J243" s="17" t="n"/>
      <c r="K243" s="17" t="n"/>
      <c r="L243" s="44" t="str">
        <f>IF('每日复盘'!R243="","",'每日复盘'!R243)</f>
        <v/>
      </c>
      <c r="M243" s="36" t="str">
        <f>IF(OR(NOT(ISNUMBER(L243)),COUNT(H243:J243)&lt;3),"",IF(OR(AND(L243&gt;=3,H243=0),AND(L243&gt;=4,I243=0),AND(L243&gt;=5,J243=0)),"有断层","连续"))</f>
        <v/>
      </c>
      <c r="N243" s="27" t="n"/>
      <c r="O243" s="45" t="str">
        <f>IF(NOT(ISNUMBER(A243)),"",IF(COUNTIFS('交易记录'!$S$5:$S$304,A243,'交易记录'!$X$5:$X$304,"已平仓")=0,"",SUMIFS('交易记录'!$AB$5:$AB$304,'交易记录'!$S$5:$S$304,A243,'交易记录'!$X$5:$X$304,"已平仓")))</f>
        <v/>
      </c>
      <c r="P243" s="36" t="str">
        <f>IF(NOT(ISNUMBER(O243)),"",IF(O243&lt;=-'参数'!$C$9,"触及停手线",""))</f>
        <v/>
      </c>
      <c r="Q243" s="32" t="n"/>
      <c r="R243" s="32" t="n"/>
      <c r="S243" s="32" t="n"/>
    </row>
    <row r="244">
      <c r="A244" s="42" t="str">
        <f>IF('每日复盘'!A244="","",'每日复盘'!A244)</f>
        <v/>
      </c>
      <c r="B244" s="43" t="str">
        <f>IF('每日复盘'!AA244="","",'每日复盘'!AA244)</f>
        <v/>
      </c>
      <c r="C244" s="32" t="n"/>
      <c r="D244" s="32" t="n"/>
      <c r="E244" s="32" t="n"/>
      <c r="F244" s="32" t="n"/>
      <c r="G244" s="17" t="n"/>
      <c r="H244" s="44" t="str">
        <f>IF('每日复盘'!P244="","",'每日复盘'!P244)</f>
        <v/>
      </c>
      <c r="I244" s="17" t="n"/>
      <c r="J244" s="17" t="n"/>
      <c r="K244" s="17" t="n"/>
      <c r="L244" s="44" t="str">
        <f>IF('每日复盘'!R244="","",'每日复盘'!R244)</f>
        <v/>
      </c>
      <c r="M244" s="36" t="str">
        <f>IF(OR(NOT(ISNUMBER(L244)),COUNT(H244:J244)&lt;3),"",IF(OR(AND(L244&gt;=3,H244=0),AND(L244&gt;=4,I244=0),AND(L244&gt;=5,J244=0)),"有断层","连续"))</f>
        <v/>
      </c>
      <c r="N244" s="27" t="n"/>
      <c r="O244" s="45" t="str">
        <f>IF(NOT(ISNUMBER(A244)),"",IF(COUNTIFS('交易记录'!$S$5:$S$304,A244,'交易记录'!$X$5:$X$304,"已平仓")=0,"",SUMIFS('交易记录'!$AB$5:$AB$304,'交易记录'!$S$5:$S$304,A244,'交易记录'!$X$5:$X$304,"已平仓")))</f>
        <v/>
      </c>
      <c r="P244" s="36" t="str">
        <f>IF(NOT(ISNUMBER(O244)),"",IF(O244&lt;=-'参数'!$C$9,"触及停手线",""))</f>
        <v/>
      </c>
      <c r="Q244" s="32" t="n"/>
      <c r="R244" s="32" t="n"/>
      <c r="S244" s="32" t="n"/>
    </row>
    <row r="245">
      <c r="A245" s="42" t="str">
        <f>IF('每日复盘'!A245="","",'每日复盘'!A245)</f>
        <v/>
      </c>
      <c r="B245" s="43" t="str">
        <f>IF('每日复盘'!AA245="","",'每日复盘'!AA245)</f>
        <v/>
      </c>
      <c r="C245" s="32" t="n"/>
      <c r="D245" s="32" t="n"/>
      <c r="E245" s="32" t="n"/>
      <c r="F245" s="32" t="n"/>
      <c r="G245" s="17" t="n"/>
      <c r="H245" s="44" t="str">
        <f>IF('每日复盘'!P245="","",'每日复盘'!P245)</f>
        <v/>
      </c>
      <c r="I245" s="17" t="n"/>
      <c r="J245" s="17" t="n"/>
      <c r="K245" s="17" t="n"/>
      <c r="L245" s="44" t="str">
        <f>IF('每日复盘'!R245="","",'每日复盘'!R245)</f>
        <v/>
      </c>
      <c r="M245" s="36" t="str">
        <f>IF(OR(NOT(ISNUMBER(L245)),COUNT(H245:J245)&lt;3),"",IF(OR(AND(L245&gt;=3,H245=0),AND(L245&gt;=4,I245=0),AND(L245&gt;=5,J245=0)),"有断层","连续"))</f>
        <v/>
      </c>
      <c r="N245" s="27" t="n"/>
      <c r="O245" s="45" t="str">
        <f>IF(NOT(ISNUMBER(A245)),"",IF(COUNTIFS('交易记录'!$S$5:$S$304,A245,'交易记录'!$X$5:$X$304,"已平仓")=0,"",SUMIFS('交易记录'!$AB$5:$AB$304,'交易记录'!$S$5:$S$304,A245,'交易记录'!$X$5:$X$304,"已平仓")))</f>
        <v/>
      </c>
      <c r="P245" s="36" t="str">
        <f>IF(NOT(ISNUMBER(O245)),"",IF(O245&lt;=-'参数'!$C$9,"触及停手线",""))</f>
        <v/>
      </c>
      <c r="Q245" s="32" t="n"/>
      <c r="R245" s="32" t="n"/>
      <c r="S245" s="32" t="n"/>
    </row>
    <row r="246">
      <c r="A246" s="42" t="str">
        <f>IF('每日复盘'!A246="","",'每日复盘'!A246)</f>
        <v/>
      </c>
      <c r="B246" s="43" t="str">
        <f>IF('每日复盘'!AA246="","",'每日复盘'!AA246)</f>
        <v/>
      </c>
      <c r="C246" s="32" t="n"/>
      <c r="D246" s="32" t="n"/>
      <c r="E246" s="32" t="n"/>
      <c r="F246" s="32" t="n"/>
      <c r="G246" s="17" t="n"/>
      <c r="H246" s="44" t="str">
        <f>IF('每日复盘'!P246="","",'每日复盘'!P246)</f>
        <v/>
      </c>
      <c r="I246" s="17" t="n"/>
      <c r="J246" s="17" t="n"/>
      <c r="K246" s="17" t="n"/>
      <c r="L246" s="44" t="str">
        <f>IF('每日复盘'!R246="","",'每日复盘'!R246)</f>
        <v/>
      </c>
      <c r="M246" s="36" t="str">
        <f>IF(OR(NOT(ISNUMBER(L246)),COUNT(H246:J246)&lt;3),"",IF(OR(AND(L246&gt;=3,H246=0),AND(L246&gt;=4,I246=0),AND(L246&gt;=5,J246=0)),"有断层","连续"))</f>
        <v/>
      </c>
      <c r="N246" s="27" t="n"/>
      <c r="O246" s="45" t="str">
        <f>IF(NOT(ISNUMBER(A246)),"",IF(COUNTIFS('交易记录'!$S$5:$S$304,A246,'交易记录'!$X$5:$X$304,"已平仓")=0,"",SUMIFS('交易记录'!$AB$5:$AB$304,'交易记录'!$S$5:$S$304,A246,'交易记录'!$X$5:$X$304,"已平仓")))</f>
        <v/>
      </c>
      <c r="P246" s="36" t="str">
        <f>IF(NOT(ISNUMBER(O246)),"",IF(O246&lt;=-'参数'!$C$9,"触及停手线",""))</f>
        <v/>
      </c>
      <c r="Q246" s="32" t="n"/>
      <c r="R246" s="32" t="n"/>
      <c r="S246" s="32" t="n"/>
    </row>
    <row r="247">
      <c r="A247" s="42" t="str">
        <f>IF('每日复盘'!A247="","",'每日复盘'!A247)</f>
        <v/>
      </c>
      <c r="B247" s="43" t="str">
        <f>IF('每日复盘'!AA247="","",'每日复盘'!AA247)</f>
        <v/>
      </c>
      <c r="C247" s="32" t="n"/>
      <c r="D247" s="32" t="n"/>
      <c r="E247" s="32" t="n"/>
      <c r="F247" s="32" t="n"/>
      <c r="G247" s="17" t="n"/>
      <c r="H247" s="44" t="str">
        <f>IF('每日复盘'!P247="","",'每日复盘'!P247)</f>
        <v/>
      </c>
      <c r="I247" s="17" t="n"/>
      <c r="J247" s="17" t="n"/>
      <c r="K247" s="17" t="n"/>
      <c r="L247" s="44" t="str">
        <f>IF('每日复盘'!R247="","",'每日复盘'!R247)</f>
        <v/>
      </c>
      <c r="M247" s="36" t="str">
        <f>IF(OR(NOT(ISNUMBER(L247)),COUNT(H247:J247)&lt;3),"",IF(OR(AND(L247&gt;=3,H247=0),AND(L247&gt;=4,I247=0),AND(L247&gt;=5,J247=0)),"有断层","连续"))</f>
        <v/>
      </c>
      <c r="N247" s="27" t="n"/>
      <c r="O247" s="45" t="str">
        <f>IF(NOT(ISNUMBER(A247)),"",IF(COUNTIFS('交易记录'!$S$5:$S$304,A247,'交易记录'!$X$5:$X$304,"已平仓")=0,"",SUMIFS('交易记录'!$AB$5:$AB$304,'交易记录'!$S$5:$S$304,A247,'交易记录'!$X$5:$X$304,"已平仓")))</f>
        <v/>
      </c>
      <c r="P247" s="36" t="str">
        <f>IF(NOT(ISNUMBER(O247)),"",IF(O247&lt;=-'参数'!$C$9,"触及停手线",""))</f>
        <v/>
      </c>
      <c r="Q247" s="32" t="n"/>
      <c r="R247" s="32" t="n"/>
      <c r="S247" s="32" t="n"/>
    </row>
    <row r="248">
      <c r="A248" s="42" t="str">
        <f>IF('每日复盘'!A248="","",'每日复盘'!A248)</f>
        <v/>
      </c>
      <c r="B248" s="43" t="str">
        <f>IF('每日复盘'!AA248="","",'每日复盘'!AA248)</f>
        <v/>
      </c>
      <c r="C248" s="32" t="n"/>
      <c r="D248" s="32" t="n"/>
      <c r="E248" s="32" t="n"/>
      <c r="F248" s="32" t="n"/>
      <c r="G248" s="17" t="n"/>
      <c r="H248" s="44" t="str">
        <f>IF('每日复盘'!P248="","",'每日复盘'!P248)</f>
        <v/>
      </c>
      <c r="I248" s="17" t="n"/>
      <c r="J248" s="17" t="n"/>
      <c r="K248" s="17" t="n"/>
      <c r="L248" s="44" t="str">
        <f>IF('每日复盘'!R248="","",'每日复盘'!R248)</f>
        <v/>
      </c>
      <c r="M248" s="36" t="str">
        <f>IF(OR(NOT(ISNUMBER(L248)),COUNT(H248:J248)&lt;3),"",IF(OR(AND(L248&gt;=3,H248=0),AND(L248&gt;=4,I248=0),AND(L248&gt;=5,J248=0)),"有断层","连续"))</f>
        <v/>
      </c>
      <c r="N248" s="27" t="n"/>
      <c r="O248" s="45" t="str">
        <f>IF(NOT(ISNUMBER(A248)),"",IF(COUNTIFS('交易记录'!$S$5:$S$304,A248,'交易记录'!$X$5:$X$304,"已平仓")=0,"",SUMIFS('交易记录'!$AB$5:$AB$304,'交易记录'!$S$5:$S$304,A248,'交易记录'!$X$5:$X$304,"已平仓")))</f>
        <v/>
      </c>
      <c r="P248" s="36" t="str">
        <f>IF(NOT(ISNUMBER(O248)),"",IF(O248&lt;=-'参数'!$C$9,"触及停手线",""))</f>
        <v/>
      </c>
      <c r="Q248" s="32" t="n"/>
      <c r="R248" s="32" t="n"/>
      <c r="S248" s="32" t="n"/>
    </row>
    <row r="249">
      <c r="A249" s="42" t="str">
        <f>IF('每日复盘'!A249="","",'每日复盘'!A249)</f>
        <v/>
      </c>
      <c r="B249" s="43" t="str">
        <f>IF('每日复盘'!AA249="","",'每日复盘'!AA249)</f>
        <v/>
      </c>
      <c r="C249" s="32" t="n"/>
      <c r="D249" s="32" t="n"/>
      <c r="E249" s="32" t="n"/>
      <c r="F249" s="32" t="n"/>
      <c r="G249" s="17" t="n"/>
      <c r="H249" s="44" t="str">
        <f>IF('每日复盘'!P249="","",'每日复盘'!P249)</f>
        <v/>
      </c>
      <c r="I249" s="17" t="n"/>
      <c r="J249" s="17" t="n"/>
      <c r="K249" s="17" t="n"/>
      <c r="L249" s="44" t="str">
        <f>IF('每日复盘'!R249="","",'每日复盘'!R249)</f>
        <v/>
      </c>
      <c r="M249" s="36" t="str">
        <f>IF(OR(NOT(ISNUMBER(L249)),COUNT(H249:J249)&lt;3),"",IF(OR(AND(L249&gt;=3,H249=0),AND(L249&gt;=4,I249=0),AND(L249&gt;=5,J249=0)),"有断层","连续"))</f>
        <v/>
      </c>
      <c r="N249" s="27" t="n"/>
      <c r="O249" s="45" t="str">
        <f>IF(NOT(ISNUMBER(A249)),"",IF(COUNTIFS('交易记录'!$S$5:$S$304,A249,'交易记录'!$X$5:$X$304,"已平仓")=0,"",SUMIFS('交易记录'!$AB$5:$AB$304,'交易记录'!$S$5:$S$304,A249,'交易记录'!$X$5:$X$304,"已平仓")))</f>
        <v/>
      </c>
      <c r="P249" s="36" t="str">
        <f>IF(NOT(ISNUMBER(O249)),"",IF(O249&lt;=-'参数'!$C$9,"触及停手线",""))</f>
        <v/>
      </c>
      <c r="Q249" s="32" t="n"/>
      <c r="R249" s="32" t="n"/>
      <c r="S249" s="32" t="n"/>
    </row>
    <row r="250">
      <c r="A250" s="42" t="str">
        <f>IF('每日复盘'!A250="","",'每日复盘'!A250)</f>
        <v/>
      </c>
      <c r="B250" s="43" t="str">
        <f>IF('每日复盘'!AA250="","",'每日复盘'!AA250)</f>
        <v/>
      </c>
      <c r="C250" s="32" t="n"/>
      <c r="D250" s="32" t="n"/>
      <c r="E250" s="32" t="n"/>
      <c r="F250" s="32" t="n"/>
      <c r="G250" s="17" t="n"/>
      <c r="H250" s="44" t="str">
        <f>IF('每日复盘'!P250="","",'每日复盘'!P250)</f>
        <v/>
      </c>
      <c r="I250" s="17" t="n"/>
      <c r="J250" s="17" t="n"/>
      <c r="K250" s="17" t="n"/>
      <c r="L250" s="44" t="str">
        <f>IF('每日复盘'!R250="","",'每日复盘'!R250)</f>
        <v/>
      </c>
      <c r="M250" s="36" t="str">
        <f>IF(OR(NOT(ISNUMBER(L250)),COUNT(H250:J250)&lt;3),"",IF(OR(AND(L250&gt;=3,H250=0),AND(L250&gt;=4,I250=0),AND(L250&gt;=5,J250=0)),"有断层","连续"))</f>
        <v/>
      </c>
      <c r="N250" s="27" t="n"/>
      <c r="O250" s="45" t="str">
        <f>IF(NOT(ISNUMBER(A250)),"",IF(COUNTIFS('交易记录'!$S$5:$S$304,A250,'交易记录'!$X$5:$X$304,"已平仓")=0,"",SUMIFS('交易记录'!$AB$5:$AB$304,'交易记录'!$S$5:$S$304,A250,'交易记录'!$X$5:$X$304,"已平仓")))</f>
        <v/>
      </c>
      <c r="P250" s="36" t="str">
        <f>IF(NOT(ISNUMBER(O250)),"",IF(O250&lt;=-'参数'!$C$9,"触及停手线",""))</f>
        <v/>
      </c>
      <c r="Q250" s="32" t="n"/>
      <c r="R250" s="32" t="n"/>
      <c r="S250" s="32" t="n"/>
    </row>
    <row r="251">
      <c r="A251" s="42" t="str">
        <f>IF('每日复盘'!A251="","",'每日复盘'!A251)</f>
        <v/>
      </c>
      <c r="B251" s="43" t="str">
        <f>IF('每日复盘'!AA251="","",'每日复盘'!AA251)</f>
        <v/>
      </c>
      <c r="C251" s="32" t="n"/>
      <c r="D251" s="32" t="n"/>
      <c r="E251" s="32" t="n"/>
      <c r="F251" s="32" t="n"/>
      <c r="G251" s="17" t="n"/>
      <c r="H251" s="44" t="str">
        <f>IF('每日复盘'!P251="","",'每日复盘'!P251)</f>
        <v/>
      </c>
      <c r="I251" s="17" t="n"/>
      <c r="J251" s="17" t="n"/>
      <c r="K251" s="17" t="n"/>
      <c r="L251" s="44" t="str">
        <f>IF('每日复盘'!R251="","",'每日复盘'!R251)</f>
        <v/>
      </c>
      <c r="M251" s="36" t="str">
        <f>IF(OR(NOT(ISNUMBER(L251)),COUNT(H251:J251)&lt;3),"",IF(OR(AND(L251&gt;=3,H251=0),AND(L251&gt;=4,I251=0),AND(L251&gt;=5,J251=0)),"有断层","连续"))</f>
        <v/>
      </c>
      <c r="N251" s="27" t="n"/>
      <c r="O251" s="45" t="str">
        <f>IF(NOT(ISNUMBER(A251)),"",IF(COUNTIFS('交易记录'!$S$5:$S$304,A251,'交易记录'!$X$5:$X$304,"已平仓")=0,"",SUMIFS('交易记录'!$AB$5:$AB$304,'交易记录'!$S$5:$S$304,A251,'交易记录'!$X$5:$X$304,"已平仓")))</f>
        <v/>
      </c>
      <c r="P251" s="36" t="str">
        <f>IF(NOT(ISNUMBER(O251)),"",IF(O251&lt;=-'参数'!$C$9,"触及停手线",""))</f>
        <v/>
      </c>
      <c r="Q251" s="32" t="n"/>
      <c r="R251" s="32" t="n"/>
      <c r="S251" s="32" t="n"/>
    </row>
    <row r="252">
      <c r="A252" s="42" t="str">
        <f>IF('每日复盘'!A252="","",'每日复盘'!A252)</f>
        <v/>
      </c>
      <c r="B252" s="43" t="str">
        <f>IF('每日复盘'!AA252="","",'每日复盘'!AA252)</f>
        <v/>
      </c>
      <c r="C252" s="32" t="n"/>
      <c r="D252" s="32" t="n"/>
      <c r="E252" s="32" t="n"/>
      <c r="F252" s="32" t="n"/>
      <c r="G252" s="17" t="n"/>
      <c r="H252" s="44" t="str">
        <f>IF('每日复盘'!P252="","",'每日复盘'!P252)</f>
        <v/>
      </c>
      <c r="I252" s="17" t="n"/>
      <c r="J252" s="17" t="n"/>
      <c r="K252" s="17" t="n"/>
      <c r="L252" s="44" t="str">
        <f>IF('每日复盘'!R252="","",'每日复盘'!R252)</f>
        <v/>
      </c>
      <c r="M252" s="36" t="str">
        <f>IF(OR(NOT(ISNUMBER(L252)),COUNT(H252:J252)&lt;3),"",IF(OR(AND(L252&gt;=3,H252=0),AND(L252&gt;=4,I252=0),AND(L252&gt;=5,J252=0)),"有断层","连续"))</f>
        <v/>
      </c>
      <c r="N252" s="27" t="n"/>
      <c r="O252" s="45" t="str">
        <f>IF(NOT(ISNUMBER(A252)),"",IF(COUNTIFS('交易记录'!$S$5:$S$304,A252,'交易记录'!$X$5:$X$304,"已平仓")=0,"",SUMIFS('交易记录'!$AB$5:$AB$304,'交易记录'!$S$5:$S$304,A252,'交易记录'!$X$5:$X$304,"已平仓")))</f>
        <v/>
      </c>
      <c r="P252" s="36" t="str">
        <f>IF(NOT(ISNUMBER(O252)),"",IF(O252&lt;=-'参数'!$C$9,"触及停手线",""))</f>
        <v/>
      </c>
      <c r="Q252" s="32" t="n"/>
      <c r="R252" s="32" t="n"/>
      <c r="S252" s="32" t="n"/>
    </row>
    <row r="253">
      <c r="A253" s="42" t="str">
        <f>IF('每日复盘'!A253="","",'每日复盘'!A253)</f>
        <v/>
      </c>
      <c r="B253" s="43" t="str">
        <f>IF('每日复盘'!AA253="","",'每日复盘'!AA253)</f>
        <v/>
      </c>
      <c r="C253" s="32" t="n"/>
      <c r="D253" s="32" t="n"/>
      <c r="E253" s="32" t="n"/>
      <c r="F253" s="32" t="n"/>
      <c r="G253" s="17" t="n"/>
      <c r="H253" s="44" t="str">
        <f>IF('每日复盘'!P253="","",'每日复盘'!P253)</f>
        <v/>
      </c>
      <c r="I253" s="17" t="n"/>
      <c r="J253" s="17" t="n"/>
      <c r="K253" s="17" t="n"/>
      <c r="L253" s="44" t="str">
        <f>IF('每日复盘'!R253="","",'每日复盘'!R253)</f>
        <v/>
      </c>
      <c r="M253" s="36" t="str">
        <f>IF(OR(NOT(ISNUMBER(L253)),COUNT(H253:J253)&lt;3),"",IF(OR(AND(L253&gt;=3,H253=0),AND(L253&gt;=4,I253=0),AND(L253&gt;=5,J253=0)),"有断层","连续"))</f>
        <v/>
      </c>
      <c r="N253" s="27" t="n"/>
      <c r="O253" s="45" t="str">
        <f>IF(NOT(ISNUMBER(A253)),"",IF(COUNTIFS('交易记录'!$S$5:$S$304,A253,'交易记录'!$X$5:$X$304,"已平仓")=0,"",SUMIFS('交易记录'!$AB$5:$AB$304,'交易记录'!$S$5:$S$304,A253,'交易记录'!$X$5:$X$304,"已平仓")))</f>
        <v/>
      </c>
      <c r="P253" s="36" t="str">
        <f>IF(NOT(ISNUMBER(O253)),"",IF(O253&lt;=-'参数'!$C$9,"触及停手线",""))</f>
        <v/>
      </c>
      <c r="Q253" s="32" t="n"/>
      <c r="R253" s="32" t="n"/>
      <c r="S253" s="32" t="n"/>
    </row>
    <row r="254">
      <c r="A254" s="42" t="str">
        <f>IF('每日复盘'!A254="","",'每日复盘'!A254)</f>
        <v/>
      </c>
      <c r="B254" s="43" t="str">
        <f>IF('每日复盘'!AA254="","",'每日复盘'!AA254)</f>
        <v/>
      </c>
      <c r="C254" s="32" t="n"/>
      <c r="D254" s="32" t="n"/>
      <c r="E254" s="32" t="n"/>
      <c r="F254" s="32" t="n"/>
      <c r="G254" s="17" t="n"/>
      <c r="H254" s="44" t="str">
        <f>IF('每日复盘'!P254="","",'每日复盘'!P254)</f>
        <v/>
      </c>
      <c r="I254" s="17" t="n"/>
      <c r="J254" s="17" t="n"/>
      <c r="K254" s="17" t="n"/>
      <c r="L254" s="44" t="str">
        <f>IF('每日复盘'!R254="","",'每日复盘'!R254)</f>
        <v/>
      </c>
      <c r="M254" s="36" t="str">
        <f>IF(OR(NOT(ISNUMBER(L254)),COUNT(H254:J254)&lt;3),"",IF(OR(AND(L254&gt;=3,H254=0),AND(L254&gt;=4,I254=0),AND(L254&gt;=5,J254=0)),"有断层","连续"))</f>
        <v/>
      </c>
      <c r="N254" s="27" t="n"/>
      <c r="O254" s="45" t="str">
        <f>IF(NOT(ISNUMBER(A254)),"",IF(COUNTIFS('交易记录'!$S$5:$S$304,A254,'交易记录'!$X$5:$X$304,"已平仓")=0,"",SUMIFS('交易记录'!$AB$5:$AB$304,'交易记录'!$S$5:$S$304,A254,'交易记录'!$X$5:$X$304,"已平仓")))</f>
        <v/>
      </c>
      <c r="P254" s="36" t="str">
        <f>IF(NOT(ISNUMBER(O254)),"",IF(O254&lt;=-'参数'!$C$9,"触及停手线",""))</f>
        <v/>
      </c>
      <c r="Q254" s="32" t="n"/>
      <c r="R254" s="32" t="n"/>
      <c r="S254" s="32" t="n"/>
    </row>
    <row r="255">
      <c r="A255" s="42" t="str">
        <f>IF('每日复盘'!A255="","",'每日复盘'!A255)</f>
        <v/>
      </c>
      <c r="B255" s="43" t="str">
        <f>IF('每日复盘'!AA255="","",'每日复盘'!AA255)</f>
        <v/>
      </c>
      <c r="C255" s="32" t="n"/>
      <c r="D255" s="32" t="n"/>
      <c r="E255" s="32" t="n"/>
      <c r="F255" s="32" t="n"/>
      <c r="G255" s="17" t="n"/>
      <c r="H255" s="44" t="str">
        <f>IF('每日复盘'!P255="","",'每日复盘'!P255)</f>
        <v/>
      </c>
      <c r="I255" s="17" t="n"/>
      <c r="J255" s="17" t="n"/>
      <c r="K255" s="17" t="n"/>
      <c r="L255" s="44" t="str">
        <f>IF('每日复盘'!R255="","",'每日复盘'!R255)</f>
        <v/>
      </c>
      <c r="M255" s="36" t="str">
        <f>IF(OR(NOT(ISNUMBER(L255)),COUNT(H255:J255)&lt;3),"",IF(OR(AND(L255&gt;=3,H255=0),AND(L255&gt;=4,I255=0),AND(L255&gt;=5,J255=0)),"有断层","连续"))</f>
        <v/>
      </c>
      <c r="N255" s="27" t="n"/>
      <c r="O255" s="45" t="str">
        <f>IF(NOT(ISNUMBER(A255)),"",IF(COUNTIFS('交易记录'!$S$5:$S$304,A255,'交易记录'!$X$5:$X$304,"已平仓")=0,"",SUMIFS('交易记录'!$AB$5:$AB$304,'交易记录'!$S$5:$S$304,A255,'交易记录'!$X$5:$X$304,"已平仓")))</f>
        <v/>
      </c>
      <c r="P255" s="36" t="str">
        <f>IF(NOT(ISNUMBER(O255)),"",IF(O255&lt;=-'参数'!$C$9,"触及停手线",""))</f>
        <v/>
      </c>
      <c r="Q255" s="32" t="n"/>
      <c r="R255" s="32" t="n"/>
      <c r="S255" s="32" t="n"/>
    </row>
    <row r="256">
      <c r="A256" s="42" t="str">
        <f>IF('每日复盘'!A256="","",'每日复盘'!A256)</f>
        <v/>
      </c>
      <c r="B256" s="43" t="str">
        <f>IF('每日复盘'!AA256="","",'每日复盘'!AA256)</f>
        <v/>
      </c>
      <c r="C256" s="32" t="n"/>
      <c r="D256" s="32" t="n"/>
      <c r="E256" s="32" t="n"/>
      <c r="F256" s="32" t="n"/>
      <c r="G256" s="17" t="n"/>
      <c r="H256" s="44" t="str">
        <f>IF('每日复盘'!P256="","",'每日复盘'!P256)</f>
        <v/>
      </c>
      <c r="I256" s="17" t="n"/>
      <c r="J256" s="17" t="n"/>
      <c r="K256" s="17" t="n"/>
      <c r="L256" s="44" t="str">
        <f>IF('每日复盘'!R256="","",'每日复盘'!R256)</f>
        <v/>
      </c>
      <c r="M256" s="36" t="str">
        <f>IF(OR(NOT(ISNUMBER(L256)),COUNT(H256:J256)&lt;3),"",IF(OR(AND(L256&gt;=3,H256=0),AND(L256&gt;=4,I256=0),AND(L256&gt;=5,J256=0)),"有断层","连续"))</f>
        <v/>
      </c>
      <c r="N256" s="27" t="n"/>
      <c r="O256" s="45" t="str">
        <f>IF(NOT(ISNUMBER(A256)),"",IF(COUNTIFS('交易记录'!$S$5:$S$304,A256,'交易记录'!$X$5:$X$304,"已平仓")=0,"",SUMIFS('交易记录'!$AB$5:$AB$304,'交易记录'!$S$5:$S$304,A256,'交易记录'!$X$5:$X$304,"已平仓")))</f>
        <v/>
      </c>
      <c r="P256" s="36" t="str">
        <f>IF(NOT(ISNUMBER(O256)),"",IF(O256&lt;=-'参数'!$C$9,"触及停手线",""))</f>
        <v/>
      </c>
      <c r="Q256" s="32" t="n"/>
      <c r="R256" s="32" t="n"/>
      <c r="S256" s="32" t="n"/>
    </row>
    <row r="257">
      <c r="A257" s="42" t="str">
        <f>IF('每日复盘'!A257="","",'每日复盘'!A257)</f>
        <v/>
      </c>
      <c r="B257" s="43" t="str">
        <f>IF('每日复盘'!AA257="","",'每日复盘'!AA257)</f>
        <v/>
      </c>
      <c r="C257" s="32" t="n"/>
      <c r="D257" s="32" t="n"/>
      <c r="E257" s="32" t="n"/>
      <c r="F257" s="32" t="n"/>
      <c r="G257" s="17" t="n"/>
      <c r="H257" s="44" t="str">
        <f>IF('每日复盘'!P257="","",'每日复盘'!P257)</f>
        <v/>
      </c>
      <c r="I257" s="17" t="n"/>
      <c r="J257" s="17" t="n"/>
      <c r="K257" s="17" t="n"/>
      <c r="L257" s="44" t="str">
        <f>IF('每日复盘'!R257="","",'每日复盘'!R257)</f>
        <v/>
      </c>
      <c r="M257" s="36" t="str">
        <f>IF(OR(NOT(ISNUMBER(L257)),COUNT(H257:J257)&lt;3),"",IF(OR(AND(L257&gt;=3,H257=0),AND(L257&gt;=4,I257=0),AND(L257&gt;=5,J257=0)),"有断层","连续"))</f>
        <v/>
      </c>
      <c r="N257" s="27" t="n"/>
      <c r="O257" s="45" t="str">
        <f>IF(NOT(ISNUMBER(A257)),"",IF(COUNTIFS('交易记录'!$S$5:$S$304,A257,'交易记录'!$X$5:$X$304,"已平仓")=0,"",SUMIFS('交易记录'!$AB$5:$AB$304,'交易记录'!$S$5:$S$304,A257,'交易记录'!$X$5:$X$304,"已平仓")))</f>
        <v/>
      </c>
      <c r="P257" s="36" t="str">
        <f>IF(NOT(ISNUMBER(O257)),"",IF(O257&lt;=-'参数'!$C$9,"触及停手线",""))</f>
        <v/>
      </c>
      <c r="Q257" s="32" t="n"/>
      <c r="R257" s="32" t="n"/>
      <c r="S257" s="32" t="n"/>
    </row>
    <row r="258">
      <c r="A258" s="42" t="str">
        <f>IF('每日复盘'!A258="","",'每日复盘'!A258)</f>
        <v/>
      </c>
      <c r="B258" s="43" t="str">
        <f>IF('每日复盘'!AA258="","",'每日复盘'!AA258)</f>
        <v/>
      </c>
      <c r="C258" s="32" t="n"/>
      <c r="D258" s="32" t="n"/>
      <c r="E258" s="32" t="n"/>
      <c r="F258" s="32" t="n"/>
      <c r="G258" s="17" t="n"/>
      <c r="H258" s="44" t="str">
        <f>IF('每日复盘'!P258="","",'每日复盘'!P258)</f>
        <v/>
      </c>
      <c r="I258" s="17" t="n"/>
      <c r="J258" s="17" t="n"/>
      <c r="K258" s="17" t="n"/>
      <c r="L258" s="44" t="str">
        <f>IF('每日复盘'!R258="","",'每日复盘'!R258)</f>
        <v/>
      </c>
      <c r="M258" s="36" t="str">
        <f>IF(OR(NOT(ISNUMBER(L258)),COUNT(H258:J258)&lt;3),"",IF(OR(AND(L258&gt;=3,H258=0),AND(L258&gt;=4,I258=0),AND(L258&gt;=5,J258=0)),"有断层","连续"))</f>
        <v/>
      </c>
      <c r="N258" s="27" t="n"/>
      <c r="O258" s="45" t="str">
        <f>IF(NOT(ISNUMBER(A258)),"",IF(COUNTIFS('交易记录'!$S$5:$S$304,A258,'交易记录'!$X$5:$X$304,"已平仓")=0,"",SUMIFS('交易记录'!$AB$5:$AB$304,'交易记录'!$S$5:$S$304,A258,'交易记录'!$X$5:$X$304,"已平仓")))</f>
        <v/>
      </c>
      <c r="P258" s="36" t="str">
        <f>IF(NOT(ISNUMBER(O258)),"",IF(O258&lt;=-'参数'!$C$9,"触及停手线",""))</f>
        <v/>
      </c>
      <c r="Q258" s="32" t="n"/>
      <c r="R258" s="32" t="n"/>
      <c r="S258" s="32" t="n"/>
    </row>
    <row r="259">
      <c r="A259" s="42" t="str">
        <f>IF('每日复盘'!A259="","",'每日复盘'!A259)</f>
        <v/>
      </c>
      <c r="B259" s="43" t="str">
        <f>IF('每日复盘'!AA259="","",'每日复盘'!AA259)</f>
        <v/>
      </c>
      <c r="C259" s="32" t="n"/>
      <c r="D259" s="32" t="n"/>
      <c r="E259" s="32" t="n"/>
      <c r="F259" s="32" t="n"/>
      <c r="G259" s="17" t="n"/>
      <c r="H259" s="44" t="str">
        <f>IF('每日复盘'!P259="","",'每日复盘'!P259)</f>
        <v/>
      </c>
      <c r="I259" s="17" t="n"/>
      <c r="J259" s="17" t="n"/>
      <c r="K259" s="17" t="n"/>
      <c r="L259" s="44" t="str">
        <f>IF('每日复盘'!R259="","",'每日复盘'!R259)</f>
        <v/>
      </c>
      <c r="M259" s="36" t="str">
        <f>IF(OR(NOT(ISNUMBER(L259)),COUNT(H259:J259)&lt;3),"",IF(OR(AND(L259&gt;=3,H259=0),AND(L259&gt;=4,I259=0),AND(L259&gt;=5,J259=0)),"有断层","连续"))</f>
        <v/>
      </c>
      <c r="N259" s="27" t="n"/>
      <c r="O259" s="45" t="str">
        <f>IF(NOT(ISNUMBER(A259)),"",IF(COUNTIFS('交易记录'!$S$5:$S$304,A259,'交易记录'!$X$5:$X$304,"已平仓")=0,"",SUMIFS('交易记录'!$AB$5:$AB$304,'交易记录'!$S$5:$S$304,A259,'交易记录'!$X$5:$X$304,"已平仓")))</f>
        <v/>
      </c>
      <c r="P259" s="36" t="str">
        <f>IF(NOT(ISNUMBER(O259)),"",IF(O259&lt;=-'参数'!$C$9,"触及停手线",""))</f>
        <v/>
      </c>
      <c r="Q259" s="32" t="n"/>
      <c r="R259" s="32" t="n"/>
      <c r="S259" s="32" t="n"/>
    </row>
    <row r="260">
      <c r="A260" s="42" t="str">
        <f>IF('每日复盘'!A260="","",'每日复盘'!A260)</f>
        <v/>
      </c>
      <c r="B260" s="43" t="str">
        <f>IF('每日复盘'!AA260="","",'每日复盘'!AA260)</f>
        <v/>
      </c>
      <c r="C260" s="32" t="n"/>
      <c r="D260" s="32" t="n"/>
      <c r="E260" s="32" t="n"/>
      <c r="F260" s="32" t="n"/>
      <c r="G260" s="17" t="n"/>
      <c r="H260" s="44" t="str">
        <f>IF('每日复盘'!P260="","",'每日复盘'!P260)</f>
        <v/>
      </c>
      <c r="I260" s="17" t="n"/>
      <c r="J260" s="17" t="n"/>
      <c r="K260" s="17" t="n"/>
      <c r="L260" s="44" t="str">
        <f>IF('每日复盘'!R260="","",'每日复盘'!R260)</f>
        <v/>
      </c>
      <c r="M260" s="36" t="str">
        <f>IF(OR(NOT(ISNUMBER(L260)),COUNT(H260:J260)&lt;3),"",IF(OR(AND(L260&gt;=3,H260=0),AND(L260&gt;=4,I260=0),AND(L260&gt;=5,J260=0)),"有断层","连续"))</f>
        <v/>
      </c>
      <c r="N260" s="27" t="n"/>
      <c r="O260" s="45" t="str">
        <f>IF(NOT(ISNUMBER(A260)),"",IF(COUNTIFS('交易记录'!$S$5:$S$304,A260,'交易记录'!$X$5:$X$304,"已平仓")=0,"",SUMIFS('交易记录'!$AB$5:$AB$304,'交易记录'!$S$5:$S$304,A260,'交易记录'!$X$5:$X$304,"已平仓")))</f>
        <v/>
      </c>
      <c r="P260" s="36" t="str">
        <f>IF(NOT(ISNUMBER(O260)),"",IF(O260&lt;=-'参数'!$C$9,"触及停手线",""))</f>
        <v/>
      </c>
      <c r="Q260" s="32" t="n"/>
      <c r="R260" s="32" t="n"/>
      <c r="S260" s="32" t="n"/>
    </row>
    <row r="261">
      <c r="A261" s="42" t="str">
        <f>IF('每日复盘'!A261="","",'每日复盘'!A261)</f>
        <v/>
      </c>
      <c r="B261" s="43" t="str">
        <f>IF('每日复盘'!AA261="","",'每日复盘'!AA261)</f>
        <v/>
      </c>
      <c r="C261" s="32" t="n"/>
      <c r="D261" s="32" t="n"/>
      <c r="E261" s="32" t="n"/>
      <c r="F261" s="32" t="n"/>
      <c r="G261" s="17" t="n"/>
      <c r="H261" s="44" t="str">
        <f>IF('每日复盘'!P261="","",'每日复盘'!P261)</f>
        <v/>
      </c>
      <c r="I261" s="17" t="n"/>
      <c r="J261" s="17" t="n"/>
      <c r="K261" s="17" t="n"/>
      <c r="L261" s="44" t="str">
        <f>IF('每日复盘'!R261="","",'每日复盘'!R261)</f>
        <v/>
      </c>
      <c r="M261" s="36" t="str">
        <f>IF(OR(NOT(ISNUMBER(L261)),COUNT(H261:J261)&lt;3),"",IF(OR(AND(L261&gt;=3,H261=0),AND(L261&gt;=4,I261=0),AND(L261&gt;=5,J261=0)),"有断层","连续"))</f>
        <v/>
      </c>
      <c r="N261" s="27" t="n"/>
      <c r="O261" s="45" t="str">
        <f>IF(NOT(ISNUMBER(A261)),"",IF(COUNTIFS('交易记录'!$S$5:$S$304,A261,'交易记录'!$X$5:$X$304,"已平仓")=0,"",SUMIFS('交易记录'!$AB$5:$AB$304,'交易记录'!$S$5:$S$304,A261,'交易记录'!$X$5:$X$304,"已平仓")))</f>
        <v/>
      </c>
      <c r="P261" s="36" t="str">
        <f>IF(NOT(ISNUMBER(O261)),"",IF(O261&lt;=-'参数'!$C$9,"触及停手线",""))</f>
        <v/>
      </c>
      <c r="Q261" s="32" t="n"/>
      <c r="R261" s="32" t="n"/>
      <c r="S261" s="32" t="n"/>
    </row>
    <row r="262">
      <c r="A262" s="42" t="str">
        <f>IF('每日复盘'!A262="","",'每日复盘'!A262)</f>
        <v/>
      </c>
      <c r="B262" s="43" t="str">
        <f>IF('每日复盘'!AA262="","",'每日复盘'!AA262)</f>
        <v/>
      </c>
      <c r="C262" s="32" t="n"/>
      <c r="D262" s="32" t="n"/>
      <c r="E262" s="32" t="n"/>
      <c r="F262" s="32" t="n"/>
      <c r="G262" s="17" t="n"/>
      <c r="H262" s="44" t="str">
        <f>IF('每日复盘'!P262="","",'每日复盘'!P262)</f>
        <v/>
      </c>
      <c r="I262" s="17" t="n"/>
      <c r="J262" s="17" t="n"/>
      <c r="K262" s="17" t="n"/>
      <c r="L262" s="44" t="str">
        <f>IF('每日复盘'!R262="","",'每日复盘'!R262)</f>
        <v/>
      </c>
      <c r="M262" s="36" t="str">
        <f>IF(OR(NOT(ISNUMBER(L262)),COUNT(H262:J262)&lt;3),"",IF(OR(AND(L262&gt;=3,H262=0),AND(L262&gt;=4,I262=0),AND(L262&gt;=5,J262=0)),"有断层","连续"))</f>
        <v/>
      </c>
      <c r="N262" s="27" t="n"/>
      <c r="O262" s="45" t="str">
        <f>IF(NOT(ISNUMBER(A262)),"",IF(COUNTIFS('交易记录'!$S$5:$S$304,A262,'交易记录'!$X$5:$X$304,"已平仓")=0,"",SUMIFS('交易记录'!$AB$5:$AB$304,'交易记录'!$S$5:$S$304,A262,'交易记录'!$X$5:$X$304,"已平仓")))</f>
        <v/>
      </c>
      <c r="P262" s="36" t="str">
        <f>IF(NOT(ISNUMBER(O262)),"",IF(O262&lt;=-'参数'!$C$9,"触及停手线",""))</f>
        <v/>
      </c>
      <c r="Q262" s="32" t="n"/>
      <c r="R262" s="32" t="n"/>
      <c r="S262" s="32" t="n"/>
    </row>
    <row r="263">
      <c r="A263" s="42" t="str">
        <f>IF('每日复盘'!A263="","",'每日复盘'!A263)</f>
        <v/>
      </c>
      <c r="B263" s="43" t="str">
        <f>IF('每日复盘'!AA263="","",'每日复盘'!AA263)</f>
        <v/>
      </c>
      <c r="C263" s="32" t="n"/>
      <c r="D263" s="32" t="n"/>
      <c r="E263" s="32" t="n"/>
      <c r="F263" s="32" t="n"/>
      <c r="G263" s="17" t="n"/>
      <c r="H263" s="44" t="str">
        <f>IF('每日复盘'!P263="","",'每日复盘'!P263)</f>
        <v/>
      </c>
      <c r="I263" s="17" t="n"/>
      <c r="J263" s="17" t="n"/>
      <c r="K263" s="17" t="n"/>
      <c r="L263" s="44" t="str">
        <f>IF('每日复盘'!R263="","",'每日复盘'!R263)</f>
        <v/>
      </c>
      <c r="M263" s="36" t="str">
        <f>IF(OR(NOT(ISNUMBER(L263)),COUNT(H263:J263)&lt;3),"",IF(OR(AND(L263&gt;=3,H263=0),AND(L263&gt;=4,I263=0),AND(L263&gt;=5,J263=0)),"有断层","连续"))</f>
        <v/>
      </c>
      <c r="N263" s="27" t="n"/>
      <c r="O263" s="45" t="str">
        <f>IF(NOT(ISNUMBER(A263)),"",IF(COUNTIFS('交易记录'!$S$5:$S$304,A263,'交易记录'!$X$5:$X$304,"已平仓")=0,"",SUMIFS('交易记录'!$AB$5:$AB$304,'交易记录'!$S$5:$S$304,A263,'交易记录'!$X$5:$X$304,"已平仓")))</f>
        <v/>
      </c>
      <c r="P263" s="36" t="str">
        <f>IF(NOT(ISNUMBER(O263)),"",IF(O263&lt;=-'参数'!$C$9,"触及停手线",""))</f>
        <v/>
      </c>
      <c r="Q263" s="32" t="n"/>
      <c r="R263" s="32" t="n"/>
      <c r="S263" s="32" t="n"/>
    </row>
    <row r="264">
      <c r="A264" s="42" t="str">
        <f>IF('每日复盘'!A264="","",'每日复盘'!A264)</f>
        <v/>
      </c>
      <c r="B264" s="43" t="str">
        <f>IF('每日复盘'!AA264="","",'每日复盘'!AA264)</f>
        <v/>
      </c>
      <c r="C264" s="32" t="n"/>
      <c r="D264" s="32" t="n"/>
      <c r="E264" s="32" t="n"/>
      <c r="F264" s="32" t="n"/>
      <c r="G264" s="17" t="n"/>
      <c r="H264" s="44" t="str">
        <f>IF('每日复盘'!P264="","",'每日复盘'!P264)</f>
        <v/>
      </c>
      <c r="I264" s="17" t="n"/>
      <c r="J264" s="17" t="n"/>
      <c r="K264" s="17" t="n"/>
      <c r="L264" s="44" t="str">
        <f>IF('每日复盘'!R264="","",'每日复盘'!R264)</f>
        <v/>
      </c>
      <c r="M264" s="36" t="str">
        <f>IF(OR(NOT(ISNUMBER(L264)),COUNT(H264:J264)&lt;3),"",IF(OR(AND(L264&gt;=3,H264=0),AND(L264&gt;=4,I264=0),AND(L264&gt;=5,J264=0)),"有断层","连续"))</f>
        <v/>
      </c>
      <c r="N264" s="27" t="n"/>
      <c r="O264" s="45" t="str">
        <f>IF(NOT(ISNUMBER(A264)),"",IF(COUNTIFS('交易记录'!$S$5:$S$304,A264,'交易记录'!$X$5:$X$304,"已平仓")=0,"",SUMIFS('交易记录'!$AB$5:$AB$304,'交易记录'!$S$5:$S$304,A264,'交易记录'!$X$5:$X$304,"已平仓")))</f>
        <v/>
      </c>
      <c r="P264" s="36" t="str">
        <f>IF(NOT(ISNUMBER(O264)),"",IF(O264&lt;=-'参数'!$C$9,"触及停手线",""))</f>
        <v/>
      </c>
      <c r="Q264" s="32" t="n"/>
      <c r="R264" s="32" t="n"/>
      <c r="S264" s="32" t="n"/>
    </row>
  </sheetData>
  <mergeCells count="8">
    <mergeCell ref="C3:F3"/>
    <mergeCell ref="A1:P1"/>
    <mergeCell ref="G3:M3"/>
    <mergeCell ref="Q1:S1"/>
    <mergeCell ref="A3:B3"/>
    <mergeCell ref="A2:S2"/>
    <mergeCell ref="N3:P3"/>
    <mergeCell ref="Q3:S3"/>
  </mergeCells>
  <conditionalFormatting sqref="M5:M264">
    <cfRule type="cellIs" priority="1" operator="equal" dxfId="4">
      <formula>"有断层"</formula>
    </cfRule>
  </conditionalFormatting>
  <conditionalFormatting sqref="P5:P264">
    <cfRule type="cellIs" priority="2" operator="equal" dxfId="5">
      <formula>"触及停手线"</formula>
    </cfRule>
  </conditionalFormatting>
  <conditionalFormatting sqref="O5:O264">
    <cfRule type="cellIs" priority="3" operator="greaterThan" dxfId="0">
      <formula>0</formula>
    </cfRule>
    <cfRule type="cellIs" priority="4" operator="lessThan" dxfId="1">
      <formula>0</formula>
    </cfRule>
  </conditionalFormatting>
  <dataValidations count="1">
    <dataValidation sqref="N5:N264" showDropDown="0" showInputMessage="0" showErrorMessage="1" allowBlank="1" errorTitle="不在选项里" error="请从下拉里选；要加新选项，先去参数页的下拉选项里加。" type="list" errorStyle="warning">
      <formula1>'参数'!$G$43:$G$54</formula1>
    </dataValidation>
  </dataValidation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trade1469.com/templates/a-share-review/?src=tpl-ashare&amp;R&amp;"Microsoft YaHei"&amp;8 第 &amp;P 页，共 &amp;N 页</oddFooter>
    <evenHeader/>
    <evenFooter>&amp;L&amp;"Microsoft YaHei"&amp;8 TradeLearn · XtradingTime 交易内训&amp;C&amp;"Microsoft YaHei"&amp;8 trade1469.com/templates/a-share-review/?src=tpl-ashare&amp;R&amp;"Microsoft YaHei"&amp;8 第 &amp;P 页，共 &amp;N 页</evenFooter>
    <firstHeader/>
    <firstFooter/>
  </headerFooter>
</worksheet>
</file>

<file path=xl/worksheets/sheet5.xml><?xml version="1.0" encoding="utf-8"?>
<worksheet xmlns="http://schemas.openxmlformats.org/spreadsheetml/2006/main">
  <sheetPr>
    <tabColor rgb="009D4616"/>
    <outlinePr summaryBelow="1" summaryRight="1"/>
    <pageSetUpPr fitToPage="0"/>
  </sheetPr>
  <dimension ref="A1:AH304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0.5" customWidth="1" min="2" max="2"/>
    <col width="10" customWidth="1" min="3" max="3"/>
    <col width="8" customWidth="1" min="4" max="4"/>
    <col width="6" customWidth="1" min="5" max="5"/>
    <col width="7" customWidth="1" min="6" max="6"/>
    <col width="7" customWidth="1" min="7" max="7"/>
    <col width="7.5" customWidth="1" min="8" max="8"/>
    <col width="7" customWidth="1" min="9" max="9"/>
    <col width="7" customWidth="1" min="10" max="10"/>
    <col width="6.5" customWidth="1" min="11" max="11"/>
    <col width="7.5" customWidth="1" min="12" max="12"/>
    <col width="7.5" customWidth="1" min="13" max="13"/>
    <col width="8" customWidth="1" min="14" max="14"/>
    <col width="8.5" customWidth="1" min="15" max="15"/>
    <col width="18" customWidth="1" min="16" max="16"/>
    <col width="7.5" customWidth="1" min="17" max="17"/>
    <col width="10.5" customWidth="1" min="18" max="18"/>
    <col width="10.5" customWidth="1" min="19" max="19"/>
    <col width="7.5" customWidth="1" min="20" max="20"/>
    <col width="7.5" customWidth="1" min="21" max="21"/>
    <col width="7.5" customWidth="1" min="22" max="22"/>
    <col width="7.5" customWidth="1" min="23" max="23"/>
    <col width="7.5" customWidth="1" min="24" max="24"/>
    <col width="8.5" customWidth="1" min="25" max="25"/>
    <col width="9.5" customWidth="1" min="26" max="26"/>
    <col width="6.5" customWidth="1" min="27" max="27"/>
    <col width="6.5" customWidth="1" min="28" max="28"/>
    <col width="7.5" customWidth="1" min="29" max="29"/>
    <col width="6" customWidth="1" min="30" max="30"/>
    <col width="8" customWidth="1" min="31" max="31"/>
    <col width="30" customWidth="1" min="32" max="32"/>
    <col width="7" customWidth="1" min="33" max="33"/>
    <col width="7" customWidth="1" min="34" max="34"/>
  </cols>
  <sheetData>
    <row r="1" ht="30" customHeight="1">
      <c r="A1" s="13" t="inlineStr">
        <is>
          <t>A股交易记录</t>
        </is>
      </c>
      <c r="AF1" s="14" t="inlineStr">
        <is>
          <t>TradeLearn · XtradingTime 交易内训</t>
        </is>
      </c>
    </row>
    <row r="2" ht="20" customHeight="1">
      <c r="A2" s="2" t="inlineStr">
        <is>
          <t>下单前写左边的计划（编号用数字），成交后去「成交明细」逐笔记同一个编号，右边的成交、费用和 R 会自动汇总。没成交、主动放弃、漏单也记一行。</t>
        </is>
      </c>
    </row>
    <row r="3" ht="18" customHeight="1">
      <c r="A3" s="33" t="inlineStr">
        <is>
          <t>计划（下单前写，平仓后不改）</t>
        </is>
      </c>
      <c r="B3" s="33" t="n"/>
      <c r="C3" s="33" t="n"/>
      <c r="D3" s="33" t="n"/>
      <c r="E3" s="33" t="n"/>
      <c r="F3" s="33" t="n"/>
      <c r="G3" s="33" t="n"/>
      <c r="H3" s="33" t="inlineStr">
        <is>
          <t>价格、股数与风险</t>
        </is>
      </c>
      <c r="I3" s="33" t="n"/>
      <c r="J3" s="33" t="n"/>
      <c r="K3" s="33" t="n"/>
      <c r="L3" s="33" t="n"/>
      <c r="M3" s="33" t="n"/>
      <c r="N3" s="33" t="n"/>
      <c r="O3" s="33" t="n"/>
      <c r="P3" s="33" t="n"/>
      <c r="Q3" s="33" t="inlineStr">
        <is>
          <t>实际成交（从成交明细自动汇总）</t>
        </is>
      </c>
      <c r="R3" s="33" t="n"/>
      <c r="S3" s="33" t="n"/>
      <c r="T3" s="33" t="n"/>
      <c r="U3" s="33" t="n"/>
      <c r="V3" s="33" t="n"/>
      <c r="W3" s="33" t="n"/>
      <c r="X3" s="33" t="n"/>
      <c r="Y3" s="33" t="inlineStr">
        <is>
          <t>结果（费后）</t>
        </is>
      </c>
      <c r="Z3" s="33" t="n"/>
      <c r="AA3" s="33" t="n"/>
      <c r="AB3" s="33" t="n"/>
      <c r="AC3" s="33" t="n"/>
      <c r="AD3" s="33" t="inlineStr">
        <is>
          <t>过程</t>
        </is>
      </c>
      <c r="AE3" s="33" t="n"/>
      <c r="AF3" s="33" t="n"/>
      <c r="AG3" s="33" t="inlineStr">
        <is>
          <t>曲线</t>
        </is>
      </c>
      <c r="AH3" s="33" t="n"/>
    </row>
    <row r="4" ht="41.8" customHeight="1">
      <c r="A4" s="25" t="inlineStr">
        <is>
          <t>编号</t>
        </is>
      </c>
      <c r="B4" s="25" t="inlineStr">
        <is>
          <t>计划日期</t>
        </is>
      </c>
      <c r="C4" s="25" t="inlineStr">
        <is>
          <t>股票</t>
        </is>
      </c>
      <c r="D4" s="25" t="inlineStr">
        <is>
          <t>板块类型</t>
        </is>
      </c>
      <c r="E4" s="25" t="inlineStr">
        <is>
          <t>涨跌幅</t>
        </is>
      </c>
      <c r="F4" s="25" t="inlineStr">
        <is>
          <t>买点类型</t>
        </is>
      </c>
      <c r="G4" s="25" t="inlineStr">
        <is>
          <t>前一日阶段</t>
        </is>
      </c>
      <c r="H4" s="25" t="inlineStr">
        <is>
          <t>计划买入价</t>
        </is>
      </c>
      <c r="I4" s="25" t="inlineStr">
        <is>
          <t>止损价</t>
        </is>
      </c>
      <c r="J4" s="25" t="inlineStr">
        <is>
          <t>目标价</t>
        </is>
      </c>
      <c r="K4" s="25" t="inlineStr">
        <is>
          <t>计划风报比</t>
        </is>
      </c>
      <c r="L4" s="25" t="inlineStr">
        <is>
          <t>建议股数</t>
        </is>
      </c>
      <c r="M4" s="25" t="inlineStr">
        <is>
          <t>计划股数</t>
        </is>
      </c>
      <c r="N4" s="25" t="inlineStr">
        <is>
          <t>1R（元）</t>
        </is>
      </c>
      <c r="O4" s="25" t="inlineStr">
        <is>
          <t>次日跌停情景亏（元）</t>
        </is>
      </c>
      <c r="P4" s="25" t="inlineStr">
        <is>
          <t>失效条件 / 不做的情况</t>
        </is>
      </c>
      <c r="Q4" s="25" t="inlineStr">
        <is>
          <t>执行情况</t>
        </is>
      </c>
      <c r="R4" s="25" t="inlineStr">
        <is>
          <t>开仓日</t>
        </is>
      </c>
      <c r="S4" s="25" t="inlineStr">
        <is>
          <t>平仓日</t>
        </is>
      </c>
      <c r="T4" s="25" t="inlineStr">
        <is>
          <t>买入股数</t>
        </is>
      </c>
      <c r="U4" s="25" t="inlineStr">
        <is>
          <t>买入均价</t>
        </is>
      </c>
      <c r="V4" s="25" t="inlineStr">
        <is>
          <t>卖出股数</t>
        </is>
      </c>
      <c r="W4" s="25" t="inlineStr">
        <is>
          <t>卖出均价</t>
        </is>
      </c>
      <c r="X4" s="25" t="inlineStr">
        <is>
          <t>状态</t>
        </is>
      </c>
      <c r="Y4" s="25" t="inlineStr">
        <is>
          <t>费用（元）</t>
        </is>
      </c>
      <c r="Z4" s="25" t="inlineStr">
        <is>
          <t>净盈亏（元）</t>
        </is>
      </c>
      <c r="AA4" s="25" t="inlineStr">
        <is>
          <t>毛R</t>
        </is>
      </c>
      <c r="AB4" s="25" t="inlineStr">
        <is>
          <t>净R</t>
        </is>
      </c>
      <c r="AC4" s="25" t="inlineStr">
        <is>
          <t>进场偏差（元/股）</t>
        </is>
      </c>
      <c r="AD4" s="25" t="inlineStr">
        <is>
          <t>过程打分</t>
        </is>
      </c>
      <c r="AE4" s="25" t="inlineStr">
        <is>
          <t>偏差标签</t>
        </is>
      </c>
      <c r="AF4" s="25" t="inlineStr">
        <is>
          <t>备注（截图编号、下一步只改一处）</t>
        </is>
      </c>
      <c r="AG4" s="25" t="inlineStr">
        <is>
          <t>累计净R</t>
        </is>
      </c>
      <c r="AH4" s="25" t="inlineStr">
        <is>
          <t>离高点回撤</t>
        </is>
      </c>
    </row>
    <row r="5">
      <c r="A5" s="46" t="n"/>
      <c r="B5" s="31" t="n"/>
      <c r="C5" s="32" t="n"/>
      <c r="D5" s="27" t="n"/>
      <c r="E5" s="47" t="str">
        <f>IF(D5="","",IFERROR(VLOOKUP(D5,'参数'!$B$21:$C$26,2,FALSE),""))</f>
        <v/>
      </c>
      <c r="F5" s="27" t="n"/>
      <c r="G5" s="43" t="str">
        <f>IF(NOT(ISNUMBER(B5)),"",IFERROR(IF(B5-INDEX('每日复盘'!$A$5:$A$264,MATCH(B5-1,'每日复盘'!$A$5:$A$264,1))&gt;7,"",T(INDEX('每日复盘'!$AA$5:$AA$264,MATCH(B5-1,'每日复盘'!$A$5:$A$264,1)))),""))</f>
        <v/>
      </c>
      <c r="H5" s="48" t="n"/>
      <c r="I5" s="48" t="n"/>
      <c r="J5" s="48" t="n"/>
      <c r="K5" s="49" t="str">
        <f>IF(AND(ISNUMBER(H5),ISNUMBER(I5),ISNUMBER(J5)),IF(H5&gt;I5,(J5-H5)/(H5-I5),""),"")</f>
        <v/>
      </c>
      <c r="L5" s="44" t="str">
        <f>IF(AND(ISNUMBER(H5),ISNUMBER(I5)),IF(H5&gt;I5,MIN(INT(ROUND('参数'!$C$7/(H5-I5)/100,6))*100,IF(ISNUMBER(E5),IF(H5-ROUND(ROUND(I5*(1-E5),4),2)&gt;0,INT(ROUND('参数'!$C$8/(H5-ROUND(ROUND(I5*(1-E5),4),2))/100,6))*100,0),INT(ROUND('参数'!$C$7/(H5-I5)/100,6))*100)),""),"")</f>
        <v/>
      </c>
      <c r="M5" s="17" t="n"/>
      <c r="N5" s="20" t="str">
        <f>IF(AND(ISNUMBER(H5),ISNUMBER(I5),ISNUMBER(M5)),IF(AND(H5&gt;I5,M5&gt;0),(H5-I5)*M5,""),"")</f>
        <v/>
      </c>
      <c r="O5" s="20" t="str">
        <f>IF(ISNUMBER(N5),IF(ISNUMBER(E5),(H5-ROUND(ROUND(I5*(1-E5),4),2))*M5,"不设限"),"")</f>
        <v/>
      </c>
      <c r="P5" s="32" t="n"/>
      <c r="Q5" s="27" t="n"/>
      <c r="R5" s="42" t="str">
        <f>IF(N(T5)&gt;0,SUMPRODUCT(LARGE(('成交明细'!$A$5:$A$804=A5)*('成交明细'!$C$5:$C$804="买")*'成交明细'!$B$5:$B$804,COUNTIFS('成交明细'!$A$5:$A$804,A5,'成交明细'!$C$5:$C$804,"买"))),"")</f>
        <v/>
      </c>
      <c r="S5" s="42" t="str">
        <f>IF(AND(N(T5)&gt;0,N(V5)&gt;=N(T5)),SUMPRODUCT(MAX(('成交明细'!$A$5:$A$804=A5)*('成交明细'!$C$5:$C$804="卖")*'成交明细'!$B$5:$B$804)),"")</f>
        <v/>
      </c>
      <c r="T5" s="44" t="str">
        <f>IF(A5="","",SUMIFS('成交明细'!$E$5:$E$804,'成交明细'!$A$5:$A$804,A5,'成交明细'!$C$5:$C$804,"买"))</f>
        <v/>
      </c>
      <c r="U5" s="50" t="str">
        <f>IF(N(T5)&gt;0,SUMIFS('成交明细'!$F$5:$F$804,'成交明细'!$A$5:$A$804,A5,'成交明细'!$C$5:$C$804,"买")/T5,"")</f>
        <v/>
      </c>
      <c r="V5" s="44" t="str">
        <f>IF(A5="","",SUMIFS('成交明细'!$E$5:$E$804,'成交明细'!$A$5:$A$804,A5,'成交明细'!$C$5:$C$804,"卖"))</f>
        <v/>
      </c>
      <c r="W5" s="50" t="str">
        <f>IF(N(V5)&gt;0,SUMIFS('成交明细'!$F$5:$F$804,'成交明细'!$A$5:$A$804,A5,'成交明细'!$C$5:$C$804,"卖")/V5,"")</f>
        <v/>
      </c>
      <c r="X5" s="36" t="str">
        <f>IF(A5="","",IF(Q5&lt;&gt;"已执行",IF(Q5="","未填执行情况",Q5),IF(N(T5)=0,"待录成交",IF(N(V5)&gt;N(T5),"卖出多于买入",IF(N(V5)&lt;N(T5),"持仓中","已平仓")))))</f>
        <v/>
      </c>
      <c r="Y5" s="51" t="str">
        <f>IF(N(T5)=0,"",SUMIFS('成交明细'!$K$5:$K$804,'成交明细'!$A$5:$A$804,A5))</f>
        <v/>
      </c>
      <c r="Z5" s="52" t="str">
        <f>IF(X5&lt;&gt;"已平仓","",SUMIFS('成交明细'!$F$5:$F$804,'成交明细'!$A$5:$A$804,A5,'成交明细'!$C$5:$C$804,"卖")-SUMIFS('成交明细'!$F$5:$F$804,'成交明细'!$A$5:$A$804,A5,'成交明细'!$C$5:$C$804,"买")-Y5)</f>
        <v/>
      </c>
      <c r="AA5" s="53" t="str">
        <f>IF(AND(X5="已平仓",ISNUMBER(N5)),(Z5+Y5)/N5,"")</f>
        <v/>
      </c>
      <c r="AB5" s="53" t="str">
        <f>IF(AND(X5="已平仓",ISNUMBER(N5)),Z5/N5,"")</f>
        <v/>
      </c>
      <c r="AC5" s="54" t="str">
        <f>IF(AND(ISNUMBER(U5),ISNUMBER(H5)),U5-H5,"")</f>
        <v/>
      </c>
      <c r="AD5" s="27" t="n"/>
      <c r="AE5" s="27" t="n"/>
      <c r="AF5" s="32" t="n"/>
      <c r="AG5" s="53" t="str">
        <f>IF(A5="","",SUM(AB$5:AB5))</f>
        <v/>
      </c>
      <c r="AH5" s="55" t="str">
        <f>IF(A5="","",MAX(0,MAX(AG$5:AG5))-AG5)</f>
        <v/>
      </c>
    </row>
    <row r="6">
      <c r="A6" s="46" t="n"/>
      <c r="B6" s="31" t="n"/>
      <c r="C6" s="32" t="n"/>
      <c r="D6" s="27" t="n"/>
      <c r="E6" s="47" t="str">
        <f>IF(D6="","",IFERROR(VLOOKUP(D6,'参数'!$B$21:$C$26,2,FALSE),""))</f>
        <v/>
      </c>
      <c r="F6" s="27" t="n"/>
      <c r="G6" s="43" t="str">
        <f>IF(NOT(ISNUMBER(B6)),"",IFERROR(IF(B6-INDEX('每日复盘'!$A$5:$A$264,MATCH(B6-1,'每日复盘'!$A$5:$A$264,1))&gt;7,"",T(INDEX('每日复盘'!$AA$5:$AA$264,MATCH(B6-1,'每日复盘'!$A$5:$A$264,1)))),""))</f>
        <v/>
      </c>
      <c r="H6" s="48" t="n"/>
      <c r="I6" s="48" t="n"/>
      <c r="J6" s="48" t="n"/>
      <c r="K6" s="49" t="str">
        <f>IF(AND(ISNUMBER(H6),ISNUMBER(I6),ISNUMBER(J6)),IF(H6&gt;I6,(J6-H6)/(H6-I6),""),"")</f>
        <v/>
      </c>
      <c r="L6" s="44" t="str">
        <f>IF(AND(ISNUMBER(H6),ISNUMBER(I6)),IF(H6&gt;I6,MIN(INT(ROUND('参数'!$C$7/(H6-I6)/100,6))*100,IF(ISNUMBER(E6),IF(H6-ROUND(ROUND(I6*(1-E6),4),2)&gt;0,INT(ROUND('参数'!$C$8/(H6-ROUND(ROUND(I6*(1-E6),4),2))/100,6))*100,0),INT(ROUND('参数'!$C$7/(H6-I6)/100,6))*100)),""),"")</f>
        <v/>
      </c>
      <c r="M6" s="17" t="n"/>
      <c r="N6" s="20" t="str">
        <f>IF(AND(ISNUMBER(H6),ISNUMBER(I6),ISNUMBER(M6)),IF(AND(H6&gt;I6,M6&gt;0),(H6-I6)*M6,""),"")</f>
        <v/>
      </c>
      <c r="O6" s="20" t="str">
        <f>IF(ISNUMBER(N6),IF(ISNUMBER(E6),(H6-ROUND(ROUND(I6*(1-E6),4),2))*M6,"不设限"),"")</f>
        <v/>
      </c>
      <c r="P6" s="32" t="n"/>
      <c r="Q6" s="27" t="n"/>
      <c r="R6" s="42" t="str">
        <f>IF(N(T6)&gt;0,SUMPRODUCT(LARGE(('成交明细'!$A$5:$A$804=A6)*('成交明细'!$C$5:$C$804="买")*'成交明细'!$B$5:$B$804,COUNTIFS('成交明细'!$A$5:$A$804,A6,'成交明细'!$C$5:$C$804,"买"))),"")</f>
        <v/>
      </c>
      <c r="S6" s="42" t="str">
        <f>IF(AND(N(T6)&gt;0,N(V6)&gt;=N(T6)),SUMPRODUCT(MAX(('成交明细'!$A$5:$A$804=A6)*('成交明细'!$C$5:$C$804="卖")*'成交明细'!$B$5:$B$804)),"")</f>
        <v/>
      </c>
      <c r="T6" s="44" t="str">
        <f>IF(A6="","",SUMIFS('成交明细'!$E$5:$E$804,'成交明细'!$A$5:$A$804,A6,'成交明细'!$C$5:$C$804,"买"))</f>
        <v/>
      </c>
      <c r="U6" s="50" t="str">
        <f>IF(N(T6)&gt;0,SUMIFS('成交明细'!$F$5:$F$804,'成交明细'!$A$5:$A$804,A6,'成交明细'!$C$5:$C$804,"买")/T6,"")</f>
        <v/>
      </c>
      <c r="V6" s="44" t="str">
        <f>IF(A6="","",SUMIFS('成交明细'!$E$5:$E$804,'成交明细'!$A$5:$A$804,A6,'成交明细'!$C$5:$C$804,"卖"))</f>
        <v/>
      </c>
      <c r="W6" s="50" t="str">
        <f>IF(N(V6)&gt;0,SUMIFS('成交明细'!$F$5:$F$804,'成交明细'!$A$5:$A$804,A6,'成交明细'!$C$5:$C$804,"卖")/V6,"")</f>
        <v/>
      </c>
      <c r="X6" s="36" t="str">
        <f>IF(A6="","",IF(Q6&lt;&gt;"已执行",IF(Q6="","未填执行情况",Q6),IF(N(T6)=0,"待录成交",IF(N(V6)&gt;N(T6),"卖出多于买入",IF(N(V6)&lt;N(T6),"持仓中","已平仓")))))</f>
        <v/>
      </c>
      <c r="Y6" s="51" t="str">
        <f>IF(N(T6)=0,"",SUMIFS('成交明细'!$K$5:$K$804,'成交明细'!$A$5:$A$804,A6))</f>
        <v/>
      </c>
      <c r="Z6" s="52" t="str">
        <f>IF(X6&lt;&gt;"已平仓","",SUMIFS('成交明细'!$F$5:$F$804,'成交明细'!$A$5:$A$804,A6,'成交明细'!$C$5:$C$804,"卖")-SUMIFS('成交明细'!$F$5:$F$804,'成交明细'!$A$5:$A$804,A6,'成交明细'!$C$5:$C$804,"买")-Y6)</f>
        <v/>
      </c>
      <c r="AA6" s="53" t="str">
        <f>IF(AND(X6="已平仓",ISNUMBER(N6)),(Z6+Y6)/N6,"")</f>
        <v/>
      </c>
      <c r="AB6" s="53" t="str">
        <f>IF(AND(X6="已平仓",ISNUMBER(N6)),Z6/N6,"")</f>
        <v/>
      </c>
      <c r="AC6" s="54" t="str">
        <f>IF(AND(ISNUMBER(U6),ISNUMBER(H6)),U6-H6,"")</f>
        <v/>
      </c>
      <c r="AD6" s="27" t="n"/>
      <c r="AE6" s="27" t="n"/>
      <c r="AF6" s="32" t="n"/>
      <c r="AG6" s="53" t="str">
        <f>IF(A6="","",SUM(AB$5:AB6))</f>
        <v/>
      </c>
      <c r="AH6" s="55" t="str">
        <f>IF(A6="","",MAX(0,MAX(AG$5:AG6))-AG6)</f>
        <v/>
      </c>
    </row>
    <row r="7">
      <c r="A7" s="46" t="n"/>
      <c r="B7" s="31" t="n"/>
      <c r="C7" s="32" t="n"/>
      <c r="D7" s="27" t="n"/>
      <c r="E7" s="47" t="str">
        <f>IF(D7="","",IFERROR(VLOOKUP(D7,'参数'!$B$21:$C$26,2,FALSE),""))</f>
        <v/>
      </c>
      <c r="F7" s="27" t="n"/>
      <c r="G7" s="43" t="str">
        <f>IF(NOT(ISNUMBER(B7)),"",IFERROR(IF(B7-INDEX('每日复盘'!$A$5:$A$264,MATCH(B7-1,'每日复盘'!$A$5:$A$264,1))&gt;7,"",T(INDEX('每日复盘'!$AA$5:$AA$264,MATCH(B7-1,'每日复盘'!$A$5:$A$264,1)))),""))</f>
        <v/>
      </c>
      <c r="H7" s="48" t="n"/>
      <c r="I7" s="48" t="n"/>
      <c r="J7" s="48" t="n"/>
      <c r="K7" s="49" t="str">
        <f>IF(AND(ISNUMBER(H7),ISNUMBER(I7),ISNUMBER(J7)),IF(H7&gt;I7,(J7-H7)/(H7-I7),""),"")</f>
        <v/>
      </c>
      <c r="L7" s="44" t="str">
        <f>IF(AND(ISNUMBER(H7),ISNUMBER(I7)),IF(H7&gt;I7,MIN(INT(ROUND('参数'!$C$7/(H7-I7)/100,6))*100,IF(ISNUMBER(E7),IF(H7-ROUND(ROUND(I7*(1-E7),4),2)&gt;0,INT(ROUND('参数'!$C$8/(H7-ROUND(ROUND(I7*(1-E7),4),2))/100,6))*100,0),INT(ROUND('参数'!$C$7/(H7-I7)/100,6))*100)),""),"")</f>
        <v/>
      </c>
      <c r="M7" s="17" t="n"/>
      <c r="N7" s="20" t="str">
        <f>IF(AND(ISNUMBER(H7),ISNUMBER(I7),ISNUMBER(M7)),IF(AND(H7&gt;I7,M7&gt;0),(H7-I7)*M7,""),"")</f>
        <v/>
      </c>
      <c r="O7" s="20" t="str">
        <f>IF(ISNUMBER(N7),IF(ISNUMBER(E7),(H7-ROUND(ROUND(I7*(1-E7),4),2))*M7,"不设限"),"")</f>
        <v/>
      </c>
      <c r="P7" s="32" t="n"/>
      <c r="Q7" s="27" t="n"/>
      <c r="R7" s="42" t="str">
        <f>IF(N(T7)&gt;0,SUMPRODUCT(LARGE(('成交明细'!$A$5:$A$804=A7)*('成交明细'!$C$5:$C$804="买")*'成交明细'!$B$5:$B$804,COUNTIFS('成交明细'!$A$5:$A$804,A7,'成交明细'!$C$5:$C$804,"买"))),"")</f>
        <v/>
      </c>
      <c r="S7" s="42" t="str">
        <f>IF(AND(N(T7)&gt;0,N(V7)&gt;=N(T7)),SUMPRODUCT(MAX(('成交明细'!$A$5:$A$804=A7)*('成交明细'!$C$5:$C$804="卖")*'成交明细'!$B$5:$B$804)),"")</f>
        <v/>
      </c>
      <c r="T7" s="44" t="str">
        <f>IF(A7="","",SUMIFS('成交明细'!$E$5:$E$804,'成交明细'!$A$5:$A$804,A7,'成交明细'!$C$5:$C$804,"买"))</f>
        <v/>
      </c>
      <c r="U7" s="50" t="str">
        <f>IF(N(T7)&gt;0,SUMIFS('成交明细'!$F$5:$F$804,'成交明细'!$A$5:$A$804,A7,'成交明细'!$C$5:$C$804,"买")/T7,"")</f>
        <v/>
      </c>
      <c r="V7" s="44" t="str">
        <f>IF(A7="","",SUMIFS('成交明细'!$E$5:$E$804,'成交明细'!$A$5:$A$804,A7,'成交明细'!$C$5:$C$804,"卖"))</f>
        <v/>
      </c>
      <c r="W7" s="50" t="str">
        <f>IF(N(V7)&gt;0,SUMIFS('成交明细'!$F$5:$F$804,'成交明细'!$A$5:$A$804,A7,'成交明细'!$C$5:$C$804,"卖")/V7,"")</f>
        <v/>
      </c>
      <c r="X7" s="36" t="str">
        <f>IF(A7="","",IF(Q7&lt;&gt;"已执行",IF(Q7="","未填执行情况",Q7),IF(N(T7)=0,"待录成交",IF(N(V7)&gt;N(T7),"卖出多于买入",IF(N(V7)&lt;N(T7),"持仓中","已平仓")))))</f>
        <v/>
      </c>
      <c r="Y7" s="51" t="str">
        <f>IF(N(T7)=0,"",SUMIFS('成交明细'!$K$5:$K$804,'成交明细'!$A$5:$A$804,A7))</f>
        <v/>
      </c>
      <c r="Z7" s="52" t="str">
        <f>IF(X7&lt;&gt;"已平仓","",SUMIFS('成交明细'!$F$5:$F$804,'成交明细'!$A$5:$A$804,A7,'成交明细'!$C$5:$C$804,"卖")-SUMIFS('成交明细'!$F$5:$F$804,'成交明细'!$A$5:$A$804,A7,'成交明细'!$C$5:$C$804,"买")-Y7)</f>
        <v/>
      </c>
      <c r="AA7" s="53" t="str">
        <f>IF(AND(X7="已平仓",ISNUMBER(N7)),(Z7+Y7)/N7,"")</f>
        <v/>
      </c>
      <c r="AB7" s="53" t="str">
        <f>IF(AND(X7="已平仓",ISNUMBER(N7)),Z7/N7,"")</f>
        <v/>
      </c>
      <c r="AC7" s="54" t="str">
        <f>IF(AND(ISNUMBER(U7),ISNUMBER(H7)),U7-H7,"")</f>
        <v/>
      </c>
      <c r="AD7" s="27" t="n"/>
      <c r="AE7" s="27" t="n"/>
      <c r="AF7" s="32" t="n"/>
      <c r="AG7" s="53" t="str">
        <f>IF(A7="","",SUM(AB$5:AB7))</f>
        <v/>
      </c>
      <c r="AH7" s="55" t="str">
        <f>IF(A7="","",MAX(0,MAX(AG$5:AG7))-AG7)</f>
        <v/>
      </c>
    </row>
    <row r="8">
      <c r="A8" s="46" t="n"/>
      <c r="B8" s="31" t="n"/>
      <c r="C8" s="32" t="n"/>
      <c r="D8" s="27" t="n"/>
      <c r="E8" s="47" t="str">
        <f>IF(D8="","",IFERROR(VLOOKUP(D8,'参数'!$B$21:$C$26,2,FALSE),""))</f>
        <v/>
      </c>
      <c r="F8" s="27" t="n"/>
      <c r="G8" s="43" t="str">
        <f>IF(NOT(ISNUMBER(B8)),"",IFERROR(IF(B8-INDEX('每日复盘'!$A$5:$A$264,MATCH(B8-1,'每日复盘'!$A$5:$A$264,1))&gt;7,"",T(INDEX('每日复盘'!$AA$5:$AA$264,MATCH(B8-1,'每日复盘'!$A$5:$A$264,1)))),""))</f>
        <v/>
      </c>
      <c r="H8" s="48" t="n"/>
      <c r="I8" s="48" t="n"/>
      <c r="J8" s="48" t="n"/>
      <c r="K8" s="49" t="str">
        <f>IF(AND(ISNUMBER(H8),ISNUMBER(I8),ISNUMBER(J8)),IF(H8&gt;I8,(J8-H8)/(H8-I8),""),"")</f>
        <v/>
      </c>
      <c r="L8" s="44" t="str">
        <f>IF(AND(ISNUMBER(H8),ISNUMBER(I8)),IF(H8&gt;I8,MIN(INT(ROUND('参数'!$C$7/(H8-I8)/100,6))*100,IF(ISNUMBER(E8),IF(H8-ROUND(ROUND(I8*(1-E8),4),2)&gt;0,INT(ROUND('参数'!$C$8/(H8-ROUND(ROUND(I8*(1-E8),4),2))/100,6))*100,0),INT(ROUND('参数'!$C$7/(H8-I8)/100,6))*100)),""),"")</f>
        <v/>
      </c>
      <c r="M8" s="17" t="n"/>
      <c r="N8" s="20" t="str">
        <f>IF(AND(ISNUMBER(H8),ISNUMBER(I8),ISNUMBER(M8)),IF(AND(H8&gt;I8,M8&gt;0),(H8-I8)*M8,""),"")</f>
        <v/>
      </c>
      <c r="O8" s="20" t="str">
        <f>IF(ISNUMBER(N8),IF(ISNUMBER(E8),(H8-ROUND(ROUND(I8*(1-E8),4),2))*M8,"不设限"),"")</f>
        <v/>
      </c>
      <c r="P8" s="32" t="n"/>
      <c r="Q8" s="27" t="n"/>
      <c r="R8" s="42" t="str">
        <f>IF(N(T8)&gt;0,SUMPRODUCT(LARGE(('成交明细'!$A$5:$A$804=A8)*('成交明细'!$C$5:$C$804="买")*'成交明细'!$B$5:$B$804,COUNTIFS('成交明细'!$A$5:$A$804,A8,'成交明细'!$C$5:$C$804,"买"))),"")</f>
        <v/>
      </c>
      <c r="S8" s="42" t="str">
        <f>IF(AND(N(T8)&gt;0,N(V8)&gt;=N(T8)),SUMPRODUCT(MAX(('成交明细'!$A$5:$A$804=A8)*('成交明细'!$C$5:$C$804="卖")*'成交明细'!$B$5:$B$804)),"")</f>
        <v/>
      </c>
      <c r="T8" s="44" t="str">
        <f>IF(A8="","",SUMIFS('成交明细'!$E$5:$E$804,'成交明细'!$A$5:$A$804,A8,'成交明细'!$C$5:$C$804,"买"))</f>
        <v/>
      </c>
      <c r="U8" s="50" t="str">
        <f>IF(N(T8)&gt;0,SUMIFS('成交明细'!$F$5:$F$804,'成交明细'!$A$5:$A$804,A8,'成交明细'!$C$5:$C$804,"买")/T8,"")</f>
        <v/>
      </c>
      <c r="V8" s="44" t="str">
        <f>IF(A8="","",SUMIFS('成交明细'!$E$5:$E$804,'成交明细'!$A$5:$A$804,A8,'成交明细'!$C$5:$C$804,"卖"))</f>
        <v/>
      </c>
      <c r="W8" s="50" t="str">
        <f>IF(N(V8)&gt;0,SUMIFS('成交明细'!$F$5:$F$804,'成交明细'!$A$5:$A$804,A8,'成交明细'!$C$5:$C$804,"卖")/V8,"")</f>
        <v/>
      </c>
      <c r="X8" s="36" t="str">
        <f>IF(A8="","",IF(Q8&lt;&gt;"已执行",IF(Q8="","未填执行情况",Q8),IF(N(T8)=0,"待录成交",IF(N(V8)&gt;N(T8),"卖出多于买入",IF(N(V8)&lt;N(T8),"持仓中","已平仓")))))</f>
        <v/>
      </c>
      <c r="Y8" s="51" t="str">
        <f>IF(N(T8)=0,"",SUMIFS('成交明细'!$K$5:$K$804,'成交明细'!$A$5:$A$804,A8))</f>
        <v/>
      </c>
      <c r="Z8" s="52" t="str">
        <f>IF(X8&lt;&gt;"已平仓","",SUMIFS('成交明细'!$F$5:$F$804,'成交明细'!$A$5:$A$804,A8,'成交明细'!$C$5:$C$804,"卖")-SUMIFS('成交明细'!$F$5:$F$804,'成交明细'!$A$5:$A$804,A8,'成交明细'!$C$5:$C$804,"买")-Y8)</f>
        <v/>
      </c>
      <c r="AA8" s="53" t="str">
        <f>IF(AND(X8="已平仓",ISNUMBER(N8)),(Z8+Y8)/N8,"")</f>
        <v/>
      </c>
      <c r="AB8" s="53" t="str">
        <f>IF(AND(X8="已平仓",ISNUMBER(N8)),Z8/N8,"")</f>
        <v/>
      </c>
      <c r="AC8" s="54" t="str">
        <f>IF(AND(ISNUMBER(U8),ISNUMBER(H8)),U8-H8,"")</f>
        <v/>
      </c>
      <c r="AD8" s="27" t="n"/>
      <c r="AE8" s="27" t="n"/>
      <c r="AF8" s="32" t="n"/>
      <c r="AG8" s="53" t="str">
        <f>IF(A8="","",SUM(AB$5:AB8))</f>
        <v/>
      </c>
      <c r="AH8" s="55" t="str">
        <f>IF(A8="","",MAX(0,MAX(AG$5:AG8))-AG8)</f>
        <v/>
      </c>
    </row>
    <row r="9">
      <c r="A9" s="46" t="n"/>
      <c r="B9" s="31" t="n"/>
      <c r="C9" s="32" t="n"/>
      <c r="D9" s="27" t="n"/>
      <c r="E9" s="47" t="str">
        <f>IF(D9="","",IFERROR(VLOOKUP(D9,'参数'!$B$21:$C$26,2,FALSE),""))</f>
        <v/>
      </c>
      <c r="F9" s="27" t="n"/>
      <c r="G9" s="43" t="str">
        <f>IF(NOT(ISNUMBER(B9)),"",IFERROR(IF(B9-INDEX('每日复盘'!$A$5:$A$264,MATCH(B9-1,'每日复盘'!$A$5:$A$264,1))&gt;7,"",T(INDEX('每日复盘'!$AA$5:$AA$264,MATCH(B9-1,'每日复盘'!$A$5:$A$264,1)))),""))</f>
        <v/>
      </c>
      <c r="H9" s="48" t="n"/>
      <c r="I9" s="48" t="n"/>
      <c r="J9" s="48" t="n"/>
      <c r="K9" s="49" t="str">
        <f>IF(AND(ISNUMBER(H9),ISNUMBER(I9),ISNUMBER(J9)),IF(H9&gt;I9,(J9-H9)/(H9-I9),""),"")</f>
        <v/>
      </c>
      <c r="L9" s="44" t="str">
        <f>IF(AND(ISNUMBER(H9),ISNUMBER(I9)),IF(H9&gt;I9,MIN(INT(ROUND('参数'!$C$7/(H9-I9)/100,6))*100,IF(ISNUMBER(E9),IF(H9-ROUND(ROUND(I9*(1-E9),4),2)&gt;0,INT(ROUND('参数'!$C$8/(H9-ROUND(ROUND(I9*(1-E9),4),2))/100,6))*100,0),INT(ROUND('参数'!$C$7/(H9-I9)/100,6))*100)),""),"")</f>
        <v/>
      </c>
      <c r="M9" s="17" t="n"/>
      <c r="N9" s="20" t="str">
        <f>IF(AND(ISNUMBER(H9),ISNUMBER(I9),ISNUMBER(M9)),IF(AND(H9&gt;I9,M9&gt;0),(H9-I9)*M9,""),"")</f>
        <v/>
      </c>
      <c r="O9" s="20" t="str">
        <f>IF(ISNUMBER(N9),IF(ISNUMBER(E9),(H9-ROUND(ROUND(I9*(1-E9),4),2))*M9,"不设限"),"")</f>
        <v/>
      </c>
      <c r="P9" s="32" t="n"/>
      <c r="Q9" s="27" t="n"/>
      <c r="R9" s="42" t="str">
        <f>IF(N(T9)&gt;0,SUMPRODUCT(LARGE(('成交明细'!$A$5:$A$804=A9)*('成交明细'!$C$5:$C$804="买")*'成交明细'!$B$5:$B$804,COUNTIFS('成交明细'!$A$5:$A$804,A9,'成交明细'!$C$5:$C$804,"买"))),"")</f>
        <v/>
      </c>
      <c r="S9" s="42" t="str">
        <f>IF(AND(N(T9)&gt;0,N(V9)&gt;=N(T9)),SUMPRODUCT(MAX(('成交明细'!$A$5:$A$804=A9)*('成交明细'!$C$5:$C$804="卖")*'成交明细'!$B$5:$B$804)),"")</f>
        <v/>
      </c>
      <c r="T9" s="44" t="str">
        <f>IF(A9="","",SUMIFS('成交明细'!$E$5:$E$804,'成交明细'!$A$5:$A$804,A9,'成交明细'!$C$5:$C$804,"买"))</f>
        <v/>
      </c>
      <c r="U9" s="50" t="str">
        <f>IF(N(T9)&gt;0,SUMIFS('成交明细'!$F$5:$F$804,'成交明细'!$A$5:$A$804,A9,'成交明细'!$C$5:$C$804,"买")/T9,"")</f>
        <v/>
      </c>
      <c r="V9" s="44" t="str">
        <f>IF(A9="","",SUMIFS('成交明细'!$E$5:$E$804,'成交明细'!$A$5:$A$804,A9,'成交明细'!$C$5:$C$804,"卖"))</f>
        <v/>
      </c>
      <c r="W9" s="50" t="str">
        <f>IF(N(V9)&gt;0,SUMIFS('成交明细'!$F$5:$F$804,'成交明细'!$A$5:$A$804,A9,'成交明细'!$C$5:$C$804,"卖")/V9,"")</f>
        <v/>
      </c>
      <c r="X9" s="36" t="str">
        <f>IF(A9="","",IF(Q9&lt;&gt;"已执行",IF(Q9="","未填执行情况",Q9),IF(N(T9)=0,"待录成交",IF(N(V9)&gt;N(T9),"卖出多于买入",IF(N(V9)&lt;N(T9),"持仓中","已平仓")))))</f>
        <v/>
      </c>
      <c r="Y9" s="51" t="str">
        <f>IF(N(T9)=0,"",SUMIFS('成交明细'!$K$5:$K$804,'成交明细'!$A$5:$A$804,A9))</f>
        <v/>
      </c>
      <c r="Z9" s="52" t="str">
        <f>IF(X9&lt;&gt;"已平仓","",SUMIFS('成交明细'!$F$5:$F$804,'成交明细'!$A$5:$A$804,A9,'成交明细'!$C$5:$C$804,"卖")-SUMIFS('成交明细'!$F$5:$F$804,'成交明细'!$A$5:$A$804,A9,'成交明细'!$C$5:$C$804,"买")-Y9)</f>
        <v/>
      </c>
      <c r="AA9" s="53" t="str">
        <f>IF(AND(X9="已平仓",ISNUMBER(N9)),(Z9+Y9)/N9,"")</f>
        <v/>
      </c>
      <c r="AB9" s="53" t="str">
        <f>IF(AND(X9="已平仓",ISNUMBER(N9)),Z9/N9,"")</f>
        <v/>
      </c>
      <c r="AC9" s="54" t="str">
        <f>IF(AND(ISNUMBER(U9),ISNUMBER(H9)),U9-H9,"")</f>
        <v/>
      </c>
      <c r="AD9" s="27" t="n"/>
      <c r="AE9" s="27" t="n"/>
      <c r="AF9" s="32" t="n"/>
      <c r="AG9" s="53" t="str">
        <f>IF(A9="","",SUM(AB$5:AB9))</f>
        <v/>
      </c>
      <c r="AH9" s="55" t="str">
        <f>IF(A9="","",MAX(0,MAX(AG$5:AG9))-AG9)</f>
        <v/>
      </c>
    </row>
    <row r="10">
      <c r="A10" s="46" t="n"/>
      <c r="B10" s="31" t="n"/>
      <c r="C10" s="32" t="n"/>
      <c r="D10" s="27" t="n"/>
      <c r="E10" s="47" t="str">
        <f>IF(D10="","",IFERROR(VLOOKUP(D10,'参数'!$B$21:$C$26,2,FALSE),""))</f>
        <v/>
      </c>
      <c r="F10" s="27" t="n"/>
      <c r="G10" s="43" t="str">
        <f>IF(NOT(ISNUMBER(B10)),"",IFERROR(IF(B10-INDEX('每日复盘'!$A$5:$A$264,MATCH(B10-1,'每日复盘'!$A$5:$A$264,1))&gt;7,"",T(INDEX('每日复盘'!$AA$5:$AA$264,MATCH(B10-1,'每日复盘'!$A$5:$A$264,1)))),""))</f>
        <v/>
      </c>
      <c r="H10" s="48" t="n"/>
      <c r="I10" s="48" t="n"/>
      <c r="J10" s="48" t="n"/>
      <c r="K10" s="49" t="str">
        <f>IF(AND(ISNUMBER(H10),ISNUMBER(I10),ISNUMBER(J10)),IF(H10&gt;I10,(J10-H10)/(H10-I10),""),"")</f>
        <v/>
      </c>
      <c r="L10" s="44" t="str">
        <f>IF(AND(ISNUMBER(H10),ISNUMBER(I10)),IF(H10&gt;I10,MIN(INT(ROUND('参数'!$C$7/(H10-I10)/100,6))*100,IF(ISNUMBER(E10),IF(H10-ROUND(ROUND(I10*(1-E10),4),2)&gt;0,INT(ROUND('参数'!$C$8/(H10-ROUND(ROUND(I10*(1-E10),4),2))/100,6))*100,0),INT(ROUND('参数'!$C$7/(H10-I10)/100,6))*100)),""),"")</f>
        <v/>
      </c>
      <c r="M10" s="17" t="n"/>
      <c r="N10" s="20" t="str">
        <f>IF(AND(ISNUMBER(H10),ISNUMBER(I10),ISNUMBER(M10)),IF(AND(H10&gt;I10,M10&gt;0),(H10-I10)*M10,""),"")</f>
        <v/>
      </c>
      <c r="O10" s="20" t="str">
        <f>IF(ISNUMBER(N10),IF(ISNUMBER(E10),(H10-ROUND(ROUND(I10*(1-E10),4),2))*M10,"不设限"),"")</f>
        <v/>
      </c>
      <c r="P10" s="32" t="n"/>
      <c r="Q10" s="27" t="n"/>
      <c r="R10" s="42" t="str">
        <f>IF(N(T10)&gt;0,SUMPRODUCT(LARGE(('成交明细'!$A$5:$A$804=A10)*('成交明细'!$C$5:$C$804="买")*'成交明细'!$B$5:$B$804,COUNTIFS('成交明细'!$A$5:$A$804,A10,'成交明细'!$C$5:$C$804,"买"))),"")</f>
        <v/>
      </c>
      <c r="S10" s="42" t="str">
        <f>IF(AND(N(T10)&gt;0,N(V10)&gt;=N(T10)),SUMPRODUCT(MAX(('成交明细'!$A$5:$A$804=A10)*('成交明细'!$C$5:$C$804="卖")*'成交明细'!$B$5:$B$804)),"")</f>
        <v/>
      </c>
      <c r="T10" s="44" t="str">
        <f>IF(A10="","",SUMIFS('成交明细'!$E$5:$E$804,'成交明细'!$A$5:$A$804,A10,'成交明细'!$C$5:$C$804,"买"))</f>
        <v/>
      </c>
      <c r="U10" s="50" t="str">
        <f>IF(N(T10)&gt;0,SUMIFS('成交明细'!$F$5:$F$804,'成交明细'!$A$5:$A$804,A10,'成交明细'!$C$5:$C$804,"买")/T10,"")</f>
        <v/>
      </c>
      <c r="V10" s="44" t="str">
        <f>IF(A10="","",SUMIFS('成交明细'!$E$5:$E$804,'成交明细'!$A$5:$A$804,A10,'成交明细'!$C$5:$C$804,"卖"))</f>
        <v/>
      </c>
      <c r="W10" s="50" t="str">
        <f>IF(N(V10)&gt;0,SUMIFS('成交明细'!$F$5:$F$804,'成交明细'!$A$5:$A$804,A10,'成交明细'!$C$5:$C$804,"卖")/V10,"")</f>
        <v/>
      </c>
      <c r="X10" s="36" t="str">
        <f>IF(A10="","",IF(Q10&lt;&gt;"已执行",IF(Q10="","未填执行情况",Q10),IF(N(T10)=0,"待录成交",IF(N(V10)&gt;N(T10),"卖出多于买入",IF(N(V10)&lt;N(T10),"持仓中","已平仓")))))</f>
        <v/>
      </c>
      <c r="Y10" s="51" t="str">
        <f>IF(N(T10)=0,"",SUMIFS('成交明细'!$K$5:$K$804,'成交明细'!$A$5:$A$804,A10))</f>
        <v/>
      </c>
      <c r="Z10" s="52" t="str">
        <f>IF(X10&lt;&gt;"已平仓","",SUMIFS('成交明细'!$F$5:$F$804,'成交明细'!$A$5:$A$804,A10,'成交明细'!$C$5:$C$804,"卖")-SUMIFS('成交明细'!$F$5:$F$804,'成交明细'!$A$5:$A$804,A10,'成交明细'!$C$5:$C$804,"买")-Y10)</f>
        <v/>
      </c>
      <c r="AA10" s="53" t="str">
        <f>IF(AND(X10="已平仓",ISNUMBER(N10)),(Z10+Y10)/N10,"")</f>
        <v/>
      </c>
      <c r="AB10" s="53" t="str">
        <f>IF(AND(X10="已平仓",ISNUMBER(N10)),Z10/N10,"")</f>
        <v/>
      </c>
      <c r="AC10" s="54" t="str">
        <f>IF(AND(ISNUMBER(U10),ISNUMBER(H10)),U10-H10,"")</f>
        <v/>
      </c>
      <c r="AD10" s="27" t="n"/>
      <c r="AE10" s="27" t="n"/>
      <c r="AF10" s="32" t="n"/>
      <c r="AG10" s="53" t="str">
        <f>IF(A10="","",SUM(AB$5:AB10))</f>
        <v/>
      </c>
      <c r="AH10" s="55" t="str">
        <f>IF(A10="","",MAX(0,MAX(AG$5:AG10))-AG10)</f>
        <v/>
      </c>
    </row>
    <row r="11">
      <c r="A11" s="46" t="n"/>
      <c r="B11" s="31" t="n"/>
      <c r="C11" s="32" t="n"/>
      <c r="D11" s="27" t="n"/>
      <c r="E11" s="47" t="str">
        <f>IF(D11="","",IFERROR(VLOOKUP(D11,'参数'!$B$21:$C$26,2,FALSE),""))</f>
        <v/>
      </c>
      <c r="F11" s="27" t="n"/>
      <c r="G11" s="43" t="str">
        <f>IF(NOT(ISNUMBER(B11)),"",IFERROR(IF(B11-INDEX('每日复盘'!$A$5:$A$264,MATCH(B11-1,'每日复盘'!$A$5:$A$264,1))&gt;7,"",T(INDEX('每日复盘'!$AA$5:$AA$264,MATCH(B11-1,'每日复盘'!$A$5:$A$264,1)))),""))</f>
        <v/>
      </c>
      <c r="H11" s="48" t="n"/>
      <c r="I11" s="48" t="n"/>
      <c r="J11" s="48" t="n"/>
      <c r="K11" s="49" t="str">
        <f>IF(AND(ISNUMBER(H11),ISNUMBER(I11),ISNUMBER(J11)),IF(H11&gt;I11,(J11-H11)/(H11-I11),""),"")</f>
        <v/>
      </c>
      <c r="L11" s="44" t="str">
        <f>IF(AND(ISNUMBER(H11),ISNUMBER(I11)),IF(H11&gt;I11,MIN(INT(ROUND('参数'!$C$7/(H11-I11)/100,6))*100,IF(ISNUMBER(E11),IF(H11-ROUND(ROUND(I11*(1-E11),4),2)&gt;0,INT(ROUND('参数'!$C$8/(H11-ROUND(ROUND(I11*(1-E11),4),2))/100,6))*100,0),INT(ROUND('参数'!$C$7/(H11-I11)/100,6))*100)),""),"")</f>
        <v/>
      </c>
      <c r="M11" s="17" t="n"/>
      <c r="N11" s="20" t="str">
        <f>IF(AND(ISNUMBER(H11),ISNUMBER(I11),ISNUMBER(M11)),IF(AND(H11&gt;I11,M11&gt;0),(H11-I11)*M11,""),"")</f>
        <v/>
      </c>
      <c r="O11" s="20" t="str">
        <f>IF(ISNUMBER(N11),IF(ISNUMBER(E11),(H11-ROUND(ROUND(I11*(1-E11),4),2))*M11,"不设限"),"")</f>
        <v/>
      </c>
      <c r="P11" s="32" t="n"/>
      <c r="Q11" s="27" t="n"/>
      <c r="R11" s="42" t="str">
        <f>IF(N(T11)&gt;0,SUMPRODUCT(LARGE(('成交明细'!$A$5:$A$804=A11)*('成交明细'!$C$5:$C$804="买")*'成交明细'!$B$5:$B$804,COUNTIFS('成交明细'!$A$5:$A$804,A11,'成交明细'!$C$5:$C$804,"买"))),"")</f>
        <v/>
      </c>
      <c r="S11" s="42" t="str">
        <f>IF(AND(N(T11)&gt;0,N(V11)&gt;=N(T11)),SUMPRODUCT(MAX(('成交明细'!$A$5:$A$804=A11)*('成交明细'!$C$5:$C$804="卖")*'成交明细'!$B$5:$B$804)),"")</f>
        <v/>
      </c>
      <c r="T11" s="44" t="str">
        <f>IF(A11="","",SUMIFS('成交明细'!$E$5:$E$804,'成交明细'!$A$5:$A$804,A11,'成交明细'!$C$5:$C$804,"买"))</f>
        <v/>
      </c>
      <c r="U11" s="50" t="str">
        <f>IF(N(T11)&gt;0,SUMIFS('成交明细'!$F$5:$F$804,'成交明细'!$A$5:$A$804,A11,'成交明细'!$C$5:$C$804,"买")/T11,"")</f>
        <v/>
      </c>
      <c r="V11" s="44" t="str">
        <f>IF(A11="","",SUMIFS('成交明细'!$E$5:$E$804,'成交明细'!$A$5:$A$804,A11,'成交明细'!$C$5:$C$804,"卖"))</f>
        <v/>
      </c>
      <c r="W11" s="50" t="str">
        <f>IF(N(V11)&gt;0,SUMIFS('成交明细'!$F$5:$F$804,'成交明细'!$A$5:$A$804,A11,'成交明细'!$C$5:$C$804,"卖")/V11,"")</f>
        <v/>
      </c>
      <c r="X11" s="36" t="str">
        <f>IF(A11="","",IF(Q11&lt;&gt;"已执行",IF(Q11="","未填执行情况",Q11),IF(N(T11)=0,"待录成交",IF(N(V11)&gt;N(T11),"卖出多于买入",IF(N(V11)&lt;N(T11),"持仓中","已平仓")))))</f>
        <v/>
      </c>
      <c r="Y11" s="51" t="str">
        <f>IF(N(T11)=0,"",SUMIFS('成交明细'!$K$5:$K$804,'成交明细'!$A$5:$A$804,A11))</f>
        <v/>
      </c>
      <c r="Z11" s="52" t="str">
        <f>IF(X11&lt;&gt;"已平仓","",SUMIFS('成交明细'!$F$5:$F$804,'成交明细'!$A$5:$A$804,A11,'成交明细'!$C$5:$C$804,"卖")-SUMIFS('成交明细'!$F$5:$F$804,'成交明细'!$A$5:$A$804,A11,'成交明细'!$C$5:$C$804,"买")-Y11)</f>
        <v/>
      </c>
      <c r="AA11" s="53" t="str">
        <f>IF(AND(X11="已平仓",ISNUMBER(N11)),(Z11+Y11)/N11,"")</f>
        <v/>
      </c>
      <c r="AB11" s="53" t="str">
        <f>IF(AND(X11="已平仓",ISNUMBER(N11)),Z11/N11,"")</f>
        <v/>
      </c>
      <c r="AC11" s="54" t="str">
        <f>IF(AND(ISNUMBER(U11),ISNUMBER(H11)),U11-H11,"")</f>
        <v/>
      </c>
      <c r="AD11" s="27" t="n"/>
      <c r="AE11" s="27" t="n"/>
      <c r="AF11" s="32" t="n"/>
      <c r="AG11" s="53" t="str">
        <f>IF(A11="","",SUM(AB$5:AB11))</f>
        <v/>
      </c>
      <c r="AH11" s="55" t="str">
        <f>IF(A11="","",MAX(0,MAX(AG$5:AG11))-AG11)</f>
        <v/>
      </c>
    </row>
    <row r="12">
      <c r="A12" s="46" t="n"/>
      <c r="B12" s="31" t="n"/>
      <c r="C12" s="32" t="n"/>
      <c r="D12" s="27" t="n"/>
      <c r="E12" s="47" t="str">
        <f>IF(D12="","",IFERROR(VLOOKUP(D12,'参数'!$B$21:$C$26,2,FALSE),""))</f>
        <v/>
      </c>
      <c r="F12" s="27" t="n"/>
      <c r="G12" s="43" t="str">
        <f>IF(NOT(ISNUMBER(B12)),"",IFERROR(IF(B12-INDEX('每日复盘'!$A$5:$A$264,MATCH(B12-1,'每日复盘'!$A$5:$A$264,1))&gt;7,"",T(INDEX('每日复盘'!$AA$5:$AA$264,MATCH(B12-1,'每日复盘'!$A$5:$A$264,1)))),""))</f>
        <v/>
      </c>
      <c r="H12" s="48" t="n"/>
      <c r="I12" s="48" t="n"/>
      <c r="J12" s="48" t="n"/>
      <c r="K12" s="49" t="str">
        <f>IF(AND(ISNUMBER(H12),ISNUMBER(I12),ISNUMBER(J12)),IF(H12&gt;I12,(J12-H12)/(H12-I12),""),"")</f>
        <v/>
      </c>
      <c r="L12" s="44" t="str">
        <f>IF(AND(ISNUMBER(H12),ISNUMBER(I12)),IF(H12&gt;I12,MIN(INT(ROUND('参数'!$C$7/(H12-I12)/100,6))*100,IF(ISNUMBER(E12),IF(H12-ROUND(ROUND(I12*(1-E12),4),2)&gt;0,INT(ROUND('参数'!$C$8/(H12-ROUND(ROUND(I12*(1-E12),4),2))/100,6))*100,0),INT(ROUND('参数'!$C$7/(H12-I12)/100,6))*100)),""),"")</f>
        <v/>
      </c>
      <c r="M12" s="17" t="n"/>
      <c r="N12" s="20" t="str">
        <f>IF(AND(ISNUMBER(H12),ISNUMBER(I12),ISNUMBER(M12)),IF(AND(H12&gt;I12,M12&gt;0),(H12-I12)*M12,""),"")</f>
        <v/>
      </c>
      <c r="O12" s="20" t="str">
        <f>IF(ISNUMBER(N12),IF(ISNUMBER(E12),(H12-ROUND(ROUND(I12*(1-E12),4),2))*M12,"不设限"),"")</f>
        <v/>
      </c>
      <c r="P12" s="32" t="n"/>
      <c r="Q12" s="27" t="n"/>
      <c r="R12" s="42" t="str">
        <f>IF(N(T12)&gt;0,SUMPRODUCT(LARGE(('成交明细'!$A$5:$A$804=A12)*('成交明细'!$C$5:$C$804="买")*'成交明细'!$B$5:$B$804,COUNTIFS('成交明细'!$A$5:$A$804,A12,'成交明细'!$C$5:$C$804,"买"))),"")</f>
        <v/>
      </c>
      <c r="S12" s="42" t="str">
        <f>IF(AND(N(T12)&gt;0,N(V12)&gt;=N(T12)),SUMPRODUCT(MAX(('成交明细'!$A$5:$A$804=A12)*('成交明细'!$C$5:$C$804="卖")*'成交明细'!$B$5:$B$804)),"")</f>
        <v/>
      </c>
      <c r="T12" s="44" t="str">
        <f>IF(A12="","",SUMIFS('成交明细'!$E$5:$E$804,'成交明细'!$A$5:$A$804,A12,'成交明细'!$C$5:$C$804,"买"))</f>
        <v/>
      </c>
      <c r="U12" s="50" t="str">
        <f>IF(N(T12)&gt;0,SUMIFS('成交明细'!$F$5:$F$804,'成交明细'!$A$5:$A$804,A12,'成交明细'!$C$5:$C$804,"买")/T12,"")</f>
        <v/>
      </c>
      <c r="V12" s="44" t="str">
        <f>IF(A12="","",SUMIFS('成交明细'!$E$5:$E$804,'成交明细'!$A$5:$A$804,A12,'成交明细'!$C$5:$C$804,"卖"))</f>
        <v/>
      </c>
      <c r="W12" s="50" t="str">
        <f>IF(N(V12)&gt;0,SUMIFS('成交明细'!$F$5:$F$804,'成交明细'!$A$5:$A$804,A12,'成交明细'!$C$5:$C$804,"卖")/V12,"")</f>
        <v/>
      </c>
      <c r="X12" s="36" t="str">
        <f>IF(A12="","",IF(Q12&lt;&gt;"已执行",IF(Q12="","未填执行情况",Q12),IF(N(T12)=0,"待录成交",IF(N(V12)&gt;N(T12),"卖出多于买入",IF(N(V12)&lt;N(T12),"持仓中","已平仓")))))</f>
        <v/>
      </c>
      <c r="Y12" s="51" t="str">
        <f>IF(N(T12)=0,"",SUMIFS('成交明细'!$K$5:$K$804,'成交明细'!$A$5:$A$804,A12))</f>
        <v/>
      </c>
      <c r="Z12" s="52" t="str">
        <f>IF(X12&lt;&gt;"已平仓","",SUMIFS('成交明细'!$F$5:$F$804,'成交明细'!$A$5:$A$804,A12,'成交明细'!$C$5:$C$804,"卖")-SUMIFS('成交明细'!$F$5:$F$804,'成交明细'!$A$5:$A$804,A12,'成交明细'!$C$5:$C$804,"买")-Y12)</f>
        <v/>
      </c>
      <c r="AA12" s="53" t="str">
        <f>IF(AND(X12="已平仓",ISNUMBER(N12)),(Z12+Y12)/N12,"")</f>
        <v/>
      </c>
      <c r="AB12" s="53" t="str">
        <f>IF(AND(X12="已平仓",ISNUMBER(N12)),Z12/N12,"")</f>
        <v/>
      </c>
      <c r="AC12" s="54" t="str">
        <f>IF(AND(ISNUMBER(U12),ISNUMBER(H12)),U12-H12,"")</f>
        <v/>
      </c>
      <c r="AD12" s="27" t="n"/>
      <c r="AE12" s="27" t="n"/>
      <c r="AF12" s="32" t="n"/>
      <c r="AG12" s="53" t="str">
        <f>IF(A12="","",SUM(AB$5:AB12))</f>
        <v/>
      </c>
      <c r="AH12" s="55" t="str">
        <f>IF(A12="","",MAX(0,MAX(AG$5:AG12))-AG12)</f>
        <v/>
      </c>
    </row>
    <row r="13">
      <c r="A13" s="46" t="n"/>
      <c r="B13" s="31" t="n"/>
      <c r="C13" s="32" t="n"/>
      <c r="D13" s="27" t="n"/>
      <c r="E13" s="47" t="str">
        <f>IF(D13="","",IFERROR(VLOOKUP(D13,'参数'!$B$21:$C$26,2,FALSE),""))</f>
        <v/>
      </c>
      <c r="F13" s="27" t="n"/>
      <c r="G13" s="43" t="str">
        <f>IF(NOT(ISNUMBER(B13)),"",IFERROR(IF(B13-INDEX('每日复盘'!$A$5:$A$264,MATCH(B13-1,'每日复盘'!$A$5:$A$264,1))&gt;7,"",T(INDEX('每日复盘'!$AA$5:$AA$264,MATCH(B13-1,'每日复盘'!$A$5:$A$264,1)))),""))</f>
        <v/>
      </c>
      <c r="H13" s="48" t="n"/>
      <c r="I13" s="48" t="n"/>
      <c r="J13" s="48" t="n"/>
      <c r="K13" s="49" t="str">
        <f>IF(AND(ISNUMBER(H13),ISNUMBER(I13),ISNUMBER(J13)),IF(H13&gt;I13,(J13-H13)/(H13-I13),""),"")</f>
        <v/>
      </c>
      <c r="L13" s="44" t="str">
        <f>IF(AND(ISNUMBER(H13),ISNUMBER(I13)),IF(H13&gt;I13,MIN(INT(ROUND('参数'!$C$7/(H13-I13)/100,6))*100,IF(ISNUMBER(E13),IF(H13-ROUND(ROUND(I13*(1-E13),4),2)&gt;0,INT(ROUND('参数'!$C$8/(H13-ROUND(ROUND(I13*(1-E13),4),2))/100,6))*100,0),INT(ROUND('参数'!$C$7/(H13-I13)/100,6))*100)),""),"")</f>
        <v/>
      </c>
      <c r="M13" s="17" t="n"/>
      <c r="N13" s="20" t="str">
        <f>IF(AND(ISNUMBER(H13),ISNUMBER(I13),ISNUMBER(M13)),IF(AND(H13&gt;I13,M13&gt;0),(H13-I13)*M13,""),"")</f>
        <v/>
      </c>
      <c r="O13" s="20" t="str">
        <f>IF(ISNUMBER(N13),IF(ISNUMBER(E13),(H13-ROUND(ROUND(I13*(1-E13),4),2))*M13,"不设限"),"")</f>
        <v/>
      </c>
      <c r="P13" s="32" t="n"/>
      <c r="Q13" s="27" t="n"/>
      <c r="R13" s="42" t="str">
        <f>IF(N(T13)&gt;0,SUMPRODUCT(LARGE(('成交明细'!$A$5:$A$804=A13)*('成交明细'!$C$5:$C$804="买")*'成交明细'!$B$5:$B$804,COUNTIFS('成交明细'!$A$5:$A$804,A13,'成交明细'!$C$5:$C$804,"买"))),"")</f>
        <v/>
      </c>
      <c r="S13" s="42" t="str">
        <f>IF(AND(N(T13)&gt;0,N(V13)&gt;=N(T13)),SUMPRODUCT(MAX(('成交明细'!$A$5:$A$804=A13)*('成交明细'!$C$5:$C$804="卖")*'成交明细'!$B$5:$B$804)),"")</f>
        <v/>
      </c>
      <c r="T13" s="44" t="str">
        <f>IF(A13="","",SUMIFS('成交明细'!$E$5:$E$804,'成交明细'!$A$5:$A$804,A13,'成交明细'!$C$5:$C$804,"买"))</f>
        <v/>
      </c>
      <c r="U13" s="50" t="str">
        <f>IF(N(T13)&gt;0,SUMIFS('成交明细'!$F$5:$F$804,'成交明细'!$A$5:$A$804,A13,'成交明细'!$C$5:$C$804,"买")/T13,"")</f>
        <v/>
      </c>
      <c r="V13" s="44" t="str">
        <f>IF(A13="","",SUMIFS('成交明细'!$E$5:$E$804,'成交明细'!$A$5:$A$804,A13,'成交明细'!$C$5:$C$804,"卖"))</f>
        <v/>
      </c>
      <c r="W13" s="50" t="str">
        <f>IF(N(V13)&gt;0,SUMIFS('成交明细'!$F$5:$F$804,'成交明细'!$A$5:$A$804,A13,'成交明细'!$C$5:$C$804,"卖")/V13,"")</f>
        <v/>
      </c>
      <c r="X13" s="36" t="str">
        <f>IF(A13="","",IF(Q13&lt;&gt;"已执行",IF(Q13="","未填执行情况",Q13),IF(N(T13)=0,"待录成交",IF(N(V13)&gt;N(T13),"卖出多于买入",IF(N(V13)&lt;N(T13),"持仓中","已平仓")))))</f>
        <v/>
      </c>
      <c r="Y13" s="51" t="str">
        <f>IF(N(T13)=0,"",SUMIFS('成交明细'!$K$5:$K$804,'成交明细'!$A$5:$A$804,A13))</f>
        <v/>
      </c>
      <c r="Z13" s="52" t="str">
        <f>IF(X13&lt;&gt;"已平仓","",SUMIFS('成交明细'!$F$5:$F$804,'成交明细'!$A$5:$A$804,A13,'成交明细'!$C$5:$C$804,"卖")-SUMIFS('成交明细'!$F$5:$F$804,'成交明细'!$A$5:$A$804,A13,'成交明细'!$C$5:$C$804,"买")-Y13)</f>
        <v/>
      </c>
      <c r="AA13" s="53" t="str">
        <f>IF(AND(X13="已平仓",ISNUMBER(N13)),(Z13+Y13)/N13,"")</f>
        <v/>
      </c>
      <c r="AB13" s="53" t="str">
        <f>IF(AND(X13="已平仓",ISNUMBER(N13)),Z13/N13,"")</f>
        <v/>
      </c>
      <c r="AC13" s="54" t="str">
        <f>IF(AND(ISNUMBER(U13),ISNUMBER(H13)),U13-H13,"")</f>
        <v/>
      </c>
      <c r="AD13" s="27" t="n"/>
      <c r="AE13" s="27" t="n"/>
      <c r="AF13" s="32" t="n"/>
      <c r="AG13" s="53" t="str">
        <f>IF(A13="","",SUM(AB$5:AB13))</f>
        <v/>
      </c>
      <c r="AH13" s="55" t="str">
        <f>IF(A13="","",MAX(0,MAX(AG$5:AG13))-AG13)</f>
        <v/>
      </c>
    </row>
    <row r="14">
      <c r="A14" s="46" t="n"/>
      <c r="B14" s="31" t="n"/>
      <c r="C14" s="32" t="n"/>
      <c r="D14" s="27" t="n"/>
      <c r="E14" s="47" t="str">
        <f>IF(D14="","",IFERROR(VLOOKUP(D14,'参数'!$B$21:$C$26,2,FALSE),""))</f>
        <v/>
      </c>
      <c r="F14" s="27" t="n"/>
      <c r="G14" s="43" t="str">
        <f>IF(NOT(ISNUMBER(B14)),"",IFERROR(IF(B14-INDEX('每日复盘'!$A$5:$A$264,MATCH(B14-1,'每日复盘'!$A$5:$A$264,1))&gt;7,"",T(INDEX('每日复盘'!$AA$5:$AA$264,MATCH(B14-1,'每日复盘'!$A$5:$A$264,1)))),""))</f>
        <v/>
      </c>
      <c r="H14" s="48" t="n"/>
      <c r="I14" s="48" t="n"/>
      <c r="J14" s="48" t="n"/>
      <c r="K14" s="49" t="str">
        <f>IF(AND(ISNUMBER(H14),ISNUMBER(I14),ISNUMBER(J14)),IF(H14&gt;I14,(J14-H14)/(H14-I14),""),"")</f>
        <v/>
      </c>
      <c r="L14" s="44" t="str">
        <f>IF(AND(ISNUMBER(H14),ISNUMBER(I14)),IF(H14&gt;I14,MIN(INT(ROUND('参数'!$C$7/(H14-I14)/100,6))*100,IF(ISNUMBER(E14),IF(H14-ROUND(ROUND(I14*(1-E14),4),2)&gt;0,INT(ROUND('参数'!$C$8/(H14-ROUND(ROUND(I14*(1-E14),4),2))/100,6))*100,0),INT(ROUND('参数'!$C$7/(H14-I14)/100,6))*100)),""),"")</f>
        <v/>
      </c>
      <c r="M14" s="17" t="n"/>
      <c r="N14" s="20" t="str">
        <f>IF(AND(ISNUMBER(H14),ISNUMBER(I14),ISNUMBER(M14)),IF(AND(H14&gt;I14,M14&gt;0),(H14-I14)*M14,""),"")</f>
        <v/>
      </c>
      <c r="O14" s="20" t="str">
        <f>IF(ISNUMBER(N14),IF(ISNUMBER(E14),(H14-ROUND(ROUND(I14*(1-E14),4),2))*M14,"不设限"),"")</f>
        <v/>
      </c>
      <c r="P14" s="32" t="n"/>
      <c r="Q14" s="27" t="n"/>
      <c r="R14" s="42" t="str">
        <f>IF(N(T14)&gt;0,SUMPRODUCT(LARGE(('成交明细'!$A$5:$A$804=A14)*('成交明细'!$C$5:$C$804="买")*'成交明细'!$B$5:$B$804,COUNTIFS('成交明细'!$A$5:$A$804,A14,'成交明细'!$C$5:$C$804,"买"))),"")</f>
        <v/>
      </c>
      <c r="S14" s="42" t="str">
        <f>IF(AND(N(T14)&gt;0,N(V14)&gt;=N(T14)),SUMPRODUCT(MAX(('成交明细'!$A$5:$A$804=A14)*('成交明细'!$C$5:$C$804="卖")*'成交明细'!$B$5:$B$804)),"")</f>
        <v/>
      </c>
      <c r="T14" s="44" t="str">
        <f>IF(A14="","",SUMIFS('成交明细'!$E$5:$E$804,'成交明细'!$A$5:$A$804,A14,'成交明细'!$C$5:$C$804,"买"))</f>
        <v/>
      </c>
      <c r="U14" s="50" t="str">
        <f>IF(N(T14)&gt;0,SUMIFS('成交明细'!$F$5:$F$804,'成交明细'!$A$5:$A$804,A14,'成交明细'!$C$5:$C$804,"买")/T14,"")</f>
        <v/>
      </c>
      <c r="V14" s="44" t="str">
        <f>IF(A14="","",SUMIFS('成交明细'!$E$5:$E$804,'成交明细'!$A$5:$A$804,A14,'成交明细'!$C$5:$C$804,"卖"))</f>
        <v/>
      </c>
      <c r="W14" s="50" t="str">
        <f>IF(N(V14)&gt;0,SUMIFS('成交明细'!$F$5:$F$804,'成交明细'!$A$5:$A$804,A14,'成交明细'!$C$5:$C$804,"卖")/V14,"")</f>
        <v/>
      </c>
      <c r="X14" s="36" t="str">
        <f>IF(A14="","",IF(Q14&lt;&gt;"已执行",IF(Q14="","未填执行情况",Q14),IF(N(T14)=0,"待录成交",IF(N(V14)&gt;N(T14),"卖出多于买入",IF(N(V14)&lt;N(T14),"持仓中","已平仓")))))</f>
        <v/>
      </c>
      <c r="Y14" s="51" t="str">
        <f>IF(N(T14)=0,"",SUMIFS('成交明细'!$K$5:$K$804,'成交明细'!$A$5:$A$804,A14))</f>
        <v/>
      </c>
      <c r="Z14" s="52" t="str">
        <f>IF(X14&lt;&gt;"已平仓","",SUMIFS('成交明细'!$F$5:$F$804,'成交明细'!$A$5:$A$804,A14,'成交明细'!$C$5:$C$804,"卖")-SUMIFS('成交明细'!$F$5:$F$804,'成交明细'!$A$5:$A$804,A14,'成交明细'!$C$5:$C$804,"买")-Y14)</f>
        <v/>
      </c>
      <c r="AA14" s="53" t="str">
        <f>IF(AND(X14="已平仓",ISNUMBER(N14)),(Z14+Y14)/N14,"")</f>
        <v/>
      </c>
      <c r="AB14" s="53" t="str">
        <f>IF(AND(X14="已平仓",ISNUMBER(N14)),Z14/N14,"")</f>
        <v/>
      </c>
      <c r="AC14" s="54" t="str">
        <f>IF(AND(ISNUMBER(U14),ISNUMBER(H14)),U14-H14,"")</f>
        <v/>
      </c>
      <c r="AD14" s="27" t="n"/>
      <c r="AE14" s="27" t="n"/>
      <c r="AF14" s="32" t="n"/>
      <c r="AG14" s="53" t="str">
        <f>IF(A14="","",SUM(AB$5:AB14))</f>
        <v/>
      </c>
      <c r="AH14" s="55" t="str">
        <f>IF(A14="","",MAX(0,MAX(AG$5:AG14))-AG14)</f>
        <v/>
      </c>
    </row>
    <row r="15">
      <c r="A15" s="46" t="n"/>
      <c r="B15" s="31" t="n"/>
      <c r="C15" s="32" t="n"/>
      <c r="D15" s="27" t="n"/>
      <c r="E15" s="47" t="str">
        <f>IF(D15="","",IFERROR(VLOOKUP(D15,'参数'!$B$21:$C$26,2,FALSE),""))</f>
        <v/>
      </c>
      <c r="F15" s="27" t="n"/>
      <c r="G15" s="43" t="str">
        <f>IF(NOT(ISNUMBER(B15)),"",IFERROR(IF(B15-INDEX('每日复盘'!$A$5:$A$264,MATCH(B15-1,'每日复盘'!$A$5:$A$264,1))&gt;7,"",T(INDEX('每日复盘'!$AA$5:$AA$264,MATCH(B15-1,'每日复盘'!$A$5:$A$264,1)))),""))</f>
        <v/>
      </c>
      <c r="H15" s="48" t="n"/>
      <c r="I15" s="48" t="n"/>
      <c r="J15" s="48" t="n"/>
      <c r="K15" s="49" t="str">
        <f>IF(AND(ISNUMBER(H15),ISNUMBER(I15),ISNUMBER(J15)),IF(H15&gt;I15,(J15-H15)/(H15-I15),""),"")</f>
        <v/>
      </c>
      <c r="L15" s="44" t="str">
        <f>IF(AND(ISNUMBER(H15),ISNUMBER(I15)),IF(H15&gt;I15,MIN(INT(ROUND('参数'!$C$7/(H15-I15)/100,6))*100,IF(ISNUMBER(E15),IF(H15-ROUND(ROUND(I15*(1-E15),4),2)&gt;0,INT(ROUND('参数'!$C$8/(H15-ROUND(ROUND(I15*(1-E15),4),2))/100,6))*100,0),INT(ROUND('参数'!$C$7/(H15-I15)/100,6))*100)),""),"")</f>
        <v/>
      </c>
      <c r="M15" s="17" t="n"/>
      <c r="N15" s="20" t="str">
        <f>IF(AND(ISNUMBER(H15),ISNUMBER(I15),ISNUMBER(M15)),IF(AND(H15&gt;I15,M15&gt;0),(H15-I15)*M15,""),"")</f>
        <v/>
      </c>
      <c r="O15" s="20" t="str">
        <f>IF(ISNUMBER(N15),IF(ISNUMBER(E15),(H15-ROUND(ROUND(I15*(1-E15),4),2))*M15,"不设限"),"")</f>
        <v/>
      </c>
      <c r="P15" s="32" t="n"/>
      <c r="Q15" s="27" t="n"/>
      <c r="R15" s="42" t="str">
        <f>IF(N(T15)&gt;0,SUMPRODUCT(LARGE(('成交明细'!$A$5:$A$804=A15)*('成交明细'!$C$5:$C$804="买")*'成交明细'!$B$5:$B$804,COUNTIFS('成交明细'!$A$5:$A$804,A15,'成交明细'!$C$5:$C$804,"买"))),"")</f>
        <v/>
      </c>
      <c r="S15" s="42" t="str">
        <f>IF(AND(N(T15)&gt;0,N(V15)&gt;=N(T15)),SUMPRODUCT(MAX(('成交明细'!$A$5:$A$804=A15)*('成交明细'!$C$5:$C$804="卖")*'成交明细'!$B$5:$B$804)),"")</f>
        <v/>
      </c>
      <c r="T15" s="44" t="str">
        <f>IF(A15="","",SUMIFS('成交明细'!$E$5:$E$804,'成交明细'!$A$5:$A$804,A15,'成交明细'!$C$5:$C$804,"买"))</f>
        <v/>
      </c>
      <c r="U15" s="50" t="str">
        <f>IF(N(T15)&gt;0,SUMIFS('成交明细'!$F$5:$F$804,'成交明细'!$A$5:$A$804,A15,'成交明细'!$C$5:$C$804,"买")/T15,"")</f>
        <v/>
      </c>
      <c r="V15" s="44" t="str">
        <f>IF(A15="","",SUMIFS('成交明细'!$E$5:$E$804,'成交明细'!$A$5:$A$804,A15,'成交明细'!$C$5:$C$804,"卖"))</f>
        <v/>
      </c>
      <c r="W15" s="50" t="str">
        <f>IF(N(V15)&gt;0,SUMIFS('成交明细'!$F$5:$F$804,'成交明细'!$A$5:$A$804,A15,'成交明细'!$C$5:$C$804,"卖")/V15,"")</f>
        <v/>
      </c>
      <c r="X15" s="36" t="str">
        <f>IF(A15="","",IF(Q15&lt;&gt;"已执行",IF(Q15="","未填执行情况",Q15),IF(N(T15)=0,"待录成交",IF(N(V15)&gt;N(T15),"卖出多于买入",IF(N(V15)&lt;N(T15),"持仓中","已平仓")))))</f>
        <v/>
      </c>
      <c r="Y15" s="51" t="str">
        <f>IF(N(T15)=0,"",SUMIFS('成交明细'!$K$5:$K$804,'成交明细'!$A$5:$A$804,A15))</f>
        <v/>
      </c>
      <c r="Z15" s="52" t="str">
        <f>IF(X15&lt;&gt;"已平仓","",SUMIFS('成交明细'!$F$5:$F$804,'成交明细'!$A$5:$A$804,A15,'成交明细'!$C$5:$C$804,"卖")-SUMIFS('成交明细'!$F$5:$F$804,'成交明细'!$A$5:$A$804,A15,'成交明细'!$C$5:$C$804,"买")-Y15)</f>
        <v/>
      </c>
      <c r="AA15" s="53" t="str">
        <f>IF(AND(X15="已平仓",ISNUMBER(N15)),(Z15+Y15)/N15,"")</f>
        <v/>
      </c>
      <c r="AB15" s="53" t="str">
        <f>IF(AND(X15="已平仓",ISNUMBER(N15)),Z15/N15,"")</f>
        <v/>
      </c>
      <c r="AC15" s="54" t="str">
        <f>IF(AND(ISNUMBER(U15),ISNUMBER(H15)),U15-H15,"")</f>
        <v/>
      </c>
      <c r="AD15" s="27" t="n"/>
      <c r="AE15" s="27" t="n"/>
      <c r="AF15" s="32" t="n"/>
      <c r="AG15" s="53" t="str">
        <f>IF(A15="","",SUM(AB$5:AB15))</f>
        <v/>
      </c>
      <c r="AH15" s="55" t="str">
        <f>IF(A15="","",MAX(0,MAX(AG$5:AG15))-AG15)</f>
        <v/>
      </c>
    </row>
    <row r="16">
      <c r="A16" s="46" t="n"/>
      <c r="B16" s="31" t="n"/>
      <c r="C16" s="32" t="n"/>
      <c r="D16" s="27" t="n"/>
      <c r="E16" s="47" t="str">
        <f>IF(D16="","",IFERROR(VLOOKUP(D16,'参数'!$B$21:$C$26,2,FALSE),""))</f>
        <v/>
      </c>
      <c r="F16" s="27" t="n"/>
      <c r="G16" s="43" t="str">
        <f>IF(NOT(ISNUMBER(B16)),"",IFERROR(IF(B16-INDEX('每日复盘'!$A$5:$A$264,MATCH(B16-1,'每日复盘'!$A$5:$A$264,1))&gt;7,"",T(INDEX('每日复盘'!$AA$5:$AA$264,MATCH(B16-1,'每日复盘'!$A$5:$A$264,1)))),""))</f>
        <v/>
      </c>
      <c r="H16" s="48" t="n"/>
      <c r="I16" s="48" t="n"/>
      <c r="J16" s="48" t="n"/>
      <c r="K16" s="49" t="str">
        <f>IF(AND(ISNUMBER(H16),ISNUMBER(I16),ISNUMBER(J16)),IF(H16&gt;I16,(J16-H16)/(H16-I16),""),"")</f>
        <v/>
      </c>
      <c r="L16" s="44" t="str">
        <f>IF(AND(ISNUMBER(H16),ISNUMBER(I16)),IF(H16&gt;I16,MIN(INT(ROUND('参数'!$C$7/(H16-I16)/100,6))*100,IF(ISNUMBER(E16),IF(H16-ROUND(ROUND(I16*(1-E16),4),2)&gt;0,INT(ROUND('参数'!$C$8/(H16-ROUND(ROUND(I16*(1-E16),4),2))/100,6))*100,0),INT(ROUND('参数'!$C$7/(H16-I16)/100,6))*100)),""),"")</f>
        <v/>
      </c>
      <c r="M16" s="17" t="n"/>
      <c r="N16" s="20" t="str">
        <f>IF(AND(ISNUMBER(H16),ISNUMBER(I16),ISNUMBER(M16)),IF(AND(H16&gt;I16,M16&gt;0),(H16-I16)*M16,""),"")</f>
        <v/>
      </c>
      <c r="O16" s="20" t="str">
        <f>IF(ISNUMBER(N16),IF(ISNUMBER(E16),(H16-ROUND(ROUND(I16*(1-E16),4),2))*M16,"不设限"),"")</f>
        <v/>
      </c>
      <c r="P16" s="32" t="n"/>
      <c r="Q16" s="27" t="n"/>
      <c r="R16" s="42" t="str">
        <f>IF(N(T16)&gt;0,SUMPRODUCT(LARGE(('成交明细'!$A$5:$A$804=A16)*('成交明细'!$C$5:$C$804="买")*'成交明细'!$B$5:$B$804,COUNTIFS('成交明细'!$A$5:$A$804,A16,'成交明细'!$C$5:$C$804,"买"))),"")</f>
        <v/>
      </c>
      <c r="S16" s="42" t="str">
        <f>IF(AND(N(T16)&gt;0,N(V16)&gt;=N(T16)),SUMPRODUCT(MAX(('成交明细'!$A$5:$A$804=A16)*('成交明细'!$C$5:$C$804="卖")*'成交明细'!$B$5:$B$804)),"")</f>
        <v/>
      </c>
      <c r="T16" s="44" t="str">
        <f>IF(A16="","",SUMIFS('成交明细'!$E$5:$E$804,'成交明细'!$A$5:$A$804,A16,'成交明细'!$C$5:$C$804,"买"))</f>
        <v/>
      </c>
      <c r="U16" s="50" t="str">
        <f>IF(N(T16)&gt;0,SUMIFS('成交明细'!$F$5:$F$804,'成交明细'!$A$5:$A$804,A16,'成交明细'!$C$5:$C$804,"买")/T16,"")</f>
        <v/>
      </c>
      <c r="V16" s="44" t="str">
        <f>IF(A16="","",SUMIFS('成交明细'!$E$5:$E$804,'成交明细'!$A$5:$A$804,A16,'成交明细'!$C$5:$C$804,"卖"))</f>
        <v/>
      </c>
      <c r="W16" s="50" t="str">
        <f>IF(N(V16)&gt;0,SUMIFS('成交明细'!$F$5:$F$804,'成交明细'!$A$5:$A$804,A16,'成交明细'!$C$5:$C$804,"卖")/V16,"")</f>
        <v/>
      </c>
      <c r="X16" s="36" t="str">
        <f>IF(A16="","",IF(Q16&lt;&gt;"已执行",IF(Q16="","未填执行情况",Q16),IF(N(T16)=0,"待录成交",IF(N(V16)&gt;N(T16),"卖出多于买入",IF(N(V16)&lt;N(T16),"持仓中","已平仓")))))</f>
        <v/>
      </c>
      <c r="Y16" s="51" t="str">
        <f>IF(N(T16)=0,"",SUMIFS('成交明细'!$K$5:$K$804,'成交明细'!$A$5:$A$804,A16))</f>
        <v/>
      </c>
      <c r="Z16" s="52" t="str">
        <f>IF(X16&lt;&gt;"已平仓","",SUMIFS('成交明细'!$F$5:$F$804,'成交明细'!$A$5:$A$804,A16,'成交明细'!$C$5:$C$804,"卖")-SUMIFS('成交明细'!$F$5:$F$804,'成交明细'!$A$5:$A$804,A16,'成交明细'!$C$5:$C$804,"买")-Y16)</f>
        <v/>
      </c>
      <c r="AA16" s="53" t="str">
        <f>IF(AND(X16="已平仓",ISNUMBER(N16)),(Z16+Y16)/N16,"")</f>
        <v/>
      </c>
      <c r="AB16" s="53" t="str">
        <f>IF(AND(X16="已平仓",ISNUMBER(N16)),Z16/N16,"")</f>
        <v/>
      </c>
      <c r="AC16" s="54" t="str">
        <f>IF(AND(ISNUMBER(U16),ISNUMBER(H16)),U16-H16,"")</f>
        <v/>
      </c>
      <c r="AD16" s="27" t="n"/>
      <c r="AE16" s="27" t="n"/>
      <c r="AF16" s="32" t="n"/>
      <c r="AG16" s="53" t="str">
        <f>IF(A16="","",SUM(AB$5:AB16))</f>
        <v/>
      </c>
      <c r="AH16" s="55" t="str">
        <f>IF(A16="","",MAX(0,MAX(AG$5:AG16))-AG16)</f>
        <v/>
      </c>
    </row>
    <row r="17">
      <c r="A17" s="46" t="n"/>
      <c r="B17" s="31" t="n"/>
      <c r="C17" s="32" t="n"/>
      <c r="D17" s="27" t="n"/>
      <c r="E17" s="47" t="str">
        <f>IF(D17="","",IFERROR(VLOOKUP(D17,'参数'!$B$21:$C$26,2,FALSE),""))</f>
        <v/>
      </c>
      <c r="F17" s="27" t="n"/>
      <c r="G17" s="43" t="str">
        <f>IF(NOT(ISNUMBER(B17)),"",IFERROR(IF(B17-INDEX('每日复盘'!$A$5:$A$264,MATCH(B17-1,'每日复盘'!$A$5:$A$264,1))&gt;7,"",T(INDEX('每日复盘'!$AA$5:$AA$264,MATCH(B17-1,'每日复盘'!$A$5:$A$264,1)))),""))</f>
        <v/>
      </c>
      <c r="H17" s="48" t="n"/>
      <c r="I17" s="48" t="n"/>
      <c r="J17" s="48" t="n"/>
      <c r="K17" s="49" t="str">
        <f>IF(AND(ISNUMBER(H17),ISNUMBER(I17),ISNUMBER(J17)),IF(H17&gt;I17,(J17-H17)/(H17-I17),""),"")</f>
        <v/>
      </c>
      <c r="L17" s="44" t="str">
        <f>IF(AND(ISNUMBER(H17),ISNUMBER(I17)),IF(H17&gt;I17,MIN(INT(ROUND('参数'!$C$7/(H17-I17)/100,6))*100,IF(ISNUMBER(E17),IF(H17-ROUND(ROUND(I17*(1-E17),4),2)&gt;0,INT(ROUND('参数'!$C$8/(H17-ROUND(ROUND(I17*(1-E17),4),2))/100,6))*100,0),INT(ROUND('参数'!$C$7/(H17-I17)/100,6))*100)),""),"")</f>
        <v/>
      </c>
      <c r="M17" s="17" t="n"/>
      <c r="N17" s="20" t="str">
        <f>IF(AND(ISNUMBER(H17),ISNUMBER(I17),ISNUMBER(M17)),IF(AND(H17&gt;I17,M17&gt;0),(H17-I17)*M17,""),"")</f>
        <v/>
      </c>
      <c r="O17" s="20" t="str">
        <f>IF(ISNUMBER(N17),IF(ISNUMBER(E17),(H17-ROUND(ROUND(I17*(1-E17),4),2))*M17,"不设限"),"")</f>
        <v/>
      </c>
      <c r="P17" s="32" t="n"/>
      <c r="Q17" s="27" t="n"/>
      <c r="R17" s="42" t="str">
        <f>IF(N(T17)&gt;0,SUMPRODUCT(LARGE(('成交明细'!$A$5:$A$804=A17)*('成交明细'!$C$5:$C$804="买")*'成交明细'!$B$5:$B$804,COUNTIFS('成交明细'!$A$5:$A$804,A17,'成交明细'!$C$5:$C$804,"买"))),"")</f>
        <v/>
      </c>
      <c r="S17" s="42" t="str">
        <f>IF(AND(N(T17)&gt;0,N(V17)&gt;=N(T17)),SUMPRODUCT(MAX(('成交明细'!$A$5:$A$804=A17)*('成交明细'!$C$5:$C$804="卖")*'成交明细'!$B$5:$B$804)),"")</f>
        <v/>
      </c>
      <c r="T17" s="44" t="str">
        <f>IF(A17="","",SUMIFS('成交明细'!$E$5:$E$804,'成交明细'!$A$5:$A$804,A17,'成交明细'!$C$5:$C$804,"买"))</f>
        <v/>
      </c>
      <c r="U17" s="50" t="str">
        <f>IF(N(T17)&gt;0,SUMIFS('成交明细'!$F$5:$F$804,'成交明细'!$A$5:$A$804,A17,'成交明细'!$C$5:$C$804,"买")/T17,"")</f>
        <v/>
      </c>
      <c r="V17" s="44" t="str">
        <f>IF(A17="","",SUMIFS('成交明细'!$E$5:$E$804,'成交明细'!$A$5:$A$804,A17,'成交明细'!$C$5:$C$804,"卖"))</f>
        <v/>
      </c>
      <c r="W17" s="50" t="str">
        <f>IF(N(V17)&gt;0,SUMIFS('成交明细'!$F$5:$F$804,'成交明细'!$A$5:$A$804,A17,'成交明细'!$C$5:$C$804,"卖")/V17,"")</f>
        <v/>
      </c>
      <c r="X17" s="36" t="str">
        <f>IF(A17="","",IF(Q17&lt;&gt;"已执行",IF(Q17="","未填执行情况",Q17),IF(N(T17)=0,"待录成交",IF(N(V17)&gt;N(T17),"卖出多于买入",IF(N(V17)&lt;N(T17),"持仓中","已平仓")))))</f>
        <v/>
      </c>
      <c r="Y17" s="51" t="str">
        <f>IF(N(T17)=0,"",SUMIFS('成交明细'!$K$5:$K$804,'成交明细'!$A$5:$A$804,A17))</f>
        <v/>
      </c>
      <c r="Z17" s="52" t="str">
        <f>IF(X17&lt;&gt;"已平仓","",SUMIFS('成交明细'!$F$5:$F$804,'成交明细'!$A$5:$A$804,A17,'成交明细'!$C$5:$C$804,"卖")-SUMIFS('成交明细'!$F$5:$F$804,'成交明细'!$A$5:$A$804,A17,'成交明细'!$C$5:$C$804,"买")-Y17)</f>
        <v/>
      </c>
      <c r="AA17" s="53" t="str">
        <f>IF(AND(X17="已平仓",ISNUMBER(N17)),(Z17+Y17)/N17,"")</f>
        <v/>
      </c>
      <c r="AB17" s="53" t="str">
        <f>IF(AND(X17="已平仓",ISNUMBER(N17)),Z17/N17,"")</f>
        <v/>
      </c>
      <c r="AC17" s="54" t="str">
        <f>IF(AND(ISNUMBER(U17),ISNUMBER(H17)),U17-H17,"")</f>
        <v/>
      </c>
      <c r="AD17" s="27" t="n"/>
      <c r="AE17" s="27" t="n"/>
      <c r="AF17" s="32" t="n"/>
      <c r="AG17" s="53" t="str">
        <f>IF(A17="","",SUM(AB$5:AB17))</f>
        <v/>
      </c>
      <c r="AH17" s="55" t="str">
        <f>IF(A17="","",MAX(0,MAX(AG$5:AG17))-AG17)</f>
        <v/>
      </c>
    </row>
    <row r="18">
      <c r="A18" s="46" t="n"/>
      <c r="B18" s="31" t="n"/>
      <c r="C18" s="32" t="n"/>
      <c r="D18" s="27" t="n"/>
      <c r="E18" s="47" t="str">
        <f>IF(D18="","",IFERROR(VLOOKUP(D18,'参数'!$B$21:$C$26,2,FALSE),""))</f>
        <v/>
      </c>
      <c r="F18" s="27" t="n"/>
      <c r="G18" s="43" t="str">
        <f>IF(NOT(ISNUMBER(B18)),"",IFERROR(IF(B18-INDEX('每日复盘'!$A$5:$A$264,MATCH(B18-1,'每日复盘'!$A$5:$A$264,1))&gt;7,"",T(INDEX('每日复盘'!$AA$5:$AA$264,MATCH(B18-1,'每日复盘'!$A$5:$A$264,1)))),""))</f>
        <v/>
      </c>
      <c r="H18" s="48" t="n"/>
      <c r="I18" s="48" t="n"/>
      <c r="J18" s="48" t="n"/>
      <c r="K18" s="49" t="str">
        <f>IF(AND(ISNUMBER(H18),ISNUMBER(I18),ISNUMBER(J18)),IF(H18&gt;I18,(J18-H18)/(H18-I18),""),"")</f>
        <v/>
      </c>
      <c r="L18" s="44" t="str">
        <f>IF(AND(ISNUMBER(H18),ISNUMBER(I18)),IF(H18&gt;I18,MIN(INT(ROUND('参数'!$C$7/(H18-I18)/100,6))*100,IF(ISNUMBER(E18),IF(H18-ROUND(ROUND(I18*(1-E18),4),2)&gt;0,INT(ROUND('参数'!$C$8/(H18-ROUND(ROUND(I18*(1-E18),4),2))/100,6))*100,0),INT(ROUND('参数'!$C$7/(H18-I18)/100,6))*100)),""),"")</f>
        <v/>
      </c>
      <c r="M18" s="17" t="n"/>
      <c r="N18" s="20" t="str">
        <f>IF(AND(ISNUMBER(H18),ISNUMBER(I18),ISNUMBER(M18)),IF(AND(H18&gt;I18,M18&gt;0),(H18-I18)*M18,""),"")</f>
        <v/>
      </c>
      <c r="O18" s="20" t="str">
        <f>IF(ISNUMBER(N18),IF(ISNUMBER(E18),(H18-ROUND(ROUND(I18*(1-E18),4),2))*M18,"不设限"),"")</f>
        <v/>
      </c>
      <c r="P18" s="32" t="n"/>
      <c r="Q18" s="27" t="n"/>
      <c r="R18" s="42" t="str">
        <f>IF(N(T18)&gt;0,SUMPRODUCT(LARGE(('成交明细'!$A$5:$A$804=A18)*('成交明细'!$C$5:$C$804="买")*'成交明细'!$B$5:$B$804,COUNTIFS('成交明细'!$A$5:$A$804,A18,'成交明细'!$C$5:$C$804,"买"))),"")</f>
        <v/>
      </c>
      <c r="S18" s="42" t="str">
        <f>IF(AND(N(T18)&gt;0,N(V18)&gt;=N(T18)),SUMPRODUCT(MAX(('成交明细'!$A$5:$A$804=A18)*('成交明细'!$C$5:$C$804="卖")*'成交明细'!$B$5:$B$804)),"")</f>
        <v/>
      </c>
      <c r="T18" s="44" t="str">
        <f>IF(A18="","",SUMIFS('成交明细'!$E$5:$E$804,'成交明细'!$A$5:$A$804,A18,'成交明细'!$C$5:$C$804,"买"))</f>
        <v/>
      </c>
      <c r="U18" s="50" t="str">
        <f>IF(N(T18)&gt;0,SUMIFS('成交明细'!$F$5:$F$804,'成交明细'!$A$5:$A$804,A18,'成交明细'!$C$5:$C$804,"买")/T18,"")</f>
        <v/>
      </c>
      <c r="V18" s="44" t="str">
        <f>IF(A18="","",SUMIFS('成交明细'!$E$5:$E$804,'成交明细'!$A$5:$A$804,A18,'成交明细'!$C$5:$C$804,"卖"))</f>
        <v/>
      </c>
      <c r="W18" s="50" t="str">
        <f>IF(N(V18)&gt;0,SUMIFS('成交明细'!$F$5:$F$804,'成交明细'!$A$5:$A$804,A18,'成交明细'!$C$5:$C$804,"卖")/V18,"")</f>
        <v/>
      </c>
      <c r="X18" s="36" t="str">
        <f>IF(A18="","",IF(Q18&lt;&gt;"已执行",IF(Q18="","未填执行情况",Q18),IF(N(T18)=0,"待录成交",IF(N(V18)&gt;N(T18),"卖出多于买入",IF(N(V18)&lt;N(T18),"持仓中","已平仓")))))</f>
        <v/>
      </c>
      <c r="Y18" s="51" t="str">
        <f>IF(N(T18)=0,"",SUMIFS('成交明细'!$K$5:$K$804,'成交明细'!$A$5:$A$804,A18))</f>
        <v/>
      </c>
      <c r="Z18" s="52" t="str">
        <f>IF(X18&lt;&gt;"已平仓","",SUMIFS('成交明细'!$F$5:$F$804,'成交明细'!$A$5:$A$804,A18,'成交明细'!$C$5:$C$804,"卖")-SUMIFS('成交明细'!$F$5:$F$804,'成交明细'!$A$5:$A$804,A18,'成交明细'!$C$5:$C$804,"买")-Y18)</f>
        <v/>
      </c>
      <c r="AA18" s="53" t="str">
        <f>IF(AND(X18="已平仓",ISNUMBER(N18)),(Z18+Y18)/N18,"")</f>
        <v/>
      </c>
      <c r="AB18" s="53" t="str">
        <f>IF(AND(X18="已平仓",ISNUMBER(N18)),Z18/N18,"")</f>
        <v/>
      </c>
      <c r="AC18" s="54" t="str">
        <f>IF(AND(ISNUMBER(U18),ISNUMBER(H18)),U18-H18,"")</f>
        <v/>
      </c>
      <c r="AD18" s="27" t="n"/>
      <c r="AE18" s="27" t="n"/>
      <c r="AF18" s="32" t="n"/>
      <c r="AG18" s="53" t="str">
        <f>IF(A18="","",SUM(AB$5:AB18))</f>
        <v/>
      </c>
      <c r="AH18" s="55" t="str">
        <f>IF(A18="","",MAX(0,MAX(AG$5:AG18))-AG18)</f>
        <v/>
      </c>
    </row>
    <row r="19">
      <c r="A19" s="46" t="n"/>
      <c r="B19" s="31" t="n"/>
      <c r="C19" s="32" t="n"/>
      <c r="D19" s="27" t="n"/>
      <c r="E19" s="47" t="str">
        <f>IF(D19="","",IFERROR(VLOOKUP(D19,'参数'!$B$21:$C$26,2,FALSE),""))</f>
        <v/>
      </c>
      <c r="F19" s="27" t="n"/>
      <c r="G19" s="43" t="str">
        <f>IF(NOT(ISNUMBER(B19)),"",IFERROR(IF(B19-INDEX('每日复盘'!$A$5:$A$264,MATCH(B19-1,'每日复盘'!$A$5:$A$264,1))&gt;7,"",T(INDEX('每日复盘'!$AA$5:$AA$264,MATCH(B19-1,'每日复盘'!$A$5:$A$264,1)))),""))</f>
        <v/>
      </c>
      <c r="H19" s="48" t="n"/>
      <c r="I19" s="48" t="n"/>
      <c r="J19" s="48" t="n"/>
      <c r="K19" s="49" t="str">
        <f>IF(AND(ISNUMBER(H19),ISNUMBER(I19),ISNUMBER(J19)),IF(H19&gt;I19,(J19-H19)/(H19-I19),""),"")</f>
        <v/>
      </c>
      <c r="L19" s="44" t="str">
        <f>IF(AND(ISNUMBER(H19),ISNUMBER(I19)),IF(H19&gt;I19,MIN(INT(ROUND('参数'!$C$7/(H19-I19)/100,6))*100,IF(ISNUMBER(E19),IF(H19-ROUND(ROUND(I19*(1-E19),4),2)&gt;0,INT(ROUND('参数'!$C$8/(H19-ROUND(ROUND(I19*(1-E19),4),2))/100,6))*100,0),INT(ROUND('参数'!$C$7/(H19-I19)/100,6))*100)),""),"")</f>
        <v/>
      </c>
      <c r="M19" s="17" t="n"/>
      <c r="N19" s="20" t="str">
        <f>IF(AND(ISNUMBER(H19),ISNUMBER(I19),ISNUMBER(M19)),IF(AND(H19&gt;I19,M19&gt;0),(H19-I19)*M19,""),"")</f>
        <v/>
      </c>
      <c r="O19" s="20" t="str">
        <f>IF(ISNUMBER(N19),IF(ISNUMBER(E19),(H19-ROUND(ROUND(I19*(1-E19),4),2))*M19,"不设限"),"")</f>
        <v/>
      </c>
      <c r="P19" s="32" t="n"/>
      <c r="Q19" s="27" t="n"/>
      <c r="R19" s="42" t="str">
        <f>IF(N(T19)&gt;0,SUMPRODUCT(LARGE(('成交明细'!$A$5:$A$804=A19)*('成交明细'!$C$5:$C$804="买")*'成交明细'!$B$5:$B$804,COUNTIFS('成交明细'!$A$5:$A$804,A19,'成交明细'!$C$5:$C$804,"买"))),"")</f>
        <v/>
      </c>
      <c r="S19" s="42" t="str">
        <f>IF(AND(N(T19)&gt;0,N(V19)&gt;=N(T19)),SUMPRODUCT(MAX(('成交明细'!$A$5:$A$804=A19)*('成交明细'!$C$5:$C$804="卖")*'成交明细'!$B$5:$B$804)),"")</f>
        <v/>
      </c>
      <c r="T19" s="44" t="str">
        <f>IF(A19="","",SUMIFS('成交明细'!$E$5:$E$804,'成交明细'!$A$5:$A$804,A19,'成交明细'!$C$5:$C$804,"买"))</f>
        <v/>
      </c>
      <c r="U19" s="50" t="str">
        <f>IF(N(T19)&gt;0,SUMIFS('成交明细'!$F$5:$F$804,'成交明细'!$A$5:$A$804,A19,'成交明细'!$C$5:$C$804,"买")/T19,"")</f>
        <v/>
      </c>
      <c r="V19" s="44" t="str">
        <f>IF(A19="","",SUMIFS('成交明细'!$E$5:$E$804,'成交明细'!$A$5:$A$804,A19,'成交明细'!$C$5:$C$804,"卖"))</f>
        <v/>
      </c>
      <c r="W19" s="50" t="str">
        <f>IF(N(V19)&gt;0,SUMIFS('成交明细'!$F$5:$F$804,'成交明细'!$A$5:$A$804,A19,'成交明细'!$C$5:$C$804,"卖")/V19,"")</f>
        <v/>
      </c>
      <c r="X19" s="36" t="str">
        <f>IF(A19="","",IF(Q19&lt;&gt;"已执行",IF(Q19="","未填执行情况",Q19),IF(N(T19)=0,"待录成交",IF(N(V19)&gt;N(T19),"卖出多于买入",IF(N(V19)&lt;N(T19),"持仓中","已平仓")))))</f>
        <v/>
      </c>
      <c r="Y19" s="51" t="str">
        <f>IF(N(T19)=0,"",SUMIFS('成交明细'!$K$5:$K$804,'成交明细'!$A$5:$A$804,A19))</f>
        <v/>
      </c>
      <c r="Z19" s="52" t="str">
        <f>IF(X19&lt;&gt;"已平仓","",SUMIFS('成交明细'!$F$5:$F$804,'成交明细'!$A$5:$A$804,A19,'成交明细'!$C$5:$C$804,"卖")-SUMIFS('成交明细'!$F$5:$F$804,'成交明细'!$A$5:$A$804,A19,'成交明细'!$C$5:$C$804,"买")-Y19)</f>
        <v/>
      </c>
      <c r="AA19" s="53" t="str">
        <f>IF(AND(X19="已平仓",ISNUMBER(N19)),(Z19+Y19)/N19,"")</f>
        <v/>
      </c>
      <c r="AB19" s="53" t="str">
        <f>IF(AND(X19="已平仓",ISNUMBER(N19)),Z19/N19,"")</f>
        <v/>
      </c>
      <c r="AC19" s="54" t="str">
        <f>IF(AND(ISNUMBER(U19),ISNUMBER(H19)),U19-H19,"")</f>
        <v/>
      </c>
      <c r="AD19" s="27" t="n"/>
      <c r="AE19" s="27" t="n"/>
      <c r="AF19" s="32" t="n"/>
      <c r="AG19" s="53" t="str">
        <f>IF(A19="","",SUM(AB$5:AB19))</f>
        <v/>
      </c>
      <c r="AH19" s="55" t="str">
        <f>IF(A19="","",MAX(0,MAX(AG$5:AG19))-AG19)</f>
        <v/>
      </c>
    </row>
    <row r="20">
      <c r="A20" s="46" t="n"/>
      <c r="B20" s="31" t="n"/>
      <c r="C20" s="32" t="n"/>
      <c r="D20" s="27" t="n"/>
      <c r="E20" s="47" t="str">
        <f>IF(D20="","",IFERROR(VLOOKUP(D20,'参数'!$B$21:$C$26,2,FALSE),""))</f>
        <v/>
      </c>
      <c r="F20" s="27" t="n"/>
      <c r="G20" s="43" t="str">
        <f>IF(NOT(ISNUMBER(B20)),"",IFERROR(IF(B20-INDEX('每日复盘'!$A$5:$A$264,MATCH(B20-1,'每日复盘'!$A$5:$A$264,1))&gt;7,"",T(INDEX('每日复盘'!$AA$5:$AA$264,MATCH(B20-1,'每日复盘'!$A$5:$A$264,1)))),""))</f>
        <v/>
      </c>
      <c r="H20" s="48" t="n"/>
      <c r="I20" s="48" t="n"/>
      <c r="J20" s="48" t="n"/>
      <c r="K20" s="49" t="str">
        <f>IF(AND(ISNUMBER(H20),ISNUMBER(I20),ISNUMBER(J20)),IF(H20&gt;I20,(J20-H20)/(H20-I20),""),"")</f>
        <v/>
      </c>
      <c r="L20" s="44" t="str">
        <f>IF(AND(ISNUMBER(H20),ISNUMBER(I20)),IF(H20&gt;I20,MIN(INT(ROUND('参数'!$C$7/(H20-I20)/100,6))*100,IF(ISNUMBER(E20),IF(H20-ROUND(ROUND(I20*(1-E20),4),2)&gt;0,INT(ROUND('参数'!$C$8/(H20-ROUND(ROUND(I20*(1-E20),4),2))/100,6))*100,0),INT(ROUND('参数'!$C$7/(H20-I20)/100,6))*100)),""),"")</f>
        <v/>
      </c>
      <c r="M20" s="17" t="n"/>
      <c r="N20" s="20" t="str">
        <f>IF(AND(ISNUMBER(H20),ISNUMBER(I20),ISNUMBER(M20)),IF(AND(H20&gt;I20,M20&gt;0),(H20-I20)*M20,""),"")</f>
        <v/>
      </c>
      <c r="O20" s="20" t="str">
        <f>IF(ISNUMBER(N20),IF(ISNUMBER(E20),(H20-ROUND(ROUND(I20*(1-E20),4),2))*M20,"不设限"),"")</f>
        <v/>
      </c>
      <c r="P20" s="32" t="n"/>
      <c r="Q20" s="27" t="n"/>
      <c r="R20" s="42" t="str">
        <f>IF(N(T20)&gt;0,SUMPRODUCT(LARGE(('成交明细'!$A$5:$A$804=A20)*('成交明细'!$C$5:$C$804="买")*'成交明细'!$B$5:$B$804,COUNTIFS('成交明细'!$A$5:$A$804,A20,'成交明细'!$C$5:$C$804,"买"))),"")</f>
        <v/>
      </c>
      <c r="S20" s="42" t="str">
        <f>IF(AND(N(T20)&gt;0,N(V20)&gt;=N(T20)),SUMPRODUCT(MAX(('成交明细'!$A$5:$A$804=A20)*('成交明细'!$C$5:$C$804="卖")*'成交明细'!$B$5:$B$804)),"")</f>
        <v/>
      </c>
      <c r="T20" s="44" t="str">
        <f>IF(A20="","",SUMIFS('成交明细'!$E$5:$E$804,'成交明细'!$A$5:$A$804,A20,'成交明细'!$C$5:$C$804,"买"))</f>
        <v/>
      </c>
      <c r="U20" s="50" t="str">
        <f>IF(N(T20)&gt;0,SUMIFS('成交明细'!$F$5:$F$804,'成交明细'!$A$5:$A$804,A20,'成交明细'!$C$5:$C$804,"买")/T20,"")</f>
        <v/>
      </c>
      <c r="V20" s="44" t="str">
        <f>IF(A20="","",SUMIFS('成交明细'!$E$5:$E$804,'成交明细'!$A$5:$A$804,A20,'成交明细'!$C$5:$C$804,"卖"))</f>
        <v/>
      </c>
      <c r="W20" s="50" t="str">
        <f>IF(N(V20)&gt;0,SUMIFS('成交明细'!$F$5:$F$804,'成交明细'!$A$5:$A$804,A20,'成交明细'!$C$5:$C$804,"卖")/V20,"")</f>
        <v/>
      </c>
      <c r="X20" s="36" t="str">
        <f>IF(A20="","",IF(Q20&lt;&gt;"已执行",IF(Q20="","未填执行情况",Q20),IF(N(T20)=0,"待录成交",IF(N(V20)&gt;N(T20),"卖出多于买入",IF(N(V20)&lt;N(T20),"持仓中","已平仓")))))</f>
        <v/>
      </c>
      <c r="Y20" s="51" t="str">
        <f>IF(N(T20)=0,"",SUMIFS('成交明细'!$K$5:$K$804,'成交明细'!$A$5:$A$804,A20))</f>
        <v/>
      </c>
      <c r="Z20" s="52" t="str">
        <f>IF(X20&lt;&gt;"已平仓","",SUMIFS('成交明细'!$F$5:$F$804,'成交明细'!$A$5:$A$804,A20,'成交明细'!$C$5:$C$804,"卖")-SUMIFS('成交明细'!$F$5:$F$804,'成交明细'!$A$5:$A$804,A20,'成交明细'!$C$5:$C$804,"买")-Y20)</f>
        <v/>
      </c>
      <c r="AA20" s="53" t="str">
        <f>IF(AND(X20="已平仓",ISNUMBER(N20)),(Z20+Y20)/N20,"")</f>
        <v/>
      </c>
      <c r="AB20" s="53" t="str">
        <f>IF(AND(X20="已平仓",ISNUMBER(N20)),Z20/N20,"")</f>
        <v/>
      </c>
      <c r="AC20" s="54" t="str">
        <f>IF(AND(ISNUMBER(U20),ISNUMBER(H20)),U20-H20,"")</f>
        <v/>
      </c>
      <c r="AD20" s="27" t="n"/>
      <c r="AE20" s="27" t="n"/>
      <c r="AF20" s="32" t="n"/>
      <c r="AG20" s="53" t="str">
        <f>IF(A20="","",SUM(AB$5:AB20))</f>
        <v/>
      </c>
      <c r="AH20" s="55" t="str">
        <f>IF(A20="","",MAX(0,MAX(AG$5:AG20))-AG20)</f>
        <v/>
      </c>
    </row>
    <row r="21">
      <c r="A21" s="46" t="n"/>
      <c r="B21" s="31" t="n"/>
      <c r="C21" s="32" t="n"/>
      <c r="D21" s="27" t="n"/>
      <c r="E21" s="47" t="str">
        <f>IF(D21="","",IFERROR(VLOOKUP(D21,'参数'!$B$21:$C$26,2,FALSE),""))</f>
        <v/>
      </c>
      <c r="F21" s="27" t="n"/>
      <c r="G21" s="43" t="str">
        <f>IF(NOT(ISNUMBER(B21)),"",IFERROR(IF(B21-INDEX('每日复盘'!$A$5:$A$264,MATCH(B21-1,'每日复盘'!$A$5:$A$264,1))&gt;7,"",T(INDEX('每日复盘'!$AA$5:$AA$264,MATCH(B21-1,'每日复盘'!$A$5:$A$264,1)))),""))</f>
        <v/>
      </c>
      <c r="H21" s="48" t="n"/>
      <c r="I21" s="48" t="n"/>
      <c r="J21" s="48" t="n"/>
      <c r="K21" s="49" t="str">
        <f>IF(AND(ISNUMBER(H21),ISNUMBER(I21),ISNUMBER(J21)),IF(H21&gt;I21,(J21-H21)/(H21-I21),""),"")</f>
        <v/>
      </c>
      <c r="L21" s="44" t="str">
        <f>IF(AND(ISNUMBER(H21),ISNUMBER(I21)),IF(H21&gt;I21,MIN(INT(ROUND('参数'!$C$7/(H21-I21)/100,6))*100,IF(ISNUMBER(E21),IF(H21-ROUND(ROUND(I21*(1-E21),4),2)&gt;0,INT(ROUND('参数'!$C$8/(H21-ROUND(ROUND(I21*(1-E21),4),2))/100,6))*100,0),INT(ROUND('参数'!$C$7/(H21-I21)/100,6))*100)),""),"")</f>
        <v/>
      </c>
      <c r="M21" s="17" t="n"/>
      <c r="N21" s="20" t="str">
        <f>IF(AND(ISNUMBER(H21),ISNUMBER(I21),ISNUMBER(M21)),IF(AND(H21&gt;I21,M21&gt;0),(H21-I21)*M21,""),"")</f>
        <v/>
      </c>
      <c r="O21" s="20" t="str">
        <f>IF(ISNUMBER(N21),IF(ISNUMBER(E21),(H21-ROUND(ROUND(I21*(1-E21),4),2))*M21,"不设限"),"")</f>
        <v/>
      </c>
      <c r="P21" s="32" t="n"/>
      <c r="Q21" s="27" t="n"/>
      <c r="R21" s="42" t="str">
        <f>IF(N(T21)&gt;0,SUMPRODUCT(LARGE(('成交明细'!$A$5:$A$804=A21)*('成交明细'!$C$5:$C$804="买")*'成交明细'!$B$5:$B$804,COUNTIFS('成交明细'!$A$5:$A$804,A21,'成交明细'!$C$5:$C$804,"买"))),"")</f>
        <v/>
      </c>
      <c r="S21" s="42" t="str">
        <f>IF(AND(N(T21)&gt;0,N(V21)&gt;=N(T21)),SUMPRODUCT(MAX(('成交明细'!$A$5:$A$804=A21)*('成交明细'!$C$5:$C$804="卖")*'成交明细'!$B$5:$B$804)),"")</f>
        <v/>
      </c>
      <c r="T21" s="44" t="str">
        <f>IF(A21="","",SUMIFS('成交明细'!$E$5:$E$804,'成交明细'!$A$5:$A$804,A21,'成交明细'!$C$5:$C$804,"买"))</f>
        <v/>
      </c>
      <c r="U21" s="50" t="str">
        <f>IF(N(T21)&gt;0,SUMIFS('成交明细'!$F$5:$F$804,'成交明细'!$A$5:$A$804,A21,'成交明细'!$C$5:$C$804,"买")/T21,"")</f>
        <v/>
      </c>
      <c r="V21" s="44" t="str">
        <f>IF(A21="","",SUMIFS('成交明细'!$E$5:$E$804,'成交明细'!$A$5:$A$804,A21,'成交明细'!$C$5:$C$804,"卖"))</f>
        <v/>
      </c>
      <c r="W21" s="50" t="str">
        <f>IF(N(V21)&gt;0,SUMIFS('成交明细'!$F$5:$F$804,'成交明细'!$A$5:$A$804,A21,'成交明细'!$C$5:$C$804,"卖")/V21,"")</f>
        <v/>
      </c>
      <c r="X21" s="36" t="str">
        <f>IF(A21="","",IF(Q21&lt;&gt;"已执行",IF(Q21="","未填执行情况",Q21),IF(N(T21)=0,"待录成交",IF(N(V21)&gt;N(T21),"卖出多于买入",IF(N(V21)&lt;N(T21),"持仓中","已平仓")))))</f>
        <v/>
      </c>
      <c r="Y21" s="51" t="str">
        <f>IF(N(T21)=0,"",SUMIFS('成交明细'!$K$5:$K$804,'成交明细'!$A$5:$A$804,A21))</f>
        <v/>
      </c>
      <c r="Z21" s="52" t="str">
        <f>IF(X21&lt;&gt;"已平仓","",SUMIFS('成交明细'!$F$5:$F$804,'成交明细'!$A$5:$A$804,A21,'成交明细'!$C$5:$C$804,"卖")-SUMIFS('成交明细'!$F$5:$F$804,'成交明细'!$A$5:$A$804,A21,'成交明细'!$C$5:$C$804,"买")-Y21)</f>
        <v/>
      </c>
      <c r="AA21" s="53" t="str">
        <f>IF(AND(X21="已平仓",ISNUMBER(N21)),(Z21+Y21)/N21,"")</f>
        <v/>
      </c>
      <c r="AB21" s="53" t="str">
        <f>IF(AND(X21="已平仓",ISNUMBER(N21)),Z21/N21,"")</f>
        <v/>
      </c>
      <c r="AC21" s="54" t="str">
        <f>IF(AND(ISNUMBER(U21),ISNUMBER(H21)),U21-H21,"")</f>
        <v/>
      </c>
      <c r="AD21" s="27" t="n"/>
      <c r="AE21" s="27" t="n"/>
      <c r="AF21" s="32" t="n"/>
      <c r="AG21" s="53" t="str">
        <f>IF(A21="","",SUM(AB$5:AB21))</f>
        <v/>
      </c>
      <c r="AH21" s="55" t="str">
        <f>IF(A21="","",MAX(0,MAX(AG$5:AG21))-AG21)</f>
        <v/>
      </c>
    </row>
    <row r="22">
      <c r="A22" s="46" t="n"/>
      <c r="B22" s="31" t="n"/>
      <c r="C22" s="32" t="n"/>
      <c r="D22" s="27" t="n"/>
      <c r="E22" s="47" t="str">
        <f>IF(D22="","",IFERROR(VLOOKUP(D22,'参数'!$B$21:$C$26,2,FALSE),""))</f>
        <v/>
      </c>
      <c r="F22" s="27" t="n"/>
      <c r="G22" s="43" t="str">
        <f>IF(NOT(ISNUMBER(B22)),"",IFERROR(IF(B22-INDEX('每日复盘'!$A$5:$A$264,MATCH(B22-1,'每日复盘'!$A$5:$A$264,1))&gt;7,"",T(INDEX('每日复盘'!$AA$5:$AA$264,MATCH(B22-1,'每日复盘'!$A$5:$A$264,1)))),""))</f>
        <v/>
      </c>
      <c r="H22" s="48" t="n"/>
      <c r="I22" s="48" t="n"/>
      <c r="J22" s="48" t="n"/>
      <c r="K22" s="49" t="str">
        <f>IF(AND(ISNUMBER(H22),ISNUMBER(I22),ISNUMBER(J22)),IF(H22&gt;I22,(J22-H22)/(H22-I22),""),"")</f>
        <v/>
      </c>
      <c r="L22" s="44" t="str">
        <f>IF(AND(ISNUMBER(H22),ISNUMBER(I22)),IF(H22&gt;I22,MIN(INT(ROUND('参数'!$C$7/(H22-I22)/100,6))*100,IF(ISNUMBER(E22),IF(H22-ROUND(ROUND(I22*(1-E22),4),2)&gt;0,INT(ROUND('参数'!$C$8/(H22-ROUND(ROUND(I22*(1-E22),4),2))/100,6))*100,0),INT(ROUND('参数'!$C$7/(H22-I22)/100,6))*100)),""),"")</f>
        <v/>
      </c>
      <c r="M22" s="17" t="n"/>
      <c r="N22" s="20" t="str">
        <f>IF(AND(ISNUMBER(H22),ISNUMBER(I22),ISNUMBER(M22)),IF(AND(H22&gt;I22,M22&gt;0),(H22-I22)*M22,""),"")</f>
        <v/>
      </c>
      <c r="O22" s="20" t="str">
        <f>IF(ISNUMBER(N22),IF(ISNUMBER(E22),(H22-ROUND(ROUND(I22*(1-E22),4),2))*M22,"不设限"),"")</f>
        <v/>
      </c>
      <c r="P22" s="32" t="n"/>
      <c r="Q22" s="27" t="n"/>
      <c r="R22" s="42" t="str">
        <f>IF(N(T22)&gt;0,SUMPRODUCT(LARGE(('成交明细'!$A$5:$A$804=A22)*('成交明细'!$C$5:$C$804="买")*'成交明细'!$B$5:$B$804,COUNTIFS('成交明细'!$A$5:$A$804,A22,'成交明细'!$C$5:$C$804,"买"))),"")</f>
        <v/>
      </c>
      <c r="S22" s="42" t="str">
        <f>IF(AND(N(T22)&gt;0,N(V22)&gt;=N(T22)),SUMPRODUCT(MAX(('成交明细'!$A$5:$A$804=A22)*('成交明细'!$C$5:$C$804="卖")*'成交明细'!$B$5:$B$804)),"")</f>
        <v/>
      </c>
      <c r="T22" s="44" t="str">
        <f>IF(A22="","",SUMIFS('成交明细'!$E$5:$E$804,'成交明细'!$A$5:$A$804,A22,'成交明细'!$C$5:$C$804,"买"))</f>
        <v/>
      </c>
      <c r="U22" s="50" t="str">
        <f>IF(N(T22)&gt;0,SUMIFS('成交明细'!$F$5:$F$804,'成交明细'!$A$5:$A$804,A22,'成交明细'!$C$5:$C$804,"买")/T22,"")</f>
        <v/>
      </c>
      <c r="V22" s="44" t="str">
        <f>IF(A22="","",SUMIFS('成交明细'!$E$5:$E$804,'成交明细'!$A$5:$A$804,A22,'成交明细'!$C$5:$C$804,"卖"))</f>
        <v/>
      </c>
      <c r="W22" s="50" t="str">
        <f>IF(N(V22)&gt;0,SUMIFS('成交明细'!$F$5:$F$804,'成交明细'!$A$5:$A$804,A22,'成交明细'!$C$5:$C$804,"卖")/V22,"")</f>
        <v/>
      </c>
      <c r="X22" s="36" t="str">
        <f>IF(A22="","",IF(Q22&lt;&gt;"已执行",IF(Q22="","未填执行情况",Q22),IF(N(T22)=0,"待录成交",IF(N(V22)&gt;N(T22),"卖出多于买入",IF(N(V22)&lt;N(T22),"持仓中","已平仓")))))</f>
        <v/>
      </c>
      <c r="Y22" s="51" t="str">
        <f>IF(N(T22)=0,"",SUMIFS('成交明细'!$K$5:$K$804,'成交明细'!$A$5:$A$804,A22))</f>
        <v/>
      </c>
      <c r="Z22" s="52" t="str">
        <f>IF(X22&lt;&gt;"已平仓","",SUMIFS('成交明细'!$F$5:$F$804,'成交明细'!$A$5:$A$804,A22,'成交明细'!$C$5:$C$804,"卖")-SUMIFS('成交明细'!$F$5:$F$804,'成交明细'!$A$5:$A$804,A22,'成交明细'!$C$5:$C$804,"买")-Y22)</f>
        <v/>
      </c>
      <c r="AA22" s="53" t="str">
        <f>IF(AND(X22="已平仓",ISNUMBER(N22)),(Z22+Y22)/N22,"")</f>
        <v/>
      </c>
      <c r="AB22" s="53" t="str">
        <f>IF(AND(X22="已平仓",ISNUMBER(N22)),Z22/N22,"")</f>
        <v/>
      </c>
      <c r="AC22" s="54" t="str">
        <f>IF(AND(ISNUMBER(U22),ISNUMBER(H22)),U22-H22,"")</f>
        <v/>
      </c>
      <c r="AD22" s="27" t="n"/>
      <c r="AE22" s="27" t="n"/>
      <c r="AF22" s="32" t="n"/>
      <c r="AG22" s="53" t="str">
        <f>IF(A22="","",SUM(AB$5:AB22))</f>
        <v/>
      </c>
      <c r="AH22" s="55" t="str">
        <f>IF(A22="","",MAX(0,MAX(AG$5:AG22))-AG22)</f>
        <v/>
      </c>
    </row>
    <row r="23">
      <c r="A23" s="46" t="n"/>
      <c r="B23" s="31" t="n"/>
      <c r="C23" s="32" t="n"/>
      <c r="D23" s="27" t="n"/>
      <c r="E23" s="47" t="str">
        <f>IF(D23="","",IFERROR(VLOOKUP(D23,'参数'!$B$21:$C$26,2,FALSE),""))</f>
        <v/>
      </c>
      <c r="F23" s="27" t="n"/>
      <c r="G23" s="43" t="str">
        <f>IF(NOT(ISNUMBER(B23)),"",IFERROR(IF(B23-INDEX('每日复盘'!$A$5:$A$264,MATCH(B23-1,'每日复盘'!$A$5:$A$264,1))&gt;7,"",T(INDEX('每日复盘'!$AA$5:$AA$264,MATCH(B23-1,'每日复盘'!$A$5:$A$264,1)))),""))</f>
        <v/>
      </c>
      <c r="H23" s="48" t="n"/>
      <c r="I23" s="48" t="n"/>
      <c r="J23" s="48" t="n"/>
      <c r="K23" s="49" t="str">
        <f>IF(AND(ISNUMBER(H23),ISNUMBER(I23),ISNUMBER(J23)),IF(H23&gt;I23,(J23-H23)/(H23-I23),""),"")</f>
        <v/>
      </c>
      <c r="L23" s="44" t="str">
        <f>IF(AND(ISNUMBER(H23),ISNUMBER(I23)),IF(H23&gt;I23,MIN(INT(ROUND('参数'!$C$7/(H23-I23)/100,6))*100,IF(ISNUMBER(E23),IF(H23-ROUND(ROUND(I23*(1-E23),4),2)&gt;0,INT(ROUND('参数'!$C$8/(H23-ROUND(ROUND(I23*(1-E23),4),2))/100,6))*100,0),INT(ROUND('参数'!$C$7/(H23-I23)/100,6))*100)),""),"")</f>
        <v/>
      </c>
      <c r="M23" s="17" t="n"/>
      <c r="N23" s="20" t="str">
        <f>IF(AND(ISNUMBER(H23),ISNUMBER(I23),ISNUMBER(M23)),IF(AND(H23&gt;I23,M23&gt;0),(H23-I23)*M23,""),"")</f>
        <v/>
      </c>
      <c r="O23" s="20" t="str">
        <f>IF(ISNUMBER(N23),IF(ISNUMBER(E23),(H23-ROUND(ROUND(I23*(1-E23),4),2))*M23,"不设限"),"")</f>
        <v/>
      </c>
      <c r="P23" s="32" t="n"/>
      <c r="Q23" s="27" t="n"/>
      <c r="R23" s="42" t="str">
        <f>IF(N(T23)&gt;0,SUMPRODUCT(LARGE(('成交明细'!$A$5:$A$804=A23)*('成交明细'!$C$5:$C$804="买")*'成交明细'!$B$5:$B$804,COUNTIFS('成交明细'!$A$5:$A$804,A23,'成交明细'!$C$5:$C$804,"买"))),"")</f>
        <v/>
      </c>
      <c r="S23" s="42" t="str">
        <f>IF(AND(N(T23)&gt;0,N(V23)&gt;=N(T23)),SUMPRODUCT(MAX(('成交明细'!$A$5:$A$804=A23)*('成交明细'!$C$5:$C$804="卖")*'成交明细'!$B$5:$B$804)),"")</f>
        <v/>
      </c>
      <c r="T23" s="44" t="str">
        <f>IF(A23="","",SUMIFS('成交明细'!$E$5:$E$804,'成交明细'!$A$5:$A$804,A23,'成交明细'!$C$5:$C$804,"买"))</f>
        <v/>
      </c>
      <c r="U23" s="50" t="str">
        <f>IF(N(T23)&gt;0,SUMIFS('成交明细'!$F$5:$F$804,'成交明细'!$A$5:$A$804,A23,'成交明细'!$C$5:$C$804,"买")/T23,"")</f>
        <v/>
      </c>
      <c r="V23" s="44" t="str">
        <f>IF(A23="","",SUMIFS('成交明细'!$E$5:$E$804,'成交明细'!$A$5:$A$804,A23,'成交明细'!$C$5:$C$804,"卖"))</f>
        <v/>
      </c>
      <c r="W23" s="50" t="str">
        <f>IF(N(V23)&gt;0,SUMIFS('成交明细'!$F$5:$F$804,'成交明细'!$A$5:$A$804,A23,'成交明细'!$C$5:$C$804,"卖")/V23,"")</f>
        <v/>
      </c>
      <c r="X23" s="36" t="str">
        <f>IF(A23="","",IF(Q23&lt;&gt;"已执行",IF(Q23="","未填执行情况",Q23),IF(N(T23)=0,"待录成交",IF(N(V23)&gt;N(T23),"卖出多于买入",IF(N(V23)&lt;N(T23),"持仓中","已平仓")))))</f>
        <v/>
      </c>
      <c r="Y23" s="51" t="str">
        <f>IF(N(T23)=0,"",SUMIFS('成交明细'!$K$5:$K$804,'成交明细'!$A$5:$A$804,A23))</f>
        <v/>
      </c>
      <c r="Z23" s="52" t="str">
        <f>IF(X23&lt;&gt;"已平仓","",SUMIFS('成交明细'!$F$5:$F$804,'成交明细'!$A$5:$A$804,A23,'成交明细'!$C$5:$C$804,"卖")-SUMIFS('成交明细'!$F$5:$F$804,'成交明细'!$A$5:$A$804,A23,'成交明细'!$C$5:$C$804,"买")-Y23)</f>
        <v/>
      </c>
      <c r="AA23" s="53" t="str">
        <f>IF(AND(X23="已平仓",ISNUMBER(N23)),(Z23+Y23)/N23,"")</f>
        <v/>
      </c>
      <c r="AB23" s="53" t="str">
        <f>IF(AND(X23="已平仓",ISNUMBER(N23)),Z23/N23,"")</f>
        <v/>
      </c>
      <c r="AC23" s="54" t="str">
        <f>IF(AND(ISNUMBER(U23),ISNUMBER(H23)),U23-H23,"")</f>
        <v/>
      </c>
      <c r="AD23" s="27" t="n"/>
      <c r="AE23" s="27" t="n"/>
      <c r="AF23" s="32" t="n"/>
      <c r="AG23" s="53" t="str">
        <f>IF(A23="","",SUM(AB$5:AB23))</f>
        <v/>
      </c>
      <c r="AH23" s="55" t="str">
        <f>IF(A23="","",MAX(0,MAX(AG$5:AG23))-AG23)</f>
        <v/>
      </c>
    </row>
    <row r="24">
      <c r="A24" s="46" t="n"/>
      <c r="B24" s="31" t="n"/>
      <c r="C24" s="32" t="n"/>
      <c r="D24" s="27" t="n"/>
      <c r="E24" s="47" t="str">
        <f>IF(D24="","",IFERROR(VLOOKUP(D24,'参数'!$B$21:$C$26,2,FALSE),""))</f>
        <v/>
      </c>
      <c r="F24" s="27" t="n"/>
      <c r="G24" s="43" t="str">
        <f>IF(NOT(ISNUMBER(B24)),"",IFERROR(IF(B24-INDEX('每日复盘'!$A$5:$A$264,MATCH(B24-1,'每日复盘'!$A$5:$A$264,1))&gt;7,"",T(INDEX('每日复盘'!$AA$5:$AA$264,MATCH(B24-1,'每日复盘'!$A$5:$A$264,1)))),""))</f>
        <v/>
      </c>
      <c r="H24" s="48" t="n"/>
      <c r="I24" s="48" t="n"/>
      <c r="J24" s="48" t="n"/>
      <c r="K24" s="49" t="str">
        <f>IF(AND(ISNUMBER(H24),ISNUMBER(I24),ISNUMBER(J24)),IF(H24&gt;I24,(J24-H24)/(H24-I24),""),"")</f>
        <v/>
      </c>
      <c r="L24" s="44" t="str">
        <f>IF(AND(ISNUMBER(H24),ISNUMBER(I24)),IF(H24&gt;I24,MIN(INT(ROUND('参数'!$C$7/(H24-I24)/100,6))*100,IF(ISNUMBER(E24),IF(H24-ROUND(ROUND(I24*(1-E24),4),2)&gt;0,INT(ROUND('参数'!$C$8/(H24-ROUND(ROUND(I24*(1-E24),4),2))/100,6))*100,0),INT(ROUND('参数'!$C$7/(H24-I24)/100,6))*100)),""),"")</f>
        <v/>
      </c>
      <c r="M24" s="17" t="n"/>
      <c r="N24" s="20" t="str">
        <f>IF(AND(ISNUMBER(H24),ISNUMBER(I24),ISNUMBER(M24)),IF(AND(H24&gt;I24,M24&gt;0),(H24-I24)*M24,""),"")</f>
        <v/>
      </c>
      <c r="O24" s="20" t="str">
        <f>IF(ISNUMBER(N24),IF(ISNUMBER(E24),(H24-ROUND(ROUND(I24*(1-E24),4),2))*M24,"不设限"),"")</f>
        <v/>
      </c>
      <c r="P24" s="32" t="n"/>
      <c r="Q24" s="27" t="n"/>
      <c r="R24" s="42" t="str">
        <f>IF(N(T24)&gt;0,SUMPRODUCT(LARGE(('成交明细'!$A$5:$A$804=A24)*('成交明细'!$C$5:$C$804="买")*'成交明细'!$B$5:$B$804,COUNTIFS('成交明细'!$A$5:$A$804,A24,'成交明细'!$C$5:$C$804,"买"))),"")</f>
        <v/>
      </c>
      <c r="S24" s="42" t="str">
        <f>IF(AND(N(T24)&gt;0,N(V24)&gt;=N(T24)),SUMPRODUCT(MAX(('成交明细'!$A$5:$A$804=A24)*('成交明细'!$C$5:$C$804="卖")*'成交明细'!$B$5:$B$804)),"")</f>
        <v/>
      </c>
      <c r="T24" s="44" t="str">
        <f>IF(A24="","",SUMIFS('成交明细'!$E$5:$E$804,'成交明细'!$A$5:$A$804,A24,'成交明细'!$C$5:$C$804,"买"))</f>
        <v/>
      </c>
      <c r="U24" s="50" t="str">
        <f>IF(N(T24)&gt;0,SUMIFS('成交明细'!$F$5:$F$804,'成交明细'!$A$5:$A$804,A24,'成交明细'!$C$5:$C$804,"买")/T24,"")</f>
        <v/>
      </c>
      <c r="V24" s="44" t="str">
        <f>IF(A24="","",SUMIFS('成交明细'!$E$5:$E$804,'成交明细'!$A$5:$A$804,A24,'成交明细'!$C$5:$C$804,"卖"))</f>
        <v/>
      </c>
      <c r="W24" s="50" t="str">
        <f>IF(N(V24)&gt;0,SUMIFS('成交明细'!$F$5:$F$804,'成交明细'!$A$5:$A$804,A24,'成交明细'!$C$5:$C$804,"卖")/V24,"")</f>
        <v/>
      </c>
      <c r="X24" s="36" t="str">
        <f>IF(A24="","",IF(Q24&lt;&gt;"已执行",IF(Q24="","未填执行情况",Q24),IF(N(T24)=0,"待录成交",IF(N(V24)&gt;N(T24),"卖出多于买入",IF(N(V24)&lt;N(T24),"持仓中","已平仓")))))</f>
        <v/>
      </c>
      <c r="Y24" s="51" t="str">
        <f>IF(N(T24)=0,"",SUMIFS('成交明细'!$K$5:$K$804,'成交明细'!$A$5:$A$804,A24))</f>
        <v/>
      </c>
      <c r="Z24" s="52" t="str">
        <f>IF(X24&lt;&gt;"已平仓","",SUMIFS('成交明细'!$F$5:$F$804,'成交明细'!$A$5:$A$804,A24,'成交明细'!$C$5:$C$804,"卖")-SUMIFS('成交明细'!$F$5:$F$804,'成交明细'!$A$5:$A$804,A24,'成交明细'!$C$5:$C$804,"买")-Y24)</f>
        <v/>
      </c>
      <c r="AA24" s="53" t="str">
        <f>IF(AND(X24="已平仓",ISNUMBER(N24)),(Z24+Y24)/N24,"")</f>
        <v/>
      </c>
      <c r="AB24" s="53" t="str">
        <f>IF(AND(X24="已平仓",ISNUMBER(N24)),Z24/N24,"")</f>
        <v/>
      </c>
      <c r="AC24" s="54" t="str">
        <f>IF(AND(ISNUMBER(U24),ISNUMBER(H24)),U24-H24,"")</f>
        <v/>
      </c>
      <c r="AD24" s="27" t="n"/>
      <c r="AE24" s="27" t="n"/>
      <c r="AF24" s="32" t="n"/>
      <c r="AG24" s="53" t="str">
        <f>IF(A24="","",SUM(AB$5:AB24))</f>
        <v/>
      </c>
      <c r="AH24" s="55" t="str">
        <f>IF(A24="","",MAX(0,MAX(AG$5:AG24))-AG24)</f>
        <v/>
      </c>
    </row>
    <row r="25">
      <c r="A25" s="46" t="n"/>
      <c r="B25" s="31" t="n"/>
      <c r="C25" s="32" t="n"/>
      <c r="D25" s="27" t="n"/>
      <c r="E25" s="47" t="str">
        <f>IF(D25="","",IFERROR(VLOOKUP(D25,'参数'!$B$21:$C$26,2,FALSE),""))</f>
        <v/>
      </c>
      <c r="F25" s="27" t="n"/>
      <c r="G25" s="43" t="str">
        <f>IF(NOT(ISNUMBER(B25)),"",IFERROR(IF(B25-INDEX('每日复盘'!$A$5:$A$264,MATCH(B25-1,'每日复盘'!$A$5:$A$264,1))&gt;7,"",T(INDEX('每日复盘'!$AA$5:$AA$264,MATCH(B25-1,'每日复盘'!$A$5:$A$264,1)))),""))</f>
        <v/>
      </c>
      <c r="H25" s="48" t="n"/>
      <c r="I25" s="48" t="n"/>
      <c r="J25" s="48" t="n"/>
      <c r="K25" s="49" t="str">
        <f>IF(AND(ISNUMBER(H25),ISNUMBER(I25),ISNUMBER(J25)),IF(H25&gt;I25,(J25-H25)/(H25-I25),""),"")</f>
        <v/>
      </c>
      <c r="L25" s="44" t="str">
        <f>IF(AND(ISNUMBER(H25),ISNUMBER(I25)),IF(H25&gt;I25,MIN(INT(ROUND('参数'!$C$7/(H25-I25)/100,6))*100,IF(ISNUMBER(E25),IF(H25-ROUND(ROUND(I25*(1-E25),4),2)&gt;0,INT(ROUND('参数'!$C$8/(H25-ROUND(ROUND(I25*(1-E25),4),2))/100,6))*100,0),INT(ROUND('参数'!$C$7/(H25-I25)/100,6))*100)),""),"")</f>
        <v/>
      </c>
      <c r="M25" s="17" t="n"/>
      <c r="N25" s="20" t="str">
        <f>IF(AND(ISNUMBER(H25),ISNUMBER(I25),ISNUMBER(M25)),IF(AND(H25&gt;I25,M25&gt;0),(H25-I25)*M25,""),"")</f>
        <v/>
      </c>
      <c r="O25" s="20" t="str">
        <f>IF(ISNUMBER(N25),IF(ISNUMBER(E25),(H25-ROUND(ROUND(I25*(1-E25),4),2))*M25,"不设限"),"")</f>
        <v/>
      </c>
      <c r="P25" s="32" t="n"/>
      <c r="Q25" s="27" t="n"/>
      <c r="R25" s="42" t="str">
        <f>IF(N(T25)&gt;0,SUMPRODUCT(LARGE(('成交明细'!$A$5:$A$804=A25)*('成交明细'!$C$5:$C$804="买")*'成交明细'!$B$5:$B$804,COUNTIFS('成交明细'!$A$5:$A$804,A25,'成交明细'!$C$5:$C$804,"买"))),"")</f>
        <v/>
      </c>
      <c r="S25" s="42" t="str">
        <f>IF(AND(N(T25)&gt;0,N(V25)&gt;=N(T25)),SUMPRODUCT(MAX(('成交明细'!$A$5:$A$804=A25)*('成交明细'!$C$5:$C$804="卖")*'成交明细'!$B$5:$B$804)),"")</f>
        <v/>
      </c>
      <c r="T25" s="44" t="str">
        <f>IF(A25="","",SUMIFS('成交明细'!$E$5:$E$804,'成交明细'!$A$5:$A$804,A25,'成交明细'!$C$5:$C$804,"买"))</f>
        <v/>
      </c>
      <c r="U25" s="50" t="str">
        <f>IF(N(T25)&gt;0,SUMIFS('成交明细'!$F$5:$F$804,'成交明细'!$A$5:$A$804,A25,'成交明细'!$C$5:$C$804,"买")/T25,"")</f>
        <v/>
      </c>
      <c r="V25" s="44" t="str">
        <f>IF(A25="","",SUMIFS('成交明细'!$E$5:$E$804,'成交明细'!$A$5:$A$804,A25,'成交明细'!$C$5:$C$804,"卖"))</f>
        <v/>
      </c>
      <c r="W25" s="50" t="str">
        <f>IF(N(V25)&gt;0,SUMIFS('成交明细'!$F$5:$F$804,'成交明细'!$A$5:$A$804,A25,'成交明细'!$C$5:$C$804,"卖")/V25,"")</f>
        <v/>
      </c>
      <c r="X25" s="36" t="str">
        <f>IF(A25="","",IF(Q25&lt;&gt;"已执行",IF(Q25="","未填执行情况",Q25),IF(N(T25)=0,"待录成交",IF(N(V25)&gt;N(T25),"卖出多于买入",IF(N(V25)&lt;N(T25),"持仓中","已平仓")))))</f>
        <v/>
      </c>
      <c r="Y25" s="51" t="str">
        <f>IF(N(T25)=0,"",SUMIFS('成交明细'!$K$5:$K$804,'成交明细'!$A$5:$A$804,A25))</f>
        <v/>
      </c>
      <c r="Z25" s="52" t="str">
        <f>IF(X25&lt;&gt;"已平仓","",SUMIFS('成交明细'!$F$5:$F$804,'成交明细'!$A$5:$A$804,A25,'成交明细'!$C$5:$C$804,"卖")-SUMIFS('成交明细'!$F$5:$F$804,'成交明细'!$A$5:$A$804,A25,'成交明细'!$C$5:$C$804,"买")-Y25)</f>
        <v/>
      </c>
      <c r="AA25" s="53" t="str">
        <f>IF(AND(X25="已平仓",ISNUMBER(N25)),(Z25+Y25)/N25,"")</f>
        <v/>
      </c>
      <c r="AB25" s="53" t="str">
        <f>IF(AND(X25="已平仓",ISNUMBER(N25)),Z25/N25,"")</f>
        <v/>
      </c>
      <c r="AC25" s="54" t="str">
        <f>IF(AND(ISNUMBER(U25),ISNUMBER(H25)),U25-H25,"")</f>
        <v/>
      </c>
      <c r="AD25" s="27" t="n"/>
      <c r="AE25" s="27" t="n"/>
      <c r="AF25" s="32" t="n"/>
      <c r="AG25" s="53" t="str">
        <f>IF(A25="","",SUM(AB$5:AB25))</f>
        <v/>
      </c>
      <c r="AH25" s="55" t="str">
        <f>IF(A25="","",MAX(0,MAX(AG$5:AG25))-AG25)</f>
        <v/>
      </c>
    </row>
    <row r="26">
      <c r="A26" s="46" t="n"/>
      <c r="B26" s="31" t="n"/>
      <c r="C26" s="32" t="n"/>
      <c r="D26" s="27" t="n"/>
      <c r="E26" s="47" t="str">
        <f>IF(D26="","",IFERROR(VLOOKUP(D26,'参数'!$B$21:$C$26,2,FALSE),""))</f>
        <v/>
      </c>
      <c r="F26" s="27" t="n"/>
      <c r="G26" s="43" t="str">
        <f>IF(NOT(ISNUMBER(B26)),"",IFERROR(IF(B26-INDEX('每日复盘'!$A$5:$A$264,MATCH(B26-1,'每日复盘'!$A$5:$A$264,1))&gt;7,"",T(INDEX('每日复盘'!$AA$5:$AA$264,MATCH(B26-1,'每日复盘'!$A$5:$A$264,1)))),""))</f>
        <v/>
      </c>
      <c r="H26" s="48" t="n"/>
      <c r="I26" s="48" t="n"/>
      <c r="J26" s="48" t="n"/>
      <c r="K26" s="49" t="str">
        <f>IF(AND(ISNUMBER(H26),ISNUMBER(I26),ISNUMBER(J26)),IF(H26&gt;I26,(J26-H26)/(H26-I26),""),"")</f>
        <v/>
      </c>
      <c r="L26" s="44" t="str">
        <f>IF(AND(ISNUMBER(H26),ISNUMBER(I26)),IF(H26&gt;I26,MIN(INT(ROUND('参数'!$C$7/(H26-I26)/100,6))*100,IF(ISNUMBER(E26),IF(H26-ROUND(ROUND(I26*(1-E26),4),2)&gt;0,INT(ROUND('参数'!$C$8/(H26-ROUND(ROUND(I26*(1-E26),4),2))/100,6))*100,0),INT(ROUND('参数'!$C$7/(H26-I26)/100,6))*100)),""),"")</f>
        <v/>
      </c>
      <c r="M26" s="17" t="n"/>
      <c r="N26" s="20" t="str">
        <f>IF(AND(ISNUMBER(H26),ISNUMBER(I26),ISNUMBER(M26)),IF(AND(H26&gt;I26,M26&gt;0),(H26-I26)*M26,""),"")</f>
        <v/>
      </c>
      <c r="O26" s="20" t="str">
        <f>IF(ISNUMBER(N26),IF(ISNUMBER(E26),(H26-ROUND(ROUND(I26*(1-E26),4),2))*M26,"不设限"),"")</f>
        <v/>
      </c>
      <c r="P26" s="32" t="n"/>
      <c r="Q26" s="27" t="n"/>
      <c r="R26" s="42" t="str">
        <f>IF(N(T26)&gt;0,SUMPRODUCT(LARGE(('成交明细'!$A$5:$A$804=A26)*('成交明细'!$C$5:$C$804="买")*'成交明细'!$B$5:$B$804,COUNTIFS('成交明细'!$A$5:$A$804,A26,'成交明细'!$C$5:$C$804,"买"))),"")</f>
        <v/>
      </c>
      <c r="S26" s="42" t="str">
        <f>IF(AND(N(T26)&gt;0,N(V26)&gt;=N(T26)),SUMPRODUCT(MAX(('成交明细'!$A$5:$A$804=A26)*('成交明细'!$C$5:$C$804="卖")*'成交明细'!$B$5:$B$804)),"")</f>
        <v/>
      </c>
      <c r="T26" s="44" t="str">
        <f>IF(A26="","",SUMIFS('成交明细'!$E$5:$E$804,'成交明细'!$A$5:$A$804,A26,'成交明细'!$C$5:$C$804,"买"))</f>
        <v/>
      </c>
      <c r="U26" s="50" t="str">
        <f>IF(N(T26)&gt;0,SUMIFS('成交明细'!$F$5:$F$804,'成交明细'!$A$5:$A$804,A26,'成交明细'!$C$5:$C$804,"买")/T26,"")</f>
        <v/>
      </c>
      <c r="V26" s="44" t="str">
        <f>IF(A26="","",SUMIFS('成交明细'!$E$5:$E$804,'成交明细'!$A$5:$A$804,A26,'成交明细'!$C$5:$C$804,"卖"))</f>
        <v/>
      </c>
      <c r="W26" s="50" t="str">
        <f>IF(N(V26)&gt;0,SUMIFS('成交明细'!$F$5:$F$804,'成交明细'!$A$5:$A$804,A26,'成交明细'!$C$5:$C$804,"卖")/V26,"")</f>
        <v/>
      </c>
      <c r="X26" s="36" t="str">
        <f>IF(A26="","",IF(Q26&lt;&gt;"已执行",IF(Q26="","未填执行情况",Q26),IF(N(T26)=0,"待录成交",IF(N(V26)&gt;N(T26),"卖出多于买入",IF(N(V26)&lt;N(T26),"持仓中","已平仓")))))</f>
        <v/>
      </c>
      <c r="Y26" s="51" t="str">
        <f>IF(N(T26)=0,"",SUMIFS('成交明细'!$K$5:$K$804,'成交明细'!$A$5:$A$804,A26))</f>
        <v/>
      </c>
      <c r="Z26" s="52" t="str">
        <f>IF(X26&lt;&gt;"已平仓","",SUMIFS('成交明细'!$F$5:$F$804,'成交明细'!$A$5:$A$804,A26,'成交明细'!$C$5:$C$804,"卖")-SUMIFS('成交明细'!$F$5:$F$804,'成交明细'!$A$5:$A$804,A26,'成交明细'!$C$5:$C$804,"买")-Y26)</f>
        <v/>
      </c>
      <c r="AA26" s="53" t="str">
        <f>IF(AND(X26="已平仓",ISNUMBER(N26)),(Z26+Y26)/N26,"")</f>
        <v/>
      </c>
      <c r="AB26" s="53" t="str">
        <f>IF(AND(X26="已平仓",ISNUMBER(N26)),Z26/N26,"")</f>
        <v/>
      </c>
      <c r="AC26" s="54" t="str">
        <f>IF(AND(ISNUMBER(U26),ISNUMBER(H26)),U26-H26,"")</f>
        <v/>
      </c>
      <c r="AD26" s="27" t="n"/>
      <c r="AE26" s="27" t="n"/>
      <c r="AF26" s="32" t="n"/>
      <c r="AG26" s="53" t="str">
        <f>IF(A26="","",SUM(AB$5:AB26))</f>
        <v/>
      </c>
      <c r="AH26" s="55" t="str">
        <f>IF(A26="","",MAX(0,MAX(AG$5:AG26))-AG26)</f>
        <v/>
      </c>
    </row>
    <row r="27">
      <c r="A27" s="46" t="n"/>
      <c r="B27" s="31" t="n"/>
      <c r="C27" s="32" t="n"/>
      <c r="D27" s="27" t="n"/>
      <c r="E27" s="47" t="str">
        <f>IF(D27="","",IFERROR(VLOOKUP(D27,'参数'!$B$21:$C$26,2,FALSE),""))</f>
        <v/>
      </c>
      <c r="F27" s="27" t="n"/>
      <c r="G27" s="43" t="str">
        <f>IF(NOT(ISNUMBER(B27)),"",IFERROR(IF(B27-INDEX('每日复盘'!$A$5:$A$264,MATCH(B27-1,'每日复盘'!$A$5:$A$264,1))&gt;7,"",T(INDEX('每日复盘'!$AA$5:$AA$264,MATCH(B27-1,'每日复盘'!$A$5:$A$264,1)))),""))</f>
        <v/>
      </c>
      <c r="H27" s="48" t="n"/>
      <c r="I27" s="48" t="n"/>
      <c r="J27" s="48" t="n"/>
      <c r="K27" s="49" t="str">
        <f>IF(AND(ISNUMBER(H27),ISNUMBER(I27),ISNUMBER(J27)),IF(H27&gt;I27,(J27-H27)/(H27-I27),""),"")</f>
        <v/>
      </c>
      <c r="L27" s="44" t="str">
        <f>IF(AND(ISNUMBER(H27),ISNUMBER(I27)),IF(H27&gt;I27,MIN(INT(ROUND('参数'!$C$7/(H27-I27)/100,6))*100,IF(ISNUMBER(E27),IF(H27-ROUND(ROUND(I27*(1-E27),4),2)&gt;0,INT(ROUND('参数'!$C$8/(H27-ROUND(ROUND(I27*(1-E27),4),2))/100,6))*100,0),INT(ROUND('参数'!$C$7/(H27-I27)/100,6))*100)),""),"")</f>
        <v/>
      </c>
      <c r="M27" s="17" t="n"/>
      <c r="N27" s="20" t="str">
        <f>IF(AND(ISNUMBER(H27),ISNUMBER(I27),ISNUMBER(M27)),IF(AND(H27&gt;I27,M27&gt;0),(H27-I27)*M27,""),"")</f>
        <v/>
      </c>
      <c r="O27" s="20" t="str">
        <f>IF(ISNUMBER(N27),IF(ISNUMBER(E27),(H27-ROUND(ROUND(I27*(1-E27),4),2))*M27,"不设限"),"")</f>
        <v/>
      </c>
      <c r="P27" s="32" t="n"/>
      <c r="Q27" s="27" t="n"/>
      <c r="R27" s="42" t="str">
        <f>IF(N(T27)&gt;0,SUMPRODUCT(LARGE(('成交明细'!$A$5:$A$804=A27)*('成交明细'!$C$5:$C$804="买")*'成交明细'!$B$5:$B$804,COUNTIFS('成交明细'!$A$5:$A$804,A27,'成交明细'!$C$5:$C$804,"买"))),"")</f>
        <v/>
      </c>
      <c r="S27" s="42" t="str">
        <f>IF(AND(N(T27)&gt;0,N(V27)&gt;=N(T27)),SUMPRODUCT(MAX(('成交明细'!$A$5:$A$804=A27)*('成交明细'!$C$5:$C$804="卖")*'成交明细'!$B$5:$B$804)),"")</f>
        <v/>
      </c>
      <c r="T27" s="44" t="str">
        <f>IF(A27="","",SUMIFS('成交明细'!$E$5:$E$804,'成交明细'!$A$5:$A$804,A27,'成交明细'!$C$5:$C$804,"买"))</f>
        <v/>
      </c>
      <c r="U27" s="50" t="str">
        <f>IF(N(T27)&gt;0,SUMIFS('成交明细'!$F$5:$F$804,'成交明细'!$A$5:$A$804,A27,'成交明细'!$C$5:$C$804,"买")/T27,"")</f>
        <v/>
      </c>
      <c r="V27" s="44" t="str">
        <f>IF(A27="","",SUMIFS('成交明细'!$E$5:$E$804,'成交明细'!$A$5:$A$804,A27,'成交明细'!$C$5:$C$804,"卖"))</f>
        <v/>
      </c>
      <c r="W27" s="50" t="str">
        <f>IF(N(V27)&gt;0,SUMIFS('成交明细'!$F$5:$F$804,'成交明细'!$A$5:$A$804,A27,'成交明细'!$C$5:$C$804,"卖")/V27,"")</f>
        <v/>
      </c>
      <c r="X27" s="36" t="str">
        <f>IF(A27="","",IF(Q27&lt;&gt;"已执行",IF(Q27="","未填执行情况",Q27),IF(N(T27)=0,"待录成交",IF(N(V27)&gt;N(T27),"卖出多于买入",IF(N(V27)&lt;N(T27),"持仓中","已平仓")))))</f>
        <v/>
      </c>
      <c r="Y27" s="51" t="str">
        <f>IF(N(T27)=0,"",SUMIFS('成交明细'!$K$5:$K$804,'成交明细'!$A$5:$A$804,A27))</f>
        <v/>
      </c>
      <c r="Z27" s="52" t="str">
        <f>IF(X27&lt;&gt;"已平仓","",SUMIFS('成交明细'!$F$5:$F$804,'成交明细'!$A$5:$A$804,A27,'成交明细'!$C$5:$C$804,"卖")-SUMIFS('成交明细'!$F$5:$F$804,'成交明细'!$A$5:$A$804,A27,'成交明细'!$C$5:$C$804,"买")-Y27)</f>
        <v/>
      </c>
      <c r="AA27" s="53" t="str">
        <f>IF(AND(X27="已平仓",ISNUMBER(N27)),(Z27+Y27)/N27,"")</f>
        <v/>
      </c>
      <c r="AB27" s="53" t="str">
        <f>IF(AND(X27="已平仓",ISNUMBER(N27)),Z27/N27,"")</f>
        <v/>
      </c>
      <c r="AC27" s="54" t="str">
        <f>IF(AND(ISNUMBER(U27),ISNUMBER(H27)),U27-H27,"")</f>
        <v/>
      </c>
      <c r="AD27" s="27" t="n"/>
      <c r="AE27" s="27" t="n"/>
      <c r="AF27" s="32" t="n"/>
      <c r="AG27" s="53" t="str">
        <f>IF(A27="","",SUM(AB$5:AB27))</f>
        <v/>
      </c>
      <c r="AH27" s="55" t="str">
        <f>IF(A27="","",MAX(0,MAX(AG$5:AG27))-AG27)</f>
        <v/>
      </c>
    </row>
    <row r="28">
      <c r="A28" s="46" t="n"/>
      <c r="B28" s="31" t="n"/>
      <c r="C28" s="32" t="n"/>
      <c r="D28" s="27" t="n"/>
      <c r="E28" s="47" t="str">
        <f>IF(D28="","",IFERROR(VLOOKUP(D28,'参数'!$B$21:$C$26,2,FALSE),""))</f>
        <v/>
      </c>
      <c r="F28" s="27" t="n"/>
      <c r="G28" s="43" t="str">
        <f>IF(NOT(ISNUMBER(B28)),"",IFERROR(IF(B28-INDEX('每日复盘'!$A$5:$A$264,MATCH(B28-1,'每日复盘'!$A$5:$A$264,1))&gt;7,"",T(INDEX('每日复盘'!$AA$5:$AA$264,MATCH(B28-1,'每日复盘'!$A$5:$A$264,1)))),""))</f>
        <v/>
      </c>
      <c r="H28" s="48" t="n"/>
      <c r="I28" s="48" t="n"/>
      <c r="J28" s="48" t="n"/>
      <c r="K28" s="49" t="str">
        <f>IF(AND(ISNUMBER(H28),ISNUMBER(I28),ISNUMBER(J28)),IF(H28&gt;I28,(J28-H28)/(H28-I28),""),"")</f>
        <v/>
      </c>
      <c r="L28" s="44" t="str">
        <f>IF(AND(ISNUMBER(H28),ISNUMBER(I28)),IF(H28&gt;I28,MIN(INT(ROUND('参数'!$C$7/(H28-I28)/100,6))*100,IF(ISNUMBER(E28),IF(H28-ROUND(ROUND(I28*(1-E28),4),2)&gt;0,INT(ROUND('参数'!$C$8/(H28-ROUND(ROUND(I28*(1-E28),4),2))/100,6))*100,0),INT(ROUND('参数'!$C$7/(H28-I28)/100,6))*100)),""),"")</f>
        <v/>
      </c>
      <c r="M28" s="17" t="n"/>
      <c r="N28" s="20" t="str">
        <f>IF(AND(ISNUMBER(H28),ISNUMBER(I28),ISNUMBER(M28)),IF(AND(H28&gt;I28,M28&gt;0),(H28-I28)*M28,""),"")</f>
        <v/>
      </c>
      <c r="O28" s="20" t="str">
        <f>IF(ISNUMBER(N28),IF(ISNUMBER(E28),(H28-ROUND(ROUND(I28*(1-E28),4),2))*M28,"不设限"),"")</f>
        <v/>
      </c>
      <c r="P28" s="32" t="n"/>
      <c r="Q28" s="27" t="n"/>
      <c r="R28" s="42" t="str">
        <f>IF(N(T28)&gt;0,SUMPRODUCT(LARGE(('成交明细'!$A$5:$A$804=A28)*('成交明细'!$C$5:$C$804="买")*'成交明细'!$B$5:$B$804,COUNTIFS('成交明细'!$A$5:$A$804,A28,'成交明细'!$C$5:$C$804,"买"))),"")</f>
        <v/>
      </c>
      <c r="S28" s="42" t="str">
        <f>IF(AND(N(T28)&gt;0,N(V28)&gt;=N(T28)),SUMPRODUCT(MAX(('成交明细'!$A$5:$A$804=A28)*('成交明细'!$C$5:$C$804="卖")*'成交明细'!$B$5:$B$804)),"")</f>
        <v/>
      </c>
      <c r="T28" s="44" t="str">
        <f>IF(A28="","",SUMIFS('成交明细'!$E$5:$E$804,'成交明细'!$A$5:$A$804,A28,'成交明细'!$C$5:$C$804,"买"))</f>
        <v/>
      </c>
      <c r="U28" s="50" t="str">
        <f>IF(N(T28)&gt;0,SUMIFS('成交明细'!$F$5:$F$804,'成交明细'!$A$5:$A$804,A28,'成交明细'!$C$5:$C$804,"买")/T28,"")</f>
        <v/>
      </c>
      <c r="V28" s="44" t="str">
        <f>IF(A28="","",SUMIFS('成交明细'!$E$5:$E$804,'成交明细'!$A$5:$A$804,A28,'成交明细'!$C$5:$C$804,"卖"))</f>
        <v/>
      </c>
      <c r="W28" s="50" t="str">
        <f>IF(N(V28)&gt;0,SUMIFS('成交明细'!$F$5:$F$804,'成交明细'!$A$5:$A$804,A28,'成交明细'!$C$5:$C$804,"卖")/V28,"")</f>
        <v/>
      </c>
      <c r="X28" s="36" t="str">
        <f>IF(A28="","",IF(Q28&lt;&gt;"已执行",IF(Q28="","未填执行情况",Q28),IF(N(T28)=0,"待录成交",IF(N(V28)&gt;N(T28),"卖出多于买入",IF(N(V28)&lt;N(T28),"持仓中","已平仓")))))</f>
        <v/>
      </c>
      <c r="Y28" s="51" t="str">
        <f>IF(N(T28)=0,"",SUMIFS('成交明细'!$K$5:$K$804,'成交明细'!$A$5:$A$804,A28))</f>
        <v/>
      </c>
      <c r="Z28" s="52" t="str">
        <f>IF(X28&lt;&gt;"已平仓","",SUMIFS('成交明细'!$F$5:$F$804,'成交明细'!$A$5:$A$804,A28,'成交明细'!$C$5:$C$804,"卖")-SUMIFS('成交明细'!$F$5:$F$804,'成交明细'!$A$5:$A$804,A28,'成交明细'!$C$5:$C$804,"买")-Y28)</f>
        <v/>
      </c>
      <c r="AA28" s="53" t="str">
        <f>IF(AND(X28="已平仓",ISNUMBER(N28)),(Z28+Y28)/N28,"")</f>
        <v/>
      </c>
      <c r="AB28" s="53" t="str">
        <f>IF(AND(X28="已平仓",ISNUMBER(N28)),Z28/N28,"")</f>
        <v/>
      </c>
      <c r="AC28" s="54" t="str">
        <f>IF(AND(ISNUMBER(U28),ISNUMBER(H28)),U28-H28,"")</f>
        <v/>
      </c>
      <c r="AD28" s="27" t="n"/>
      <c r="AE28" s="27" t="n"/>
      <c r="AF28" s="32" t="n"/>
      <c r="AG28" s="53" t="str">
        <f>IF(A28="","",SUM(AB$5:AB28))</f>
        <v/>
      </c>
      <c r="AH28" s="55" t="str">
        <f>IF(A28="","",MAX(0,MAX(AG$5:AG28))-AG28)</f>
        <v/>
      </c>
    </row>
    <row r="29">
      <c r="A29" s="46" t="n"/>
      <c r="B29" s="31" t="n"/>
      <c r="C29" s="32" t="n"/>
      <c r="D29" s="27" t="n"/>
      <c r="E29" s="47" t="str">
        <f>IF(D29="","",IFERROR(VLOOKUP(D29,'参数'!$B$21:$C$26,2,FALSE),""))</f>
        <v/>
      </c>
      <c r="F29" s="27" t="n"/>
      <c r="G29" s="43" t="str">
        <f>IF(NOT(ISNUMBER(B29)),"",IFERROR(IF(B29-INDEX('每日复盘'!$A$5:$A$264,MATCH(B29-1,'每日复盘'!$A$5:$A$264,1))&gt;7,"",T(INDEX('每日复盘'!$AA$5:$AA$264,MATCH(B29-1,'每日复盘'!$A$5:$A$264,1)))),""))</f>
        <v/>
      </c>
      <c r="H29" s="48" t="n"/>
      <c r="I29" s="48" t="n"/>
      <c r="J29" s="48" t="n"/>
      <c r="K29" s="49" t="str">
        <f>IF(AND(ISNUMBER(H29),ISNUMBER(I29),ISNUMBER(J29)),IF(H29&gt;I29,(J29-H29)/(H29-I29),""),"")</f>
        <v/>
      </c>
      <c r="L29" s="44" t="str">
        <f>IF(AND(ISNUMBER(H29),ISNUMBER(I29)),IF(H29&gt;I29,MIN(INT(ROUND('参数'!$C$7/(H29-I29)/100,6))*100,IF(ISNUMBER(E29),IF(H29-ROUND(ROUND(I29*(1-E29),4),2)&gt;0,INT(ROUND('参数'!$C$8/(H29-ROUND(ROUND(I29*(1-E29),4),2))/100,6))*100,0),INT(ROUND('参数'!$C$7/(H29-I29)/100,6))*100)),""),"")</f>
        <v/>
      </c>
      <c r="M29" s="17" t="n"/>
      <c r="N29" s="20" t="str">
        <f>IF(AND(ISNUMBER(H29),ISNUMBER(I29),ISNUMBER(M29)),IF(AND(H29&gt;I29,M29&gt;0),(H29-I29)*M29,""),"")</f>
        <v/>
      </c>
      <c r="O29" s="20" t="str">
        <f>IF(ISNUMBER(N29),IF(ISNUMBER(E29),(H29-ROUND(ROUND(I29*(1-E29),4),2))*M29,"不设限"),"")</f>
        <v/>
      </c>
      <c r="P29" s="32" t="n"/>
      <c r="Q29" s="27" t="n"/>
      <c r="R29" s="42" t="str">
        <f>IF(N(T29)&gt;0,SUMPRODUCT(LARGE(('成交明细'!$A$5:$A$804=A29)*('成交明细'!$C$5:$C$804="买")*'成交明细'!$B$5:$B$804,COUNTIFS('成交明细'!$A$5:$A$804,A29,'成交明细'!$C$5:$C$804,"买"))),"")</f>
        <v/>
      </c>
      <c r="S29" s="42" t="str">
        <f>IF(AND(N(T29)&gt;0,N(V29)&gt;=N(T29)),SUMPRODUCT(MAX(('成交明细'!$A$5:$A$804=A29)*('成交明细'!$C$5:$C$804="卖")*'成交明细'!$B$5:$B$804)),"")</f>
        <v/>
      </c>
      <c r="T29" s="44" t="str">
        <f>IF(A29="","",SUMIFS('成交明细'!$E$5:$E$804,'成交明细'!$A$5:$A$804,A29,'成交明细'!$C$5:$C$804,"买"))</f>
        <v/>
      </c>
      <c r="U29" s="50" t="str">
        <f>IF(N(T29)&gt;0,SUMIFS('成交明细'!$F$5:$F$804,'成交明细'!$A$5:$A$804,A29,'成交明细'!$C$5:$C$804,"买")/T29,"")</f>
        <v/>
      </c>
      <c r="V29" s="44" t="str">
        <f>IF(A29="","",SUMIFS('成交明细'!$E$5:$E$804,'成交明细'!$A$5:$A$804,A29,'成交明细'!$C$5:$C$804,"卖"))</f>
        <v/>
      </c>
      <c r="W29" s="50" t="str">
        <f>IF(N(V29)&gt;0,SUMIFS('成交明细'!$F$5:$F$804,'成交明细'!$A$5:$A$804,A29,'成交明细'!$C$5:$C$804,"卖")/V29,"")</f>
        <v/>
      </c>
      <c r="X29" s="36" t="str">
        <f>IF(A29="","",IF(Q29&lt;&gt;"已执行",IF(Q29="","未填执行情况",Q29),IF(N(T29)=0,"待录成交",IF(N(V29)&gt;N(T29),"卖出多于买入",IF(N(V29)&lt;N(T29),"持仓中","已平仓")))))</f>
        <v/>
      </c>
      <c r="Y29" s="51" t="str">
        <f>IF(N(T29)=0,"",SUMIFS('成交明细'!$K$5:$K$804,'成交明细'!$A$5:$A$804,A29))</f>
        <v/>
      </c>
      <c r="Z29" s="52" t="str">
        <f>IF(X29&lt;&gt;"已平仓","",SUMIFS('成交明细'!$F$5:$F$804,'成交明细'!$A$5:$A$804,A29,'成交明细'!$C$5:$C$804,"卖")-SUMIFS('成交明细'!$F$5:$F$804,'成交明细'!$A$5:$A$804,A29,'成交明细'!$C$5:$C$804,"买")-Y29)</f>
        <v/>
      </c>
      <c r="AA29" s="53" t="str">
        <f>IF(AND(X29="已平仓",ISNUMBER(N29)),(Z29+Y29)/N29,"")</f>
        <v/>
      </c>
      <c r="AB29" s="53" t="str">
        <f>IF(AND(X29="已平仓",ISNUMBER(N29)),Z29/N29,"")</f>
        <v/>
      </c>
      <c r="AC29" s="54" t="str">
        <f>IF(AND(ISNUMBER(U29),ISNUMBER(H29)),U29-H29,"")</f>
        <v/>
      </c>
      <c r="AD29" s="27" t="n"/>
      <c r="AE29" s="27" t="n"/>
      <c r="AF29" s="32" t="n"/>
      <c r="AG29" s="53" t="str">
        <f>IF(A29="","",SUM(AB$5:AB29))</f>
        <v/>
      </c>
      <c r="AH29" s="55" t="str">
        <f>IF(A29="","",MAX(0,MAX(AG$5:AG29))-AG29)</f>
        <v/>
      </c>
    </row>
    <row r="30">
      <c r="A30" s="46" t="n"/>
      <c r="B30" s="31" t="n"/>
      <c r="C30" s="32" t="n"/>
      <c r="D30" s="27" t="n"/>
      <c r="E30" s="47" t="str">
        <f>IF(D30="","",IFERROR(VLOOKUP(D30,'参数'!$B$21:$C$26,2,FALSE),""))</f>
        <v/>
      </c>
      <c r="F30" s="27" t="n"/>
      <c r="G30" s="43" t="str">
        <f>IF(NOT(ISNUMBER(B30)),"",IFERROR(IF(B30-INDEX('每日复盘'!$A$5:$A$264,MATCH(B30-1,'每日复盘'!$A$5:$A$264,1))&gt;7,"",T(INDEX('每日复盘'!$AA$5:$AA$264,MATCH(B30-1,'每日复盘'!$A$5:$A$264,1)))),""))</f>
        <v/>
      </c>
      <c r="H30" s="48" t="n"/>
      <c r="I30" s="48" t="n"/>
      <c r="J30" s="48" t="n"/>
      <c r="K30" s="49" t="str">
        <f>IF(AND(ISNUMBER(H30),ISNUMBER(I30),ISNUMBER(J30)),IF(H30&gt;I30,(J30-H30)/(H30-I30),""),"")</f>
        <v/>
      </c>
      <c r="L30" s="44" t="str">
        <f>IF(AND(ISNUMBER(H30),ISNUMBER(I30)),IF(H30&gt;I30,MIN(INT(ROUND('参数'!$C$7/(H30-I30)/100,6))*100,IF(ISNUMBER(E30),IF(H30-ROUND(ROUND(I30*(1-E30),4),2)&gt;0,INT(ROUND('参数'!$C$8/(H30-ROUND(ROUND(I30*(1-E30),4),2))/100,6))*100,0),INT(ROUND('参数'!$C$7/(H30-I30)/100,6))*100)),""),"")</f>
        <v/>
      </c>
      <c r="M30" s="17" t="n"/>
      <c r="N30" s="20" t="str">
        <f>IF(AND(ISNUMBER(H30),ISNUMBER(I30),ISNUMBER(M30)),IF(AND(H30&gt;I30,M30&gt;0),(H30-I30)*M30,""),"")</f>
        <v/>
      </c>
      <c r="O30" s="20" t="str">
        <f>IF(ISNUMBER(N30),IF(ISNUMBER(E30),(H30-ROUND(ROUND(I30*(1-E30),4),2))*M30,"不设限"),"")</f>
        <v/>
      </c>
      <c r="P30" s="32" t="n"/>
      <c r="Q30" s="27" t="n"/>
      <c r="R30" s="42" t="str">
        <f>IF(N(T30)&gt;0,SUMPRODUCT(LARGE(('成交明细'!$A$5:$A$804=A30)*('成交明细'!$C$5:$C$804="买")*'成交明细'!$B$5:$B$804,COUNTIFS('成交明细'!$A$5:$A$804,A30,'成交明细'!$C$5:$C$804,"买"))),"")</f>
        <v/>
      </c>
      <c r="S30" s="42" t="str">
        <f>IF(AND(N(T30)&gt;0,N(V30)&gt;=N(T30)),SUMPRODUCT(MAX(('成交明细'!$A$5:$A$804=A30)*('成交明细'!$C$5:$C$804="卖")*'成交明细'!$B$5:$B$804)),"")</f>
        <v/>
      </c>
      <c r="T30" s="44" t="str">
        <f>IF(A30="","",SUMIFS('成交明细'!$E$5:$E$804,'成交明细'!$A$5:$A$804,A30,'成交明细'!$C$5:$C$804,"买"))</f>
        <v/>
      </c>
      <c r="U30" s="50" t="str">
        <f>IF(N(T30)&gt;0,SUMIFS('成交明细'!$F$5:$F$804,'成交明细'!$A$5:$A$804,A30,'成交明细'!$C$5:$C$804,"买")/T30,"")</f>
        <v/>
      </c>
      <c r="V30" s="44" t="str">
        <f>IF(A30="","",SUMIFS('成交明细'!$E$5:$E$804,'成交明细'!$A$5:$A$804,A30,'成交明细'!$C$5:$C$804,"卖"))</f>
        <v/>
      </c>
      <c r="W30" s="50" t="str">
        <f>IF(N(V30)&gt;0,SUMIFS('成交明细'!$F$5:$F$804,'成交明细'!$A$5:$A$804,A30,'成交明细'!$C$5:$C$804,"卖")/V30,"")</f>
        <v/>
      </c>
      <c r="X30" s="36" t="str">
        <f>IF(A30="","",IF(Q30&lt;&gt;"已执行",IF(Q30="","未填执行情况",Q30),IF(N(T30)=0,"待录成交",IF(N(V30)&gt;N(T30),"卖出多于买入",IF(N(V30)&lt;N(T30),"持仓中","已平仓")))))</f>
        <v/>
      </c>
      <c r="Y30" s="51" t="str">
        <f>IF(N(T30)=0,"",SUMIFS('成交明细'!$K$5:$K$804,'成交明细'!$A$5:$A$804,A30))</f>
        <v/>
      </c>
      <c r="Z30" s="52" t="str">
        <f>IF(X30&lt;&gt;"已平仓","",SUMIFS('成交明细'!$F$5:$F$804,'成交明细'!$A$5:$A$804,A30,'成交明细'!$C$5:$C$804,"卖")-SUMIFS('成交明细'!$F$5:$F$804,'成交明细'!$A$5:$A$804,A30,'成交明细'!$C$5:$C$804,"买")-Y30)</f>
        <v/>
      </c>
      <c r="AA30" s="53" t="str">
        <f>IF(AND(X30="已平仓",ISNUMBER(N30)),(Z30+Y30)/N30,"")</f>
        <v/>
      </c>
      <c r="AB30" s="53" t="str">
        <f>IF(AND(X30="已平仓",ISNUMBER(N30)),Z30/N30,"")</f>
        <v/>
      </c>
      <c r="AC30" s="54" t="str">
        <f>IF(AND(ISNUMBER(U30),ISNUMBER(H30)),U30-H30,"")</f>
        <v/>
      </c>
      <c r="AD30" s="27" t="n"/>
      <c r="AE30" s="27" t="n"/>
      <c r="AF30" s="32" t="n"/>
      <c r="AG30" s="53" t="str">
        <f>IF(A30="","",SUM(AB$5:AB30))</f>
        <v/>
      </c>
      <c r="AH30" s="55" t="str">
        <f>IF(A30="","",MAX(0,MAX(AG$5:AG30))-AG30)</f>
        <v/>
      </c>
    </row>
    <row r="31">
      <c r="A31" s="46" t="n"/>
      <c r="B31" s="31" t="n"/>
      <c r="C31" s="32" t="n"/>
      <c r="D31" s="27" t="n"/>
      <c r="E31" s="47" t="str">
        <f>IF(D31="","",IFERROR(VLOOKUP(D31,'参数'!$B$21:$C$26,2,FALSE),""))</f>
        <v/>
      </c>
      <c r="F31" s="27" t="n"/>
      <c r="G31" s="43" t="str">
        <f>IF(NOT(ISNUMBER(B31)),"",IFERROR(IF(B31-INDEX('每日复盘'!$A$5:$A$264,MATCH(B31-1,'每日复盘'!$A$5:$A$264,1))&gt;7,"",T(INDEX('每日复盘'!$AA$5:$AA$264,MATCH(B31-1,'每日复盘'!$A$5:$A$264,1)))),""))</f>
        <v/>
      </c>
      <c r="H31" s="48" t="n"/>
      <c r="I31" s="48" t="n"/>
      <c r="J31" s="48" t="n"/>
      <c r="K31" s="49" t="str">
        <f>IF(AND(ISNUMBER(H31),ISNUMBER(I31),ISNUMBER(J31)),IF(H31&gt;I31,(J31-H31)/(H31-I31),""),"")</f>
        <v/>
      </c>
      <c r="L31" s="44" t="str">
        <f>IF(AND(ISNUMBER(H31),ISNUMBER(I31)),IF(H31&gt;I31,MIN(INT(ROUND('参数'!$C$7/(H31-I31)/100,6))*100,IF(ISNUMBER(E31),IF(H31-ROUND(ROUND(I31*(1-E31),4),2)&gt;0,INT(ROUND('参数'!$C$8/(H31-ROUND(ROUND(I31*(1-E31),4),2))/100,6))*100,0),INT(ROUND('参数'!$C$7/(H31-I31)/100,6))*100)),""),"")</f>
        <v/>
      </c>
      <c r="M31" s="17" t="n"/>
      <c r="N31" s="20" t="str">
        <f>IF(AND(ISNUMBER(H31),ISNUMBER(I31),ISNUMBER(M31)),IF(AND(H31&gt;I31,M31&gt;0),(H31-I31)*M31,""),"")</f>
        <v/>
      </c>
      <c r="O31" s="20" t="str">
        <f>IF(ISNUMBER(N31),IF(ISNUMBER(E31),(H31-ROUND(ROUND(I31*(1-E31),4),2))*M31,"不设限"),"")</f>
        <v/>
      </c>
      <c r="P31" s="32" t="n"/>
      <c r="Q31" s="27" t="n"/>
      <c r="R31" s="42" t="str">
        <f>IF(N(T31)&gt;0,SUMPRODUCT(LARGE(('成交明细'!$A$5:$A$804=A31)*('成交明细'!$C$5:$C$804="买")*'成交明细'!$B$5:$B$804,COUNTIFS('成交明细'!$A$5:$A$804,A31,'成交明细'!$C$5:$C$804,"买"))),"")</f>
        <v/>
      </c>
      <c r="S31" s="42" t="str">
        <f>IF(AND(N(T31)&gt;0,N(V31)&gt;=N(T31)),SUMPRODUCT(MAX(('成交明细'!$A$5:$A$804=A31)*('成交明细'!$C$5:$C$804="卖")*'成交明细'!$B$5:$B$804)),"")</f>
        <v/>
      </c>
      <c r="T31" s="44" t="str">
        <f>IF(A31="","",SUMIFS('成交明细'!$E$5:$E$804,'成交明细'!$A$5:$A$804,A31,'成交明细'!$C$5:$C$804,"买"))</f>
        <v/>
      </c>
      <c r="U31" s="50" t="str">
        <f>IF(N(T31)&gt;0,SUMIFS('成交明细'!$F$5:$F$804,'成交明细'!$A$5:$A$804,A31,'成交明细'!$C$5:$C$804,"买")/T31,"")</f>
        <v/>
      </c>
      <c r="V31" s="44" t="str">
        <f>IF(A31="","",SUMIFS('成交明细'!$E$5:$E$804,'成交明细'!$A$5:$A$804,A31,'成交明细'!$C$5:$C$804,"卖"))</f>
        <v/>
      </c>
      <c r="W31" s="50" t="str">
        <f>IF(N(V31)&gt;0,SUMIFS('成交明细'!$F$5:$F$804,'成交明细'!$A$5:$A$804,A31,'成交明细'!$C$5:$C$804,"卖")/V31,"")</f>
        <v/>
      </c>
      <c r="X31" s="36" t="str">
        <f>IF(A31="","",IF(Q31&lt;&gt;"已执行",IF(Q31="","未填执行情况",Q31),IF(N(T31)=0,"待录成交",IF(N(V31)&gt;N(T31),"卖出多于买入",IF(N(V31)&lt;N(T31),"持仓中","已平仓")))))</f>
        <v/>
      </c>
      <c r="Y31" s="51" t="str">
        <f>IF(N(T31)=0,"",SUMIFS('成交明细'!$K$5:$K$804,'成交明细'!$A$5:$A$804,A31))</f>
        <v/>
      </c>
      <c r="Z31" s="52" t="str">
        <f>IF(X31&lt;&gt;"已平仓","",SUMIFS('成交明细'!$F$5:$F$804,'成交明细'!$A$5:$A$804,A31,'成交明细'!$C$5:$C$804,"卖")-SUMIFS('成交明细'!$F$5:$F$804,'成交明细'!$A$5:$A$804,A31,'成交明细'!$C$5:$C$804,"买")-Y31)</f>
        <v/>
      </c>
      <c r="AA31" s="53" t="str">
        <f>IF(AND(X31="已平仓",ISNUMBER(N31)),(Z31+Y31)/N31,"")</f>
        <v/>
      </c>
      <c r="AB31" s="53" t="str">
        <f>IF(AND(X31="已平仓",ISNUMBER(N31)),Z31/N31,"")</f>
        <v/>
      </c>
      <c r="AC31" s="54" t="str">
        <f>IF(AND(ISNUMBER(U31),ISNUMBER(H31)),U31-H31,"")</f>
        <v/>
      </c>
      <c r="AD31" s="27" t="n"/>
      <c r="AE31" s="27" t="n"/>
      <c r="AF31" s="32" t="n"/>
      <c r="AG31" s="53" t="str">
        <f>IF(A31="","",SUM(AB$5:AB31))</f>
        <v/>
      </c>
      <c r="AH31" s="55" t="str">
        <f>IF(A31="","",MAX(0,MAX(AG$5:AG31))-AG31)</f>
        <v/>
      </c>
    </row>
    <row r="32">
      <c r="A32" s="46" t="n"/>
      <c r="B32" s="31" t="n"/>
      <c r="C32" s="32" t="n"/>
      <c r="D32" s="27" t="n"/>
      <c r="E32" s="47" t="str">
        <f>IF(D32="","",IFERROR(VLOOKUP(D32,'参数'!$B$21:$C$26,2,FALSE),""))</f>
        <v/>
      </c>
      <c r="F32" s="27" t="n"/>
      <c r="G32" s="43" t="str">
        <f>IF(NOT(ISNUMBER(B32)),"",IFERROR(IF(B32-INDEX('每日复盘'!$A$5:$A$264,MATCH(B32-1,'每日复盘'!$A$5:$A$264,1))&gt;7,"",T(INDEX('每日复盘'!$AA$5:$AA$264,MATCH(B32-1,'每日复盘'!$A$5:$A$264,1)))),""))</f>
        <v/>
      </c>
      <c r="H32" s="48" t="n"/>
      <c r="I32" s="48" t="n"/>
      <c r="J32" s="48" t="n"/>
      <c r="K32" s="49" t="str">
        <f>IF(AND(ISNUMBER(H32),ISNUMBER(I32),ISNUMBER(J32)),IF(H32&gt;I32,(J32-H32)/(H32-I32),""),"")</f>
        <v/>
      </c>
      <c r="L32" s="44" t="str">
        <f>IF(AND(ISNUMBER(H32),ISNUMBER(I32)),IF(H32&gt;I32,MIN(INT(ROUND('参数'!$C$7/(H32-I32)/100,6))*100,IF(ISNUMBER(E32),IF(H32-ROUND(ROUND(I32*(1-E32),4),2)&gt;0,INT(ROUND('参数'!$C$8/(H32-ROUND(ROUND(I32*(1-E32),4),2))/100,6))*100,0),INT(ROUND('参数'!$C$7/(H32-I32)/100,6))*100)),""),"")</f>
        <v/>
      </c>
      <c r="M32" s="17" t="n"/>
      <c r="N32" s="20" t="str">
        <f>IF(AND(ISNUMBER(H32),ISNUMBER(I32),ISNUMBER(M32)),IF(AND(H32&gt;I32,M32&gt;0),(H32-I32)*M32,""),"")</f>
        <v/>
      </c>
      <c r="O32" s="20" t="str">
        <f>IF(ISNUMBER(N32),IF(ISNUMBER(E32),(H32-ROUND(ROUND(I32*(1-E32),4),2))*M32,"不设限"),"")</f>
        <v/>
      </c>
      <c r="P32" s="32" t="n"/>
      <c r="Q32" s="27" t="n"/>
      <c r="R32" s="42" t="str">
        <f>IF(N(T32)&gt;0,SUMPRODUCT(LARGE(('成交明细'!$A$5:$A$804=A32)*('成交明细'!$C$5:$C$804="买")*'成交明细'!$B$5:$B$804,COUNTIFS('成交明细'!$A$5:$A$804,A32,'成交明细'!$C$5:$C$804,"买"))),"")</f>
        <v/>
      </c>
      <c r="S32" s="42" t="str">
        <f>IF(AND(N(T32)&gt;0,N(V32)&gt;=N(T32)),SUMPRODUCT(MAX(('成交明细'!$A$5:$A$804=A32)*('成交明细'!$C$5:$C$804="卖")*'成交明细'!$B$5:$B$804)),"")</f>
        <v/>
      </c>
      <c r="T32" s="44" t="str">
        <f>IF(A32="","",SUMIFS('成交明细'!$E$5:$E$804,'成交明细'!$A$5:$A$804,A32,'成交明细'!$C$5:$C$804,"买"))</f>
        <v/>
      </c>
      <c r="U32" s="50" t="str">
        <f>IF(N(T32)&gt;0,SUMIFS('成交明细'!$F$5:$F$804,'成交明细'!$A$5:$A$804,A32,'成交明细'!$C$5:$C$804,"买")/T32,"")</f>
        <v/>
      </c>
      <c r="V32" s="44" t="str">
        <f>IF(A32="","",SUMIFS('成交明细'!$E$5:$E$804,'成交明细'!$A$5:$A$804,A32,'成交明细'!$C$5:$C$804,"卖"))</f>
        <v/>
      </c>
      <c r="W32" s="50" t="str">
        <f>IF(N(V32)&gt;0,SUMIFS('成交明细'!$F$5:$F$804,'成交明细'!$A$5:$A$804,A32,'成交明细'!$C$5:$C$804,"卖")/V32,"")</f>
        <v/>
      </c>
      <c r="X32" s="36" t="str">
        <f>IF(A32="","",IF(Q32&lt;&gt;"已执行",IF(Q32="","未填执行情况",Q32),IF(N(T32)=0,"待录成交",IF(N(V32)&gt;N(T32),"卖出多于买入",IF(N(V32)&lt;N(T32),"持仓中","已平仓")))))</f>
        <v/>
      </c>
      <c r="Y32" s="51" t="str">
        <f>IF(N(T32)=0,"",SUMIFS('成交明细'!$K$5:$K$804,'成交明细'!$A$5:$A$804,A32))</f>
        <v/>
      </c>
      <c r="Z32" s="52" t="str">
        <f>IF(X32&lt;&gt;"已平仓","",SUMIFS('成交明细'!$F$5:$F$804,'成交明细'!$A$5:$A$804,A32,'成交明细'!$C$5:$C$804,"卖")-SUMIFS('成交明细'!$F$5:$F$804,'成交明细'!$A$5:$A$804,A32,'成交明细'!$C$5:$C$804,"买")-Y32)</f>
        <v/>
      </c>
      <c r="AA32" s="53" t="str">
        <f>IF(AND(X32="已平仓",ISNUMBER(N32)),(Z32+Y32)/N32,"")</f>
        <v/>
      </c>
      <c r="AB32" s="53" t="str">
        <f>IF(AND(X32="已平仓",ISNUMBER(N32)),Z32/N32,"")</f>
        <v/>
      </c>
      <c r="AC32" s="54" t="str">
        <f>IF(AND(ISNUMBER(U32),ISNUMBER(H32)),U32-H32,"")</f>
        <v/>
      </c>
      <c r="AD32" s="27" t="n"/>
      <c r="AE32" s="27" t="n"/>
      <c r="AF32" s="32" t="n"/>
      <c r="AG32" s="53" t="str">
        <f>IF(A32="","",SUM(AB$5:AB32))</f>
        <v/>
      </c>
      <c r="AH32" s="55" t="str">
        <f>IF(A32="","",MAX(0,MAX(AG$5:AG32))-AG32)</f>
        <v/>
      </c>
    </row>
    <row r="33">
      <c r="A33" s="46" t="n"/>
      <c r="B33" s="31" t="n"/>
      <c r="C33" s="32" t="n"/>
      <c r="D33" s="27" t="n"/>
      <c r="E33" s="47" t="str">
        <f>IF(D33="","",IFERROR(VLOOKUP(D33,'参数'!$B$21:$C$26,2,FALSE),""))</f>
        <v/>
      </c>
      <c r="F33" s="27" t="n"/>
      <c r="G33" s="43" t="str">
        <f>IF(NOT(ISNUMBER(B33)),"",IFERROR(IF(B33-INDEX('每日复盘'!$A$5:$A$264,MATCH(B33-1,'每日复盘'!$A$5:$A$264,1))&gt;7,"",T(INDEX('每日复盘'!$AA$5:$AA$264,MATCH(B33-1,'每日复盘'!$A$5:$A$264,1)))),""))</f>
        <v/>
      </c>
      <c r="H33" s="48" t="n"/>
      <c r="I33" s="48" t="n"/>
      <c r="J33" s="48" t="n"/>
      <c r="K33" s="49" t="str">
        <f>IF(AND(ISNUMBER(H33),ISNUMBER(I33),ISNUMBER(J33)),IF(H33&gt;I33,(J33-H33)/(H33-I33),""),"")</f>
        <v/>
      </c>
      <c r="L33" s="44" t="str">
        <f>IF(AND(ISNUMBER(H33),ISNUMBER(I33)),IF(H33&gt;I33,MIN(INT(ROUND('参数'!$C$7/(H33-I33)/100,6))*100,IF(ISNUMBER(E33),IF(H33-ROUND(ROUND(I33*(1-E33),4),2)&gt;0,INT(ROUND('参数'!$C$8/(H33-ROUND(ROUND(I33*(1-E33),4),2))/100,6))*100,0),INT(ROUND('参数'!$C$7/(H33-I33)/100,6))*100)),""),"")</f>
        <v/>
      </c>
      <c r="M33" s="17" t="n"/>
      <c r="N33" s="20" t="str">
        <f>IF(AND(ISNUMBER(H33),ISNUMBER(I33),ISNUMBER(M33)),IF(AND(H33&gt;I33,M33&gt;0),(H33-I33)*M33,""),"")</f>
        <v/>
      </c>
      <c r="O33" s="20" t="str">
        <f>IF(ISNUMBER(N33),IF(ISNUMBER(E33),(H33-ROUND(ROUND(I33*(1-E33),4),2))*M33,"不设限"),"")</f>
        <v/>
      </c>
      <c r="P33" s="32" t="n"/>
      <c r="Q33" s="27" t="n"/>
      <c r="R33" s="42" t="str">
        <f>IF(N(T33)&gt;0,SUMPRODUCT(LARGE(('成交明细'!$A$5:$A$804=A33)*('成交明细'!$C$5:$C$804="买")*'成交明细'!$B$5:$B$804,COUNTIFS('成交明细'!$A$5:$A$804,A33,'成交明细'!$C$5:$C$804,"买"))),"")</f>
        <v/>
      </c>
      <c r="S33" s="42" t="str">
        <f>IF(AND(N(T33)&gt;0,N(V33)&gt;=N(T33)),SUMPRODUCT(MAX(('成交明细'!$A$5:$A$804=A33)*('成交明细'!$C$5:$C$804="卖")*'成交明细'!$B$5:$B$804)),"")</f>
        <v/>
      </c>
      <c r="T33" s="44" t="str">
        <f>IF(A33="","",SUMIFS('成交明细'!$E$5:$E$804,'成交明细'!$A$5:$A$804,A33,'成交明细'!$C$5:$C$804,"买"))</f>
        <v/>
      </c>
      <c r="U33" s="50" t="str">
        <f>IF(N(T33)&gt;0,SUMIFS('成交明细'!$F$5:$F$804,'成交明细'!$A$5:$A$804,A33,'成交明细'!$C$5:$C$804,"买")/T33,"")</f>
        <v/>
      </c>
      <c r="V33" s="44" t="str">
        <f>IF(A33="","",SUMIFS('成交明细'!$E$5:$E$804,'成交明细'!$A$5:$A$804,A33,'成交明细'!$C$5:$C$804,"卖"))</f>
        <v/>
      </c>
      <c r="W33" s="50" t="str">
        <f>IF(N(V33)&gt;0,SUMIFS('成交明细'!$F$5:$F$804,'成交明细'!$A$5:$A$804,A33,'成交明细'!$C$5:$C$804,"卖")/V33,"")</f>
        <v/>
      </c>
      <c r="X33" s="36" t="str">
        <f>IF(A33="","",IF(Q33&lt;&gt;"已执行",IF(Q33="","未填执行情况",Q33),IF(N(T33)=0,"待录成交",IF(N(V33)&gt;N(T33),"卖出多于买入",IF(N(V33)&lt;N(T33),"持仓中","已平仓")))))</f>
        <v/>
      </c>
      <c r="Y33" s="51" t="str">
        <f>IF(N(T33)=0,"",SUMIFS('成交明细'!$K$5:$K$804,'成交明细'!$A$5:$A$804,A33))</f>
        <v/>
      </c>
      <c r="Z33" s="52" t="str">
        <f>IF(X33&lt;&gt;"已平仓","",SUMIFS('成交明细'!$F$5:$F$804,'成交明细'!$A$5:$A$804,A33,'成交明细'!$C$5:$C$804,"卖")-SUMIFS('成交明细'!$F$5:$F$804,'成交明细'!$A$5:$A$804,A33,'成交明细'!$C$5:$C$804,"买")-Y33)</f>
        <v/>
      </c>
      <c r="AA33" s="53" t="str">
        <f>IF(AND(X33="已平仓",ISNUMBER(N33)),(Z33+Y33)/N33,"")</f>
        <v/>
      </c>
      <c r="AB33" s="53" t="str">
        <f>IF(AND(X33="已平仓",ISNUMBER(N33)),Z33/N33,"")</f>
        <v/>
      </c>
      <c r="AC33" s="54" t="str">
        <f>IF(AND(ISNUMBER(U33),ISNUMBER(H33)),U33-H33,"")</f>
        <v/>
      </c>
      <c r="AD33" s="27" t="n"/>
      <c r="AE33" s="27" t="n"/>
      <c r="AF33" s="32" t="n"/>
      <c r="AG33" s="53" t="str">
        <f>IF(A33="","",SUM(AB$5:AB33))</f>
        <v/>
      </c>
      <c r="AH33" s="55" t="str">
        <f>IF(A33="","",MAX(0,MAX(AG$5:AG33))-AG33)</f>
        <v/>
      </c>
    </row>
    <row r="34">
      <c r="A34" s="46" t="n"/>
      <c r="B34" s="31" t="n"/>
      <c r="C34" s="32" t="n"/>
      <c r="D34" s="27" t="n"/>
      <c r="E34" s="47" t="str">
        <f>IF(D34="","",IFERROR(VLOOKUP(D34,'参数'!$B$21:$C$26,2,FALSE),""))</f>
        <v/>
      </c>
      <c r="F34" s="27" t="n"/>
      <c r="G34" s="43" t="str">
        <f>IF(NOT(ISNUMBER(B34)),"",IFERROR(IF(B34-INDEX('每日复盘'!$A$5:$A$264,MATCH(B34-1,'每日复盘'!$A$5:$A$264,1))&gt;7,"",T(INDEX('每日复盘'!$AA$5:$AA$264,MATCH(B34-1,'每日复盘'!$A$5:$A$264,1)))),""))</f>
        <v/>
      </c>
      <c r="H34" s="48" t="n"/>
      <c r="I34" s="48" t="n"/>
      <c r="J34" s="48" t="n"/>
      <c r="K34" s="49" t="str">
        <f>IF(AND(ISNUMBER(H34),ISNUMBER(I34),ISNUMBER(J34)),IF(H34&gt;I34,(J34-H34)/(H34-I34),""),"")</f>
        <v/>
      </c>
      <c r="L34" s="44" t="str">
        <f>IF(AND(ISNUMBER(H34),ISNUMBER(I34)),IF(H34&gt;I34,MIN(INT(ROUND('参数'!$C$7/(H34-I34)/100,6))*100,IF(ISNUMBER(E34),IF(H34-ROUND(ROUND(I34*(1-E34),4),2)&gt;0,INT(ROUND('参数'!$C$8/(H34-ROUND(ROUND(I34*(1-E34),4),2))/100,6))*100,0),INT(ROUND('参数'!$C$7/(H34-I34)/100,6))*100)),""),"")</f>
        <v/>
      </c>
      <c r="M34" s="17" t="n"/>
      <c r="N34" s="20" t="str">
        <f>IF(AND(ISNUMBER(H34),ISNUMBER(I34),ISNUMBER(M34)),IF(AND(H34&gt;I34,M34&gt;0),(H34-I34)*M34,""),"")</f>
        <v/>
      </c>
      <c r="O34" s="20" t="str">
        <f>IF(ISNUMBER(N34),IF(ISNUMBER(E34),(H34-ROUND(ROUND(I34*(1-E34),4),2))*M34,"不设限"),"")</f>
        <v/>
      </c>
      <c r="P34" s="32" t="n"/>
      <c r="Q34" s="27" t="n"/>
      <c r="R34" s="42" t="str">
        <f>IF(N(T34)&gt;0,SUMPRODUCT(LARGE(('成交明细'!$A$5:$A$804=A34)*('成交明细'!$C$5:$C$804="买")*'成交明细'!$B$5:$B$804,COUNTIFS('成交明细'!$A$5:$A$804,A34,'成交明细'!$C$5:$C$804,"买"))),"")</f>
        <v/>
      </c>
      <c r="S34" s="42" t="str">
        <f>IF(AND(N(T34)&gt;0,N(V34)&gt;=N(T34)),SUMPRODUCT(MAX(('成交明细'!$A$5:$A$804=A34)*('成交明细'!$C$5:$C$804="卖")*'成交明细'!$B$5:$B$804)),"")</f>
        <v/>
      </c>
      <c r="T34" s="44" t="str">
        <f>IF(A34="","",SUMIFS('成交明细'!$E$5:$E$804,'成交明细'!$A$5:$A$804,A34,'成交明细'!$C$5:$C$804,"买"))</f>
        <v/>
      </c>
      <c r="U34" s="50" t="str">
        <f>IF(N(T34)&gt;0,SUMIFS('成交明细'!$F$5:$F$804,'成交明细'!$A$5:$A$804,A34,'成交明细'!$C$5:$C$804,"买")/T34,"")</f>
        <v/>
      </c>
      <c r="V34" s="44" t="str">
        <f>IF(A34="","",SUMIFS('成交明细'!$E$5:$E$804,'成交明细'!$A$5:$A$804,A34,'成交明细'!$C$5:$C$804,"卖"))</f>
        <v/>
      </c>
      <c r="W34" s="50" t="str">
        <f>IF(N(V34)&gt;0,SUMIFS('成交明细'!$F$5:$F$804,'成交明细'!$A$5:$A$804,A34,'成交明细'!$C$5:$C$804,"卖")/V34,"")</f>
        <v/>
      </c>
      <c r="X34" s="36" t="str">
        <f>IF(A34="","",IF(Q34&lt;&gt;"已执行",IF(Q34="","未填执行情况",Q34),IF(N(T34)=0,"待录成交",IF(N(V34)&gt;N(T34),"卖出多于买入",IF(N(V34)&lt;N(T34),"持仓中","已平仓")))))</f>
        <v/>
      </c>
      <c r="Y34" s="51" t="str">
        <f>IF(N(T34)=0,"",SUMIFS('成交明细'!$K$5:$K$804,'成交明细'!$A$5:$A$804,A34))</f>
        <v/>
      </c>
      <c r="Z34" s="52" t="str">
        <f>IF(X34&lt;&gt;"已平仓","",SUMIFS('成交明细'!$F$5:$F$804,'成交明细'!$A$5:$A$804,A34,'成交明细'!$C$5:$C$804,"卖")-SUMIFS('成交明细'!$F$5:$F$804,'成交明细'!$A$5:$A$804,A34,'成交明细'!$C$5:$C$804,"买")-Y34)</f>
        <v/>
      </c>
      <c r="AA34" s="53" t="str">
        <f>IF(AND(X34="已平仓",ISNUMBER(N34)),(Z34+Y34)/N34,"")</f>
        <v/>
      </c>
      <c r="AB34" s="53" t="str">
        <f>IF(AND(X34="已平仓",ISNUMBER(N34)),Z34/N34,"")</f>
        <v/>
      </c>
      <c r="AC34" s="54" t="str">
        <f>IF(AND(ISNUMBER(U34),ISNUMBER(H34)),U34-H34,"")</f>
        <v/>
      </c>
      <c r="AD34" s="27" t="n"/>
      <c r="AE34" s="27" t="n"/>
      <c r="AF34" s="32" t="n"/>
      <c r="AG34" s="53" t="str">
        <f>IF(A34="","",SUM(AB$5:AB34))</f>
        <v/>
      </c>
      <c r="AH34" s="55" t="str">
        <f>IF(A34="","",MAX(0,MAX(AG$5:AG34))-AG34)</f>
        <v/>
      </c>
    </row>
    <row r="35">
      <c r="A35" s="46" t="n"/>
      <c r="B35" s="31" t="n"/>
      <c r="C35" s="32" t="n"/>
      <c r="D35" s="27" t="n"/>
      <c r="E35" s="47" t="str">
        <f>IF(D35="","",IFERROR(VLOOKUP(D35,'参数'!$B$21:$C$26,2,FALSE),""))</f>
        <v/>
      </c>
      <c r="F35" s="27" t="n"/>
      <c r="G35" s="43" t="str">
        <f>IF(NOT(ISNUMBER(B35)),"",IFERROR(IF(B35-INDEX('每日复盘'!$A$5:$A$264,MATCH(B35-1,'每日复盘'!$A$5:$A$264,1))&gt;7,"",T(INDEX('每日复盘'!$AA$5:$AA$264,MATCH(B35-1,'每日复盘'!$A$5:$A$264,1)))),""))</f>
        <v/>
      </c>
      <c r="H35" s="48" t="n"/>
      <c r="I35" s="48" t="n"/>
      <c r="J35" s="48" t="n"/>
      <c r="K35" s="49" t="str">
        <f>IF(AND(ISNUMBER(H35),ISNUMBER(I35),ISNUMBER(J35)),IF(H35&gt;I35,(J35-H35)/(H35-I35),""),"")</f>
        <v/>
      </c>
      <c r="L35" s="44" t="str">
        <f>IF(AND(ISNUMBER(H35),ISNUMBER(I35)),IF(H35&gt;I35,MIN(INT(ROUND('参数'!$C$7/(H35-I35)/100,6))*100,IF(ISNUMBER(E35),IF(H35-ROUND(ROUND(I35*(1-E35),4),2)&gt;0,INT(ROUND('参数'!$C$8/(H35-ROUND(ROUND(I35*(1-E35),4),2))/100,6))*100,0),INT(ROUND('参数'!$C$7/(H35-I35)/100,6))*100)),""),"")</f>
        <v/>
      </c>
      <c r="M35" s="17" t="n"/>
      <c r="N35" s="20" t="str">
        <f>IF(AND(ISNUMBER(H35),ISNUMBER(I35),ISNUMBER(M35)),IF(AND(H35&gt;I35,M35&gt;0),(H35-I35)*M35,""),"")</f>
        <v/>
      </c>
      <c r="O35" s="20" t="str">
        <f>IF(ISNUMBER(N35),IF(ISNUMBER(E35),(H35-ROUND(ROUND(I35*(1-E35),4),2))*M35,"不设限"),"")</f>
        <v/>
      </c>
      <c r="P35" s="32" t="n"/>
      <c r="Q35" s="27" t="n"/>
      <c r="R35" s="42" t="str">
        <f>IF(N(T35)&gt;0,SUMPRODUCT(LARGE(('成交明细'!$A$5:$A$804=A35)*('成交明细'!$C$5:$C$804="买")*'成交明细'!$B$5:$B$804,COUNTIFS('成交明细'!$A$5:$A$804,A35,'成交明细'!$C$5:$C$804,"买"))),"")</f>
        <v/>
      </c>
      <c r="S35" s="42" t="str">
        <f>IF(AND(N(T35)&gt;0,N(V35)&gt;=N(T35)),SUMPRODUCT(MAX(('成交明细'!$A$5:$A$804=A35)*('成交明细'!$C$5:$C$804="卖")*'成交明细'!$B$5:$B$804)),"")</f>
        <v/>
      </c>
      <c r="T35" s="44" t="str">
        <f>IF(A35="","",SUMIFS('成交明细'!$E$5:$E$804,'成交明细'!$A$5:$A$804,A35,'成交明细'!$C$5:$C$804,"买"))</f>
        <v/>
      </c>
      <c r="U35" s="50" t="str">
        <f>IF(N(T35)&gt;0,SUMIFS('成交明细'!$F$5:$F$804,'成交明细'!$A$5:$A$804,A35,'成交明细'!$C$5:$C$804,"买")/T35,"")</f>
        <v/>
      </c>
      <c r="V35" s="44" t="str">
        <f>IF(A35="","",SUMIFS('成交明细'!$E$5:$E$804,'成交明细'!$A$5:$A$804,A35,'成交明细'!$C$5:$C$804,"卖"))</f>
        <v/>
      </c>
      <c r="W35" s="50" t="str">
        <f>IF(N(V35)&gt;0,SUMIFS('成交明细'!$F$5:$F$804,'成交明细'!$A$5:$A$804,A35,'成交明细'!$C$5:$C$804,"卖")/V35,"")</f>
        <v/>
      </c>
      <c r="X35" s="36" t="str">
        <f>IF(A35="","",IF(Q35&lt;&gt;"已执行",IF(Q35="","未填执行情况",Q35),IF(N(T35)=0,"待录成交",IF(N(V35)&gt;N(T35),"卖出多于买入",IF(N(V35)&lt;N(T35),"持仓中","已平仓")))))</f>
        <v/>
      </c>
      <c r="Y35" s="51" t="str">
        <f>IF(N(T35)=0,"",SUMIFS('成交明细'!$K$5:$K$804,'成交明细'!$A$5:$A$804,A35))</f>
        <v/>
      </c>
      <c r="Z35" s="52" t="str">
        <f>IF(X35&lt;&gt;"已平仓","",SUMIFS('成交明细'!$F$5:$F$804,'成交明细'!$A$5:$A$804,A35,'成交明细'!$C$5:$C$804,"卖")-SUMIFS('成交明细'!$F$5:$F$804,'成交明细'!$A$5:$A$804,A35,'成交明细'!$C$5:$C$804,"买")-Y35)</f>
        <v/>
      </c>
      <c r="AA35" s="53" t="str">
        <f>IF(AND(X35="已平仓",ISNUMBER(N35)),(Z35+Y35)/N35,"")</f>
        <v/>
      </c>
      <c r="AB35" s="53" t="str">
        <f>IF(AND(X35="已平仓",ISNUMBER(N35)),Z35/N35,"")</f>
        <v/>
      </c>
      <c r="AC35" s="54" t="str">
        <f>IF(AND(ISNUMBER(U35),ISNUMBER(H35)),U35-H35,"")</f>
        <v/>
      </c>
      <c r="AD35" s="27" t="n"/>
      <c r="AE35" s="27" t="n"/>
      <c r="AF35" s="32" t="n"/>
      <c r="AG35" s="53" t="str">
        <f>IF(A35="","",SUM(AB$5:AB35))</f>
        <v/>
      </c>
      <c r="AH35" s="55" t="str">
        <f>IF(A35="","",MAX(0,MAX(AG$5:AG35))-AG35)</f>
        <v/>
      </c>
    </row>
    <row r="36">
      <c r="A36" s="46" t="n"/>
      <c r="B36" s="31" t="n"/>
      <c r="C36" s="32" t="n"/>
      <c r="D36" s="27" t="n"/>
      <c r="E36" s="47" t="str">
        <f>IF(D36="","",IFERROR(VLOOKUP(D36,'参数'!$B$21:$C$26,2,FALSE),""))</f>
        <v/>
      </c>
      <c r="F36" s="27" t="n"/>
      <c r="G36" s="43" t="str">
        <f>IF(NOT(ISNUMBER(B36)),"",IFERROR(IF(B36-INDEX('每日复盘'!$A$5:$A$264,MATCH(B36-1,'每日复盘'!$A$5:$A$264,1))&gt;7,"",T(INDEX('每日复盘'!$AA$5:$AA$264,MATCH(B36-1,'每日复盘'!$A$5:$A$264,1)))),""))</f>
        <v/>
      </c>
      <c r="H36" s="48" t="n"/>
      <c r="I36" s="48" t="n"/>
      <c r="J36" s="48" t="n"/>
      <c r="K36" s="49" t="str">
        <f>IF(AND(ISNUMBER(H36),ISNUMBER(I36),ISNUMBER(J36)),IF(H36&gt;I36,(J36-H36)/(H36-I36),""),"")</f>
        <v/>
      </c>
      <c r="L36" s="44" t="str">
        <f>IF(AND(ISNUMBER(H36),ISNUMBER(I36)),IF(H36&gt;I36,MIN(INT(ROUND('参数'!$C$7/(H36-I36)/100,6))*100,IF(ISNUMBER(E36),IF(H36-ROUND(ROUND(I36*(1-E36),4),2)&gt;0,INT(ROUND('参数'!$C$8/(H36-ROUND(ROUND(I36*(1-E36),4),2))/100,6))*100,0),INT(ROUND('参数'!$C$7/(H36-I36)/100,6))*100)),""),"")</f>
        <v/>
      </c>
      <c r="M36" s="17" t="n"/>
      <c r="N36" s="20" t="str">
        <f>IF(AND(ISNUMBER(H36),ISNUMBER(I36),ISNUMBER(M36)),IF(AND(H36&gt;I36,M36&gt;0),(H36-I36)*M36,""),"")</f>
        <v/>
      </c>
      <c r="O36" s="20" t="str">
        <f>IF(ISNUMBER(N36),IF(ISNUMBER(E36),(H36-ROUND(ROUND(I36*(1-E36),4),2))*M36,"不设限"),"")</f>
        <v/>
      </c>
      <c r="P36" s="32" t="n"/>
      <c r="Q36" s="27" t="n"/>
      <c r="R36" s="42" t="str">
        <f>IF(N(T36)&gt;0,SUMPRODUCT(LARGE(('成交明细'!$A$5:$A$804=A36)*('成交明细'!$C$5:$C$804="买")*'成交明细'!$B$5:$B$804,COUNTIFS('成交明细'!$A$5:$A$804,A36,'成交明细'!$C$5:$C$804,"买"))),"")</f>
        <v/>
      </c>
      <c r="S36" s="42" t="str">
        <f>IF(AND(N(T36)&gt;0,N(V36)&gt;=N(T36)),SUMPRODUCT(MAX(('成交明细'!$A$5:$A$804=A36)*('成交明细'!$C$5:$C$804="卖")*'成交明细'!$B$5:$B$804)),"")</f>
        <v/>
      </c>
      <c r="T36" s="44" t="str">
        <f>IF(A36="","",SUMIFS('成交明细'!$E$5:$E$804,'成交明细'!$A$5:$A$804,A36,'成交明细'!$C$5:$C$804,"买"))</f>
        <v/>
      </c>
      <c r="U36" s="50" t="str">
        <f>IF(N(T36)&gt;0,SUMIFS('成交明细'!$F$5:$F$804,'成交明细'!$A$5:$A$804,A36,'成交明细'!$C$5:$C$804,"买")/T36,"")</f>
        <v/>
      </c>
      <c r="V36" s="44" t="str">
        <f>IF(A36="","",SUMIFS('成交明细'!$E$5:$E$804,'成交明细'!$A$5:$A$804,A36,'成交明细'!$C$5:$C$804,"卖"))</f>
        <v/>
      </c>
      <c r="W36" s="50" t="str">
        <f>IF(N(V36)&gt;0,SUMIFS('成交明细'!$F$5:$F$804,'成交明细'!$A$5:$A$804,A36,'成交明细'!$C$5:$C$804,"卖")/V36,"")</f>
        <v/>
      </c>
      <c r="X36" s="36" t="str">
        <f>IF(A36="","",IF(Q36&lt;&gt;"已执行",IF(Q36="","未填执行情况",Q36),IF(N(T36)=0,"待录成交",IF(N(V36)&gt;N(T36),"卖出多于买入",IF(N(V36)&lt;N(T36),"持仓中","已平仓")))))</f>
        <v/>
      </c>
      <c r="Y36" s="51" t="str">
        <f>IF(N(T36)=0,"",SUMIFS('成交明细'!$K$5:$K$804,'成交明细'!$A$5:$A$804,A36))</f>
        <v/>
      </c>
      <c r="Z36" s="52" t="str">
        <f>IF(X36&lt;&gt;"已平仓","",SUMIFS('成交明细'!$F$5:$F$804,'成交明细'!$A$5:$A$804,A36,'成交明细'!$C$5:$C$804,"卖")-SUMIFS('成交明细'!$F$5:$F$804,'成交明细'!$A$5:$A$804,A36,'成交明细'!$C$5:$C$804,"买")-Y36)</f>
        <v/>
      </c>
      <c r="AA36" s="53" t="str">
        <f>IF(AND(X36="已平仓",ISNUMBER(N36)),(Z36+Y36)/N36,"")</f>
        <v/>
      </c>
      <c r="AB36" s="53" t="str">
        <f>IF(AND(X36="已平仓",ISNUMBER(N36)),Z36/N36,"")</f>
        <v/>
      </c>
      <c r="AC36" s="54" t="str">
        <f>IF(AND(ISNUMBER(U36),ISNUMBER(H36)),U36-H36,"")</f>
        <v/>
      </c>
      <c r="AD36" s="27" t="n"/>
      <c r="AE36" s="27" t="n"/>
      <c r="AF36" s="32" t="n"/>
      <c r="AG36" s="53" t="str">
        <f>IF(A36="","",SUM(AB$5:AB36))</f>
        <v/>
      </c>
      <c r="AH36" s="55" t="str">
        <f>IF(A36="","",MAX(0,MAX(AG$5:AG36))-AG36)</f>
        <v/>
      </c>
    </row>
    <row r="37">
      <c r="A37" s="46" t="n"/>
      <c r="B37" s="31" t="n"/>
      <c r="C37" s="32" t="n"/>
      <c r="D37" s="27" t="n"/>
      <c r="E37" s="47" t="str">
        <f>IF(D37="","",IFERROR(VLOOKUP(D37,'参数'!$B$21:$C$26,2,FALSE),""))</f>
        <v/>
      </c>
      <c r="F37" s="27" t="n"/>
      <c r="G37" s="43" t="str">
        <f>IF(NOT(ISNUMBER(B37)),"",IFERROR(IF(B37-INDEX('每日复盘'!$A$5:$A$264,MATCH(B37-1,'每日复盘'!$A$5:$A$264,1))&gt;7,"",T(INDEX('每日复盘'!$AA$5:$AA$264,MATCH(B37-1,'每日复盘'!$A$5:$A$264,1)))),""))</f>
        <v/>
      </c>
      <c r="H37" s="48" t="n"/>
      <c r="I37" s="48" t="n"/>
      <c r="J37" s="48" t="n"/>
      <c r="K37" s="49" t="str">
        <f>IF(AND(ISNUMBER(H37),ISNUMBER(I37),ISNUMBER(J37)),IF(H37&gt;I37,(J37-H37)/(H37-I37),""),"")</f>
        <v/>
      </c>
      <c r="L37" s="44" t="str">
        <f>IF(AND(ISNUMBER(H37),ISNUMBER(I37)),IF(H37&gt;I37,MIN(INT(ROUND('参数'!$C$7/(H37-I37)/100,6))*100,IF(ISNUMBER(E37),IF(H37-ROUND(ROUND(I37*(1-E37),4),2)&gt;0,INT(ROUND('参数'!$C$8/(H37-ROUND(ROUND(I37*(1-E37),4),2))/100,6))*100,0),INT(ROUND('参数'!$C$7/(H37-I37)/100,6))*100)),""),"")</f>
        <v/>
      </c>
      <c r="M37" s="17" t="n"/>
      <c r="N37" s="20" t="str">
        <f>IF(AND(ISNUMBER(H37),ISNUMBER(I37),ISNUMBER(M37)),IF(AND(H37&gt;I37,M37&gt;0),(H37-I37)*M37,""),"")</f>
        <v/>
      </c>
      <c r="O37" s="20" t="str">
        <f>IF(ISNUMBER(N37),IF(ISNUMBER(E37),(H37-ROUND(ROUND(I37*(1-E37),4),2))*M37,"不设限"),"")</f>
        <v/>
      </c>
      <c r="P37" s="32" t="n"/>
      <c r="Q37" s="27" t="n"/>
      <c r="R37" s="42" t="str">
        <f>IF(N(T37)&gt;0,SUMPRODUCT(LARGE(('成交明细'!$A$5:$A$804=A37)*('成交明细'!$C$5:$C$804="买")*'成交明细'!$B$5:$B$804,COUNTIFS('成交明细'!$A$5:$A$804,A37,'成交明细'!$C$5:$C$804,"买"))),"")</f>
        <v/>
      </c>
      <c r="S37" s="42" t="str">
        <f>IF(AND(N(T37)&gt;0,N(V37)&gt;=N(T37)),SUMPRODUCT(MAX(('成交明细'!$A$5:$A$804=A37)*('成交明细'!$C$5:$C$804="卖")*'成交明细'!$B$5:$B$804)),"")</f>
        <v/>
      </c>
      <c r="T37" s="44" t="str">
        <f>IF(A37="","",SUMIFS('成交明细'!$E$5:$E$804,'成交明细'!$A$5:$A$804,A37,'成交明细'!$C$5:$C$804,"买"))</f>
        <v/>
      </c>
      <c r="U37" s="50" t="str">
        <f>IF(N(T37)&gt;0,SUMIFS('成交明细'!$F$5:$F$804,'成交明细'!$A$5:$A$804,A37,'成交明细'!$C$5:$C$804,"买")/T37,"")</f>
        <v/>
      </c>
      <c r="V37" s="44" t="str">
        <f>IF(A37="","",SUMIFS('成交明细'!$E$5:$E$804,'成交明细'!$A$5:$A$804,A37,'成交明细'!$C$5:$C$804,"卖"))</f>
        <v/>
      </c>
      <c r="W37" s="50" t="str">
        <f>IF(N(V37)&gt;0,SUMIFS('成交明细'!$F$5:$F$804,'成交明细'!$A$5:$A$804,A37,'成交明细'!$C$5:$C$804,"卖")/V37,"")</f>
        <v/>
      </c>
      <c r="X37" s="36" t="str">
        <f>IF(A37="","",IF(Q37&lt;&gt;"已执行",IF(Q37="","未填执行情况",Q37),IF(N(T37)=0,"待录成交",IF(N(V37)&gt;N(T37),"卖出多于买入",IF(N(V37)&lt;N(T37),"持仓中","已平仓")))))</f>
        <v/>
      </c>
      <c r="Y37" s="51" t="str">
        <f>IF(N(T37)=0,"",SUMIFS('成交明细'!$K$5:$K$804,'成交明细'!$A$5:$A$804,A37))</f>
        <v/>
      </c>
      <c r="Z37" s="52" t="str">
        <f>IF(X37&lt;&gt;"已平仓","",SUMIFS('成交明细'!$F$5:$F$804,'成交明细'!$A$5:$A$804,A37,'成交明细'!$C$5:$C$804,"卖")-SUMIFS('成交明细'!$F$5:$F$804,'成交明细'!$A$5:$A$804,A37,'成交明细'!$C$5:$C$804,"买")-Y37)</f>
        <v/>
      </c>
      <c r="AA37" s="53" t="str">
        <f>IF(AND(X37="已平仓",ISNUMBER(N37)),(Z37+Y37)/N37,"")</f>
        <v/>
      </c>
      <c r="AB37" s="53" t="str">
        <f>IF(AND(X37="已平仓",ISNUMBER(N37)),Z37/N37,"")</f>
        <v/>
      </c>
      <c r="AC37" s="54" t="str">
        <f>IF(AND(ISNUMBER(U37),ISNUMBER(H37)),U37-H37,"")</f>
        <v/>
      </c>
      <c r="AD37" s="27" t="n"/>
      <c r="AE37" s="27" t="n"/>
      <c r="AF37" s="32" t="n"/>
      <c r="AG37" s="53" t="str">
        <f>IF(A37="","",SUM(AB$5:AB37))</f>
        <v/>
      </c>
      <c r="AH37" s="55" t="str">
        <f>IF(A37="","",MAX(0,MAX(AG$5:AG37))-AG37)</f>
        <v/>
      </c>
    </row>
    <row r="38">
      <c r="A38" s="46" t="n"/>
      <c r="B38" s="31" t="n"/>
      <c r="C38" s="32" t="n"/>
      <c r="D38" s="27" t="n"/>
      <c r="E38" s="47" t="str">
        <f>IF(D38="","",IFERROR(VLOOKUP(D38,'参数'!$B$21:$C$26,2,FALSE),""))</f>
        <v/>
      </c>
      <c r="F38" s="27" t="n"/>
      <c r="G38" s="43" t="str">
        <f>IF(NOT(ISNUMBER(B38)),"",IFERROR(IF(B38-INDEX('每日复盘'!$A$5:$A$264,MATCH(B38-1,'每日复盘'!$A$5:$A$264,1))&gt;7,"",T(INDEX('每日复盘'!$AA$5:$AA$264,MATCH(B38-1,'每日复盘'!$A$5:$A$264,1)))),""))</f>
        <v/>
      </c>
      <c r="H38" s="48" t="n"/>
      <c r="I38" s="48" t="n"/>
      <c r="J38" s="48" t="n"/>
      <c r="K38" s="49" t="str">
        <f>IF(AND(ISNUMBER(H38),ISNUMBER(I38),ISNUMBER(J38)),IF(H38&gt;I38,(J38-H38)/(H38-I38),""),"")</f>
        <v/>
      </c>
      <c r="L38" s="44" t="str">
        <f>IF(AND(ISNUMBER(H38),ISNUMBER(I38)),IF(H38&gt;I38,MIN(INT(ROUND('参数'!$C$7/(H38-I38)/100,6))*100,IF(ISNUMBER(E38),IF(H38-ROUND(ROUND(I38*(1-E38),4),2)&gt;0,INT(ROUND('参数'!$C$8/(H38-ROUND(ROUND(I38*(1-E38),4),2))/100,6))*100,0),INT(ROUND('参数'!$C$7/(H38-I38)/100,6))*100)),""),"")</f>
        <v/>
      </c>
      <c r="M38" s="17" t="n"/>
      <c r="N38" s="20" t="str">
        <f>IF(AND(ISNUMBER(H38),ISNUMBER(I38),ISNUMBER(M38)),IF(AND(H38&gt;I38,M38&gt;0),(H38-I38)*M38,""),"")</f>
        <v/>
      </c>
      <c r="O38" s="20" t="str">
        <f>IF(ISNUMBER(N38),IF(ISNUMBER(E38),(H38-ROUND(ROUND(I38*(1-E38),4),2))*M38,"不设限"),"")</f>
        <v/>
      </c>
      <c r="P38" s="32" t="n"/>
      <c r="Q38" s="27" t="n"/>
      <c r="R38" s="42" t="str">
        <f>IF(N(T38)&gt;0,SUMPRODUCT(LARGE(('成交明细'!$A$5:$A$804=A38)*('成交明细'!$C$5:$C$804="买")*'成交明细'!$B$5:$B$804,COUNTIFS('成交明细'!$A$5:$A$804,A38,'成交明细'!$C$5:$C$804,"买"))),"")</f>
        <v/>
      </c>
      <c r="S38" s="42" t="str">
        <f>IF(AND(N(T38)&gt;0,N(V38)&gt;=N(T38)),SUMPRODUCT(MAX(('成交明细'!$A$5:$A$804=A38)*('成交明细'!$C$5:$C$804="卖")*'成交明细'!$B$5:$B$804)),"")</f>
        <v/>
      </c>
      <c r="T38" s="44" t="str">
        <f>IF(A38="","",SUMIFS('成交明细'!$E$5:$E$804,'成交明细'!$A$5:$A$804,A38,'成交明细'!$C$5:$C$804,"买"))</f>
        <v/>
      </c>
      <c r="U38" s="50" t="str">
        <f>IF(N(T38)&gt;0,SUMIFS('成交明细'!$F$5:$F$804,'成交明细'!$A$5:$A$804,A38,'成交明细'!$C$5:$C$804,"买")/T38,"")</f>
        <v/>
      </c>
      <c r="V38" s="44" t="str">
        <f>IF(A38="","",SUMIFS('成交明细'!$E$5:$E$804,'成交明细'!$A$5:$A$804,A38,'成交明细'!$C$5:$C$804,"卖"))</f>
        <v/>
      </c>
      <c r="W38" s="50" t="str">
        <f>IF(N(V38)&gt;0,SUMIFS('成交明细'!$F$5:$F$804,'成交明细'!$A$5:$A$804,A38,'成交明细'!$C$5:$C$804,"卖")/V38,"")</f>
        <v/>
      </c>
      <c r="X38" s="36" t="str">
        <f>IF(A38="","",IF(Q38&lt;&gt;"已执行",IF(Q38="","未填执行情况",Q38),IF(N(T38)=0,"待录成交",IF(N(V38)&gt;N(T38),"卖出多于买入",IF(N(V38)&lt;N(T38),"持仓中","已平仓")))))</f>
        <v/>
      </c>
      <c r="Y38" s="51" t="str">
        <f>IF(N(T38)=0,"",SUMIFS('成交明细'!$K$5:$K$804,'成交明细'!$A$5:$A$804,A38))</f>
        <v/>
      </c>
      <c r="Z38" s="52" t="str">
        <f>IF(X38&lt;&gt;"已平仓","",SUMIFS('成交明细'!$F$5:$F$804,'成交明细'!$A$5:$A$804,A38,'成交明细'!$C$5:$C$804,"卖")-SUMIFS('成交明细'!$F$5:$F$804,'成交明细'!$A$5:$A$804,A38,'成交明细'!$C$5:$C$804,"买")-Y38)</f>
        <v/>
      </c>
      <c r="AA38" s="53" t="str">
        <f>IF(AND(X38="已平仓",ISNUMBER(N38)),(Z38+Y38)/N38,"")</f>
        <v/>
      </c>
      <c r="AB38" s="53" t="str">
        <f>IF(AND(X38="已平仓",ISNUMBER(N38)),Z38/N38,"")</f>
        <v/>
      </c>
      <c r="AC38" s="54" t="str">
        <f>IF(AND(ISNUMBER(U38),ISNUMBER(H38)),U38-H38,"")</f>
        <v/>
      </c>
      <c r="AD38" s="27" t="n"/>
      <c r="AE38" s="27" t="n"/>
      <c r="AF38" s="32" t="n"/>
      <c r="AG38" s="53" t="str">
        <f>IF(A38="","",SUM(AB$5:AB38))</f>
        <v/>
      </c>
      <c r="AH38" s="55" t="str">
        <f>IF(A38="","",MAX(0,MAX(AG$5:AG38))-AG38)</f>
        <v/>
      </c>
    </row>
    <row r="39">
      <c r="A39" s="46" t="n"/>
      <c r="B39" s="31" t="n"/>
      <c r="C39" s="32" t="n"/>
      <c r="D39" s="27" t="n"/>
      <c r="E39" s="47" t="str">
        <f>IF(D39="","",IFERROR(VLOOKUP(D39,'参数'!$B$21:$C$26,2,FALSE),""))</f>
        <v/>
      </c>
      <c r="F39" s="27" t="n"/>
      <c r="G39" s="43" t="str">
        <f>IF(NOT(ISNUMBER(B39)),"",IFERROR(IF(B39-INDEX('每日复盘'!$A$5:$A$264,MATCH(B39-1,'每日复盘'!$A$5:$A$264,1))&gt;7,"",T(INDEX('每日复盘'!$AA$5:$AA$264,MATCH(B39-1,'每日复盘'!$A$5:$A$264,1)))),""))</f>
        <v/>
      </c>
      <c r="H39" s="48" t="n"/>
      <c r="I39" s="48" t="n"/>
      <c r="J39" s="48" t="n"/>
      <c r="K39" s="49" t="str">
        <f>IF(AND(ISNUMBER(H39),ISNUMBER(I39),ISNUMBER(J39)),IF(H39&gt;I39,(J39-H39)/(H39-I39),""),"")</f>
        <v/>
      </c>
      <c r="L39" s="44" t="str">
        <f>IF(AND(ISNUMBER(H39),ISNUMBER(I39)),IF(H39&gt;I39,MIN(INT(ROUND('参数'!$C$7/(H39-I39)/100,6))*100,IF(ISNUMBER(E39),IF(H39-ROUND(ROUND(I39*(1-E39),4),2)&gt;0,INT(ROUND('参数'!$C$8/(H39-ROUND(ROUND(I39*(1-E39),4),2))/100,6))*100,0),INT(ROUND('参数'!$C$7/(H39-I39)/100,6))*100)),""),"")</f>
        <v/>
      </c>
      <c r="M39" s="17" t="n"/>
      <c r="N39" s="20" t="str">
        <f>IF(AND(ISNUMBER(H39),ISNUMBER(I39),ISNUMBER(M39)),IF(AND(H39&gt;I39,M39&gt;0),(H39-I39)*M39,""),"")</f>
        <v/>
      </c>
      <c r="O39" s="20" t="str">
        <f>IF(ISNUMBER(N39),IF(ISNUMBER(E39),(H39-ROUND(ROUND(I39*(1-E39),4),2))*M39,"不设限"),"")</f>
        <v/>
      </c>
      <c r="P39" s="32" t="n"/>
      <c r="Q39" s="27" t="n"/>
      <c r="R39" s="42" t="str">
        <f>IF(N(T39)&gt;0,SUMPRODUCT(LARGE(('成交明细'!$A$5:$A$804=A39)*('成交明细'!$C$5:$C$804="买")*'成交明细'!$B$5:$B$804,COUNTIFS('成交明细'!$A$5:$A$804,A39,'成交明细'!$C$5:$C$804,"买"))),"")</f>
        <v/>
      </c>
      <c r="S39" s="42" t="str">
        <f>IF(AND(N(T39)&gt;0,N(V39)&gt;=N(T39)),SUMPRODUCT(MAX(('成交明细'!$A$5:$A$804=A39)*('成交明细'!$C$5:$C$804="卖")*'成交明细'!$B$5:$B$804)),"")</f>
        <v/>
      </c>
      <c r="T39" s="44" t="str">
        <f>IF(A39="","",SUMIFS('成交明细'!$E$5:$E$804,'成交明细'!$A$5:$A$804,A39,'成交明细'!$C$5:$C$804,"买"))</f>
        <v/>
      </c>
      <c r="U39" s="50" t="str">
        <f>IF(N(T39)&gt;0,SUMIFS('成交明细'!$F$5:$F$804,'成交明细'!$A$5:$A$804,A39,'成交明细'!$C$5:$C$804,"买")/T39,"")</f>
        <v/>
      </c>
      <c r="V39" s="44" t="str">
        <f>IF(A39="","",SUMIFS('成交明细'!$E$5:$E$804,'成交明细'!$A$5:$A$804,A39,'成交明细'!$C$5:$C$804,"卖"))</f>
        <v/>
      </c>
      <c r="W39" s="50" t="str">
        <f>IF(N(V39)&gt;0,SUMIFS('成交明细'!$F$5:$F$804,'成交明细'!$A$5:$A$804,A39,'成交明细'!$C$5:$C$804,"卖")/V39,"")</f>
        <v/>
      </c>
      <c r="X39" s="36" t="str">
        <f>IF(A39="","",IF(Q39&lt;&gt;"已执行",IF(Q39="","未填执行情况",Q39),IF(N(T39)=0,"待录成交",IF(N(V39)&gt;N(T39),"卖出多于买入",IF(N(V39)&lt;N(T39),"持仓中","已平仓")))))</f>
        <v/>
      </c>
      <c r="Y39" s="51" t="str">
        <f>IF(N(T39)=0,"",SUMIFS('成交明细'!$K$5:$K$804,'成交明细'!$A$5:$A$804,A39))</f>
        <v/>
      </c>
      <c r="Z39" s="52" t="str">
        <f>IF(X39&lt;&gt;"已平仓","",SUMIFS('成交明细'!$F$5:$F$804,'成交明细'!$A$5:$A$804,A39,'成交明细'!$C$5:$C$804,"卖")-SUMIFS('成交明细'!$F$5:$F$804,'成交明细'!$A$5:$A$804,A39,'成交明细'!$C$5:$C$804,"买")-Y39)</f>
        <v/>
      </c>
      <c r="AA39" s="53" t="str">
        <f>IF(AND(X39="已平仓",ISNUMBER(N39)),(Z39+Y39)/N39,"")</f>
        <v/>
      </c>
      <c r="AB39" s="53" t="str">
        <f>IF(AND(X39="已平仓",ISNUMBER(N39)),Z39/N39,"")</f>
        <v/>
      </c>
      <c r="AC39" s="54" t="str">
        <f>IF(AND(ISNUMBER(U39),ISNUMBER(H39)),U39-H39,"")</f>
        <v/>
      </c>
      <c r="AD39" s="27" t="n"/>
      <c r="AE39" s="27" t="n"/>
      <c r="AF39" s="32" t="n"/>
      <c r="AG39" s="53" t="str">
        <f>IF(A39="","",SUM(AB$5:AB39))</f>
        <v/>
      </c>
      <c r="AH39" s="55" t="str">
        <f>IF(A39="","",MAX(0,MAX(AG$5:AG39))-AG39)</f>
        <v/>
      </c>
    </row>
    <row r="40">
      <c r="A40" s="46" t="n"/>
      <c r="B40" s="31" t="n"/>
      <c r="C40" s="32" t="n"/>
      <c r="D40" s="27" t="n"/>
      <c r="E40" s="47" t="str">
        <f>IF(D40="","",IFERROR(VLOOKUP(D40,'参数'!$B$21:$C$26,2,FALSE),""))</f>
        <v/>
      </c>
      <c r="F40" s="27" t="n"/>
      <c r="G40" s="43" t="str">
        <f>IF(NOT(ISNUMBER(B40)),"",IFERROR(IF(B40-INDEX('每日复盘'!$A$5:$A$264,MATCH(B40-1,'每日复盘'!$A$5:$A$264,1))&gt;7,"",T(INDEX('每日复盘'!$AA$5:$AA$264,MATCH(B40-1,'每日复盘'!$A$5:$A$264,1)))),""))</f>
        <v/>
      </c>
      <c r="H40" s="48" t="n"/>
      <c r="I40" s="48" t="n"/>
      <c r="J40" s="48" t="n"/>
      <c r="K40" s="49" t="str">
        <f>IF(AND(ISNUMBER(H40),ISNUMBER(I40),ISNUMBER(J40)),IF(H40&gt;I40,(J40-H40)/(H40-I40),""),"")</f>
        <v/>
      </c>
      <c r="L40" s="44" t="str">
        <f>IF(AND(ISNUMBER(H40),ISNUMBER(I40)),IF(H40&gt;I40,MIN(INT(ROUND('参数'!$C$7/(H40-I40)/100,6))*100,IF(ISNUMBER(E40),IF(H40-ROUND(ROUND(I40*(1-E40),4),2)&gt;0,INT(ROUND('参数'!$C$8/(H40-ROUND(ROUND(I40*(1-E40),4),2))/100,6))*100,0),INT(ROUND('参数'!$C$7/(H40-I40)/100,6))*100)),""),"")</f>
        <v/>
      </c>
      <c r="M40" s="17" t="n"/>
      <c r="N40" s="20" t="str">
        <f>IF(AND(ISNUMBER(H40),ISNUMBER(I40),ISNUMBER(M40)),IF(AND(H40&gt;I40,M40&gt;0),(H40-I40)*M40,""),"")</f>
        <v/>
      </c>
      <c r="O40" s="20" t="str">
        <f>IF(ISNUMBER(N40),IF(ISNUMBER(E40),(H40-ROUND(ROUND(I40*(1-E40),4),2))*M40,"不设限"),"")</f>
        <v/>
      </c>
      <c r="P40" s="32" t="n"/>
      <c r="Q40" s="27" t="n"/>
      <c r="R40" s="42" t="str">
        <f>IF(N(T40)&gt;0,SUMPRODUCT(LARGE(('成交明细'!$A$5:$A$804=A40)*('成交明细'!$C$5:$C$804="买")*'成交明细'!$B$5:$B$804,COUNTIFS('成交明细'!$A$5:$A$804,A40,'成交明细'!$C$5:$C$804,"买"))),"")</f>
        <v/>
      </c>
      <c r="S40" s="42" t="str">
        <f>IF(AND(N(T40)&gt;0,N(V40)&gt;=N(T40)),SUMPRODUCT(MAX(('成交明细'!$A$5:$A$804=A40)*('成交明细'!$C$5:$C$804="卖")*'成交明细'!$B$5:$B$804)),"")</f>
        <v/>
      </c>
      <c r="T40" s="44" t="str">
        <f>IF(A40="","",SUMIFS('成交明细'!$E$5:$E$804,'成交明细'!$A$5:$A$804,A40,'成交明细'!$C$5:$C$804,"买"))</f>
        <v/>
      </c>
      <c r="U40" s="50" t="str">
        <f>IF(N(T40)&gt;0,SUMIFS('成交明细'!$F$5:$F$804,'成交明细'!$A$5:$A$804,A40,'成交明细'!$C$5:$C$804,"买")/T40,"")</f>
        <v/>
      </c>
      <c r="V40" s="44" t="str">
        <f>IF(A40="","",SUMIFS('成交明细'!$E$5:$E$804,'成交明细'!$A$5:$A$804,A40,'成交明细'!$C$5:$C$804,"卖"))</f>
        <v/>
      </c>
      <c r="W40" s="50" t="str">
        <f>IF(N(V40)&gt;0,SUMIFS('成交明细'!$F$5:$F$804,'成交明细'!$A$5:$A$804,A40,'成交明细'!$C$5:$C$804,"卖")/V40,"")</f>
        <v/>
      </c>
      <c r="X40" s="36" t="str">
        <f>IF(A40="","",IF(Q40&lt;&gt;"已执行",IF(Q40="","未填执行情况",Q40),IF(N(T40)=0,"待录成交",IF(N(V40)&gt;N(T40),"卖出多于买入",IF(N(V40)&lt;N(T40),"持仓中","已平仓")))))</f>
        <v/>
      </c>
      <c r="Y40" s="51" t="str">
        <f>IF(N(T40)=0,"",SUMIFS('成交明细'!$K$5:$K$804,'成交明细'!$A$5:$A$804,A40))</f>
        <v/>
      </c>
      <c r="Z40" s="52" t="str">
        <f>IF(X40&lt;&gt;"已平仓","",SUMIFS('成交明细'!$F$5:$F$804,'成交明细'!$A$5:$A$804,A40,'成交明细'!$C$5:$C$804,"卖")-SUMIFS('成交明细'!$F$5:$F$804,'成交明细'!$A$5:$A$804,A40,'成交明细'!$C$5:$C$804,"买")-Y40)</f>
        <v/>
      </c>
      <c r="AA40" s="53" t="str">
        <f>IF(AND(X40="已平仓",ISNUMBER(N40)),(Z40+Y40)/N40,"")</f>
        <v/>
      </c>
      <c r="AB40" s="53" t="str">
        <f>IF(AND(X40="已平仓",ISNUMBER(N40)),Z40/N40,"")</f>
        <v/>
      </c>
      <c r="AC40" s="54" t="str">
        <f>IF(AND(ISNUMBER(U40),ISNUMBER(H40)),U40-H40,"")</f>
        <v/>
      </c>
      <c r="AD40" s="27" t="n"/>
      <c r="AE40" s="27" t="n"/>
      <c r="AF40" s="32" t="n"/>
      <c r="AG40" s="53" t="str">
        <f>IF(A40="","",SUM(AB$5:AB40))</f>
        <v/>
      </c>
      <c r="AH40" s="55" t="str">
        <f>IF(A40="","",MAX(0,MAX(AG$5:AG40))-AG40)</f>
        <v/>
      </c>
    </row>
    <row r="41">
      <c r="A41" s="46" t="n"/>
      <c r="B41" s="31" t="n"/>
      <c r="C41" s="32" t="n"/>
      <c r="D41" s="27" t="n"/>
      <c r="E41" s="47" t="str">
        <f>IF(D41="","",IFERROR(VLOOKUP(D41,'参数'!$B$21:$C$26,2,FALSE),""))</f>
        <v/>
      </c>
      <c r="F41" s="27" t="n"/>
      <c r="G41" s="43" t="str">
        <f>IF(NOT(ISNUMBER(B41)),"",IFERROR(IF(B41-INDEX('每日复盘'!$A$5:$A$264,MATCH(B41-1,'每日复盘'!$A$5:$A$264,1))&gt;7,"",T(INDEX('每日复盘'!$AA$5:$AA$264,MATCH(B41-1,'每日复盘'!$A$5:$A$264,1)))),""))</f>
        <v/>
      </c>
      <c r="H41" s="48" t="n"/>
      <c r="I41" s="48" t="n"/>
      <c r="J41" s="48" t="n"/>
      <c r="K41" s="49" t="str">
        <f>IF(AND(ISNUMBER(H41),ISNUMBER(I41),ISNUMBER(J41)),IF(H41&gt;I41,(J41-H41)/(H41-I41),""),"")</f>
        <v/>
      </c>
      <c r="L41" s="44" t="str">
        <f>IF(AND(ISNUMBER(H41),ISNUMBER(I41)),IF(H41&gt;I41,MIN(INT(ROUND('参数'!$C$7/(H41-I41)/100,6))*100,IF(ISNUMBER(E41),IF(H41-ROUND(ROUND(I41*(1-E41),4),2)&gt;0,INT(ROUND('参数'!$C$8/(H41-ROUND(ROUND(I41*(1-E41),4),2))/100,6))*100,0),INT(ROUND('参数'!$C$7/(H41-I41)/100,6))*100)),""),"")</f>
        <v/>
      </c>
      <c r="M41" s="17" t="n"/>
      <c r="N41" s="20" t="str">
        <f>IF(AND(ISNUMBER(H41),ISNUMBER(I41),ISNUMBER(M41)),IF(AND(H41&gt;I41,M41&gt;0),(H41-I41)*M41,""),"")</f>
        <v/>
      </c>
      <c r="O41" s="20" t="str">
        <f>IF(ISNUMBER(N41),IF(ISNUMBER(E41),(H41-ROUND(ROUND(I41*(1-E41),4),2))*M41,"不设限"),"")</f>
        <v/>
      </c>
      <c r="P41" s="32" t="n"/>
      <c r="Q41" s="27" t="n"/>
      <c r="R41" s="42" t="str">
        <f>IF(N(T41)&gt;0,SUMPRODUCT(LARGE(('成交明细'!$A$5:$A$804=A41)*('成交明细'!$C$5:$C$804="买")*'成交明细'!$B$5:$B$804,COUNTIFS('成交明细'!$A$5:$A$804,A41,'成交明细'!$C$5:$C$804,"买"))),"")</f>
        <v/>
      </c>
      <c r="S41" s="42" t="str">
        <f>IF(AND(N(T41)&gt;0,N(V41)&gt;=N(T41)),SUMPRODUCT(MAX(('成交明细'!$A$5:$A$804=A41)*('成交明细'!$C$5:$C$804="卖")*'成交明细'!$B$5:$B$804)),"")</f>
        <v/>
      </c>
      <c r="T41" s="44" t="str">
        <f>IF(A41="","",SUMIFS('成交明细'!$E$5:$E$804,'成交明细'!$A$5:$A$804,A41,'成交明细'!$C$5:$C$804,"买"))</f>
        <v/>
      </c>
      <c r="U41" s="50" t="str">
        <f>IF(N(T41)&gt;0,SUMIFS('成交明细'!$F$5:$F$804,'成交明细'!$A$5:$A$804,A41,'成交明细'!$C$5:$C$804,"买")/T41,"")</f>
        <v/>
      </c>
      <c r="V41" s="44" t="str">
        <f>IF(A41="","",SUMIFS('成交明细'!$E$5:$E$804,'成交明细'!$A$5:$A$804,A41,'成交明细'!$C$5:$C$804,"卖"))</f>
        <v/>
      </c>
      <c r="W41" s="50" t="str">
        <f>IF(N(V41)&gt;0,SUMIFS('成交明细'!$F$5:$F$804,'成交明细'!$A$5:$A$804,A41,'成交明细'!$C$5:$C$804,"卖")/V41,"")</f>
        <v/>
      </c>
      <c r="X41" s="36" t="str">
        <f>IF(A41="","",IF(Q41&lt;&gt;"已执行",IF(Q41="","未填执行情况",Q41),IF(N(T41)=0,"待录成交",IF(N(V41)&gt;N(T41),"卖出多于买入",IF(N(V41)&lt;N(T41),"持仓中","已平仓")))))</f>
        <v/>
      </c>
      <c r="Y41" s="51" t="str">
        <f>IF(N(T41)=0,"",SUMIFS('成交明细'!$K$5:$K$804,'成交明细'!$A$5:$A$804,A41))</f>
        <v/>
      </c>
      <c r="Z41" s="52" t="str">
        <f>IF(X41&lt;&gt;"已平仓","",SUMIFS('成交明细'!$F$5:$F$804,'成交明细'!$A$5:$A$804,A41,'成交明细'!$C$5:$C$804,"卖")-SUMIFS('成交明细'!$F$5:$F$804,'成交明细'!$A$5:$A$804,A41,'成交明细'!$C$5:$C$804,"买")-Y41)</f>
        <v/>
      </c>
      <c r="AA41" s="53" t="str">
        <f>IF(AND(X41="已平仓",ISNUMBER(N41)),(Z41+Y41)/N41,"")</f>
        <v/>
      </c>
      <c r="AB41" s="53" t="str">
        <f>IF(AND(X41="已平仓",ISNUMBER(N41)),Z41/N41,"")</f>
        <v/>
      </c>
      <c r="AC41" s="54" t="str">
        <f>IF(AND(ISNUMBER(U41),ISNUMBER(H41)),U41-H41,"")</f>
        <v/>
      </c>
      <c r="AD41" s="27" t="n"/>
      <c r="AE41" s="27" t="n"/>
      <c r="AF41" s="32" t="n"/>
      <c r="AG41" s="53" t="str">
        <f>IF(A41="","",SUM(AB$5:AB41))</f>
        <v/>
      </c>
      <c r="AH41" s="55" t="str">
        <f>IF(A41="","",MAX(0,MAX(AG$5:AG41))-AG41)</f>
        <v/>
      </c>
    </row>
    <row r="42">
      <c r="A42" s="46" t="n"/>
      <c r="B42" s="31" t="n"/>
      <c r="C42" s="32" t="n"/>
      <c r="D42" s="27" t="n"/>
      <c r="E42" s="47" t="str">
        <f>IF(D42="","",IFERROR(VLOOKUP(D42,'参数'!$B$21:$C$26,2,FALSE),""))</f>
        <v/>
      </c>
      <c r="F42" s="27" t="n"/>
      <c r="G42" s="43" t="str">
        <f>IF(NOT(ISNUMBER(B42)),"",IFERROR(IF(B42-INDEX('每日复盘'!$A$5:$A$264,MATCH(B42-1,'每日复盘'!$A$5:$A$264,1))&gt;7,"",T(INDEX('每日复盘'!$AA$5:$AA$264,MATCH(B42-1,'每日复盘'!$A$5:$A$264,1)))),""))</f>
        <v/>
      </c>
      <c r="H42" s="48" t="n"/>
      <c r="I42" s="48" t="n"/>
      <c r="J42" s="48" t="n"/>
      <c r="K42" s="49" t="str">
        <f>IF(AND(ISNUMBER(H42),ISNUMBER(I42),ISNUMBER(J42)),IF(H42&gt;I42,(J42-H42)/(H42-I42),""),"")</f>
        <v/>
      </c>
      <c r="L42" s="44" t="str">
        <f>IF(AND(ISNUMBER(H42),ISNUMBER(I42)),IF(H42&gt;I42,MIN(INT(ROUND('参数'!$C$7/(H42-I42)/100,6))*100,IF(ISNUMBER(E42),IF(H42-ROUND(ROUND(I42*(1-E42),4),2)&gt;0,INT(ROUND('参数'!$C$8/(H42-ROUND(ROUND(I42*(1-E42),4),2))/100,6))*100,0),INT(ROUND('参数'!$C$7/(H42-I42)/100,6))*100)),""),"")</f>
        <v/>
      </c>
      <c r="M42" s="17" t="n"/>
      <c r="N42" s="20" t="str">
        <f>IF(AND(ISNUMBER(H42),ISNUMBER(I42),ISNUMBER(M42)),IF(AND(H42&gt;I42,M42&gt;0),(H42-I42)*M42,""),"")</f>
        <v/>
      </c>
      <c r="O42" s="20" t="str">
        <f>IF(ISNUMBER(N42),IF(ISNUMBER(E42),(H42-ROUND(ROUND(I42*(1-E42),4),2))*M42,"不设限"),"")</f>
        <v/>
      </c>
      <c r="P42" s="32" t="n"/>
      <c r="Q42" s="27" t="n"/>
      <c r="R42" s="42" t="str">
        <f>IF(N(T42)&gt;0,SUMPRODUCT(LARGE(('成交明细'!$A$5:$A$804=A42)*('成交明细'!$C$5:$C$804="买")*'成交明细'!$B$5:$B$804,COUNTIFS('成交明细'!$A$5:$A$804,A42,'成交明细'!$C$5:$C$804,"买"))),"")</f>
        <v/>
      </c>
      <c r="S42" s="42" t="str">
        <f>IF(AND(N(T42)&gt;0,N(V42)&gt;=N(T42)),SUMPRODUCT(MAX(('成交明细'!$A$5:$A$804=A42)*('成交明细'!$C$5:$C$804="卖")*'成交明细'!$B$5:$B$804)),"")</f>
        <v/>
      </c>
      <c r="T42" s="44" t="str">
        <f>IF(A42="","",SUMIFS('成交明细'!$E$5:$E$804,'成交明细'!$A$5:$A$804,A42,'成交明细'!$C$5:$C$804,"买"))</f>
        <v/>
      </c>
      <c r="U42" s="50" t="str">
        <f>IF(N(T42)&gt;0,SUMIFS('成交明细'!$F$5:$F$804,'成交明细'!$A$5:$A$804,A42,'成交明细'!$C$5:$C$804,"买")/T42,"")</f>
        <v/>
      </c>
      <c r="V42" s="44" t="str">
        <f>IF(A42="","",SUMIFS('成交明细'!$E$5:$E$804,'成交明细'!$A$5:$A$804,A42,'成交明细'!$C$5:$C$804,"卖"))</f>
        <v/>
      </c>
      <c r="W42" s="50" t="str">
        <f>IF(N(V42)&gt;0,SUMIFS('成交明细'!$F$5:$F$804,'成交明细'!$A$5:$A$804,A42,'成交明细'!$C$5:$C$804,"卖")/V42,"")</f>
        <v/>
      </c>
      <c r="X42" s="36" t="str">
        <f>IF(A42="","",IF(Q42&lt;&gt;"已执行",IF(Q42="","未填执行情况",Q42),IF(N(T42)=0,"待录成交",IF(N(V42)&gt;N(T42),"卖出多于买入",IF(N(V42)&lt;N(T42),"持仓中","已平仓")))))</f>
        <v/>
      </c>
      <c r="Y42" s="51" t="str">
        <f>IF(N(T42)=0,"",SUMIFS('成交明细'!$K$5:$K$804,'成交明细'!$A$5:$A$804,A42))</f>
        <v/>
      </c>
      <c r="Z42" s="52" t="str">
        <f>IF(X42&lt;&gt;"已平仓","",SUMIFS('成交明细'!$F$5:$F$804,'成交明细'!$A$5:$A$804,A42,'成交明细'!$C$5:$C$804,"卖")-SUMIFS('成交明细'!$F$5:$F$804,'成交明细'!$A$5:$A$804,A42,'成交明细'!$C$5:$C$804,"买")-Y42)</f>
        <v/>
      </c>
      <c r="AA42" s="53" t="str">
        <f>IF(AND(X42="已平仓",ISNUMBER(N42)),(Z42+Y42)/N42,"")</f>
        <v/>
      </c>
      <c r="AB42" s="53" t="str">
        <f>IF(AND(X42="已平仓",ISNUMBER(N42)),Z42/N42,"")</f>
        <v/>
      </c>
      <c r="AC42" s="54" t="str">
        <f>IF(AND(ISNUMBER(U42),ISNUMBER(H42)),U42-H42,"")</f>
        <v/>
      </c>
      <c r="AD42" s="27" t="n"/>
      <c r="AE42" s="27" t="n"/>
      <c r="AF42" s="32" t="n"/>
      <c r="AG42" s="53" t="str">
        <f>IF(A42="","",SUM(AB$5:AB42))</f>
        <v/>
      </c>
      <c r="AH42" s="55" t="str">
        <f>IF(A42="","",MAX(0,MAX(AG$5:AG42))-AG42)</f>
        <v/>
      </c>
    </row>
    <row r="43">
      <c r="A43" s="46" t="n"/>
      <c r="B43" s="31" t="n"/>
      <c r="C43" s="32" t="n"/>
      <c r="D43" s="27" t="n"/>
      <c r="E43" s="47" t="str">
        <f>IF(D43="","",IFERROR(VLOOKUP(D43,'参数'!$B$21:$C$26,2,FALSE),""))</f>
        <v/>
      </c>
      <c r="F43" s="27" t="n"/>
      <c r="G43" s="43" t="str">
        <f>IF(NOT(ISNUMBER(B43)),"",IFERROR(IF(B43-INDEX('每日复盘'!$A$5:$A$264,MATCH(B43-1,'每日复盘'!$A$5:$A$264,1))&gt;7,"",T(INDEX('每日复盘'!$AA$5:$AA$264,MATCH(B43-1,'每日复盘'!$A$5:$A$264,1)))),""))</f>
        <v/>
      </c>
      <c r="H43" s="48" t="n"/>
      <c r="I43" s="48" t="n"/>
      <c r="J43" s="48" t="n"/>
      <c r="K43" s="49" t="str">
        <f>IF(AND(ISNUMBER(H43),ISNUMBER(I43),ISNUMBER(J43)),IF(H43&gt;I43,(J43-H43)/(H43-I43),""),"")</f>
        <v/>
      </c>
      <c r="L43" s="44" t="str">
        <f>IF(AND(ISNUMBER(H43),ISNUMBER(I43)),IF(H43&gt;I43,MIN(INT(ROUND('参数'!$C$7/(H43-I43)/100,6))*100,IF(ISNUMBER(E43),IF(H43-ROUND(ROUND(I43*(1-E43),4),2)&gt;0,INT(ROUND('参数'!$C$8/(H43-ROUND(ROUND(I43*(1-E43),4),2))/100,6))*100,0),INT(ROUND('参数'!$C$7/(H43-I43)/100,6))*100)),""),"")</f>
        <v/>
      </c>
      <c r="M43" s="17" t="n"/>
      <c r="N43" s="20" t="str">
        <f>IF(AND(ISNUMBER(H43),ISNUMBER(I43),ISNUMBER(M43)),IF(AND(H43&gt;I43,M43&gt;0),(H43-I43)*M43,""),"")</f>
        <v/>
      </c>
      <c r="O43" s="20" t="str">
        <f>IF(ISNUMBER(N43),IF(ISNUMBER(E43),(H43-ROUND(ROUND(I43*(1-E43),4),2))*M43,"不设限"),"")</f>
        <v/>
      </c>
      <c r="P43" s="32" t="n"/>
      <c r="Q43" s="27" t="n"/>
      <c r="R43" s="42" t="str">
        <f>IF(N(T43)&gt;0,SUMPRODUCT(LARGE(('成交明细'!$A$5:$A$804=A43)*('成交明细'!$C$5:$C$804="买")*'成交明细'!$B$5:$B$804,COUNTIFS('成交明细'!$A$5:$A$804,A43,'成交明细'!$C$5:$C$804,"买"))),"")</f>
        <v/>
      </c>
      <c r="S43" s="42" t="str">
        <f>IF(AND(N(T43)&gt;0,N(V43)&gt;=N(T43)),SUMPRODUCT(MAX(('成交明细'!$A$5:$A$804=A43)*('成交明细'!$C$5:$C$804="卖")*'成交明细'!$B$5:$B$804)),"")</f>
        <v/>
      </c>
      <c r="T43" s="44" t="str">
        <f>IF(A43="","",SUMIFS('成交明细'!$E$5:$E$804,'成交明细'!$A$5:$A$804,A43,'成交明细'!$C$5:$C$804,"买"))</f>
        <v/>
      </c>
      <c r="U43" s="50" t="str">
        <f>IF(N(T43)&gt;0,SUMIFS('成交明细'!$F$5:$F$804,'成交明细'!$A$5:$A$804,A43,'成交明细'!$C$5:$C$804,"买")/T43,"")</f>
        <v/>
      </c>
      <c r="V43" s="44" t="str">
        <f>IF(A43="","",SUMIFS('成交明细'!$E$5:$E$804,'成交明细'!$A$5:$A$804,A43,'成交明细'!$C$5:$C$804,"卖"))</f>
        <v/>
      </c>
      <c r="W43" s="50" t="str">
        <f>IF(N(V43)&gt;0,SUMIFS('成交明细'!$F$5:$F$804,'成交明细'!$A$5:$A$804,A43,'成交明细'!$C$5:$C$804,"卖")/V43,"")</f>
        <v/>
      </c>
      <c r="X43" s="36" t="str">
        <f>IF(A43="","",IF(Q43&lt;&gt;"已执行",IF(Q43="","未填执行情况",Q43),IF(N(T43)=0,"待录成交",IF(N(V43)&gt;N(T43),"卖出多于买入",IF(N(V43)&lt;N(T43),"持仓中","已平仓")))))</f>
        <v/>
      </c>
      <c r="Y43" s="51" t="str">
        <f>IF(N(T43)=0,"",SUMIFS('成交明细'!$K$5:$K$804,'成交明细'!$A$5:$A$804,A43))</f>
        <v/>
      </c>
      <c r="Z43" s="52" t="str">
        <f>IF(X43&lt;&gt;"已平仓","",SUMIFS('成交明细'!$F$5:$F$804,'成交明细'!$A$5:$A$804,A43,'成交明细'!$C$5:$C$804,"卖")-SUMIFS('成交明细'!$F$5:$F$804,'成交明细'!$A$5:$A$804,A43,'成交明细'!$C$5:$C$804,"买")-Y43)</f>
        <v/>
      </c>
      <c r="AA43" s="53" t="str">
        <f>IF(AND(X43="已平仓",ISNUMBER(N43)),(Z43+Y43)/N43,"")</f>
        <v/>
      </c>
      <c r="AB43" s="53" t="str">
        <f>IF(AND(X43="已平仓",ISNUMBER(N43)),Z43/N43,"")</f>
        <v/>
      </c>
      <c r="AC43" s="54" t="str">
        <f>IF(AND(ISNUMBER(U43),ISNUMBER(H43)),U43-H43,"")</f>
        <v/>
      </c>
      <c r="AD43" s="27" t="n"/>
      <c r="AE43" s="27" t="n"/>
      <c r="AF43" s="32" t="n"/>
      <c r="AG43" s="53" t="str">
        <f>IF(A43="","",SUM(AB$5:AB43))</f>
        <v/>
      </c>
      <c r="AH43" s="55" t="str">
        <f>IF(A43="","",MAX(0,MAX(AG$5:AG43))-AG43)</f>
        <v/>
      </c>
    </row>
    <row r="44">
      <c r="A44" s="46" t="n"/>
      <c r="B44" s="31" t="n"/>
      <c r="C44" s="32" t="n"/>
      <c r="D44" s="27" t="n"/>
      <c r="E44" s="47" t="str">
        <f>IF(D44="","",IFERROR(VLOOKUP(D44,'参数'!$B$21:$C$26,2,FALSE),""))</f>
        <v/>
      </c>
      <c r="F44" s="27" t="n"/>
      <c r="G44" s="43" t="str">
        <f>IF(NOT(ISNUMBER(B44)),"",IFERROR(IF(B44-INDEX('每日复盘'!$A$5:$A$264,MATCH(B44-1,'每日复盘'!$A$5:$A$264,1))&gt;7,"",T(INDEX('每日复盘'!$AA$5:$AA$264,MATCH(B44-1,'每日复盘'!$A$5:$A$264,1)))),""))</f>
        <v/>
      </c>
      <c r="H44" s="48" t="n"/>
      <c r="I44" s="48" t="n"/>
      <c r="J44" s="48" t="n"/>
      <c r="K44" s="49" t="str">
        <f>IF(AND(ISNUMBER(H44),ISNUMBER(I44),ISNUMBER(J44)),IF(H44&gt;I44,(J44-H44)/(H44-I44),""),"")</f>
        <v/>
      </c>
      <c r="L44" s="44" t="str">
        <f>IF(AND(ISNUMBER(H44),ISNUMBER(I44)),IF(H44&gt;I44,MIN(INT(ROUND('参数'!$C$7/(H44-I44)/100,6))*100,IF(ISNUMBER(E44),IF(H44-ROUND(ROUND(I44*(1-E44),4),2)&gt;0,INT(ROUND('参数'!$C$8/(H44-ROUND(ROUND(I44*(1-E44),4),2))/100,6))*100,0),INT(ROUND('参数'!$C$7/(H44-I44)/100,6))*100)),""),"")</f>
        <v/>
      </c>
      <c r="M44" s="17" t="n"/>
      <c r="N44" s="20" t="str">
        <f>IF(AND(ISNUMBER(H44),ISNUMBER(I44),ISNUMBER(M44)),IF(AND(H44&gt;I44,M44&gt;0),(H44-I44)*M44,""),"")</f>
        <v/>
      </c>
      <c r="O44" s="20" t="str">
        <f>IF(ISNUMBER(N44),IF(ISNUMBER(E44),(H44-ROUND(ROUND(I44*(1-E44),4),2))*M44,"不设限"),"")</f>
        <v/>
      </c>
      <c r="P44" s="32" t="n"/>
      <c r="Q44" s="27" t="n"/>
      <c r="R44" s="42" t="str">
        <f>IF(N(T44)&gt;0,SUMPRODUCT(LARGE(('成交明细'!$A$5:$A$804=A44)*('成交明细'!$C$5:$C$804="买")*'成交明细'!$B$5:$B$804,COUNTIFS('成交明细'!$A$5:$A$804,A44,'成交明细'!$C$5:$C$804,"买"))),"")</f>
        <v/>
      </c>
      <c r="S44" s="42" t="str">
        <f>IF(AND(N(T44)&gt;0,N(V44)&gt;=N(T44)),SUMPRODUCT(MAX(('成交明细'!$A$5:$A$804=A44)*('成交明细'!$C$5:$C$804="卖")*'成交明细'!$B$5:$B$804)),"")</f>
        <v/>
      </c>
      <c r="T44" s="44" t="str">
        <f>IF(A44="","",SUMIFS('成交明细'!$E$5:$E$804,'成交明细'!$A$5:$A$804,A44,'成交明细'!$C$5:$C$804,"买"))</f>
        <v/>
      </c>
      <c r="U44" s="50" t="str">
        <f>IF(N(T44)&gt;0,SUMIFS('成交明细'!$F$5:$F$804,'成交明细'!$A$5:$A$804,A44,'成交明细'!$C$5:$C$804,"买")/T44,"")</f>
        <v/>
      </c>
      <c r="V44" s="44" t="str">
        <f>IF(A44="","",SUMIFS('成交明细'!$E$5:$E$804,'成交明细'!$A$5:$A$804,A44,'成交明细'!$C$5:$C$804,"卖"))</f>
        <v/>
      </c>
      <c r="W44" s="50" t="str">
        <f>IF(N(V44)&gt;0,SUMIFS('成交明细'!$F$5:$F$804,'成交明细'!$A$5:$A$804,A44,'成交明细'!$C$5:$C$804,"卖")/V44,"")</f>
        <v/>
      </c>
      <c r="X44" s="36" t="str">
        <f>IF(A44="","",IF(Q44&lt;&gt;"已执行",IF(Q44="","未填执行情况",Q44),IF(N(T44)=0,"待录成交",IF(N(V44)&gt;N(T44),"卖出多于买入",IF(N(V44)&lt;N(T44),"持仓中","已平仓")))))</f>
        <v/>
      </c>
      <c r="Y44" s="51" t="str">
        <f>IF(N(T44)=0,"",SUMIFS('成交明细'!$K$5:$K$804,'成交明细'!$A$5:$A$804,A44))</f>
        <v/>
      </c>
      <c r="Z44" s="52" t="str">
        <f>IF(X44&lt;&gt;"已平仓","",SUMIFS('成交明细'!$F$5:$F$804,'成交明细'!$A$5:$A$804,A44,'成交明细'!$C$5:$C$804,"卖")-SUMIFS('成交明细'!$F$5:$F$804,'成交明细'!$A$5:$A$804,A44,'成交明细'!$C$5:$C$804,"买")-Y44)</f>
        <v/>
      </c>
      <c r="AA44" s="53" t="str">
        <f>IF(AND(X44="已平仓",ISNUMBER(N44)),(Z44+Y44)/N44,"")</f>
        <v/>
      </c>
      <c r="AB44" s="53" t="str">
        <f>IF(AND(X44="已平仓",ISNUMBER(N44)),Z44/N44,"")</f>
        <v/>
      </c>
      <c r="AC44" s="54" t="str">
        <f>IF(AND(ISNUMBER(U44),ISNUMBER(H44)),U44-H44,"")</f>
        <v/>
      </c>
      <c r="AD44" s="27" t="n"/>
      <c r="AE44" s="27" t="n"/>
      <c r="AF44" s="32" t="n"/>
      <c r="AG44" s="53" t="str">
        <f>IF(A44="","",SUM(AB$5:AB44))</f>
        <v/>
      </c>
      <c r="AH44" s="55" t="str">
        <f>IF(A44="","",MAX(0,MAX(AG$5:AG44))-AG44)</f>
        <v/>
      </c>
    </row>
    <row r="45">
      <c r="A45" s="46" t="n"/>
      <c r="B45" s="31" t="n"/>
      <c r="C45" s="32" t="n"/>
      <c r="D45" s="27" t="n"/>
      <c r="E45" s="47" t="str">
        <f>IF(D45="","",IFERROR(VLOOKUP(D45,'参数'!$B$21:$C$26,2,FALSE),""))</f>
        <v/>
      </c>
      <c r="F45" s="27" t="n"/>
      <c r="G45" s="43" t="str">
        <f>IF(NOT(ISNUMBER(B45)),"",IFERROR(IF(B45-INDEX('每日复盘'!$A$5:$A$264,MATCH(B45-1,'每日复盘'!$A$5:$A$264,1))&gt;7,"",T(INDEX('每日复盘'!$AA$5:$AA$264,MATCH(B45-1,'每日复盘'!$A$5:$A$264,1)))),""))</f>
        <v/>
      </c>
      <c r="H45" s="48" t="n"/>
      <c r="I45" s="48" t="n"/>
      <c r="J45" s="48" t="n"/>
      <c r="K45" s="49" t="str">
        <f>IF(AND(ISNUMBER(H45),ISNUMBER(I45),ISNUMBER(J45)),IF(H45&gt;I45,(J45-H45)/(H45-I45),""),"")</f>
        <v/>
      </c>
      <c r="L45" s="44" t="str">
        <f>IF(AND(ISNUMBER(H45),ISNUMBER(I45)),IF(H45&gt;I45,MIN(INT(ROUND('参数'!$C$7/(H45-I45)/100,6))*100,IF(ISNUMBER(E45),IF(H45-ROUND(ROUND(I45*(1-E45),4),2)&gt;0,INT(ROUND('参数'!$C$8/(H45-ROUND(ROUND(I45*(1-E45),4),2))/100,6))*100,0),INT(ROUND('参数'!$C$7/(H45-I45)/100,6))*100)),""),"")</f>
        <v/>
      </c>
      <c r="M45" s="17" t="n"/>
      <c r="N45" s="20" t="str">
        <f>IF(AND(ISNUMBER(H45),ISNUMBER(I45),ISNUMBER(M45)),IF(AND(H45&gt;I45,M45&gt;0),(H45-I45)*M45,""),"")</f>
        <v/>
      </c>
      <c r="O45" s="20" t="str">
        <f>IF(ISNUMBER(N45),IF(ISNUMBER(E45),(H45-ROUND(ROUND(I45*(1-E45),4),2))*M45,"不设限"),"")</f>
        <v/>
      </c>
      <c r="P45" s="32" t="n"/>
      <c r="Q45" s="27" t="n"/>
      <c r="R45" s="42" t="str">
        <f>IF(N(T45)&gt;0,SUMPRODUCT(LARGE(('成交明细'!$A$5:$A$804=A45)*('成交明细'!$C$5:$C$804="买")*'成交明细'!$B$5:$B$804,COUNTIFS('成交明细'!$A$5:$A$804,A45,'成交明细'!$C$5:$C$804,"买"))),"")</f>
        <v/>
      </c>
      <c r="S45" s="42" t="str">
        <f>IF(AND(N(T45)&gt;0,N(V45)&gt;=N(T45)),SUMPRODUCT(MAX(('成交明细'!$A$5:$A$804=A45)*('成交明细'!$C$5:$C$804="卖")*'成交明细'!$B$5:$B$804)),"")</f>
        <v/>
      </c>
      <c r="T45" s="44" t="str">
        <f>IF(A45="","",SUMIFS('成交明细'!$E$5:$E$804,'成交明细'!$A$5:$A$804,A45,'成交明细'!$C$5:$C$804,"买"))</f>
        <v/>
      </c>
      <c r="U45" s="50" t="str">
        <f>IF(N(T45)&gt;0,SUMIFS('成交明细'!$F$5:$F$804,'成交明细'!$A$5:$A$804,A45,'成交明细'!$C$5:$C$804,"买")/T45,"")</f>
        <v/>
      </c>
      <c r="V45" s="44" t="str">
        <f>IF(A45="","",SUMIFS('成交明细'!$E$5:$E$804,'成交明细'!$A$5:$A$804,A45,'成交明细'!$C$5:$C$804,"卖"))</f>
        <v/>
      </c>
      <c r="W45" s="50" t="str">
        <f>IF(N(V45)&gt;0,SUMIFS('成交明细'!$F$5:$F$804,'成交明细'!$A$5:$A$804,A45,'成交明细'!$C$5:$C$804,"卖")/V45,"")</f>
        <v/>
      </c>
      <c r="X45" s="36" t="str">
        <f>IF(A45="","",IF(Q45&lt;&gt;"已执行",IF(Q45="","未填执行情况",Q45),IF(N(T45)=0,"待录成交",IF(N(V45)&gt;N(T45),"卖出多于买入",IF(N(V45)&lt;N(T45),"持仓中","已平仓")))))</f>
        <v/>
      </c>
      <c r="Y45" s="51" t="str">
        <f>IF(N(T45)=0,"",SUMIFS('成交明细'!$K$5:$K$804,'成交明细'!$A$5:$A$804,A45))</f>
        <v/>
      </c>
      <c r="Z45" s="52" t="str">
        <f>IF(X45&lt;&gt;"已平仓","",SUMIFS('成交明细'!$F$5:$F$804,'成交明细'!$A$5:$A$804,A45,'成交明细'!$C$5:$C$804,"卖")-SUMIFS('成交明细'!$F$5:$F$804,'成交明细'!$A$5:$A$804,A45,'成交明细'!$C$5:$C$804,"买")-Y45)</f>
        <v/>
      </c>
      <c r="AA45" s="53" t="str">
        <f>IF(AND(X45="已平仓",ISNUMBER(N45)),(Z45+Y45)/N45,"")</f>
        <v/>
      </c>
      <c r="AB45" s="53" t="str">
        <f>IF(AND(X45="已平仓",ISNUMBER(N45)),Z45/N45,"")</f>
        <v/>
      </c>
      <c r="AC45" s="54" t="str">
        <f>IF(AND(ISNUMBER(U45),ISNUMBER(H45)),U45-H45,"")</f>
        <v/>
      </c>
      <c r="AD45" s="27" t="n"/>
      <c r="AE45" s="27" t="n"/>
      <c r="AF45" s="32" t="n"/>
      <c r="AG45" s="53" t="str">
        <f>IF(A45="","",SUM(AB$5:AB45))</f>
        <v/>
      </c>
      <c r="AH45" s="55" t="str">
        <f>IF(A45="","",MAX(0,MAX(AG$5:AG45))-AG45)</f>
        <v/>
      </c>
    </row>
    <row r="46">
      <c r="A46" s="46" t="n"/>
      <c r="B46" s="31" t="n"/>
      <c r="C46" s="32" t="n"/>
      <c r="D46" s="27" t="n"/>
      <c r="E46" s="47" t="str">
        <f>IF(D46="","",IFERROR(VLOOKUP(D46,'参数'!$B$21:$C$26,2,FALSE),""))</f>
        <v/>
      </c>
      <c r="F46" s="27" t="n"/>
      <c r="G46" s="43" t="str">
        <f>IF(NOT(ISNUMBER(B46)),"",IFERROR(IF(B46-INDEX('每日复盘'!$A$5:$A$264,MATCH(B46-1,'每日复盘'!$A$5:$A$264,1))&gt;7,"",T(INDEX('每日复盘'!$AA$5:$AA$264,MATCH(B46-1,'每日复盘'!$A$5:$A$264,1)))),""))</f>
        <v/>
      </c>
      <c r="H46" s="48" t="n"/>
      <c r="I46" s="48" t="n"/>
      <c r="J46" s="48" t="n"/>
      <c r="K46" s="49" t="str">
        <f>IF(AND(ISNUMBER(H46),ISNUMBER(I46),ISNUMBER(J46)),IF(H46&gt;I46,(J46-H46)/(H46-I46),""),"")</f>
        <v/>
      </c>
      <c r="L46" s="44" t="str">
        <f>IF(AND(ISNUMBER(H46),ISNUMBER(I46)),IF(H46&gt;I46,MIN(INT(ROUND('参数'!$C$7/(H46-I46)/100,6))*100,IF(ISNUMBER(E46),IF(H46-ROUND(ROUND(I46*(1-E46),4),2)&gt;0,INT(ROUND('参数'!$C$8/(H46-ROUND(ROUND(I46*(1-E46),4),2))/100,6))*100,0),INT(ROUND('参数'!$C$7/(H46-I46)/100,6))*100)),""),"")</f>
        <v/>
      </c>
      <c r="M46" s="17" t="n"/>
      <c r="N46" s="20" t="str">
        <f>IF(AND(ISNUMBER(H46),ISNUMBER(I46),ISNUMBER(M46)),IF(AND(H46&gt;I46,M46&gt;0),(H46-I46)*M46,""),"")</f>
        <v/>
      </c>
      <c r="O46" s="20" t="str">
        <f>IF(ISNUMBER(N46),IF(ISNUMBER(E46),(H46-ROUND(ROUND(I46*(1-E46),4),2))*M46,"不设限"),"")</f>
        <v/>
      </c>
      <c r="P46" s="32" t="n"/>
      <c r="Q46" s="27" t="n"/>
      <c r="R46" s="42" t="str">
        <f>IF(N(T46)&gt;0,SUMPRODUCT(LARGE(('成交明细'!$A$5:$A$804=A46)*('成交明细'!$C$5:$C$804="买")*'成交明细'!$B$5:$B$804,COUNTIFS('成交明细'!$A$5:$A$804,A46,'成交明细'!$C$5:$C$804,"买"))),"")</f>
        <v/>
      </c>
      <c r="S46" s="42" t="str">
        <f>IF(AND(N(T46)&gt;0,N(V46)&gt;=N(T46)),SUMPRODUCT(MAX(('成交明细'!$A$5:$A$804=A46)*('成交明细'!$C$5:$C$804="卖")*'成交明细'!$B$5:$B$804)),"")</f>
        <v/>
      </c>
      <c r="T46" s="44" t="str">
        <f>IF(A46="","",SUMIFS('成交明细'!$E$5:$E$804,'成交明细'!$A$5:$A$804,A46,'成交明细'!$C$5:$C$804,"买"))</f>
        <v/>
      </c>
      <c r="U46" s="50" t="str">
        <f>IF(N(T46)&gt;0,SUMIFS('成交明细'!$F$5:$F$804,'成交明细'!$A$5:$A$804,A46,'成交明细'!$C$5:$C$804,"买")/T46,"")</f>
        <v/>
      </c>
      <c r="V46" s="44" t="str">
        <f>IF(A46="","",SUMIFS('成交明细'!$E$5:$E$804,'成交明细'!$A$5:$A$804,A46,'成交明细'!$C$5:$C$804,"卖"))</f>
        <v/>
      </c>
      <c r="W46" s="50" t="str">
        <f>IF(N(V46)&gt;0,SUMIFS('成交明细'!$F$5:$F$804,'成交明细'!$A$5:$A$804,A46,'成交明细'!$C$5:$C$804,"卖")/V46,"")</f>
        <v/>
      </c>
      <c r="X46" s="36" t="str">
        <f>IF(A46="","",IF(Q46&lt;&gt;"已执行",IF(Q46="","未填执行情况",Q46),IF(N(T46)=0,"待录成交",IF(N(V46)&gt;N(T46),"卖出多于买入",IF(N(V46)&lt;N(T46),"持仓中","已平仓")))))</f>
        <v/>
      </c>
      <c r="Y46" s="51" t="str">
        <f>IF(N(T46)=0,"",SUMIFS('成交明细'!$K$5:$K$804,'成交明细'!$A$5:$A$804,A46))</f>
        <v/>
      </c>
      <c r="Z46" s="52" t="str">
        <f>IF(X46&lt;&gt;"已平仓","",SUMIFS('成交明细'!$F$5:$F$804,'成交明细'!$A$5:$A$804,A46,'成交明细'!$C$5:$C$804,"卖")-SUMIFS('成交明细'!$F$5:$F$804,'成交明细'!$A$5:$A$804,A46,'成交明细'!$C$5:$C$804,"买")-Y46)</f>
        <v/>
      </c>
      <c r="AA46" s="53" t="str">
        <f>IF(AND(X46="已平仓",ISNUMBER(N46)),(Z46+Y46)/N46,"")</f>
        <v/>
      </c>
      <c r="AB46" s="53" t="str">
        <f>IF(AND(X46="已平仓",ISNUMBER(N46)),Z46/N46,"")</f>
        <v/>
      </c>
      <c r="AC46" s="54" t="str">
        <f>IF(AND(ISNUMBER(U46),ISNUMBER(H46)),U46-H46,"")</f>
        <v/>
      </c>
      <c r="AD46" s="27" t="n"/>
      <c r="AE46" s="27" t="n"/>
      <c r="AF46" s="32" t="n"/>
      <c r="AG46" s="53" t="str">
        <f>IF(A46="","",SUM(AB$5:AB46))</f>
        <v/>
      </c>
      <c r="AH46" s="55" t="str">
        <f>IF(A46="","",MAX(0,MAX(AG$5:AG46))-AG46)</f>
        <v/>
      </c>
    </row>
    <row r="47">
      <c r="A47" s="46" t="n"/>
      <c r="B47" s="31" t="n"/>
      <c r="C47" s="32" t="n"/>
      <c r="D47" s="27" t="n"/>
      <c r="E47" s="47" t="str">
        <f>IF(D47="","",IFERROR(VLOOKUP(D47,'参数'!$B$21:$C$26,2,FALSE),""))</f>
        <v/>
      </c>
      <c r="F47" s="27" t="n"/>
      <c r="G47" s="43" t="str">
        <f>IF(NOT(ISNUMBER(B47)),"",IFERROR(IF(B47-INDEX('每日复盘'!$A$5:$A$264,MATCH(B47-1,'每日复盘'!$A$5:$A$264,1))&gt;7,"",T(INDEX('每日复盘'!$AA$5:$AA$264,MATCH(B47-1,'每日复盘'!$A$5:$A$264,1)))),""))</f>
        <v/>
      </c>
      <c r="H47" s="48" t="n"/>
      <c r="I47" s="48" t="n"/>
      <c r="J47" s="48" t="n"/>
      <c r="K47" s="49" t="str">
        <f>IF(AND(ISNUMBER(H47),ISNUMBER(I47),ISNUMBER(J47)),IF(H47&gt;I47,(J47-H47)/(H47-I47),""),"")</f>
        <v/>
      </c>
      <c r="L47" s="44" t="str">
        <f>IF(AND(ISNUMBER(H47),ISNUMBER(I47)),IF(H47&gt;I47,MIN(INT(ROUND('参数'!$C$7/(H47-I47)/100,6))*100,IF(ISNUMBER(E47),IF(H47-ROUND(ROUND(I47*(1-E47),4),2)&gt;0,INT(ROUND('参数'!$C$8/(H47-ROUND(ROUND(I47*(1-E47),4),2))/100,6))*100,0),INT(ROUND('参数'!$C$7/(H47-I47)/100,6))*100)),""),"")</f>
        <v/>
      </c>
      <c r="M47" s="17" t="n"/>
      <c r="N47" s="20" t="str">
        <f>IF(AND(ISNUMBER(H47),ISNUMBER(I47),ISNUMBER(M47)),IF(AND(H47&gt;I47,M47&gt;0),(H47-I47)*M47,""),"")</f>
        <v/>
      </c>
      <c r="O47" s="20" t="str">
        <f>IF(ISNUMBER(N47),IF(ISNUMBER(E47),(H47-ROUND(ROUND(I47*(1-E47),4),2))*M47,"不设限"),"")</f>
        <v/>
      </c>
      <c r="P47" s="32" t="n"/>
      <c r="Q47" s="27" t="n"/>
      <c r="R47" s="42" t="str">
        <f>IF(N(T47)&gt;0,SUMPRODUCT(LARGE(('成交明细'!$A$5:$A$804=A47)*('成交明细'!$C$5:$C$804="买")*'成交明细'!$B$5:$B$804,COUNTIFS('成交明细'!$A$5:$A$804,A47,'成交明细'!$C$5:$C$804,"买"))),"")</f>
        <v/>
      </c>
      <c r="S47" s="42" t="str">
        <f>IF(AND(N(T47)&gt;0,N(V47)&gt;=N(T47)),SUMPRODUCT(MAX(('成交明细'!$A$5:$A$804=A47)*('成交明细'!$C$5:$C$804="卖")*'成交明细'!$B$5:$B$804)),"")</f>
        <v/>
      </c>
      <c r="T47" s="44" t="str">
        <f>IF(A47="","",SUMIFS('成交明细'!$E$5:$E$804,'成交明细'!$A$5:$A$804,A47,'成交明细'!$C$5:$C$804,"买"))</f>
        <v/>
      </c>
      <c r="U47" s="50" t="str">
        <f>IF(N(T47)&gt;0,SUMIFS('成交明细'!$F$5:$F$804,'成交明细'!$A$5:$A$804,A47,'成交明细'!$C$5:$C$804,"买")/T47,"")</f>
        <v/>
      </c>
      <c r="V47" s="44" t="str">
        <f>IF(A47="","",SUMIFS('成交明细'!$E$5:$E$804,'成交明细'!$A$5:$A$804,A47,'成交明细'!$C$5:$C$804,"卖"))</f>
        <v/>
      </c>
      <c r="W47" s="50" t="str">
        <f>IF(N(V47)&gt;0,SUMIFS('成交明细'!$F$5:$F$804,'成交明细'!$A$5:$A$804,A47,'成交明细'!$C$5:$C$804,"卖")/V47,"")</f>
        <v/>
      </c>
      <c r="X47" s="36" t="str">
        <f>IF(A47="","",IF(Q47&lt;&gt;"已执行",IF(Q47="","未填执行情况",Q47),IF(N(T47)=0,"待录成交",IF(N(V47)&gt;N(T47),"卖出多于买入",IF(N(V47)&lt;N(T47),"持仓中","已平仓")))))</f>
        <v/>
      </c>
      <c r="Y47" s="51" t="str">
        <f>IF(N(T47)=0,"",SUMIFS('成交明细'!$K$5:$K$804,'成交明细'!$A$5:$A$804,A47))</f>
        <v/>
      </c>
      <c r="Z47" s="52" t="str">
        <f>IF(X47&lt;&gt;"已平仓","",SUMIFS('成交明细'!$F$5:$F$804,'成交明细'!$A$5:$A$804,A47,'成交明细'!$C$5:$C$804,"卖")-SUMIFS('成交明细'!$F$5:$F$804,'成交明细'!$A$5:$A$804,A47,'成交明细'!$C$5:$C$804,"买")-Y47)</f>
        <v/>
      </c>
      <c r="AA47" s="53" t="str">
        <f>IF(AND(X47="已平仓",ISNUMBER(N47)),(Z47+Y47)/N47,"")</f>
        <v/>
      </c>
      <c r="AB47" s="53" t="str">
        <f>IF(AND(X47="已平仓",ISNUMBER(N47)),Z47/N47,"")</f>
        <v/>
      </c>
      <c r="AC47" s="54" t="str">
        <f>IF(AND(ISNUMBER(U47),ISNUMBER(H47)),U47-H47,"")</f>
        <v/>
      </c>
      <c r="AD47" s="27" t="n"/>
      <c r="AE47" s="27" t="n"/>
      <c r="AF47" s="32" t="n"/>
      <c r="AG47" s="53" t="str">
        <f>IF(A47="","",SUM(AB$5:AB47))</f>
        <v/>
      </c>
      <c r="AH47" s="55" t="str">
        <f>IF(A47="","",MAX(0,MAX(AG$5:AG47))-AG47)</f>
        <v/>
      </c>
    </row>
    <row r="48">
      <c r="A48" s="46" t="n"/>
      <c r="B48" s="31" t="n"/>
      <c r="C48" s="32" t="n"/>
      <c r="D48" s="27" t="n"/>
      <c r="E48" s="47" t="str">
        <f>IF(D48="","",IFERROR(VLOOKUP(D48,'参数'!$B$21:$C$26,2,FALSE),""))</f>
        <v/>
      </c>
      <c r="F48" s="27" t="n"/>
      <c r="G48" s="43" t="str">
        <f>IF(NOT(ISNUMBER(B48)),"",IFERROR(IF(B48-INDEX('每日复盘'!$A$5:$A$264,MATCH(B48-1,'每日复盘'!$A$5:$A$264,1))&gt;7,"",T(INDEX('每日复盘'!$AA$5:$AA$264,MATCH(B48-1,'每日复盘'!$A$5:$A$264,1)))),""))</f>
        <v/>
      </c>
      <c r="H48" s="48" t="n"/>
      <c r="I48" s="48" t="n"/>
      <c r="J48" s="48" t="n"/>
      <c r="K48" s="49" t="str">
        <f>IF(AND(ISNUMBER(H48),ISNUMBER(I48),ISNUMBER(J48)),IF(H48&gt;I48,(J48-H48)/(H48-I48),""),"")</f>
        <v/>
      </c>
      <c r="L48" s="44" t="str">
        <f>IF(AND(ISNUMBER(H48),ISNUMBER(I48)),IF(H48&gt;I48,MIN(INT(ROUND('参数'!$C$7/(H48-I48)/100,6))*100,IF(ISNUMBER(E48),IF(H48-ROUND(ROUND(I48*(1-E48),4),2)&gt;0,INT(ROUND('参数'!$C$8/(H48-ROUND(ROUND(I48*(1-E48),4),2))/100,6))*100,0),INT(ROUND('参数'!$C$7/(H48-I48)/100,6))*100)),""),"")</f>
        <v/>
      </c>
      <c r="M48" s="17" t="n"/>
      <c r="N48" s="20" t="str">
        <f>IF(AND(ISNUMBER(H48),ISNUMBER(I48),ISNUMBER(M48)),IF(AND(H48&gt;I48,M48&gt;0),(H48-I48)*M48,""),"")</f>
        <v/>
      </c>
      <c r="O48" s="20" t="str">
        <f>IF(ISNUMBER(N48),IF(ISNUMBER(E48),(H48-ROUND(ROUND(I48*(1-E48),4),2))*M48,"不设限"),"")</f>
        <v/>
      </c>
      <c r="P48" s="32" t="n"/>
      <c r="Q48" s="27" t="n"/>
      <c r="R48" s="42" t="str">
        <f>IF(N(T48)&gt;0,SUMPRODUCT(LARGE(('成交明细'!$A$5:$A$804=A48)*('成交明细'!$C$5:$C$804="买")*'成交明细'!$B$5:$B$804,COUNTIFS('成交明细'!$A$5:$A$804,A48,'成交明细'!$C$5:$C$804,"买"))),"")</f>
        <v/>
      </c>
      <c r="S48" s="42" t="str">
        <f>IF(AND(N(T48)&gt;0,N(V48)&gt;=N(T48)),SUMPRODUCT(MAX(('成交明细'!$A$5:$A$804=A48)*('成交明细'!$C$5:$C$804="卖")*'成交明细'!$B$5:$B$804)),"")</f>
        <v/>
      </c>
      <c r="T48" s="44" t="str">
        <f>IF(A48="","",SUMIFS('成交明细'!$E$5:$E$804,'成交明细'!$A$5:$A$804,A48,'成交明细'!$C$5:$C$804,"买"))</f>
        <v/>
      </c>
      <c r="U48" s="50" t="str">
        <f>IF(N(T48)&gt;0,SUMIFS('成交明细'!$F$5:$F$804,'成交明细'!$A$5:$A$804,A48,'成交明细'!$C$5:$C$804,"买")/T48,"")</f>
        <v/>
      </c>
      <c r="V48" s="44" t="str">
        <f>IF(A48="","",SUMIFS('成交明细'!$E$5:$E$804,'成交明细'!$A$5:$A$804,A48,'成交明细'!$C$5:$C$804,"卖"))</f>
        <v/>
      </c>
      <c r="W48" s="50" t="str">
        <f>IF(N(V48)&gt;0,SUMIFS('成交明细'!$F$5:$F$804,'成交明细'!$A$5:$A$804,A48,'成交明细'!$C$5:$C$804,"卖")/V48,"")</f>
        <v/>
      </c>
      <c r="X48" s="36" t="str">
        <f>IF(A48="","",IF(Q48&lt;&gt;"已执行",IF(Q48="","未填执行情况",Q48),IF(N(T48)=0,"待录成交",IF(N(V48)&gt;N(T48),"卖出多于买入",IF(N(V48)&lt;N(T48),"持仓中","已平仓")))))</f>
        <v/>
      </c>
      <c r="Y48" s="51" t="str">
        <f>IF(N(T48)=0,"",SUMIFS('成交明细'!$K$5:$K$804,'成交明细'!$A$5:$A$804,A48))</f>
        <v/>
      </c>
      <c r="Z48" s="52" t="str">
        <f>IF(X48&lt;&gt;"已平仓","",SUMIFS('成交明细'!$F$5:$F$804,'成交明细'!$A$5:$A$804,A48,'成交明细'!$C$5:$C$804,"卖")-SUMIFS('成交明细'!$F$5:$F$804,'成交明细'!$A$5:$A$804,A48,'成交明细'!$C$5:$C$804,"买")-Y48)</f>
        <v/>
      </c>
      <c r="AA48" s="53" t="str">
        <f>IF(AND(X48="已平仓",ISNUMBER(N48)),(Z48+Y48)/N48,"")</f>
        <v/>
      </c>
      <c r="AB48" s="53" t="str">
        <f>IF(AND(X48="已平仓",ISNUMBER(N48)),Z48/N48,"")</f>
        <v/>
      </c>
      <c r="AC48" s="54" t="str">
        <f>IF(AND(ISNUMBER(U48),ISNUMBER(H48)),U48-H48,"")</f>
        <v/>
      </c>
      <c r="AD48" s="27" t="n"/>
      <c r="AE48" s="27" t="n"/>
      <c r="AF48" s="32" t="n"/>
      <c r="AG48" s="53" t="str">
        <f>IF(A48="","",SUM(AB$5:AB48))</f>
        <v/>
      </c>
      <c r="AH48" s="55" t="str">
        <f>IF(A48="","",MAX(0,MAX(AG$5:AG48))-AG48)</f>
        <v/>
      </c>
    </row>
    <row r="49">
      <c r="A49" s="46" t="n"/>
      <c r="B49" s="31" t="n"/>
      <c r="C49" s="32" t="n"/>
      <c r="D49" s="27" t="n"/>
      <c r="E49" s="47" t="str">
        <f>IF(D49="","",IFERROR(VLOOKUP(D49,'参数'!$B$21:$C$26,2,FALSE),""))</f>
        <v/>
      </c>
      <c r="F49" s="27" t="n"/>
      <c r="G49" s="43" t="str">
        <f>IF(NOT(ISNUMBER(B49)),"",IFERROR(IF(B49-INDEX('每日复盘'!$A$5:$A$264,MATCH(B49-1,'每日复盘'!$A$5:$A$264,1))&gt;7,"",T(INDEX('每日复盘'!$AA$5:$AA$264,MATCH(B49-1,'每日复盘'!$A$5:$A$264,1)))),""))</f>
        <v/>
      </c>
      <c r="H49" s="48" t="n"/>
      <c r="I49" s="48" t="n"/>
      <c r="J49" s="48" t="n"/>
      <c r="K49" s="49" t="str">
        <f>IF(AND(ISNUMBER(H49),ISNUMBER(I49),ISNUMBER(J49)),IF(H49&gt;I49,(J49-H49)/(H49-I49),""),"")</f>
        <v/>
      </c>
      <c r="L49" s="44" t="str">
        <f>IF(AND(ISNUMBER(H49),ISNUMBER(I49)),IF(H49&gt;I49,MIN(INT(ROUND('参数'!$C$7/(H49-I49)/100,6))*100,IF(ISNUMBER(E49),IF(H49-ROUND(ROUND(I49*(1-E49),4),2)&gt;0,INT(ROUND('参数'!$C$8/(H49-ROUND(ROUND(I49*(1-E49),4),2))/100,6))*100,0),INT(ROUND('参数'!$C$7/(H49-I49)/100,6))*100)),""),"")</f>
        <v/>
      </c>
      <c r="M49" s="17" t="n"/>
      <c r="N49" s="20" t="str">
        <f>IF(AND(ISNUMBER(H49),ISNUMBER(I49),ISNUMBER(M49)),IF(AND(H49&gt;I49,M49&gt;0),(H49-I49)*M49,""),"")</f>
        <v/>
      </c>
      <c r="O49" s="20" t="str">
        <f>IF(ISNUMBER(N49),IF(ISNUMBER(E49),(H49-ROUND(ROUND(I49*(1-E49),4),2))*M49,"不设限"),"")</f>
        <v/>
      </c>
      <c r="P49" s="32" t="n"/>
      <c r="Q49" s="27" t="n"/>
      <c r="R49" s="42" t="str">
        <f>IF(N(T49)&gt;0,SUMPRODUCT(LARGE(('成交明细'!$A$5:$A$804=A49)*('成交明细'!$C$5:$C$804="买")*'成交明细'!$B$5:$B$804,COUNTIFS('成交明细'!$A$5:$A$804,A49,'成交明细'!$C$5:$C$804,"买"))),"")</f>
        <v/>
      </c>
      <c r="S49" s="42" t="str">
        <f>IF(AND(N(T49)&gt;0,N(V49)&gt;=N(T49)),SUMPRODUCT(MAX(('成交明细'!$A$5:$A$804=A49)*('成交明细'!$C$5:$C$804="卖")*'成交明细'!$B$5:$B$804)),"")</f>
        <v/>
      </c>
      <c r="T49" s="44" t="str">
        <f>IF(A49="","",SUMIFS('成交明细'!$E$5:$E$804,'成交明细'!$A$5:$A$804,A49,'成交明细'!$C$5:$C$804,"买"))</f>
        <v/>
      </c>
      <c r="U49" s="50" t="str">
        <f>IF(N(T49)&gt;0,SUMIFS('成交明细'!$F$5:$F$804,'成交明细'!$A$5:$A$804,A49,'成交明细'!$C$5:$C$804,"买")/T49,"")</f>
        <v/>
      </c>
      <c r="V49" s="44" t="str">
        <f>IF(A49="","",SUMIFS('成交明细'!$E$5:$E$804,'成交明细'!$A$5:$A$804,A49,'成交明细'!$C$5:$C$804,"卖"))</f>
        <v/>
      </c>
      <c r="W49" s="50" t="str">
        <f>IF(N(V49)&gt;0,SUMIFS('成交明细'!$F$5:$F$804,'成交明细'!$A$5:$A$804,A49,'成交明细'!$C$5:$C$804,"卖")/V49,"")</f>
        <v/>
      </c>
      <c r="X49" s="36" t="str">
        <f>IF(A49="","",IF(Q49&lt;&gt;"已执行",IF(Q49="","未填执行情况",Q49),IF(N(T49)=0,"待录成交",IF(N(V49)&gt;N(T49),"卖出多于买入",IF(N(V49)&lt;N(T49),"持仓中","已平仓")))))</f>
        <v/>
      </c>
      <c r="Y49" s="51" t="str">
        <f>IF(N(T49)=0,"",SUMIFS('成交明细'!$K$5:$K$804,'成交明细'!$A$5:$A$804,A49))</f>
        <v/>
      </c>
      <c r="Z49" s="52" t="str">
        <f>IF(X49&lt;&gt;"已平仓","",SUMIFS('成交明细'!$F$5:$F$804,'成交明细'!$A$5:$A$804,A49,'成交明细'!$C$5:$C$804,"卖")-SUMIFS('成交明细'!$F$5:$F$804,'成交明细'!$A$5:$A$804,A49,'成交明细'!$C$5:$C$804,"买")-Y49)</f>
        <v/>
      </c>
      <c r="AA49" s="53" t="str">
        <f>IF(AND(X49="已平仓",ISNUMBER(N49)),(Z49+Y49)/N49,"")</f>
        <v/>
      </c>
      <c r="AB49" s="53" t="str">
        <f>IF(AND(X49="已平仓",ISNUMBER(N49)),Z49/N49,"")</f>
        <v/>
      </c>
      <c r="AC49" s="54" t="str">
        <f>IF(AND(ISNUMBER(U49),ISNUMBER(H49)),U49-H49,"")</f>
        <v/>
      </c>
      <c r="AD49" s="27" t="n"/>
      <c r="AE49" s="27" t="n"/>
      <c r="AF49" s="32" t="n"/>
      <c r="AG49" s="53" t="str">
        <f>IF(A49="","",SUM(AB$5:AB49))</f>
        <v/>
      </c>
      <c r="AH49" s="55" t="str">
        <f>IF(A49="","",MAX(0,MAX(AG$5:AG49))-AG49)</f>
        <v/>
      </c>
    </row>
    <row r="50">
      <c r="A50" s="46" t="n"/>
      <c r="B50" s="31" t="n"/>
      <c r="C50" s="32" t="n"/>
      <c r="D50" s="27" t="n"/>
      <c r="E50" s="47" t="str">
        <f>IF(D50="","",IFERROR(VLOOKUP(D50,'参数'!$B$21:$C$26,2,FALSE),""))</f>
        <v/>
      </c>
      <c r="F50" s="27" t="n"/>
      <c r="G50" s="43" t="str">
        <f>IF(NOT(ISNUMBER(B50)),"",IFERROR(IF(B50-INDEX('每日复盘'!$A$5:$A$264,MATCH(B50-1,'每日复盘'!$A$5:$A$264,1))&gt;7,"",T(INDEX('每日复盘'!$AA$5:$AA$264,MATCH(B50-1,'每日复盘'!$A$5:$A$264,1)))),""))</f>
        <v/>
      </c>
      <c r="H50" s="48" t="n"/>
      <c r="I50" s="48" t="n"/>
      <c r="J50" s="48" t="n"/>
      <c r="K50" s="49" t="str">
        <f>IF(AND(ISNUMBER(H50),ISNUMBER(I50),ISNUMBER(J50)),IF(H50&gt;I50,(J50-H50)/(H50-I50),""),"")</f>
        <v/>
      </c>
      <c r="L50" s="44" t="str">
        <f>IF(AND(ISNUMBER(H50),ISNUMBER(I50)),IF(H50&gt;I50,MIN(INT(ROUND('参数'!$C$7/(H50-I50)/100,6))*100,IF(ISNUMBER(E50),IF(H50-ROUND(ROUND(I50*(1-E50),4),2)&gt;0,INT(ROUND('参数'!$C$8/(H50-ROUND(ROUND(I50*(1-E50),4),2))/100,6))*100,0),INT(ROUND('参数'!$C$7/(H50-I50)/100,6))*100)),""),"")</f>
        <v/>
      </c>
      <c r="M50" s="17" t="n"/>
      <c r="N50" s="20" t="str">
        <f>IF(AND(ISNUMBER(H50),ISNUMBER(I50),ISNUMBER(M50)),IF(AND(H50&gt;I50,M50&gt;0),(H50-I50)*M50,""),"")</f>
        <v/>
      </c>
      <c r="O50" s="20" t="str">
        <f>IF(ISNUMBER(N50),IF(ISNUMBER(E50),(H50-ROUND(ROUND(I50*(1-E50),4),2))*M50,"不设限"),"")</f>
        <v/>
      </c>
      <c r="P50" s="32" t="n"/>
      <c r="Q50" s="27" t="n"/>
      <c r="R50" s="42" t="str">
        <f>IF(N(T50)&gt;0,SUMPRODUCT(LARGE(('成交明细'!$A$5:$A$804=A50)*('成交明细'!$C$5:$C$804="买")*'成交明细'!$B$5:$B$804,COUNTIFS('成交明细'!$A$5:$A$804,A50,'成交明细'!$C$5:$C$804,"买"))),"")</f>
        <v/>
      </c>
      <c r="S50" s="42" t="str">
        <f>IF(AND(N(T50)&gt;0,N(V50)&gt;=N(T50)),SUMPRODUCT(MAX(('成交明细'!$A$5:$A$804=A50)*('成交明细'!$C$5:$C$804="卖")*'成交明细'!$B$5:$B$804)),"")</f>
        <v/>
      </c>
      <c r="T50" s="44" t="str">
        <f>IF(A50="","",SUMIFS('成交明细'!$E$5:$E$804,'成交明细'!$A$5:$A$804,A50,'成交明细'!$C$5:$C$804,"买"))</f>
        <v/>
      </c>
      <c r="U50" s="50" t="str">
        <f>IF(N(T50)&gt;0,SUMIFS('成交明细'!$F$5:$F$804,'成交明细'!$A$5:$A$804,A50,'成交明细'!$C$5:$C$804,"买")/T50,"")</f>
        <v/>
      </c>
      <c r="V50" s="44" t="str">
        <f>IF(A50="","",SUMIFS('成交明细'!$E$5:$E$804,'成交明细'!$A$5:$A$804,A50,'成交明细'!$C$5:$C$804,"卖"))</f>
        <v/>
      </c>
      <c r="W50" s="50" t="str">
        <f>IF(N(V50)&gt;0,SUMIFS('成交明细'!$F$5:$F$804,'成交明细'!$A$5:$A$804,A50,'成交明细'!$C$5:$C$804,"卖")/V50,"")</f>
        <v/>
      </c>
      <c r="X50" s="36" t="str">
        <f>IF(A50="","",IF(Q50&lt;&gt;"已执行",IF(Q50="","未填执行情况",Q50),IF(N(T50)=0,"待录成交",IF(N(V50)&gt;N(T50),"卖出多于买入",IF(N(V50)&lt;N(T50),"持仓中","已平仓")))))</f>
        <v/>
      </c>
      <c r="Y50" s="51" t="str">
        <f>IF(N(T50)=0,"",SUMIFS('成交明细'!$K$5:$K$804,'成交明细'!$A$5:$A$804,A50))</f>
        <v/>
      </c>
      <c r="Z50" s="52" t="str">
        <f>IF(X50&lt;&gt;"已平仓","",SUMIFS('成交明细'!$F$5:$F$804,'成交明细'!$A$5:$A$804,A50,'成交明细'!$C$5:$C$804,"卖")-SUMIFS('成交明细'!$F$5:$F$804,'成交明细'!$A$5:$A$804,A50,'成交明细'!$C$5:$C$804,"买")-Y50)</f>
        <v/>
      </c>
      <c r="AA50" s="53" t="str">
        <f>IF(AND(X50="已平仓",ISNUMBER(N50)),(Z50+Y50)/N50,"")</f>
        <v/>
      </c>
      <c r="AB50" s="53" t="str">
        <f>IF(AND(X50="已平仓",ISNUMBER(N50)),Z50/N50,"")</f>
        <v/>
      </c>
      <c r="AC50" s="54" t="str">
        <f>IF(AND(ISNUMBER(U50),ISNUMBER(H50)),U50-H50,"")</f>
        <v/>
      </c>
      <c r="AD50" s="27" t="n"/>
      <c r="AE50" s="27" t="n"/>
      <c r="AF50" s="32" t="n"/>
      <c r="AG50" s="53" t="str">
        <f>IF(A50="","",SUM(AB$5:AB50))</f>
        <v/>
      </c>
      <c r="AH50" s="55" t="str">
        <f>IF(A50="","",MAX(0,MAX(AG$5:AG50))-AG50)</f>
        <v/>
      </c>
    </row>
    <row r="51">
      <c r="A51" s="46" t="n"/>
      <c r="B51" s="31" t="n"/>
      <c r="C51" s="32" t="n"/>
      <c r="D51" s="27" t="n"/>
      <c r="E51" s="47" t="str">
        <f>IF(D51="","",IFERROR(VLOOKUP(D51,'参数'!$B$21:$C$26,2,FALSE),""))</f>
        <v/>
      </c>
      <c r="F51" s="27" t="n"/>
      <c r="G51" s="43" t="str">
        <f>IF(NOT(ISNUMBER(B51)),"",IFERROR(IF(B51-INDEX('每日复盘'!$A$5:$A$264,MATCH(B51-1,'每日复盘'!$A$5:$A$264,1))&gt;7,"",T(INDEX('每日复盘'!$AA$5:$AA$264,MATCH(B51-1,'每日复盘'!$A$5:$A$264,1)))),""))</f>
        <v/>
      </c>
      <c r="H51" s="48" t="n"/>
      <c r="I51" s="48" t="n"/>
      <c r="J51" s="48" t="n"/>
      <c r="K51" s="49" t="str">
        <f>IF(AND(ISNUMBER(H51),ISNUMBER(I51),ISNUMBER(J51)),IF(H51&gt;I51,(J51-H51)/(H51-I51),""),"")</f>
        <v/>
      </c>
      <c r="L51" s="44" t="str">
        <f>IF(AND(ISNUMBER(H51),ISNUMBER(I51)),IF(H51&gt;I51,MIN(INT(ROUND('参数'!$C$7/(H51-I51)/100,6))*100,IF(ISNUMBER(E51),IF(H51-ROUND(ROUND(I51*(1-E51),4),2)&gt;0,INT(ROUND('参数'!$C$8/(H51-ROUND(ROUND(I51*(1-E51),4),2))/100,6))*100,0),INT(ROUND('参数'!$C$7/(H51-I51)/100,6))*100)),""),"")</f>
        <v/>
      </c>
      <c r="M51" s="17" t="n"/>
      <c r="N51" s="20" t="str">
        <f>IF(AND(ISNUMBER(H51),ISNUMBER(I51),ISNUMBER(M51)),IF(AND(H51&gt;I51,M51&gt;0),(H51-I51)*M51,""),"")</f>
        <v/>
      </c>
      <c r="O51" s="20" t="str">
        <f>IF(ISNUMBER(N51),IF(ISNUMBER(E51),(H51-ROUND(ROUND(I51*(1-E51),4),2))*M51,"不设限"),"")</f>
        <v/>
      </c>
      <c r="P51" s="32" t="n"/>
      <c r="Q51" s="27" t="n"/>
      <c r="R51" s="42" t="str">
        <f>IF(N(T51)&gt;0,SUMPRODUCT(LARGE(('成交明细'!$A$5:$A$804=A51)*('成交明细'!$C$5:$C$804="买")*'成交明细'!$B$5:$B$804,COUNTIFS('成交明细'!$A$5:$A$804,A51,'成交明细'!$C$5:$C$804,"买"))),"")</f>
        <v/>
      </c>
      <c r="S51" s="42" t="str">
        <f>IF(AND(N(T51)&gt;0,N(V51)&gt;=N(T51)),SUMPRODUCT(MAX(('成交明细'!$A$5:$A$804=A51)*('成交明细'!$C$5:$C$804="卖")*'成交明细'!$B$5:$B$804)),"")</f>
        <v/>
      </c>
      <c r="T51" s="44" t="str">
        <f>IF(A51="","",SUMIFS('成交明细'!$E$5:$E$804,'成交明细'!$A$5:$A$804,A51,'成交明细'!$C$5:$C$804,"买"))</f>
        <v/>
      </c>
      <c r="U51" s="50" t="str">
        <f>IF(N(T51)&gt;0,SUMIFS('成交明细'!$F$5:$F$804,'成交明细'!$A$5:$A$804,A51,'成交明细'!$C$5:$C$804,"买")/T51,"")</f>
        <v/>
      </c>
      <c r="V51" s="44" t="str">
        <f>IF(A51="","",SUMIFS('成交明细'!$E$5:$E$804,'成交明细'!$A$5:$A$804,A51,'成交明细'!$C$5:$C$804,"卖"))</f>
        <v/>
      </c>
      <c r="W51" s="50" t="str">
        <f>IF(N(V51)&gt;0,SUMIFS('成交明细'!$F$5:$F$804,'成交明细'!$A$5:$A$804,A51,'成交明细'!$C$5:$C$804,"卖")/V51,"")</f>
        <v/>
      </c>
      <c r="X51" s="36" t="str">
        <f>IF(A51="","",IF(Q51&lt;&gt;"已执行",IF(Q51="","未填执行情况",Q51),IF(N(T51)=0,"待录成交",IF(N(V51)&gt;N(T51),"卖出多于买入",IF(N(V51)&lt;N(T51),"持仓中","已平仓")))))</f>
        <v/>
      </c>
      <c r="Y51" s="51" t="str">
        <f>IF(N(T51)=0,"",SUMIFS('成交明细'!$K$5:$K$804,'成交明细'!$A$5:$A$804,A51))</f>
        <v/>
      </c>
      <c r="Z51" s="52" t="str">
        <f>IF(X51&lt;&gt;"已平仓","",SUMIFS('成交明细'!$F$5:$F$804,'成交明细'!$A$5:$A$804,A51,'成交明细'!$C$5:$C$804,"卖")-SUMIFS('成交明细'!$F$5:$F$804,'成交明细'!$A$5:$A$804,A51,'成交明细'!$C$5:$C$804,"买")-Y51)</f>
        <v/>
      </c>
      <c r="AA51" s="53" t="str">
        <f>IF(AND(X51="已平仓",ISNUMBER(N51)),(Z51+Y51)/N51,"")</f>
        <v/>
      </c>
      <c r="AB51" s="53" t="str">
        <f>IF(AND(X51="已平仓",ISNUMBER(N51)),Z51/N51,"")</f>
        <v/>
      </c>
      <c r="AC51" s="54" t="str">
        <f>IF(AND(ISNUMBER(U51),ISNUMBER(H51)),U51-H51,"")</f>
        <v/>
      </c>
      <c r="AD51" s="27" t="n"/>
      <c r="AE51" s="27" t="n"/>
      <c r="AF51" s="32" t="n"/>
      <c r="AG51" s="53" t="str">
        <f>IF(A51="","",SUM(AB$5:AB51))</f>
        <v/>
      </c>
      <c r="AH51" s="55" t="str">
        <f>IF(A51="","",MAX(0,MAX(AG$5:AG51))-AG51)</f>
        <v/>
      </c>
    </row>
    <row r="52">
      <c r="A52" s="46" t="n"/>
      <c r="B52" s="31" t="n"/>
      <c r="C52" s="32" t="n"/>
      <c r="D52" s="27" t="n"/>
      <c r="E52" s="47" t="str">
        <f>IF(D52="","",IFERROR(VLOOKUP(D52,'参数'!$B$21:$C$26,2,FALSE),""))</f>
        <v/>
      </c>
      <c r="F52" s="27" t="n"/>
      <c r="G52" s="43" t="str">
        <f>IF(NOT(ISNUMBER(B52)),"",IFERROR(IF(B52-INDEX('每日复盘'!$A$5:$A$264,MATCH(B52-1,'每日复盘'!$A$5:$A$264,1))&gt;7,"",T(INDEX('每日复盘'!$AA$5:$AA$264,MATCH(B52-1,'每日复盘'!$A$5:$A$264,1)))),""))</f>
        <v/>
      </c>
      <c r="H52" s="48" t="n"/>
      <c r="I52" s="48" t="n"/>
      <c r="J52" s="48" t="n"/>
      <c r="K52" s="49" t="str">
        <f>IF(AND(ISNUMBER(H52),ISNUMBER(I52),ISNUMBER(J52)),IF(H52&gt;I52,(J52-H52)/(H52-I52),""),"")</f>
        <v/>
      </c>
      <c r="L52" s="44" t="str">
        <f>IF(AND(ISNUMBER(H52),ISNUMBER(I52)),IF(H52&gt;I52,MIN(INT(ROUND('参数'!$C$7/(H52-I52)/100,6))*100,IF(ISNUMBER(E52),IF(H52-ROUND(ROUND(I52*(1-E52),4),2)&gt;0,INT(ROUND('参数'!$C$8/(H52-ROUND(ROUND(I52*(1-E52),4),2))/100,6))*100,0),INT(ROUND('参数'!$C$7/(H52-I52)/100,6))*100)),""),"")</f>
        <v/>
      </c>
      <c r="M52" s="17" t="n"/>
      <c r="N52" s="20" t="str">
        <f>IF(AND(ISNUMBER(H52),ISNUMBER(I52),ISNUMBER(M52)),IF(AND(H52&gt;I52,M52&gt;0),(H52-I52)*M52,""),"")</f>
        <v/>
      </c>
      <c r="O52" s="20" t="str">
        <f>IF(ISNUMBER(N52),IF(ISNUMBER(E52),(H52-ROUND(ROUND(I52*(1-E52),4),2))*M52,"不设限"),"")</f>
        <v/>
      </c>
      <c r="P52" s="32" t="n"/>
      <c r="Q52" s="27" t="n"/>
      <c r="R52" s="42" t="str">
        <f>IF(N(T52)&gt;0,SUMPRODUCT(LARGE(('成交明细'!$A$5:$A$804=A52)*('成交明细'!$C$5:$C$804="买")*'成交明细'!$B$5:$B$804,COUNTIFS('成交明细'!$A$5:$A$804,A52,'成交明细'!$C$5:$C$804,"买"))),"")</f>
        <v/>
      </c>
      <c r="S52" s="42" t="str">
        <f>IF(AND(N(T52)&gt;0,N(V52)&gt;=N(T52)),SUMPRODUCT(MAX(('成交明细'!$A$5:$A$804=A52)*('成交明细'!$C$5:$C$804="卖")*'成交明细'!$B$5:$B$804)),"")</f>
        <v/>
      </c>
      <c r="T52" s="44" t="str">
        <f>IF(A52="","",SUMIFS('成交明细'!$E$5:$E$804,'成交明细'!$A$5:$A$804,A52,'成交明细'!$C$5:$C$804,"买"))</f>
        <v/>
      </c>
      <c r="U52" s="50" t="str">
        <f>IF(N(T52)&gt;0,SUMIFS('成交明细'!$F$5:$F$804,'成交明细'!$A$5:$A$804,A52,'成交明细'!$C$5:$C$804,"买")/T52,"")</f>
        <v/>
      </c>
      <c r="V52" s="44" t="str">
        <f>IF(A52="","",SUMIFS('成交明细'!$E$5:$E$804,'成交明细'!$A$5:$A$804,A52,'成交明细'!$C$5:$C$804,"卖"))</f>
        <v/>
      </c>
      <c r="W52" s="50" t="str">
        <f>IF(N(V52)&gt;0,SUMIFS('成交明细'!$F$5:$F$804,'成交明细'!$A$5:$A$804,A52,'成交明细'!$C$5:$C$804,"卖")/V52,"")</f>
        <v/>
      </c>
      <c r="X52" s="36" t="str">
        <f>IF(A52="","",IF(Q52&lt;&gt;"已执行",IF(Q52="","未填执行情况",Q52),IF(N(T52)=0,"待录成交",IF(N(V52)&gt;N(T52),"卖出多于买入",IF(N(V52)&lt;N(T52),"持仓中","已平仓")))))</f>
        <v/>
      </c>
      <c r="Y52" s="51" t="str">
        <f>IF(N(T52)=0,"",SUMIFS('成交明细'!$K$5:$K$804,'成交明细'!$A$5:$A$804,A52))</f>
        <v/>
      </c>
      <c r="Z52" s="52" t="str">
        <f>IF(X52&lt;&gt;"已平仓","",SUMIFS('成交明细'!$F$5:$F$804,'成交明细'!$A$5:$A$804,A52,'成交明细'!$C$5:$C$804,"卖")-SUMIFS('成交明细'!$F$5:$F$804,'成交明细'!$A$5:$A$804,A52,'成交明细'!$C$5:$C$804,"买")-Y52)</f>
        <v/>
      </c>
      <c r="AA52" s="53" t="str">
        <f>IF(AND(X52="已平仓",ISNUMBER(N52)),(Z52+Y52)/N52,"")</f>
        <v/>
      </c>
      <c r="AB52" s="53" t="str">
        <f>IF(AND(X52="已平仓",ISNUMBER(N52)),Z52/N52,"")</f>
        <v/>
      </c>
      <c r="AC52" s="54" t="str">
        <f>IF(AND(ISNUMBER(U52),ISNUMBER(H52)),U52-H52,"")</f>
        <v/>
      </c>
      <c r="AD52" s="27" t="n"/>
      <c r="AE52" s="27" t="n"/>
      <c r="AF52" s="32" t="n"/>
      <c r="AG52" s="53" t="str">
        <f>IF(A52="","",SUM(AB$5:AB52))</f>
        <v/>
      </c>
      <c r="AH52" s="55" t="str">
        <f>IF(A52="","",MAX(0,MAX(AG$5:AG52))-AG52)</f>
        <v/>
      </c>
    </row>
    <row r="53">
      <c r="A53" s="46" t="n"/>
      <c r="B53" s="31" t="n"/>
      <c r="C53" s="32" t="n"/>
      <c r="D53" s="27" t="n"/>
      <c r="E53" s="47" t="str">
        <f>IF(D53="","",IFERROR(VLOOKUP(D53,'参数'!$B$21:$C$26,2,FALSE),""))</f>
        <v/>
      </c>
      <c r="F53" s="27" t="n"/>
      <c r="G53" s="43" t="str">
        <f>IF(NOT(ISNUMBER(B53)),"",IFERROR(IF(B53-INDEX('每日复盘'!$A$5:$A$264,MATCH(B53-1,'每日复盘'!$A$5:$A$264,1))&gt;7,"",T(INDEX('每日复盘'!$AA$5:$AA$264,MATCH(B53-1,'每日复盘'!$A$5:$A$264,1)))),""))</f>
        <v/>
      </c>
      <c r="H53" s="48" t="n"/>
      <c r="I53" s="48" t="n"/>
      <c r="J53" s="48" t="n"/>
      <c r="K53" s="49" t="str">
        <f>IF(AND(ISNUMBER(H53),ISNUMBER(I53),ISNUMBER(J53)),IF(H53&gt;I53,(J53-H53)/(H53-I53),""),"")</f>
        <v/>
      </c>
      <c r="L53" s="44" t="str">
        <f>IF(AND(ISNUMBER(H53),ISNUMBER(I53)),IF(H53&gt;I53,MIN(INT(ROUND('参数'!$C$7/(H53-I53)/100,6))*100,IF(ISNUMBER(E53),IF(H53-ROUND(ROUND(I53*(1-E53),4),2)&gt;0,INT(ROUND('参数'!$C$8/(H53-ROUND(ROUND(I53*(1-E53),4),2))/100,6))*100,0),INT(ROUND('参数'!$C$7/(H53-I53)/100,6))*100)),""),"")</f>
        <v/>
      </c>
      <c r="M53" s="17" t="n"/>
      <c r="N53" s="20" t="str">
        <f>IF(AND(ISNUMBER(H53),ISNUMBER(I53),ISNUMBER(M53)),IF(AND(H53&gt;I53,M53&gt;0),(H53-I53)*M53,""),"")</f>
        <v/>
      </c>
      <c r="O53" s="20" t="str">
        <f>IF(ISNUMBER(N53),IF(ISNUMBER(E53),(H53-ROUND(ROUND(I53*(1-E53),4),2))*M53,"不设限"),"")</f>
        <v/>
      </c>
      <c r="P53" s="32" t="n"/>
      <c r="Q53" s="27" t="n"/>
      <c r="R53" s="42" t="str">
        <f>IF(N(T53)&gt;0,SUMPRODUCT(LARGE(('成交明细'!$A$5:$A$804=A53)*('成交明细'!$C$5:$C$804="买")*'成交明细'!$B$5:$B$804,COUNTIFS('成交明细'!$A$5:$A$804,A53,'成交明细'!$C$5:$C$804,"买"))),"")</f>
        <v/>
      </c>
      <c r="S53" s="42" t="str">
        <f>IF(AND(N(T53)&gt;0,N(V53)&gt;=N(T53)),SUMPRODUCT(MAX(('成交明细'!$A$5:$A$804=A53)*('成交明细'!$C$5:$C$804="卖")*'成交明细'!$B$5:$B$804)),"")</f>
        <v/>
      </c>
      <c r="T53" s="44" t="str">
        <f>IF(A53="","",SUMIFS('成交明细'!$E$5:$E$804,'成交明细'!$A$5:$A$804,A53,'成交明细'!$C$5:$C$804,"买"))</f>
        <v/>
      </c>
      <c r="U53" s="50" t="str">
        <f>IF(N(T53)&gt;0,SUMIFS('成交明细'!$F$5:$F$804,'成交明细'!$A$5:$A$804,A53,'成交明细'!$C$5:$C$804,"买")/T53,"")</f>
        <v/>
      </c>
      <c r="V53" s="44" t="str">
        <f>IF(A53="","",SUMIFS('成交明细'!$E$5:$E$804,'成交明细'!$A$5:$A$804,A53,'成交明细'!$C$5:$C$804,"卖"))</f>
        <v/>
      </c>
      <c r="W53" s="50" t="str">
        <f>IF(N(V53)&gt;0,SUMIFS('成交明细'!$F$5:$F$804,'成交明细'!$A$5:$A$804,A53,'成交明细'!$C$5:$C$804,"卖")/V53,"")</f>
        <v/>
      </c>
      <c r="X53" s="36" t="str">
        <f>IF(A53="","",IF(Q53&lt;&gt;"已执行",IF(Q53="","未填执行情况",Q53),IF(N(T53)=0,"待录成交",IF(N(V53)&gt;N(T53),"卖出多于买入",IF(N(V53)&lt;N(T53),"持仓中","已平仓")))))</f>
        <v/>
      </c>
      <c r="Y53" s="51" t="str">
        <f>IF(N(T53)=0,"",SUMIFS('成交明细'!$K$5:$K$804,'成交明细'!$A$5:$A$804,A53))</f>
        <v/>
      </c>
      <c r="Z53" s="52" t="str">
        <f>IF(X53&lt;&gt;"已平仓","",SUMIFS('成交明细'!$F$5:$F$804,'成交明细'!$A$5:$A$804,A53,'成交明细'!$C$5:$C$804,"卖")-SUMIFS('成交明细'!$F$5:$F$804,'成交明细'!$A$5:$A$804,A53,'成交明细'!$C$5:$C$804,"买")-Y53)</f>
        <v/>
      </c>
      <c r="AA53" s="53" t="str">
        <f>IF(AND(X53="已平仓",ISNUMBER(N53)),(Z53+Y53)/N53,"")</f>
        <v/>
      </c>
      <c r="AB53" s="53" t="str">
        <f>IF(AND(X53="已平仓",ISNUMBER(N53)),Z53/N53,"")</f>
        <v/>
      </c>
      <c r="AC53" s="54" t="str">
        <f>IF(AND(ISNUMBER(U53),ISNUMBER(H53)),U53-H53,"")</f>
        <v/>
      </c>
      <c r="AD53" s="27" t="n"/>
      <c r="AE53" s="27" t="n"/>
      <c r="AF53" s="32" t="n"/>
      <c r="AG53" s="53" t="str">
        <f>IF(A53="","",SUM(AB$5:AB53))</f>
        <v/>
      </c>
      <c r="AH53" s="55" t="str">
        <f>IF(A53="","",MAX(0,MAX(AG$5:AG53))-AG53)</f>
        <v/>
      </c>
    </row>
    <row r="54">
      <c r="A54" s="46" t="n"/>
      <c r="B54" s="31" t="n"/>
      <c r="C54" s="32" t="n"/>
      <c r="D54" s="27" t="n"/>
      <c r="E54" s="47" t="str">
        <f>IF(D54="","",IFERROR(VLOOKUP(D54,'参数'!$B$21:$C$26,2,FALSE),""))</f>
        <v/>
      </c>
      <c r="F54" s="27" t="n"/>
      <c r="G54" s="43" t="str">
        <f>IF(NOT(ISNUMBER(B54)),"",IFERROR(IF(B54-INDEX('每日复盘'!$A$5:$A$264,MATCH(B54-1,'每日复盘'!$A$5:$A$264,1))&gt;7,"",T(INDEX('每日复盘'!$AA$5:$AA$264,MATCH(B54-1,'每日复盘'!$A$5:$A$264,1)))),""))</f>
        <v/>
      </c>
      <c r="H54" s="48" t="n"/>
      <c r="I54" s="48" t="n"/>
      <c r="J54" s="48" t="n"/>
      <c r="K54" s="49" t="str">
        <f>IF(AND(ISNUMBER(H54),ISNUMBER(I54),ISNUMBER(J54)),IF(H54&gt;I54,(J54-H54)/(H54-I54),""),"")</f>
        <v/>
      </c>
      <c r="L54" s="44" t="str">
        <f>IF(AND(ISNUMBER(H54),ISNUMBER(I54)),IF(H54&gt;I54,MIN(INT(ROUND('参数'!$C$7/(H54-I54)/100,6))*100,IF(ISNUMBER(E54),IF(H54-ROUND(ROUND(I54*(1-E54),4),2)&gt;0,INT(ROUND('参数'!$C$8/(H54-ROUND(ROUND(I54*(1-E54),4),2))/100,6))*100,0),INT(ROUND('参数'!$C$7/(H54-I54)/100,6))*100)),""),"")</f>
        <v/>
      </c>
      <c r="M54" s="17" t="n"/>
      <c r="N54" s="20" t="str">
        <f>IF(AND(ISNUMBER(H54),ISNUMBER(I54),ISNUMBER(M54)),IF(AND(H54&gt;I54,M54&gt;0),(H54-I54)*M54,""),"")</f>
        <v/>
      </c>
      <c r="O54" s="20" t="str">
        <f>IF(ISNUMBER(N54),IF(ISNUMBER(E54),(H54-ROUND(ROUND(I54*(1-E54),4),2))*M54,"不设限"),"")</f>
        <v/>
      </c>
      <c r="P54" s="32" t="n"/>
      <c r="Q54" s="27" t="n"/>
      <c r="R54" s="42" t="str">
        <f>IF(N(T54)&gt;0,SUMPRODUCT(LARGE(('成交明细'!$A$5:$A$804=A54)*('成交明细'!$C$5:$C$804="买")*'成交明细'!$B$5:$B$804,COUNTIFS('成交明细'!$A$5:$A$804,A54,'成交明细'!$C$5:$C$804,"买"))),"")</f>
        <v/>
      </c>
      <c r="S54" s="42" t="str">
        <f>IF(AND(N(T54)&gt;0,N(V54)&gt;=N(T54)),SUMPRODUCT(MAX(('成交明细'!$A$5:$A$804=A54)*('成交明细'!$C$5:$C$804="卖")*'成交明细'!$B$5:$B$804)),"")</f>
        <v/>
      </c>
      <c r="T54" s="44" t="str">
        <f>IF(A54="","",SUMIFS('成交明细'!$E$5:$E$804,'成交明细'!$A$5:$A$804,A54,'成交明细'!$C$5:$C$804,"买"))</f>
        <v/>
      </c>
      <c r="U54" s="50" t="str">
        <f>IF(N(T54)&gt;0,SUMIFS('成交明细'!$F$5:$F$804,'成交明细'!$A$5:$A$804,A54,'成交明细'!$C$5:$C$804,"买")/T54,"")</f>
        <v/>
      </c>
      <c r="V54" s="44" t="str">
        <f>IF(A54="","",SUMIFS('成交明细'!$E$5:$E$804,'成交明细'!$A$5:$A$804,A54,'成交明细'!$C$5:$C$804,"卖"))</f>
        <v/>
      </c>
      <c r="W54" s="50" t="str">
        <f>IF(N(V54)&gt;0,SUMIFS('成交明细'!$F$5:$F$804,'成交明细'!$A$5:$A$804,A54,'成交明细'!$C$5:$C$804,"卖")/V54,"")</f>
        <v/>
      </c>
      <c r="X54" s="36" t="str">
        <f>IF(A54="","",IF(Q54&lt;&gt;"已执行",IF(Q54="","未填执行情况",Q54),IF(N(T54)=0,"待录成交",IF(N(V54)&gt;N(T54),"卖出多于买入",IF(N(V54)&lt;N(T54),"持仓中","已平仓")))))</f>
        <v/>
      </c>
      <c r="Y54" s="51" t="str">
        <f>IF(N(T54)=0,"",SUMIFS('成交明细'!$K$5:$K$804,'成交明细'!$A$5:$A$804,A54))</f>
        <v/>
      </c>
      <c r="Z54" s="52" t="str">
        <f>IF(X54&lt;&gt;"已平仓","",SUMIFS('成交明细'!$F$5:$F$804,'成交明细'!$A$5:$A$804,A54,'成交明细'!$C$5:$C$804,"卖")-SUMIFS('成交明细'!$F$5:$F$804,'成交明细'!$A$5:$A$804,A54,'成交明细'!$C$5:$C$804,"买")-Y54)</f>
        <v/>
      </c>
      <c r="AA54" s="53" t="str">
        <f>IF(AND(X54="已平仓",ISNUMBER(N54)),(Z54+Y54)/N54,"")</f>
        <v/>
      </c>
      <c r="AB54" s="53" t="str">
        <f>IF(AND(X54="已平仓",ISNUMBER(N54)),Z54/N54,"")</f>
        <v/>
      </c>
      <c r="AC54" s="54" t="str">
        <f>IF(AND(ISNUMBER(U54),ISNUMBER(H54)),U54-H54,"")</f>
        <v/>
      </c>
      <c r="AD54" s="27" t="n"/>
      <c r="AE54" s="27" t="n"/>
      <c r="AF54" s="32" t="n"/>
      <c r="AG54" s="53" t="str">
        <f>IF(A54="","",SUM(AB$5:AB54))</f>
        <v/>
      </c>
      <c r="AH54" s="55" t="str">
        <f>IF(A54="","",MAX(0,MAX(AG$5:AG54))-AG54)</f>
        <v/>
      </c>
    </row>
    <row r="55">
      <c r="A55" s="46" t="n"/>
      <c r="B55" s="31" t="n"/>
      <c r="C55" s="32" t="n"/>
      <c r="D55" s="27" t="n"/>
      <c r="E55" s="47" t="str">
        <f>IF(D55="","",IFERROR(VLOOKUP(D55,'参数'!$B$21:$C$26,2,FALSE),""))</f>
        <v/>
      </c>
      <c r="F55" s="27" t="n"/>
      <c r="G55" s="43" t="str">
        <f>IF(NOT(ISNUMBER(B55)),"",IFERROR(IF(B55-INDEX('每日复盘'!$A$5:$A$264,MATCH(B55-1,'每日复盘'!$A$5:$A$264,1))&gt;7,"",T(INDEX('每日复盘'!$AA$5:$AA$264,MATCH(B55-1,'每日复盘'!$A$5:$A$264,1)))),""))</f>
        <v/>
      </c>
      <c r="H55" s="48" t="n"/>
      <c r="I55" s="48" t="n"/>
      <c r="J55" s="48" t="n"/>
      <c r="K55" s="49" t="str">
        <f>IF(AND(ISNUMBER(H55),ISNUMBER(I55),ISNUMBER(J55)),IF(H55&gt;I55,(J55-H55)/(H55-I55),""),"")</f>
        <v/>
      </c>
      <c r="L55" s="44" t="str">
        <f>IF(AND(ISNUMBER(H55),ISNUMBER(I55)),IF(H55&gt;I55,MIN(INT(ROUND('参数'!$C$7/(H55-I55)/100,6))*100,IF(ISNUMBER(E55),IF(H55-ROUND(ROUND(I55*(1-E55),4),2)&gt;0,INT(ROUND('参数'!$C$8/(H55-ROUND(ROUND(I55*(1-E55),4),2))/100,6))*100,0),INT(ROUND('参数'!$C$7/(H55-I55)/100,6))*100)),""),"")</f>
        <v/>
      </c>
      <c r="M55" s="17" t="n"/>
      <c r="N55" s="20" t="str">
        <f>IF(AND(ISNUMBER(H55),ISNUMBER(I55),ISNUMBER(M55)),IF(AND(H55&gt;I55,M55&gt;0),(H55-I55)*M55,""),"")</f>
        <v/>
      </c>
      <c r="O55" s="20" t="str">
        <f>IF(ISNUMBER(N55),IF(ISNUMBER(E55),(H55-ROUND(ROUND(I55*(1-E55),4),2))*M55,"不设限"),"")</f>
        <v/>
      </c>
      <c r="P55" s="32" t="n"/>
      <c r="Q55" s="27" t="n"/>
      <c r="R55" s="42" t="str">
        <f>IF(N(T55)&gt;0,SUMPRODUCT(LARGE(('成交明细'!$A$5:$A$804=A55)*('成交明细'!$C$5:$C$804="买")*'成交明细'!$B$5:$B$804,COUNTIFS('成交明细'!$A$5:$A$804,A55,'成交明细'!$C$5:$C$804,"买"))),"")</f>
        <v/>
      </c>
      <c r="S55" s="42" t="str">
        <f>IF(AND(N(T55)&gt;0,N(V55)&gt;=N(T55)),SUMPRODUCT(MAX(('成交明细'!$A$5:$A$804=A55)*('成交明细'!$C$5:$C$804="卖")*'成交明细'!$B$5:$B$804)),"")</f>
        <v/>
      </c>
      <c r="T55" s="44" t="str">
        <f>IF(A55="","",SUMIFS('成交明细'!$E$5:$E$804,'成交明细'!$A$5:$A$804,A55,'成交明细'!$C$5:$C$804,"买"))</f>
        <v/>
      </c>
      <c r="U55" s="50" t="str">
        <f>IF(N(T55)&gt;0,SUMIFS('成交明细'!$F$5:$F$804,'成交明细'!$A$5:$A$804,A55,'成交明细'!$C$5:$C$804,"买")/T55,"")</f>
        <v/>
      </c>
      <c r="V55" s="44" t="str">
        <f>IF(A55="","",SUMIFS('成交明细'!$E$5:$E$804,'成交明细'!$A$5:$A$804,A55,'成交明细'!$C$5:$C$804,"卖"))</f>
        <v/>
      </c>
      <c r="W55" s="50" t="str">
        <f>IF(N(V55)&gt;0,SUMIFS('成交明细'!$F$5:$F$804,'成交明细'!$A$5:$A$804,A55,'成交明细'!$C$5:$C$804,"卖")/V55,"")</f>
        <v/>
      </c>
      <c r="X55" s="36" t="str">
        <f>IF(A55="","",IF(Q55&lt;&gt;"已执行",IF(Q55="","未填执行情况",Q55),IF(N(T55)=0,"待录成交",IF(N(V55)&gt;N(T55),"卖出多于买入",IF(N(V55)&lt;N(T55),"持仓中","已平仓")))))</f>
        <v/>
      </c>
      <c r="Y55" s="51" t="str">
        <f>IF(N(T55)=0,"",SUMIFS('成交明细'!$K$5:$K$804,'成交明细'!$A$5:$A$804,A55))</f>
        <v/>
      </c>
      <c r="Z55" s="52" t="str">
        <f>IF(X55&lt;&gt;"已平仓","",SUMIFS('成交明细'!$F$5:$F$804,'成交明细'!$A$5:$A$804,A55,'成交明细'!$C$5:$C$804,"卖")-SUMIFS('成交明细'!$F$5:$F$804,'成交明细'!$A$5:$A$804,A55,'成交明细'!$C$5:$C$804,"买")-Y55)</f>
        <v/>
      </c>
      <c r="AA55" s="53" t="str">
        <f>IF(AND(X55="已平仓",ISNUMBER(N55)),(Z55+Y55)/N55,"")</f>
        <v/>
      </c>
      <c r="AB55" s="53" t="str">
        <f>IF(AND(X55="已平仓",ISNUMBER(N55)),Z55/N55,"")</f>
        <v/>
      </c>
      <c r="AC55" s="54" t="str">
        <f>IF(AND(ISNUMBER(U55),ISNUMBER(H55)),U55-H55,"")</f>
        <v/>
      </c>
      <c r="AD55" s="27" t="n"/>
      <c r="AE55" s="27" t="n"/>
      <c r="AF55" s="32" t="n"/>
      <c r="AG55" s="53" t="str">
        <f>IF(A55="","",SUM(AB$5:AB55))</f>
        <v/>
      </c>
      <c r="AH55" s="55" t="str">
        <f>IF(A55="","",MAX(0,MAX(AG$5:AG55))-AG55)</f>
        <v/>
      </c>
    </row>
    <row r="56">
      <c r="A56" s="46" t="n"/>
      <c r="B56" s="31" t="n"/>
      <c r="C56" s="32" t="n"/>
      <c r="D56" s="27" t="n"/>
      <c r="E56" s="47" t="str">
        <f>IF(D56="","",IFERROR(VLOOKUP(D56,'参数'!$B$21:$C$26,2,FALSE),""))</f>
        <v/>
      </c>
      <c r="F56" s="27" t="n"/>
      <c r="G56" s="43" t="str">
        <f>IF(NOT(ISNUMBER(B56)),"",IFERROR(IF(B56-INDEX('每日复盘'!$A$5:$A$264,MATCH(B56-1,'每日复盘'!$A$5:$A$264,1))&gt;7,"",T(INDEX('每日复盘'!$AA$5:$AA$264,MATCH(B56-1,'每日复盘'!$A$5:$A$264,1)))),""))</f>
        <v/>
      </c>
      <c r="H56" s="48" t="n"/>
      <c r="I56" s="48" t="n"/>
      <c r="J56" s="48" t="n"/>
      <c r="K56" s="49" t="str">
        <f>IF(AND(ISNUMBER(H56),ISNUMBER(I56),ISNUMBER(J56)),IF(H56&gt;I56,(J56-H56)/(H56-I56),""),"")</f>
        <v/>
      </c>
      <c r="L56" s="44" t="str">
        <f>IF(AND(ISNUMBER(H56),ISNUMBER(I56)),IF(H56&gt;I56,MIN(INT(ROUND('参数'!$C$7/(H56-I56)/100,6))*100,IF(ISNUMBER(E56),IF(H56-ROUND(ROUND(I56*(1-E56),4),2)&gt;0,INT(ROUND('参数'!$C$8/(H56-ROUND(ROUND(I56*(1-E56),4),2))/100,6))*100,0),INT(ROUND('参数'!$C$7/(H56-I56)/100,6))*100)),""),"")</f>
        <v/>
      </c>
      <c r="M56" s="17" t="n"/>
      <c r="N56" s="20" t="str">
        <f>IF(AND(ISNUMBER(H56),ISNUMBER(I56),ISNUMBER(M56)),IF(AND(H56&gt;I56,M56&gt;0),(H56-I56)*M56,""),"")</f>
        <v/>
      </c>
      <c r="O56" s="20" t="str">
        <f>IF(ISNUMBER(N56),IF(ISNUMBER(E56),(H56-ROUND(ROUND(I56*(1-E56),4),2))*M56,"不设限"),"")</f>
        <v/>
      </c>
      <c r="P56" s="32" t="n"/>
      <c r="Q56" s="27" t="n"/>
      <c r="R56" s="42" t="str">
        <f>IF(N(T56)&gt;0,SUMPRODUCT(LARGE(('成交明细'!$A$5:$A$804=A56)*('成交明细'!$C$5:$C$804="买")*'成交明细'!$B$5:$B$804,COUNTIFS('成交明细'!$A$5:$A$804,A56,'成交明细'!$C$5:$C$804,"买"))),"")</f>
        <v/>
      </c>
      <c r="S56" s="42" t="str">
        <f>IF(AND(N(T56)&gt;0,N(V56)&gt;=N(T56)),SUMPRODUCT(MAX(('成交明细'!$A$5:$A$804=A56)*('成交明细'!$C$5:$C$804="卖")*'成交明细'!$B$5:$B$804)),"")</f>
        <v/>
      </c>
      <c r="T56" s="44" t="str">
        <f>IF(A56="","",SUMIFS('成交明细'!$E$5:$E$804,'成交明细'!$A$5:$A$804,A56,'成交明细'!$C$5:$C$804,"买"))</f>
        <v/>
      </c>
      <c r="U56" s="50" t="str">
        <f>IF(N(T56)&gt;0,SUMIFS('成交明细'!$F$5:$F$804,'成交明细'!$A$5:$A$804,A56,'成交明细'!$C$5:$C$804,"买")/T56,"")</f>
        <v/>
      </c>
      <c r="V56" s="44" t="str">
        <f>IF(A56="","",SUMIFS('成交明细'!$E$5:$E$804,'成交明细'!$A$5:$A$804,A56,'成交明细'!$C$5:$C$804,"卖"))</f>
        <v/>
      </c>
      <c r="W56" s="50" t="str">
        <f>IF(N(V56)&gt;0,SUMIFS('成交明细'!$F$5:$F$804,'成交明细'!$A$5:$A$804,A56,'成交明细'!$C$5:$C$804,"卖")/V56,"")</f>
        <v/>
      </c>
      <c r="X56" s="36" t="str">
        <f>IF(A56="","",IF(Q56&lt;&gt;"已执行",IF(Q56="","未填执行情况",Q56),IF(N(T56)=0,"待录成交",IF(N(V56)&gt;N(T56),"卖出多于买入",IF(N(V56)&lt;N(T56),"持仓中","已平仓")))))</f>
        <v/>
      </c>
      <c r="Y56" s="51" t="str">
        <f>IF(N(T56)=0,"",SUMIFS('成交明细'!$K$5:$K$804,'成交明细'!$A$5:$A$804,A56))</f>
        <v/>
      </c>
      <c r="Z56" s="52" t="str">
        <f>IF(X56&lt;&gt;"已平仓","",SUMIFS('成交明细'!$F$5:$F$804,'成交明细'!$A$5:$A$804,A56,'成交明细'!$C$5:$C$804,"卖")-SUMIFS('成交明细'!$F$5:$F$804,'成交明细'!$A$5:$A$804,A56,'成交明细'!$C$5:$C$804,"买")-Y56)</f>
        <v/>
      </c>
      <c r="AA56" s="53" t="str">
        <f>IF(AND(X56="已平仓",ISNUMBER(N56)),(Z56+Y56)/N56,"")</f>
        <v/>
      </c>
      <c r="AB56" s="53" t="str">
        <f>IF(AND(X56="已平仓",ISNUMBER(N56)),Z56/N56,"")</f>
        <v/>
      </c>
      <c r="AC56" s="54" t="str">
        <f>IF(AND(ISNUMBER(U56),ISNUMBER(H56)),U56-H56,"")</f>
        <v/>
      </c>
      <c r="AD56" s="27" t="n"/>
      <c r="AE56" s="27" t="n"/>
      <c r="AF56" s="32" t="n"/>
      <c r="AG56" s="53" t="str">
        <f>IF(A56="","",SUM(AB$5:AB56))</f>
        <v/>
      </c>
      <c r="AH56" s="55" t="str">
        <f>IF(A56="","",MAX(0,MAX(AG$5:AG56))-AG56)</f>
        <v/>
      </c>
    </row>
    <row r="57">
      <c r="A57" s="46" t="n"/>
      <c r="B57" s="31" t="n"/>
      <c r="C57" s="32" t="n"/>
      <c r="D57" s="27" t="n"/>
      <c r="E57" s="47" t="str">
        <f>IF(D57="","",IFERROR(VLOOKUP(D57,'参数'!$B$21:$C$26,2,FALSE),""))</f>
        <v/>
      </c>
      <c r="F57" s="27" t="n"/>
      <c r="G57" s="43" t="str">
        <f>IF(NOT(ISNUMBER(B57)),"",IFERROR(IF(B57-INDEX('每日复盘'!$A$5:$A$264,MATCH(B57-1,'每日复盘'!$A$5:$A$264,1))&gt;7,"",T(INDEX('每日复盘'!$AA$5:$AA$264,MATCH(B57-1,'每日复盘'!$A$5:$A$264,1)))),""))</f>
        <v/>
      </c>
      <c r="H57" s="48" t="n"/>
      <c r="I57" s="48" t="n"/>
      <c r="J57" s="48" t="n"/>
      <c r="K57" s="49" t="str">
        <f>IF(AND(ISNUMBER(H57),ISNUMBER(I57),ISNUMBER(J57)),IF(H57&gt;I57,(J57-H57)/(H57-I57),""),"")</f>
        <v/>
      </c>
      <c r="L57" s="44" t="str">
        <f>IF(AND(ISNUMBER(H57),ISNUMBER(I57)),IF(H57&gt;I57,MIN(INT(ROUND('参数'!$C$7/(H57-I57)/100,6))*100,IF(ISNUMBER(E57),IF(H57-ROUND(ROUND(I57*(1-E57),4),2)&gt;0,INT(ROUND('参数'!$C$8/(H57-ROUND(ROUND(I57*(1-E57),4),2))/100,6))*100,0),INT(ROUND('参数'!$C$7/(H57-I57)/100,6))*100)),""),"")</f>
        <v/>
      </c>
      <c r="M57" s="17" t="n"/>
      <c r="N57" s="20" t="str">
        <f>IF(AND(ISNUMBER(H57),ISNUMBER(I57),ISNUMBER(M57)),IF(AND(H57&gt;I57,M57&gt;0),(H57-I57)*M57,""),"")</f>
        <v/>
      </c>
      <c r="O57" s="20" t="str">
        <f>IF(ISNUMBER(N57),IF(ISNUMBER(E57),(H57-ROUND(ROUND(I57*(1-E57),4),2))*M57,"不设限"),"")</f>
        <v/>
      </c>
      <c r="P57" s="32" t="n"/>
      <c r="Q57" s="27" t="n"/>
      <c r="R57" s="42" t="str">
        <f>IF(N(T57)&gt;0,SUMPRODUCT(LARGE(('成交明细'!$A$5:$A$804=A57)*('成交明细'!$C$5:$C$804="买")*'成交明细'!$B$5:$B$804,COUNTIFS('成交明细'!$A$5:$A$804,A57,'成交明细'!$C$5:$C$804,"买"))),"")</f>
        <v/>
      </c>
      <c r="S57" s="42" t="str">
        <f>IF(AND(N(T57)&gt;0,N(V57)&gt;=N(T57)),SUMPRODUCT(MAX(('成交明细'!$A$5:$A$804=A57)*('成交明细'!$C$5:$C$804="卖")*'成交明细'!$B$5:$B$804)),"")</f>
        <v/>
      </c>
      <c r="T57" s="44" t="str">
        <f>IF(A57="","",SUMIFS('成交明细'!$E$5:$E$804,'成交明细'!$A$5:$A$804,A57,'成交明细'!$C$5:$C$804,"买"))</f>
        <v/>
      </c>
      <c r="U57" s="50" t="str">
        <f>IF(N(T57)&gt;0,SUMIFS('成交明细'!$F$5:$F$804,'成交明细'!$A$5:$A$804,A57,'成交明细'!$C$5:$C$804,"买")/T57,"")</f>
        <v/>
      </c>
      <c r="V57" s="44" t="str">
        <f>IF(A57="","",SUMIFS('成交明细'!$E$5:$E$804,'成交明细'!$A$5:$A$804,A57,'成交明细'!$C$5:$C$804,"卖"))</f>
        <v/>
      </c>
      <c r="W57" s="50" t="str">
        <f>IF(N(V57)&gt;0,SUMIFS('成交明细'!$F$5:$F$804,'成交明细'!$A$5:$A$804,A57,'成交明细'!$C$5:$C$804,"卖")/V57,"")</f>
        <v/>
      </c>
      <c r="X57" s="36" t="str">
        <f>IF(A57="","",IF(Q57&lt;&gt;"已执行",IF(Q57="","未填执行情况",Q57),IF(N(T57)=0,"待录成交",IF(N(V57)&gt;N(T57),"卖出多于买入",IF(N(V57)&lt;N(T57),"持仓中","已平仓")))))</f>
        <v/>
      </c>
      <c r="Y57" s="51" t="str">
        <f>IF(N(T57)=0,"",SUMIFS('成交明细'!$K$5:$K$804,'成交明细'!$A$5:$A$804,A57))</f>
        <v/>
      </c>
      <c r="Z57" s="52" t="str">
        <f>IF(X57&lt;&gt;"已平仓","",SUMIFS('成交明细'!$F$5:$F$804,'成交明细'!$A$5:$A$804,A57,'成交明细'!$C$5:$C$804,"卖")-SUMIFS('成交明细'!$F$5:$F$804,'成交明细'!$A$5:$A$804,A57,'成交明细'!$C$5:$C$804,"买")-Y57)</f>
        <v/>
      </c>
      <c r="AA57" s="53" t="str">
        <f>IF(AND(X57="已平仓",ISNUMBER(N57)),(Z57+Y57)/N57,"")</f>
        <v/>
      </c>
      <c r="AB57" s="53" t="str">
        <f>IF(AND(X57="已平仓",ISNUMBER(N57)),Z57/N57,"")</f>
        <v/>
      </c>
      <c r="AC57" s="54" t="str">
        <f>IF(AND(ISNUMBER(U57),ISNUMBER(H57)),U57-H57,"")</f>
        <v/>
      </c>
      <c r="AD57" s="27" t="n"/>
      <c r="AE57" s="27" t="n"/>
      <c r="AF57" s="32" t="n"/>
      <c r="AG57" s="53" t="str">
        <f>IF(A57="","",SUM(AB$5:AB57))</f>
        <v/>
      </c>
      <c r="AH57" s="55" t="str">
        <f>IF(A57="","",MAX(0,MAX(AG$5:AG57))-AG57)</f>
        <v/>
      </c>
    </row>
    <row r="58">
      <c r="A58" s="46" t="n"/>
      <c r="B58" s="31" t="n"/>
      <c r="C58" s="32" t="n"/>
      <c r="D58" s="27" t="n"/>
      <c r="E58" s="47" t="str">
        <f>IF(D58="","",IFERROR(VLOOKUP(D58,'参数'!$B$21:$C$26,2,FALSE),""))</f>
        <v/>
      </c>
      <c r="F58" s="27" t="n"/>
      <c r="G58" s="43" t="str">
        <f>IF(NOT(ISNUMBER(B58)),"",IFERROR(IF(B58-INDEX('每日复盘'!$A$5:$A$264,MATCH(B58-1,'每日复盘'!$A$5:$A$264,1))&gt;7,"",T(INDEX('每日复盘'!$AA$5:$AA$264,MATCH(B58-1,'每日复盘'!$A$5:$A$264,1)))),""))</f>
        <v/>
      </c>
      <c r="H58" s="48" t="n"/>
      <c r="I58" s="48" t="n"/>
      <c r="J58" s="48" t="n"/>
      <c r="K58" s="49" t="str">
        <f>IF(AND(ISNUMBER(H58),ISNUMBER(I58),ISNUMBER(J58)),IF(H58&gt;I58,(J58-H58)/(H58-I58),""),"")</f>
        <v/>
      </c>
      <c r="L58" s="44" t="str">
        <f>IF(AND(ISNUMBER(H58),ISNUMBER(I58)),IF(H58&gt;I58,MIN(INT(ROUND('参数'!$C$7/(H58-I58)/100,6))*100,IF(ISNUMBER(E58),IF(H58-ROUND(ROUND(I58*(1-E58),4),2)&gt;0,INT(ROUND('参数'!$C$8/(H58-ROUND(ROUND(I58*(1-E58),4),2))/100,6))*100,0),INT(ROUND('参数'!$C$7/(H58-I58)/100,6))*100)),""),"")</f>
        <v/>
      </c>
      <c r="M58" s="17" t="n"/>
      <c r="N58" s="20" t="str">
        <f>IF(AND(ISNUMBER(H58),ISNUMBER(I58),ISNUMBER(M58)),IF(AND(H58&gt;I58,M58&gt;0),(H58-I58)*M58,""),"")</f>
        <v/>
      </c>
      <c r="O58" s="20" t="str">
        <f>IF(ISNUMBER(N58),IF(ISNUMBER(E58),(H58-ROUND(ROUND(I58*(1-E58),4),2))*M58,"不设限"),"")</f>
        <v/>
      </c>
      <c r="P58" s="32" t="n"/>
      <c r="Q58" s="27" t="n"/>
      <c r="R58" s="42" t="str">
        <f>IF(N(T58)&gt;0,SUMPRODUCT(LARGE(('成交明细'!$A$5:$A$804=A58)*('成交明细'!$C$5:$C$804="买")*'成交明细'!$B$5:$B$804,COUNTIFS('成交明细'!$A$5:$A$804,A58,'成交明细'!$C$5:$C$804,"买"))),"")</f>
        <v/>
      </c>
      <c r="S58" s="42" t="str">
        <f>IF(AND(N(T58)&gt;0,N(V58)&gt;=N(T58)),SUMPRODUCT(MAX(('成交明细'!$A$5:$A$804=A58)*('成交明细'!$C$5:$C$804="卖")*'成交明细'!$B$5:$B$804)),"")</f>
        <v/>
      </c>
      <c r="T58" s="44" t="str">
        <f>IF(A58="","",SUMIFS('成交明细'!$E$5:$E$804,'成交明细'!$A$5:$A$804,A58,'成交明细'!$C$5:$C$804,"买"))</f>
        <v/>
      </c>
      <c r="U58" s="50" t="str">
        <f>IF(N(T58)&gt;0,SUMIFS('成交明细'!$F$5:$F$804,'成交明细'!$A$5:$A$804,A58,'成交明细'!$C$5:$C$804,"买")/T58,"")</f>
        <v/>
      </c>
      <c r="V58" s="44" t="str">
        <f>IF(A58="","",SUMIFS('成交明细'!$E$5:$E$804,'成交明细'!$A$5:$A$804,A58,'成交明细'!$C$5:$C$804,"卖"))</f>
        <v/>
      </c>
      <c r="W58" s="50" t="str">
        <f>IF(N(V58)&gt;0,SUMIFS('成交明细'!$F$5:$F$804,'成交明细'!$A$5:$A$804,A58,'成交明细'!$C$5:$C$804,"卖")/V58,"")</f>
        <v/>
      </c>
      <c r="X58" s="36" t="str">
        <f>IF(A58="","",IF(Q58&lt;&gt;"已执行",IF(Q58="","未填执行情况",Q58),IF(N(T58)=0,"待录成交",IF(N(V58)&gt;N(T58),"卖出多于买入",IF(N(V58)&lt;N(T58),"持仓中","已平仓")))))</f>
        <v/>
      </c>
      <c r="Y58" s="51" t="str">
        <f>IF(N(T58)=0,"",SUMIFS('成交明细'!$K$5:$K$804,'成交明细'!$A$5:$A$804,A58))</f>
        <v/>
      </c>
      <c r="Z58" s="52" t="str">
        <f>IF(X58&lt;&gt;"已平仓","",SUMIFS('成交明细'!$F$5:$F$804,'成交明细'!$A$5:$A$804,A58,'成交明细'!$C$5:$C$804,"卖")-SUMIFS('成交明细'!$F$5:$F$804,'成交明细'!$A$5:$A$804,A58,'成交明细'!$C$5:$C$804,"买")-Y58)</f>
        <v/>
      </c>
      <c r="AA58" s="53" t="str">
        <f>IF(AND(X58="已平仓",ISNUMBER(N58)),(Z58+Y58)/N58,"")</f>
        <v/>
      </c>
      <c r="AB58" s="53" t="str">
        <f>IF(AND(X58="已平仓",ISNUMBER(N58)),Z58/N58,"")</f>
        <v/>
      </c>
      <c r="AC58" s="54" t="str">
        <f>IF(AND(ISNUMBER(U58),ISNUMBER(H58)),U58-H58,"")</f>
        <v/>
      </c>
      <c r="AD58" s="27" t="n"/>
      <c r="AE58" s="27" t="n"/>
      <c r="AF58" s="32" t="n"/>
      <c r="AG58" s="53" t="str">
        <f>IF(A58="","",SUM(AB$5:AB58))</f>
        <v/>
      </c>
      <c r="AH58" s="55" t="str">
        <f>IF(A58="","",MAX(0,MAX(AG$5:AG58))-AG58)</f>
        <v/>
      </c>
    </row>
    <row r="59">
      <c r="A59" s="46" t="n"/>
      <c r="B59" s="31" t="n"/>
      <c r="C59" s="32" t="n"/>
      <c r="D59" s="27" t="n"/>
      <c r="E59" s="47" t="str">
        <f>IF(D59="","",IFERROR(VLOOKUP(D59,'参数'!$B$21:$C$26,2,FALSE),""))</f>
        <v/>
      </c>
      <c r="F59" s="27" t="n"/>
      <c r="G59" s="43" t="str">
        <f>IF(NOT(ISNUMBER(B59)),"",IFERROR(IF(B59-INDEX('每日复盘'!$A$5:$A$264,MATCH(B59-1,'每日复盘'!$A$5:$A$264,1))&gt;7,"",T(INDEX('每日复盘'!$AA$5:$AA$264,MATCH(B59-1,'每日复盘'!$A$5:$A$264,1)))),""))</f>
        <v/>
      </c>
      <c r="H59" s="48" t="n"/>
      <c r="I59" s="48" t="n"/>
      <c r="J59" s="48" t="n"/>
      <c r="K59" s="49" t="str">
        <f>IF(AND(ISNUMBER(H59),ISNUMBER(I59),ISNUMBER(J59)),IF(H59&gt;I59,(J59-H59)/(H59-I59),""),"")</f>
        <v/>
      </c>
      <c r="L59" s="44" t="str">
        <f>IF(AND(ISNUMBER(H59),ISNUMBER(I59)),IF(H59&gt;I59,MIN(INT(ROUND('参数'!$C$7/(H59-I59)/100,6))*100,IF(ISNUMBER(E59),IF(H59-ROUND(ROUND(I59*(1-E59),4),2)&gt;0,INT(ROUND('参数'!$C$8/(H59-ROUND(ROUND(I59*(1-E59),4),2))/100,6))*100,0),INT(ROUND('参数'!$C$7/(H59-I59)/100,6))*100)),""),"")</f>
        <v/>
      </c>
      <c r="M59" s="17" t="n"/>
      <c r="N59" s="20" t="str">
        <f>IF(AND(ISNUMBER(H59),ISNUMBER(I59),ISNUMBER(M59)),IF(AND(H59&gt;I59,M59&gt;0),(H59-I59)*M59,""),"")</f>
        <v/>
      </c>
      <c r="O59" s="20" t="str">
        <f>IF(ISNUMBER(N59),IF(ISNUMBER(E59),(H59-ROUND(ROUND(I59*(1-E59),4),2))*M59,"不设限"),"")</f>
        <v/>
      </c>
      <c r="P59" s="32" t="n"/>
      <c r="Q59" s="27" t="n"/>
      <c r="R59" s="42" t="str">
        <f>IF(N(T59)&gt;0,SUMPRODUCT(LARGE(('成交明细'!$A$5:$A$804=A59)*('成交明细'!$C$5:$C$804="买")*'成交明细'!$B$5:$B$804,COUNTIFS('成交明细'!$A$5:$A$804,A59,'成交明细'!$C$5:$C$804,"买"))),"")</f>
        <v/>
      </c>
      <c r="S59" s="42" t="str">
        <f>IF(AND(N(T59)&gt;0,N(V59)&gt;=N(T59)),SUMPRODUCT(MAX(('成交明细'!$A$5:$A$804=A59)*('成交明细'!$C$5:$C$804="卖")*'成交明细'!$B$5:$B$804)),"")</f>
        <v/>
      </c>
      <c r="T59" s="44" t="str">
        <f>IF(A59="","",SUMIFS('成交明细'!$E$5:$E$804,'成交明细'!$A$5:$A$804,A59,'成交明细'!$C$5:$C$804,"买"))</f>
        <v/>
      </c>
      <c r="U59" s="50" t="str">
        <f>IF(N(T59)&gt;0,SUMIFS('成交明细'!$F$5:$F$804,'成交明细'!$A$5:$A$804,A59,'成交明细'!$C$5:$C$804,"买")/T59,"")</f>
        <v/>
      </c>
      <c r="V59" s="44" t="str">
        <f>IF(A59="","",SUMIFS('成交明细'!$E$5:$E$804,'成交明细'!$A$5:$A$804,A59,'成交明细'!$C$5:$C$804,"卖"))</f>
        <v/>
      </c>
      <c r="W59" s="50" t="str">
        <f>IF(N(V59)&gt;0,SUMIFS('成交明细'!$F$5:$F$804,'成交明细'!$A$5:$A$804,A59,'成交明细'!$C$5:$C$804,"卖")/V59,"")</f>
        <v/>
      </c>
      <c r="X59" s="36" t="str">
        <f>IF(A59="","",IF(Q59&lt;&gt;"已执行",IF(Q59="","未填执行情况",Q59),IF(N(T59)=0,"待录成交",IF(N(V59)&gt;N(T59),"卖出多于买入",IF(N(V59)&lt;N(T59),"持仓中","已平仓")))))</f>
        <v/>
      </c>
      <c r="Y59" s="51" t="str">
        <f>IF(N(T59)=0,"",SUMIFS('成交明细'!$K$5:$K$804,'成交明细'!$A$5:$A$804,A59))</f>
        <v/>
      </c>
      <c r="Z59" s="52" t="str">
        <f>IF(X59&lt;&gt;"已平仓","",SUMIFS('成交明细'!$F$5:$F$804,'成交明细'!$A$5:$A$804,A59,'成交明细'!$C$5:$C$804,"卖")-SUMIFS('成交明细'!$F$5:$F$804,'成交明细'!$A$5:$A$804,A59,'成交明细'!$C$5:$C$804,"买")-Y59)</f>
        <v/>
      </c>
      <c r="AA59" s="53" t="str">
        <f>IF(AND(X59="已平仓",ISNUMBER(N59)),(Z59+Y59)/N59,"")</f>
        <v/>
      </c>
      <c r="AB59" s="53" t="str">
        <f>IF(AND(X59="已平仓",ISNUMBER(N59)),Z59/N59,"")</f>
        <v/>
      </c>
      <c r="AC59" s="54" t="str">
        <f>IF(AND(ISNUMBER(U59),ISNUMBER(H59)),U59-H59,"")</f>
        <v/>
      </c>
      <c r="AD59" s="27" t="n"/>
      <c r="AE59" s="27" t="n"/>
      <c r="AF59" s="32" t="n"/>
      <c r="AG59" s="53" t="str">
        <f>IF(A59="","",SUM(AB$5:AB59))</f>
        <v/>
      </c>
      <c r="AH59" s="55" t="str">
        <f>IF(A59="","",MAX(0,MAX(AG$5:AG59))-AG59)</f>
        <v/>
      </c>
    </row>
    <row r="60">
      <c r="A60" s="46" t="n"/>
      <c r="B60" s="31" t="n"/>
      <c r="C60" s="32" t="n"/>
      <c r="D60" s="27" t="n"/>
      <c r="E60" s="47" t="str">
        <f>IF(D60="","",IFERROR(VLOOKUP(D60,'参数'!$B$21:$C$26,2,FALSE),""))</f>
        <v/>
      </c>
      <c r="F60" s="27" t="n"/>
      <c r="G60" s="43" t="str">
        <f>IF(NOT(ISNUMBER(B60)),"",IFERROR(IF(B60-INDEX('每日复盘'!$A$5:$A$264,MATCH(B60-1,'每日复盘'!$A$5:$A$264,1))&gt;7,"",T(INDEX('每日复盘'!$AA$5:$AA$264,MATCH(B60-1,'每日复盘'!$A$5:$A$264,1)))),""))</f>
        <v/>
      </c>
      <c r="H60" s="48" t="n"/>
      <c r="I60" s="48" t="n"/>
      <c r="J60" s="48" t="n"/>
      <c r="K60" s="49" t="str">
        <f>IF(AND(ISNUMBER(H60),ISNUMBER(I60),ISNUMBER(J60)),IF(H60&gt;I60,(J60-H60)/(H60-I60),""),"")</f>
        <v/>
      </c>
      <c r="L60" s="44" t="str">
        <f>IF(AND(ISNUMBER(H60),ISNUMBER(I60)),IF(H60&gt;I60,MIN(INT(ROUND('参数'!$C$7/(H60-I60)/100,6))*100,IF(ISNUMBER(E60),IF(H60-ROUND(ROUND(I60*(1-E60),4),2)&gt;0,INT(ROUND('参数'!$C$8/(H60-ROUND(ROUND(I60*(1-E60),4),2))/100,6))*100,0),INT(ROUND('参数'!$C$7/(H60-I60)/100,6))*100)),""),"")</f>
        <v/>
      </c>
      <c r="M60" s="17" t="n"/>
      <c r="N60" s="20" t="str">
        <f>IF(AND(ISNUMBER(H60),ISNUMBER(I60),ISNUMBER(M60)),IF(AND(H60&gt;I60,M60&gt;0),(H60-I60)*M60,""),"")</f>
        <v/>
      </c>
      <c r="O60" s="20" t="str">
        <f>IF(ISNUMBER(N60),IF(ISNUMBER(E60),(H60-ROUND(ROUND(I60*(1-E60),4),2))*M60,"不设限"),"")</f>
        <v/>
      </c>
      <c r="P60" s="32" t="n"/>
      <c r="Q60" s="27" t="n"/>
      <c r="R60" s="42" t="str">
        <f>IF(N(T60)&gt;0,SUMPRODUCT(LARGE(('成交明细'!$A$5:$A$804=A60)*('成交明细'!$C$5:$C$804="买")*'成交明细'!$B$5:$B$804,COUNTIFS('成交明细'!$A$5:$A$804,A60,'成交明细'!$C$5:$C$804,"买"))),"")</f>
        <v/>
      </c>
      <c r="S60" s="42" t="str">
        <f>IF(AND(N(T60)&gt;0,N(V60)&gt;=N(T60)),SUMPRODUCT(MAX(('成交明细'!$A$5:$A$804=A60)*('成交明细'!$C$5:$C$804="卖")*'成交明细'!$B$5:$B$804)),"")</f>
        <v/>
      </c>
      <c r="T60" s="44" t="str">
        <f>IF(A60="","",SUMIFS('成交明细'!$E$5:$E$804,'成交明细'!$A$5:$A$804,A60,'成交明细'!$C$5:$C$804,"买"))</f>
        <v/>
      </c>
      <c r="U60" s="50" t="str">
        <f>IF(N(T60)&gt;0,SUMIFS('成交明细'!$F$5:$F$804,'成交明细'!$A$5:$A$804,A60,'成交明细'!$C$5:$C$804,"买")/T60,"")</f>
        <v/>
      </c>
      <c r="V60" s="44" t="str">
        <f>IF(A60="","",SUMIFS('成交明细'!$E$5:$E$804,'成交明细'!$A$5:$A$804,A60,'成交明细'!$C$5:$C$804,"卖"))</f>
        <v/>
      </c>
      <c r="W60" s="50" t="str">
        <f>IF(N(V60)&gt;0,SUMIFS('成交明细'!$F$5:$F$804,'成交明细'!$A$5:$A$804,A60,'成交明细'!$C$5:$C$804,"卖")/V60,"")</f>
        <v/>
      </c>
      <c r="X60" s="36" t="str">
        <f>IF(A60="","",IF(Q60&lt;&gt;"已执行",IF(Q60="","未填执行情况",Q60),IF(N(T60)=0,"待录成交",IF(N(V60)&gt;N(T60),"卖出多于买入",IF(N(V60)&lt;N(T60),"持仓中","已平仓")))))</f>
        <v/>
      </c>
      <c r="Y60" s="51" t="str">
        <f>IF(N(T60)=0,"",SUMIFS('成交明细'!$K$5:$K$804,'成交明细'!$A$5:$A$804,A60))</f>
        <v/>
      </c>
      <c r="Z60" s="52" t="str">
        <f>IF(X60&lt;&gt;"已平仓","",SUMIFS('成交明细'!$F$5:$F$804,'成交明细'!$A$5:$A$804,A60,'成交明细'!$C$5:$C$804,"卖")-SUMIFS('成交明细'!$F$5:$F$804,'成交明细'!$A$5:$A$804,A60,'成交明细'!$C$5:$C$804,"买")-Y60)</f>
        <v/>
      </c>
      <c r="AA60" s="53" t="str">
        <f>IF(AND(X60="已平仓",ISNUMBER(N60)),(Z60+Y60)/N60,"")</f>
        <v/>
      </c>
      <c r="AB60" s="53" t="str">
        <f>IF(AND(X60="已平仓",ISNUMBER(N60)),Z60/N60,"")</f>
        <v/>
      </c>
      <c r="AC60" s="54" t="str">
        <f>IF(AND(ISNUMBER(U60),ISNUMBER(H60)),U60-H60,"")</f>
        <v/>
      </c>
      <c r="AD60" s="27" t="n"/>
      <c r="AE60" s="27" t="n"/>
      <c r="AF60" s="32" t="n"/>
      <c r="AG60" s="53" t="str">
        <f>IF(A60="","",SUM(AB$5:AB60))</f>
        <v/>
      </c>
      <c r="AH60" s="55" t="str">
        <f>IF(A60="","",MAX(0,MAX(AG$5:AG60))-AG60)</f>
        <v/>
      </c>
    </row>
    <row r="61">
      <c r="A61" s="46" t="n"/>
      <c r="B61" s="31" t="n"/>
      <c r="C61" s="32" t="n"/>
      <c r="D61" s="27" t="n"/>
      <c r="E61" s="47" t="str">
        <f>IF(D61="","",IFERROR(VLOOKUP(D61,'参数'!$B$21:$C$26,2,FALSE),""))</f>
        <v/>
      </c>
      <c r="F61" s="27" t="n"/>
      <c r="G61" s="43" t="str">
        <f>IF(NOT(ISNUMBER(B61)),"",IFERROR(IF(B61-INDEX('每日复盘'!$A$5:$A$264,MATCH(B61-1,'每日复盘'!$A$5:$A$264,1))&gt;7,"",T(INDEX('每日复盘'!$AA$5:$AA$264,MATCH(B61-1,'每日复盘'!$A$5:$A$264,1)))),""))</f>
        <v/>
      </c>
      <c r="H61" s="48" t="n"/>
      <c r="I61" s="48" t="n"/>
      <c r="J61" s="48" t="n"/>
      <c r="K61" s="49" t="str">
        <f>IF(AND(ISNUMBER(H61),ISNUMBER(I61),ISNUMBER(J61)),IF(H61&gt;I61,(J61-H61)/(H61-I61),""),"")</f>
        <v/>
      </c>
      <c r="L61" s="44" t="str">
        <f>IF(AND(ISNUMBER(H61),ISNUMBER(I61)),IF(H61&gt;I61,MIN(INT(ROUND('参数'!$C$7/(H61-I61)/100,6))*100,IF(ISNUMBER(E61),IF(H61-ROUND(ROUND(I61*(1-E61),4),2)&gt;0,INT(ROUND('参数'!$C$8/(H61-ROUND(ROUND(I61*(1-E61),4),2))/100,6))*100,0),INT(ROUND('参数'!$C$7/(H61-I61)/100,6))*100)),""),"")</f>
        <v/>
      </c>
      <c r="M61" s="17" t="n"/>
      <c r="N61" s="20" t="str">
        <f>IF(AND(ISNUMBER(H61),ISNUMBER(I61),ISNUMBER(M61)),IF(AND(H61&gt;I61,M61&gt;0),(H61-I61)*M61,""),"")</f>
        <v/>
      </c>
      <c r="O61" s="20" t="str">
        <f>IF(ISNUMBER(N61),IF(ISNUMBER(E61),(H61-ROUND(ROUND(I61*(1-E61),4),2))*M61,"不设限"),"")</f>
        <v/>
      </c>
      <c r="P61" s="32" t="n"/>
      <c r="Q61" s="27" t="n"/>
      <c r="R61" s="42" t="str">
        <f>IF(N(T61)&gt;0,SUMPRODUCT(LARGE(('成交明细'!$A$5:$A$804=A61)*('成交明细'!$C$5:$C$804="买")*'成交明细'!$B$5:$B$804,COUNTIFS('成交明细'!$A$5:$A$804,A61,'成交明细'!$C$5:$C$804,"买"))),"")</f>
        <v/>
      </c>
      <c r="S61" s="42" t="str">
        <f>IF(AND(N(T61)&gt;0,N(V61)&gt;=N(T61)),SUMPRODUCT(MAX(('成交明细'!$A$5:$A$804=A61)*('成交明细'!$C$5:$C$804="卖")*'成交明细'!$B$5:$B$804)),"")</f>
        <v/>
      </c>
      <c r="T61" s="44" t="str">
        <f>IF(A61="","",SUMIFS('成交明细'!$E$5:$E$804,'成交明细'!$A$5:$A$804,A61,'成交明细'!$C$5:$C$804,"买"))</f>
        <v/>
      </c>
      <c r="U61" s="50" t="str">
        <f>IF(N(T61)&gt;0,SUMIFS('成交明细'!$F$5:$F$804,'成交明细'!$A$5:$A$804,A61,'成交明细'!$C$5:$C$804,"买")/T61,"")</f>
        <v/>
      </c>
      <c r="V61" s="44" t="str">
        <f>IF(A61="","",SUMIFS('成交明细'!$E$5:$E$804,'成交明细'!$A$5:$A$804,A61,'成交明细'!$C$5:$C$804,"卖"))</f>
        <v/>
      </c>
      <c r="W61" s="50" t="str">
        <f>IF(N(V61)&gt;0,SUMIFS('成交明细'!$F$5:$F$804,'成交明细'!$A$5:$A$804,A61,'成交明细'!$C$5:$C$804,"卖")/V61,"")</f>
        <v/>
      </c>
      <c r="X61" s="36" t="str">
        <f>IF(A61="","",IF(Q61&lt;&gt;"已执行",IF(Q61="","未填执行情况",Q61),IF(N(T61)=0,"待录成交",IF(N(V61)&gt;N(T61),"卖出多于买入",IF(N(V61)&lt;N(T61),"持仓中","已平仓")))))</f>
        <v/>
      </c>
      <c r="Y61" s="51" t="str">
        <f>IF(N(T61)=0,"",SUMIFS('成交明细'!$K$5:$K$804,'成交明细'!$A$5:$A$804,A61))</f>
        <v/>
      </c>
      <c r="Z61" s="52" t="str">
        <f>IF(X61&lt;&gt;"已平仓","",SUMIFS('成交明细'!$F$5:$F$804,'成交明细'!$A$5:$A$804,A61,'成交明细'!$C$5:$C$804,"卖")-SUMIFS('成交明细'!$F$5:$F$804,'成交明细'!$A$5:$A$804,A61,'成交明细'!$C$5:$C$804,"买")-Y61)</f>
        <v/>
      </c>
      <c r="AA61" s="53" t="str">
        <f>IF(AND(X61="已平仓",ISNUMBER(N61)),(Z61+Y61)/N61,"")</f>
        <v/>
      </c>
      <c r="AB61" s="53" t="str">
        <f>IF(AND(X61="已平仓",ISNUMBER(N61)),Z61/N61,"")</f>
        <v/>
      </c>
      <c r="AC61" s="54" t="str">
        <f>IF(AND(ISNUMBER(U61),ISNUMBER(H61)),U61-H61,"")</f>
        <v/>
      </c>
      <c r="AD61" s="27" t="n"/>
      <c r="AE61" s="27" t="n"/>
      <c r="AF61" s="32" t="n"/>
      <c r="AG61" s="53" t="str">
        <f>IF(A61="","",SUM(AB$5:AB61))</f>
        <v/>
      </c>
      <c r="AH61" s="55" t="str">
        <f>IF(A61="","",MAX(0,MAX(AG$5:AG61))-AG61)</f>
        <v/>
      </c>
    </row>
    <row r="62">
      <c r="A62" s="46" t="n"/>
      <c r="B62" s="31" t="n"/>
      <c r="C62" s="32" t="n"/>
      <c r="D62" s="27" t="n"/>
      <c r="E62" s="47" t="str">
        <f>IF(D62="","",IFERROR(VLOOKUP(D62,'参数'!$B$21:$C$26,2,FALSE),""))</f>
        <v/>
      </c>
      <c r="F62" s="27" t="n"/>
      <c r="G62" s="43" t="str">
        <f>IF(NOT(ISNUMBER(B62)),"",IFERROR(IF(B62-INDEX('每日复盘'!$A$5:$A$264,MATCH(B62-1,'每日复盘'!$A$5:$A$264,1))&gt;7,"",T(INDEX('每日复盘'!$AA$5:$AA$264,MATCH(B62-1,'每日复盘'!$A$5:$A$264,1)))),""))</f>
        <v/>
      </c>
      <c r="H62" s="48" t="n"/>
      <c r="I62" s="48" t="n"/>
      <c r="J62" s="48" t="n"/>
      <c r="K62" s="49" t="str">
        <f>IF(AND(ISNUMBER(H62),ISNUMBER(I62),ISNUMBER(J62)),IF(H62&gt;I62,(J62-H62)/(H62-I62),""),"")</f>
        <v/>
      </c>
      <c r="L62" s="44" t="str">
        <f>IF(AND(ISNUMBER(H62),ISNUMBER(I62)),IF(H62&gt;I62,MIN(INT(ROUND('参数'!$C$7/(H62-I62)/100,6))*100,IF(ISNUMBER(E62),IF(H62-ROUND(ROUND(I62*(1-E62),4),2)&gt;0,INT(ROUND('参数'!$C$8/(H62-ROUND(ROUND(I62*(1-E62),4),2))/100,6))*100,0),INT(ROUND('参数'!$C$7/(H62-I62)/100,6))*100)),""),"")</f>
        <v/>
      </c>
      <c r="M62" s="17" t="n"/>
      <c r="N62" s="20" t="str">
        <f>IF(AND(ISNUMBER(H62),ISNUMBER(I62),ISNUMBER(M62)),IF(AND(H62&gt;I62,M62&gt;0),(H62-I62)*M62,""),"")</f>
        <v/>
      </c>
      <c r="O62" s="20" t="str">
        <f>IF(ISNUMBER(N62),IF(ISNUMBER(E62),(H62-ROUND(ROUND(I62*(1-E62),4),2))*M62,"不设限"),"")</f>
        <v/>
      </c>
      <c r="P62" s="32" t="n"/>
      <c r="Q62" s="27" t="n"/>
      <c r="R62" s="42" t="str">
        <f>IF(N(T62)&gt;0,SUMPRODUCT(LARGE(('成交明细'!$A$5:$A$804=A62)*('成交明细'!$C$5:$C$804="买")*'成交明细'!$B$5:$B$804,COUNTIFS('成交明细'!$A$5:$A$804,A62,'成交明细'!$C$5:$C$804,"买"))),"")</f>
        <v/>
      </c>
      <c r="S62" s="42" t="str">
        <f>IF(AND(N(T62)&gt;0,N(V62)&gt;=N(T62)),SUMPRODUCT(MAX(('成交明细'!$A$5:$A$804=A62)*('成交明细'!$C$5:$C$804="卖")*'成交明细'!$B$5:$B$804)),"")</f>
        <v/>
      </c>
      <c r="T62" s="44" t="str">
        <f>IF(A62="","",SUMIFS('成交明细'!$E$5:$E$804,'成交明细'!$A$5:$A$804,A62,'成交明细'!$C$5:$C$804,"买"))</f>
        <v/>
      </c>
      <c r="U62" s="50" t="str">
        <f>IF(N(T62)&gt;0,SUMIFS('成交明细'!$F$5:$F$804,'成交明细'!$A$5:$A$804,A62,'成交明细'!$C$5:$C$804,"买")/T62,"")</f>
        <v/>
      </c>
      <c r="V62" s="44" t="str">
        <f>IF(A62="","",SUMIFS('成交明细'!$E$5:$E$804,'成交明细'!$A$5:$A$804,A62,'成交明细'!$C$5:$C$804,"卖"))</f>
        <v/>
      </c>
      <c r="W62" s="50" t="str">
        <f>IF(N(V62)&gt;0,SUMIFS('成交明细'!$F$5:$F$804,'成交明细'!$A$5:$A$804,A62,'成交明细'!$C$5:$C$804,"卖")/V62,"")</f>
        <v/>
      </c>
      <c r="X62" s="36" t="str">
        <f>IF(A62="","",IF(Q62&lt;&gt;"已执行",IF(Q62="","未填执行情况",Q62),IF(N(T62)=0,"待录成交",IF(N(V62)&gt;N(T62),"卖出多于买入",IF(N(V62)&lt;N(T62),"持仓中","已平仓")))))</f>
        <v/>
      </c>
      <c r="Y62" s="51" t="str">
        <f>IF(N(T62)=0,"",SUMIFS('成交明细'!$K$5:$K$804,'成交明细'!$A$5:$A$804,A62))</f>
        <v/>
      </c>
      <c r="Z62" s="52" t="str">
        <f>IF(X62&lt;&gt;"已平仓","",SUMIFS('成交明细'!$F$5:$F$804,'成交明细'!$A$5:$A$804,A62,'成交明细'!$C$5:$C$804,"卖")-SUMIFS('成交明细'!$F$5:$F$804,'成交明细'!$A$5:$A$804,A62,'成交明细'!$C$5:$C$804,"买")-Y62)</f>
        <v/>
      </c>
      <c r="AA62" s="53" t="str">
        <f>IF(AND(X62="已平仓",ISNUMBER(N62)),(Z62+Y62)/N62,"")</f>
        <v/>
      </c>
      <c r="AB62" s="53" t="str">
        <f>IF(AND(X62="已平仓",ISNUMBER(N62)),Z62/N62,"")</f>
        <v/>
      </c>
      <c r="AC62" s="54" t="str">
        <f>IF(AND(ISNUMBER(U62),ISNUMBER(H62)),U62-H62,"")</f>
        <v/>
      </c>
      <c r="AD62" s="27" t="n"/>
      <c r="AE62" s="27" t="n"/>
      <c r="AF62" s="32" t="n"/>
      <c r="AG62" s="53" t="str">
        <f>IF(A62="","",SUM(AB$5:AB62))</f>
        <v/>
      </c>
      <c r="AH62" s="55" t="str">
        <f>IF(A62="","",MAX(0,MAX(AG$5:AG62))-AG62)</f>
        <v/>
      </c>
    </row>
    <row r="63">
      <c r="A63" s="46" t="n"/>
      <c r="B63" s="31" t="n"/>
      <c r="C63" s="32" t="n"/>
      <c r="D63" s="27" t="n"/>
      <c r="E63" s="47" t="str">
        <f>IF(D63="","",IFERROR(VLOOKUP(D63,'参数'!$B$21:$C$26,2,FALSE),""))</f>
        <v/>
      </c>
      <c r="F63" s="27" t="n"/>
      <c r="G63" s="43" t="str">
        <f>IF(NOT(ISNUMBER(B63)),"",IFERROR(IF(B63-INDEX('每日复盘'!$A$5:$A$264,MATCH(B63-1,'每日复盘'!$A$5:$A$264,1))&gt;7,"",T(INDEX('每日复盘'!$AA$5:$AA$264,MATCH(B63-1,'每日复盘'!$A$5:$A$264,1)))),""))</f>
        <v/>
      </c>
      <c r="H63" s="48" t="n"/>
      <c r="I63" s="48" t="n"/>
      <c r="J63" s="48" t="n"/>
      <c r="K63" s="49" t="str">
        <f>IF(AND(ISNUMBER(H63),ISNUMBER(I63),ISNUMBER(J63)),IF(H63&gt;I63,(J63-H63)/(H63-I63),""),"")</f>
        <v/>
      </c>
      <c r="L63" s="44" t="str">
        <f>IF(AND(ISNUMBER(H63),ISNUMBER(I63)),IF(H63&gt;I63,MIN(INT(ROUND('参数'!$C$7/(H63-I63)/100,6))*100,IF(ISNUMBER(E63),IF(H63-ROUND(ROUND(I63*(1-E63),4),2)&gt;0,INT(ROUND('参数'!$C$8/(H63-ROUND(ROUND(I63*(1-E63),4),2))/100,6))*100,0),INT(ROUND('参数'!$C$7/(H63-I63)/100,6))*100)),""),"")</f>
        <v/>
      </c>
      <c r="M63" s="17" t="n"/>
      <c r="N63" s="20" t="str">
        <f>IF(AND(ISNUMBER(H63),ISNUMBER(I63),ISNUMBER(M63)),IF(AND(H63&gt;I63,M63&gt;0),(H63-I63)*M63,""),"")</f>
        <v/>
      </c>
      <c r="O63" s="20" t="str">
        <f>IF(ISNUMBER(N63),IF(ISNUMBER(E63),(H63-ROUND(ROUND(I63*(1-E63),4),2))*M63,"不设限"),"")</f>
        <v/>
      </c>
      <c r="P63" s="32" t="n"/>
      <c r="Q63" s="27" t="n"/>
      <c r="R63" s="42" t="str">
        <f>IF(N(T63)&gt;0,SUMPRODUCT(LARGE(('成交明细'!$A$5:$A$804=A63)*('成交明细'!$C$5:$C$804="买")*'成交明细'!$B$5:$B$804,COUNTIFS('成交明细'!$A$5:$A$804,A63,'成交明细'!$C$5:$C$804,"买"))),"")</f>
        <v/>
      </c>
      <c r="S63" s="42" t="str">
        <f>IF(AND(N(T63)&gt;0,N(V63)&gt;=N(T63)),SUMPRODUCT(MAX(('成交明细'!$A$5:$A$804=A63)*('成交明细'!$C$5:$C$804="卖")*'成交明细'!$B$5:$B$804)),"")</f>
        <v/>
      </c>
      <c r="T63" s="44" t="str">
        <f>IF(A63="","",SUMIFS('成交明细'!$E$5:$E$804,'成交明细'!$A$5:$A$804,A63,'成交明细'!$C$5:$C$804,"买"))</f>
        <v/>
      </c>
      <c r="U63" s="50" t="str">
        <f>IF(N(T63)&gt;0,SUMIFS('成交明细'!$F$5:$F$804,'成交明细'!$A$5:$A$804,A63,'成交明细'!$C$5:$C$804,"买")/T63,"")</f>
        <v/>
      </c>
      <c r="V63" s="44" t="str">
        <f>IF(A63="","",SUMIFS('成交明细'!$E$5:$E$804,'成交明细'!$A$5:$A$804,A63,'成交明细'!$C$5:$C$804,"卖"))</f>
        <v/>
      </c>
      <c r="W63" s="50" t="str">
        <f>IF(N(V63)&gt;0,SUMIFS('成交明细'!$F$5:$F$804,'成交明细'!$A$5:$A$804,A63,'成交明细'!$C$5:$C$804,"卖")/V63,"")</f>
        <v/>
      </c>
      <c r="X63" s="36" t="str">
        <f>IF(A63="","",IF(Q63&lt;&gt;"已执行",IF(Q63="","未填执行情况",Q63),IF(N(T63)=0,"待录成交",IF(N(V63)&gt;N(T63),"卖出多于买入",IF(N(V63)&lt;N(T63),"持仓中","已平仓")))))</f>
        <v/>
      </c>
      <c r="Y63" s="51" t="str">
        <f>IF(N(T63)=0,"",SUMIFS('成交明细'!$K$5:$K$804,'成交明细'!$A$5:$A$804,A63))</f>
        <v/>
      </c>
      <c r="Z63" s="52" t="str">
        <f>IF(X63&lt;&gt;"已平仓","",SUMIFS('成交明细'!$F$5:$F$804,'成交明细'!$A$5:$A$804,A63,'成交明细'!$C$5:$C$804,"卖")-SUMIFS('成交明细'!$F$5:$F$804,'成交明细'!$A$5:$A$804,A63,'成交明细'!$C$5:$C$804,"买")-Y63)</f>
        <v/>
      </c>
      <c r="AA63" s="53" t="str">
        <f>IF(AND(X63="已平仓",ISNUMBER(N63)),(Z63+Y63)/N63,"")</f>
        <v/>
      </c>
      <c r="AB63" s="53" t="str">
        <f>IF(AND(X63="已平仓",ISNUMBER(N63)),Z63/N63,"")</f>
        <v/>
      </c>
      <c r="AC63" s="54" t="str">
        <f>IF(AND(ISNUMBER(U63),ISNUMBER(H63)),U63-H63,"")</f>
        <v/>
      </c>
      <c r="AD63" s="27" t="n"/>
      <c r="AE63" s="27" t="n"/>
      <c r="AF63" s="32" t="n"/>
      <c r="AG63" s="53" t="str">
        <f>IF(A63="","",SUM(AB$5:AB63))</f>
        <v/>
      </c>
      <c r="AH63" s="55" t="str">
        <f>IF(A63="","",MAX(0,MAX(AG$5:AG63))-AG63)</f>
        <v/>
      </c>
    </row>
    <row r="64">
      <c r="A64" s="46" t="n"/>
      <c r="B64" s="31" t="n"/>
      <c r="C64" s="32" t="n"/>
      <c r="D64" s="27" t="n"/>
      <c r="E64" s="47" t="str">
        <f>IF(D64="","",IFERROR(VLOOKUP(D64,'参数'!$B$21:$C$26,2,FALSE),""))</f>
        <v/>
      </c>
      <c r="F64" s="27" t="n"/>
      <c r="G64" s="43" t="str">
        <f>IF(NOT(ISNUMBER(B64)),"",IFERROR(IF(B64-INDEX('每日复盘'!$A$5:$A$264,MATCH(B64-1,'每日复盘'!$A$5:$A$264,1))&gt;7,"",T(INDEX('每日复盘'!$AA$5:$AA$264,MATCH(B64-1,'每日复盘'!$A$5:$A$264,1)))),""))</f>
        <v/>
      </c>
      <c r="H64" s="48" t="n"/>
      <c r="I64" s="48" t="n"/>
      <c r="J64" s="48" t="n"/>
      <c r="K64" s="49" t="str">
        <f>IF(AND(ISNUMBER(H64),ISNUMBER(I64),ISNUMBER(J64)),IF(H64&gt;I64,(J64-H64)/(H64-I64),""),"")</f>
        <v/>
      </c>
      <c r="L64" s="44" t="str">
        <f>IF(AND(ISNUMBER(H64),ISNUMBER(I64)),IF(H64&gt;I64,MIN(INT(ROUND('参数'!$C$7/(H64-I64)/100,6))*100,IF(ISNUMBER(E64),IF(H64-ROUND(ROUND(I64*(1-E64),4),2)&gt;0,INT(ROUND('参数'!$C$8/(H64-ROUND(ROUND(I64*(1-E64),4),2))/100,6))*100,0),INT(ROUND('参数'!$C$7/(H64-I64)/100,6))*100)),""),"")</f>
        <v/>
      </c>
      <c r="M64" s="17" t="n"/>
      <c r="N64" s="20" t="str">
        <f>IF(AND(ISNUMBER(H64),ISNUMBER(I64),ISNUMBER(M64)),IF(AND(H64&gt;I64,M64&gt;0),(H64-I64)*M64,""),"")</f>
        <v/>
      </c>
      <c r="O64" s="20" t="str">
        <f>IF(ISNUMBER(N64),IF(ISNUMBER(E64),(H64-ROUND(ROUND(I64*(1-E64),4),2))*M64,"不设限"),"")</f>
        <v/>
      </c>
      <c r="P64" s="32" t="n"/>
      <c r="Q64" s="27" t="n"/>
      <c r="R64" s="42" t="str">
        <f>IF(N(T64)&gt;0,SUMPRODUCT(LARGE(('成交明细'!$A$5:$A$804=A64)*('成交明细'!$C$5:$C$804="买")*'成交明细'!$B$5:$B$804,COUNTIFS('成交明细'!$A$5:$A$804,A64,'成交明细'!$C$5:$C$804,"买"))),"")</f>
        <v/>
      </c>
      <c r="S64" s="42" t="str">
        <f>IF(AND(N(T64)&gt;0,N(V64)&gt;=N(T64)),SUMPRODUCT(MAX(('成交明细'!$A$5:$A$804=A64)*('成交明细'!$C$5:$C$804="卖")*'成交明细'!$B$5:$B$804)),"")</f>
        <v/>
      </c>
      <c r="T64" s="44" t="str">
        <f>IF(A64="","",SUMIFS('成交明细'!$E$5:$E$804,'成交明细'!$A$5:$A$804,A64,'成交明细'!$C$5:$C$804,"买"))</f>
        <v/>
      </c>
      <c r="U64" s="50" t="str">
        <f>IF(N(T64)&gt;0,SUMIFS('成交明细'!$F$5:$F$804,'成交明细'!$A$5:$A$804,A64,'成交明细'!$C$5:$C$804,"买")/T64,"")</f>
        <v/>
      </c>
      <c r="V64" s="44" t="str">
        <f>IF(A64="","",SUMIFS('成交明细'!$E$5:$E$804,'成交明细'!$A$5:$A$804,A64,'成交明细'!$C$5:$C$804,"卖"))</f>
        <v/>
      </c>
      <c r="W64" s="50" t="str">
        <f>IF(N(V64)&gt;0,SUMIFS('成交明细'!$F$5:$F$804,'成交明细'!$A$5:$A$804,A64,'成交明细'!$C$5:$C$804,"卖")/V64,"")</f>
        <v/>
      </c>
      <c r="X64" s="36" t="str">
        <f>IF(A64="","",IF(Q64&lt;&gt;"已执行",IF(Q64="","未填执行情况",Q64),IF(N(T64)=0,"待录成交",IF(N(V64)&gt;N(T64),"卖出多于买入",IF(N(V64)&lt;N(T64),"持仓中","已平仓")))))</f>
        <v/>
      </c>
      <c r="Y64" s="51" t="str">
        <f>IF(N(T64)=0,"",SUMIFS('成交明细'!$K$5:$K$804,'成交明细'!$A$5:$A$804,A64))</f>
        <v/>
      </c>
      <c r="Z64" s="52" t="str">
        <f>IF(X64&lt;&gt;"已平仓","",SUMIFS('成交明细'!$F$5:$F$804,'成交明细'!$A$5:$A$804,A64,'成交明细'!$C$5:$C$804,"卖")-SUMIFS('成交明细'!$F$5:$F$804,'成交明细'!$A$5:$A$804,A64,'成交明细'!$C$5:$C$804,"买")-Y64)</f>
        <v/>
      </c>
      <c r="AA64" s="53" t="str">
        <f>IF(AND(X64="已平仓",ISNUMBER(N64)),(Z64+Y64)/N64,"")</f>
        <v/>
      </c>
      <c r="AB64" s="53" t="str">
        <f>IF(AND(X64="已平仓",ISNUMBER(N64)),Z64/N64,"")</f>
        <v/>
      </c>
      <c r="AC64" s="54" t="str">
        <f>IF(AND(ISNUMBER(U64),ISNUMBER(H64)),U64-H64,"")</f>
        <v/>
      </c>
      <c r="AD64" s="27" t="n"/>
      <c r="AE64" s="27" t="n"/>
      <c r="AF64" s="32" t="n"/>
      <c r="AG64" s="53" t="str">
        <f>IF(A64="","",SUM(AB$5:AB64))</f>
        <v/>
      </c>
      <c r="AH64" s="55" t="str">
        <f>IF(A64="","",MAX(0,MAX(AG$5:AG64))-AG64)</f>
        <v/>
      </c>
    </row>
    <row r="65">
      <c r="A65" s="46" t="n"/>
      <c r="B65" s="31" t="n"/>
      <c r="C65" s="32" t="n"/>
      <c r="D65" s="27" t="n"/>
      <c r="E65" s="47" t="str">
        <f>IF(D65="","",IFERROR(VLOOKUP(D65,'参数'!$B$21:$C$26,2,FALSE),""))</f>
        <v/>
      </c>
      <c r="F65" s="27" t="n"/>
      <c r="G65" s="43" t="str">
        <f>IF(NOT(ISNUMBER(B65)),"",IFERROR(IF(B65-INDEX('每日复盘'!$A$5:$A$264,MATCH(B65-1,'每日复盘'!$A$5:$A$264,1))&gt;7,"",T(INDEX('每日复盘'!$AA$5:$AA$264,MATCH(B65-1,'每日复盘'!$A$5:$A$264,1)))),""))</f>
        <v/>
      </c>
      <c r="H65" s="48" t="n"/>
      <c r="I65" s="48" t="n"/>
      <c r="J65" s="48" t="n"/>
      <c r="K65" s="49" t="str">
        <f>IF(AND(ISNUMBER(H65),ISNUMBER(I65),ISNUMBER(J65)),IF(H65&gt;I65,(J65-H65)/(H65-I65),""),"")</f>
        <v/>
      </c>
      <c r="L65" s="44" t="str">
        <f>IF(AND(ISNUMBER(H65),ISNUMBER(I65)),IF(H65&gt;I65,MIN(INT(ROUND('参数'!$C$7/(H65-I65)/100,6))*100,IF(ISNUMBER(E65),IF(H65-ROUND(ROUND(I65*(1-E65),4),2)&gt;0,INT(ROUND('参数'!$C$8/(H65-ROUND(ROUND(I65*(1-E65),4),2))/100,6))*100,0),INT(ROUND('参数'!$C$7/(H65-I65)/100,6))*100)),""),"")</f>
        <v/>
      </c>
      <c r="M65" s="17" t="n"/>
      <c r="N65" s="20" t="str">
        <f>IF(AND(ISNUMBER(H65),ISNUMBER(I65),ISNUMBER(M65)),IF(AND(H65&gt;I65,M65&gt;0),(H65-I65)*M65,""),"")</f>
        <v/>
      </c>
      <c r="O65" s="20" t="str">
        <f>IF(ISNUMBER(N65),IF(ISNUMBER(E65),(H65-ROUND(ROUND(I65*(1-E65),4),2))*M65,"不设限"),"")</f>
        <v/>
      </c>
      <c r="P65" s="32" t="n"/>
      <c r="Q65" s="27" t="n"/>
      <c r="R65" s="42" t="str">
        <f>IF(N(T65)&gt;0,SUMPRODUCT(LARGE(('成交明细'!$A$5:$A$804=A65)*('成交明细'!$C$5:$C$804="买")*'成交明细'!$B$5:$B$804,COUNTIFS('成交明细'!$A$5:$A$804,A65,'成交明细'!$C$5:$C$804,"买"))),"")</f>
        <v/>
      </c>
      <c r="S65" s="42" t="str">
        <f>IF(AND(N(T65)&gt;0,N(V65)&gt;=N(T65)),SUMPRODUCT(MAX(('成交明细'!$A$5:$A$804=A65)*('成交明细'!$C$5:$C$804="卖")*'成交明细'!$B$5:$B$804)),"")</f>
        <v/>
      </c>
      <c r="T65" s="44" t="str">
        <f>IF(A65="","",SUMIFS('成交明细'!$E$5:$E$804,'成交明细'!$A$5:$A$804,A65,'成交明细'!$C$5:$C$804,"买"))</f>
        <v/>
      </c>
      <c r="U65" s="50" t="str">
        <f>IF(N(T65)&gt;0,SUMIFS('成交明细'!$F$5:$F$804,'成交明细'!$A$5:$A$804,A65,'成交明细'!$C$5:$C$804,"买")/T65,"")</f>
        <v/>
      </c>
      <c r="V65" s="44" t="str">
        <f>IF(A65="","",SUMIFS('成交明细'!$E$5:$E$804,'成交明细'!$A$5:$A$804,A65,'成交明细'!$C$5:$C$804,"卖"))</f>
        <v/>
      </c>
      <c r="W65" s="50" t="str">
        <f>IF(N(V65)&gt;0,SUMIFS('成交明细'!$F$5:$F$804,'成交明细'!$A$5:$A$804,A65,'成交明细'!$C$5:$C$804,"卖")/V65,"")</f>
        <v/>
      </c>
      <c r="X65" s="36" t="str">
        <f>IF(A65="","",IF(Q65&lt;&gt;"已执行",IF(Q65="","未填执行情况",Q65),IF(N(T65)=0,"待录成交",IF(N(V65)&gt;N(T65),"卖出多于买入",IF(N(V65)&lt;N(T65),"持仓中","已平仓")))))</f>
        <v/>
      </c>
      <c r="Y65" s="51" t="str">
        <f>IF(N(T65)=0,"",SUMIFS('成交明细'!$K$5:$K$804,'成交明细'!$A$5:$A$804,A65))</f>
        <v/>
      </c>
      <c r="Z65" s="52" t="str">
        <f>IF(X65&lt;&gt;"已平仓","",SUMIFS('成交明细'!$F$5:$F$804,'成交明细'!$A$5:$A$804,A65,'成交明细'!$C$5:$C$804,"卖")-SUMIFS('成交明细'!$F$5:$F$804,'成交明细'!$A$5:$A$804,A65,'成交明细'!$C$5:$C$804,"买")-Y65)</f>
        <v/>
      </c>
      <c r="AA65" s="53" t="str">
        <f>IF(AND(X65="已平仓",ISNUMBER(N65)),(Z65+Y65)/N65,"")</f>
        <v/>
      </c>
      <c r="AB65" s="53" t="str">
        <f>IF(AND(X65="已平仓",ISNUMBER(N65)),Z65/N65,"")</f>
        <v/>
      </c>
      <c r="AC65" s="54" t="str">
        <f>IF(AND(ISNUMBER(U65),ISNUMBER(H65)),U65-H65,"")</f>
        <v/>
      </c>
      <c r="AD65" s="27" t="n"/>
      <c r="AE65" s="27" t="n"/>
      <c r="AF65" s="32" t="n"/>
      <c r="AG65" s="53" t="str">
        <f>IF(A65="","",SUM(AB$5:AB65))</f>
        <v/>
      </c>
      <c r="AH65" s="55" t="str">
        <f>IF(A65="","",MAX(0,MAX(AG$5:AG65))-AG65)</f>
        <v/>
      </c>
    </row>
    <row r="66">
      <c r="A66" s="46" t="n"/>
      <c r="B66" s="31" t="n"/>
      <c r="C66" s="32" t="n"/>
      <c r="D66" s="27" t="n"/>
      <c r="E66" s="47" t="str">
        <f>IF(D66="","",IFERROR(VLOOKUP(D66,'参数'!$B$21:$C$26,2,FALSE),""))</f>
        <v/>
      </c>
      <c r="F66" s="27" t="n"/>
      <c r="G66" s="43" t="str">
        <f>IF(NOT(ISNUMBER(B66)),"",IFERROR(IF(B66-INDEX('每日复盘'!$A$5:$A$264,MATCH(B66-1,'每日复盘'!$A$5:$A$264,1))&gt;7,"",T(INDEX('每日复盘'!$AA$5:$AA$264,MATCH(B66-1,'每日复盘'!$A$5:$A$264,1)))),""))</f>
        <v/>
      </c>
      <c r="H66" s="48" t="n"/>
      <c r="I66" s="48" t="n"/>
      <c r="J66" s="48" t="n"/>
      <c r="K66" s="49" t="str">
        <f>IF(AND(ISNUMBER(H66),ISNUMBER(I66),ISNUMBER(J66)),IF(H66&gt;I66,(J66-H66)/(H66-I66),""),"")</f>
        <v/>
      </c>
      <c r="L66" s="44" t="str">
        <f>IF(AND(ISNUMBER(H66),ISNUMBER(I66)),IF(H66&gt;I66,MIN(INT(ROUND('参数'!$C$7/(H66-I66)/100,6))*100,IF(ISNUMBER(E66),IF(H66-ROUND(ROUND(I66*(1-E66),4),2)&gt;0,INT(ROUND('参数'!$C$8/(H66-ROUND(ROUND(I66*(1-E66),4),2))/100,6))*100,0),INT(ROUND('参数'!$C$7/(H66-I66)/100,6))*100)),""),"")</f>
        <v/>
      </c>
      <c r="M66" s="17" t="n"/>
      <c r="N66" s="20" t="str">
        <f>IF(AND(ISNUMBER(H66),ISNUMBER(I66),ISNUMBER(M66)),IF(AND(H66&gt;I66,M66&gt;0),(H66-I66)*M66,""),"")</f>
        <v/>
      </c>
      <c r="O66" s="20" t="str">
        <f>IF(ISNUMBER(N66),IF(ISNUMBER(E66),(H66-ROUND(ROUND(I66*(1-E66),4),2))*M66,"不设限"),"")</f>
        <v/>
      </c>
      <c r="P66" s="32" t="n"/>
      <c r="Q66" s="27" t="n"/>
      <c r="R66" s="42" t="str">
        <f>IF(N(T66)&gt;0,SUMPRODUCT(LARGE(('成交明细'!$A$5:$A$804=A66)*('成交明细'!$C$5:$C$804="买")*'成交明细'!$B$5:$B$804,COUNTIFS('成交明细'!$A$5:$A$804,A66,'成交明细'!$C$5:$C$804,"买"))),"")</f>
        <v/>
      </c>
      <c r="S66" s="42" t="str">
        <f>IF(AND(N(T66)&gt;0,N(V66)&gt;=N(T66)),SUMPRODUCT(MAX(('成交明细'!$A$5:$A$804=A66)*('成交明细'!$C$5:$C$804="卖")*'成交明细'!$B$5:$B$804)),"")</f>
        <v/>
      </c>
      <c r="T66" s="44" t="str">
        <f>IF(A66="","",SUMIFS('成交明细'!$E$5:$E$804,'成交明细'!$A$5:$A$804,A66,'成交明细'!$C$5:$C$804,"买"))</f>
        <v/>
      </c>
      <c r="U66" s="50" t="str">
        <f>IF(N(T66)&gt;0,SUMIFS('成交明细'!$F$5:$F$804,'成交明细'!$A$5:$A$804,A66,'成交明细'!$C$5:$C$804,"买")/T66,"")</f>
        <v/>
      </c>
      <c r="V66" s="44" t="str">
        <f>IF(A66="","",SUMIFS('成交明细'!$E$5:$E$804,'成交明细'!$A$5:$A$804,A66,'成交明细'!$C$5:$C$804,"卖"))</f>
        <v/>
      </c>
      <c r="W66" s="50" t="str">
        <f>IF(N(V66)&gt;0,SUMIFS('成交明细'!$F$5:$F$804,'成交明细'!$A$5:$A$804,A66,'成交明细'!$C$5:$C$804,"卖")/V66,"")</f>
        <v/>
      </c>
      <c r="X66" s="36" t="str">
        <f>IF(A66="","",IF(Q66&lt;&gt;"已执行",IF(Q66="","未填执行情况",Q66),IF(N(T66)=0,"待录成交",IF(N(V66)&gt;N(T66),"卖出多于买入",IF(N(V66)&lt;N(T66),"持仓中","已平仓")))))</f>
        <v/>
      </c>
      <c r="Y66" s="51" t="str">
        <f>IF(N(T66)=0,"",SUMIFS('成交明细'!$K$5:$K$804,'成交明细'!$A$5:$A$804,A66))</f>
        <v/>
      </c>
      <c r="Z66" s="52" t="str">
        <f>IF(X66&lt;&gt;"已平仓","",SUMIFS('成交明细'!$F$5:$F$804,'成交明细'!$A$5:$A$804,A66,'成交明细'!$C$5:$C$804,"卖")-SUMIFS('成交明细'!$F$5:$F$804,'成交明细'!$A$5:$A$804,A66,'成交明细'!$C$5:$C$804,"买")-Y66)</f>
        <v/>
      </c>
      <c r="AA66" s="53" t="str">
        <f>IF(AND(X66="已平仓",ISNUMBER(N66)),(Z66+Y66)/N66,"")</f>
        <v/>
      </c>
      <c r="AB66" s="53" t="str">
        <f>IF(AND(X66="已平仓",ISNUMBER(N66)),Z66/N66,"")</f>
        <v/>
      </c>
      <c r="AC66" s="54" t="str">
        <f>IF(AND(ISNUMBER(U66),ISNUMBER(H66)),U66-H66,"")</f>
        <v/>
      </c>
      <c r="AD66" s="27" t="n"/>
      <c r="AE66" s="27" t="n"/>
      <c r="AF66" s="32" t="n"/>
      <c r="AG66" s="53" t="str">
        <f>IF(A66="","",SUM(AB$5:AB66))</f>
        <v/>
      </c>
      <c r="AH66" s="55" t="str">
        <f>IF(A66="","",MAX(0,MAX(AG$5:AG66))-AG66)</f>
        <v/>
      </c>
    </row>
    <row r="67">
      <c r="A67" s="46" t="n"/>
      <c r="B67" s="31" t="n"/>
      <c r="C67" s="32" t="n"/>
      <c r="D67" s="27" t="n"/>
      <c r="E67" s="47" t="str">
        <f>IF(D67="","",IFERROR(VLOOKUP(D67,'参数'!$B$21:$C$26,2,FALSE),""))</f>
        <v/>
      </c>
      <c r="F67" s="27" t="n"/>
      <c r="G67" s="43" t="str">
        <f>IF(NOT(ISNUMBER(B67)),"",IFERROR(IF(B67-INDEX('每日复盘'!$A$5:$A$264,MATCH(B67-1,'每日复盘'!$A$5:$A$264,1))&gt;7,"",T(INDEX('每日复盘'!$AA$5:$AA$264,MATCH(B67-1,'每日复盘'!$A$5:$A$264,1)))),""))</f>
        <v/>
      </c>
      <c r="H67" s="48" t="n"/>
      <c r="I67" s="48" t="n"/>
      <c r="J67" s="48" t="n"/>
      <c r="K67" s="49" t="str">
        <f>IF(AND(ISNUMBER(H67),ISNUMBER(I67),ISNUMBER(J67)),IF(H67&gt;I67,(J67-H67)/(H67-I67),""),"")</f>
        <v/>
      </c>
      <c r="L67" s="44" t="str">
        <f>IF(AND(ISNUMBER(H67),ISNUMBER(I67)),IF(H67&gt;I67,MIN(INT(ROUND('参数'!$C$7/(H67-I67)/100,6))*100,IF(ISNUMBER(E67),IF(H67-ROUND(ROUND(I67*(1-E67),4),2)&gt;0,INT(ROUND('参数'!$C$8/(H67-ROUND(ROUND(I67*(1-E67),4),2))/100,6))*100,0),INT(ROUND('参数'!$C$7/(H67-I67)/100,6))*100)),""),"")</f>
        <v/>
      </c>
      <c r="M67" s="17" t="n"/>
      <c r="N67" s="20" t="str">
        <f>IF(AND(ISNUMBER(H67),ISNUMBER(I67),ISNUMBER(M67)),IF(AND(H67&gt;I67,M67&gt;0),(H67-I67)*M67,""),"")</f>
        <v/>
      </c>
      <c r="O67" s="20" t="str">
        <f>IF(ISNUMBER(N67),IF(ISNUMBER(E67),(H67-ROUND(ROUND(I67*(1-E67),4),2))*M67,"不设限"),"")</f>
        <v/>
      </c>
      <c r="P67" s="32" t="n"/>
      <c r="Q67" s="27" t="n"/>
      <c r="R67" s="42" t="str">
        <f>IF(N(T67)&gt;0,SUMPRODUCT(LARGE(('成交明细'!$A$5:$A$804=A67)*('成交明细'!$C$5:$C$804="买")*'成交明细'!$B$5:$B$804,COUNTIFS('成交明细'!$A$5:$A$804,A67,'成交明细'!$C$5:$C$804,"买"))),"")</f>
        <v/>
      </c>
      <c r="S67" s="42" t="str">
        <f>IF(AND(N(T67)&gt;0,N(V67)&gt;=N(T67)),SUMPRODUCT(MAX(('成交明细'!$A$5:$A$804=A67)*('成交明细'!$C$5:$C$804="卖")*'成交明细'!$B$5:$B$804)),"")</f>
        <v/>
      </c>
      <c r="T67" s="44" t="str">
        <f>IF(A67="","",SUMIFS('成交明细'!$E$5:$E$804,'成交明细'!$A$5:$A$804,A67,'成交明细'!$C$5:$C$804,"买"))</f>
        <v/>
      </c>
      <c r="U67" s="50" t="str">
        <f>IF(N(T67)&gt;0,SUMIFS('成交明细'!$F$5:$F$804,'成交明细'!$A$5:$A$804,A67,'成交明细'!$C$5:$C$804,"买")/T67,"")</f>
        <v/>
      </c>
      <c r="V67" s="44" t="str">
        <f>IF(A67="","",SUMIFS('成交明细'!$E$5:$E$804,'成交明细'!$A$5:$A$804,A67,'成交明细'!$C$5:$C$804,"卖"))</f>
        <v/>
      </c>
      <c r="W67" s="50" t="str">
        <f>IF(N(V67)&gt;0,SUMIFS('成交明细'!$F$5:$F$804,'成交明细'!$A$5:$A$804,A67,'成交明细'!$C$5:$C$804,"卖")/V67,"")</f>
        <v/>
      </c>
      <c r="X67" s="36" t="str">
        <f>IF(A67="","",IF(Q67&lt;&gt;"已执行",IF(Q67="","未填执行情况",Q67),IF(N(T67)=0,"待录成交",IF(N(V67)&gt;N(T67),"卖出多于买入",IF(N(V67)&lt;N(T67),"持仓中","已平仓")))))</f>
        <v/>
      </c>
      <c r="Y67" s="51" t="str">
        <f>IF(N(T67)=0,"",SUMIFS('成交明细'!$K$5:$K$804,'成交明细'!$A$5:$A$804,A67))</f>
        <v/>
      </c>
      <c r="Z67" s="52" t="str">
        <f>IF(X67&lt;&gt;"已平仓","",SUMIFS('成交明细'!$F$5:$F$804,'成交明细'!$A$5:$A$804,A67,'成交明细'!$C$5:$C$804,"卖")-SUMIFS('成交明细'!$F$5:$F$804,'成交明细'!$A$5:$A$804,A67,'成交明细'!$C$5:$C$804,"买")-Y67)</f>
        <v/>
      </c>
      <c r="AA67" s="53" t="str">
        <f>IF(AND(X67="已平仓",ISNUMBER(N67)),(Z67+Y67)/N67,"")</f>
        <v/>
      </c>
      <c r="AB67" s="53" t="str">
        <f>IF(AND(X67="已平仓",ISNUMBER(N67)),Z67/N67,"")</f>
        <v/>
      </c>
      <c r="AC67" s="54" t="str">
        <f>IF(AND(ISNUMBER(U67),ISNUMBER(H67)),U67-H67,"")</f>
        <v/>
      </c>
      <c r="AD67" s="27" t="n"/>
      <c r="AE67" s="27" t="n"/>
      <c r="AF67" s="32" t="n"/>
      <c r="AG67" s="53" t="str">
        <f>IF(A67="","",SUM(AB$5:AB67))</f>
        <v/>
      </c>
      <c r="AH67" s="55" t="str">
        <f>IF(A67="","",MAX(0,MAX(AG$5:AG67))-AG67)</f>
        <v/>
      </c>
    </row>
    <row r="68">
      <c r="A68" s="46" t="n"/>
      <c r="B68" s="31" t="n"/>
      <c r="C68" s="32" t="n"/>
      <c r="D68" s="27" t="n"/>
      <c r="E68" s="47" t="str">
        <f>IF(D68="","",IFERROR(VLOOKUP(D68,'参数'!$B$21:$C$26,2,FALSE),""))</f>
        <v/>
      </c>
      <c r="F68" s="27" t="n"/>
      <c r="G68" s="43" t="str">
        <f>IF(NOT(ISNUMBER(B68)),"",IFERROR(IF(B68-INDEX('每日复盘'!$A$5:$A$264,MATCH(B68-1,'每日复盘'!$A$5:$A$264,1))&gt;7,"",T(INDEX('每日复盘'!$AA$5:$AA$264,MATCH(B68-1,'每日复盘'!$A$5:$A$264,1)))),""))</f>
        <v/>
      </c>
      <c r="H68" s="48" t="n"/>
      <c r="I68" s="48" t="n"/>
      <c r="J68" s="48" t="n"/>
      <c r="K68" s="49" t="str">
        <f>IF(AND(ISNUMBER(H68),ISNUMBER(I68),ISNUMBER(J68)),IF(H68&gt;I68,(J68-H68)/(H68-I68),""),"")</f>
        <v/>
      </c>
      <c r="L68" s="44" t="str">
        <f>IF(AND(ISNUMBER(H68),ISNUMBER(I68)),IF(H68&gt;I68,MIN(INT(ROUND('参数'!$C$7/(H68-I68)/100,6))*100,IF(ISNUMBER(E68),IF(H68-ROUND(ROUND(I68*(1-E68),4),2)&gt;0,INT(ROUND('参数'!$C$8/(H68-ROUND(ROUND(I68*(1-E68),4),2))/100,6))*100,0),INT(ROUND('参数'!$C$7/(H68-I68)/100,6))*100)),""),"")</f>
        <v/>
      </c>
      <c r="M68" s="17" t="n"/>
      <c r="N68" s="20" t="str">
        <f>IF(AND(ISNUMBER(H68),ISNUMBER(I68),ISNUMBER(M68)),IF(AND(H68&gt;I68,M68&gt;0),(H68-I68)*M68,""),"")</f>
        <v/>
      </c>
      <c r="O68" s="20" t="str">
        <f>IF(ISNUMBER(N68),IF(ISNUMBER(E68),(H68-ROUND(ROUND(I68*(1-E68),4),2))*M68,"不设限"),"")</f>
        <v/>
      </c>
      <c r="P68" s="32" t="n"/>
      <c r="Q68" s="27" t="n"/>
      <c r="R68" s="42" t="str">
        <f>IF(N(T68)&gt;0,SUMPRODUCT(LARGE(('成交明细'!$A$5:$A$804=A68)*('成交明细'!$C$5:$C$804="买")*'成交明细'!$B$5:$B$804,COUNTIFS('成交明细'!$A$5:$A$804,A68,'成交明细'!$C$5:$C$804,"买"))),"")</f>
        <v/>
      </c>
      <c r="S68" s="42" t="str">
        <f>IF(AND(N(T68)&gt;0,N(V68)&gt;=N(T68)),SUMPRODUCT(MAX(('成交明细'!$A$5:$A$804=A68)*('成交明细'!$C$5:$C$804="卖")*'成交明细'!$B$5:$B$804)),"")</f>
        <v/>
      </c>
      <c r="T68" s="44" t="str">
        <f>IF(A68="","",SUMIFS('成交明细'!$E$5:$E$804,'成交明细'!$A$5:$A$804,A68,'成交明细'!$C$5:$C$804,"买"))</f>
        <v/>
      </c>
      <c r="U68" s="50" t="str">
        <f>IF(N(T68)&gt;0,SUMIFS('成交明细'!$F$5:$F$804,'成交明细'!$A$5:$A$804,A68,'成交明细'!$C$5:$C$804,"买")/T68,"")</f>
        <v/>
      </c>
      <c r="V68" s="44" t="str">
        <f>IF(A68="","",SUMIFS('成交明细'!$E$5:$E$804,'成交明细'!$A$5:$A$804,A68,'成交明细'!$C$5:$C$804,"卖"))</f>
        <v/>
      </c>
      <c r="W68" s="50" t="str">
        <f>IF(N(V68)&gt;0,SUMIFS('成交明细'!$F$5:$F$804,'成交明细'!$A$5:$A$804,A68,'成交明细'!$C$5:$C$804,"卖")/V68,"")</f>
        <v/>
      </c>
      <c r="X68" s="36" t="str">
        <f>IF(A68="","",IF(Q68&lt;&gt;"已执行",IF(Q68="","未填执行情况",Q68),IF(N(T68)=0,"待录成交",IF(N(V68)&gt;N(T68),"卖出多于买入",IF(N(V68)&lt;N(T68),"持仓中","已平仓")))))</f>
        <v/>
      </c>
      <c r="Y68" s="51" t="str">
        <f>IF(N(T68)=0,"",SUMIFS('成交明细'!$K$5:$K$804,'成交明细'!$A$5:$A$804,A68))</f>
        <v/>
      </c>
      <c r="Z68" s="52" t="str">
        <f>IF(X68&lt;&gt;"已平仓","",SUMIFS('成交明细'!$F$5:$F$804,'成交明细'!$A$5:$A$804,A68,'成交明细'!$C$5:$C$804,"卖")-SUMIFS('成交明细'!$F$5:$F$804,'成交明细'!$A$5:$A$804,A68,'成交明细'!$C$5:$C$804,"买")-Y68)</f>
        <v/>
      </c>
      <c r="AA68" s="53" t="str">
        <f>IF(AND(X68="已平仓",ISNUMBER(N68)),(Z68+Y68)/N68,"")</f>
        <v/>
      </c>
      <c r="AB68" s="53" t="str">
        <f>IF(AND(X68="已平仓",ISNUMBER(N68)),Z68/N68,"")</f>
        <v/>
      </c>
      <c r="AC68" s="54" t="str">
        <f>IF(AND(ISNUMBER(U68),ISNUMBER(H68)),U68-H68,"")</f>
        <v/>
      </c>
      <c r="AD68" s="27" t="n"/>
      <c r="AE68" s="27" t="n"/>
      <c r="AF68" s="32" t="n"/>
      <c r="AG68" s="53" t="str">
        <f>IF(A68="","",SUM(AB$5:AB68))</f>
        <v/>
      </c>
      <c r="AH68" s="55" t="str">
        <f>IF(A68="","",MAX(0,MAX(AG$5:AG68))-AG68)</f>
        <v/>
      </c>
    </row>
    <row r="69">
      <c r="A69" s="46" t="n"/>
      <c r="B69" s="31" t="n"/>
      <c r="C69" s="32" t="n"/>
      <c r="D69" s="27" t="n"/>
      <c r="E69" s="47" t="str">
        <f>IF(D69="","",IFERROR(VLOOKUP(D69,'参数'!$B$21:$C$26,2,FALSE),""))</f>
        <v/>
      </c>
      <c r="F69" s="27" t="n"/>
      <c r="G69" s="43" t="str">
        <f>IF(NOT(ISNUMBER(B69)),"",IFERROR(IF(B69-INDEX('每日复盘'!$A$5:$A$264,MATCH(B69-1,'每日复盘'!$A$5:$A$264,1))&gt;7,"",T(INDEX('每日复盘'!$AA$5:$AA$264,MATCH(B69-1,'每日复盘'!$A$5:$A$264,1)))),""))</f>
        <v/>
      </c>
      <c r="H69" s="48" t="n"/>
      <c r="I69" s="48" t="n"/>
      <c r="J69" s="48" t="n"/>
      <c r="K69" s="49" t="str">
        <f>IF(AND(ISNUMBER(H69),ISNUMBER(I69),ISNUMBER(J69)),IF(H69&gt;I69,(J69-H69)/(H69-I69),""),"")</f>
        <v/>
      </c>
      <c r="L69" s="44" t="str">
        <f>IF(AND(ISNUMBER(H69),ISNUMBER(I69)),IF(H69&gt;I69,MIN(INT(ROUND('参数'!$C$7/(H69-I69)/100,6))*100,IF(ISNUMBER(E69),IF(H69-ROUND(ROUND(I69*(1-E69),4),2)&gt;0,INT(ROUND('参数'!$C$8/(H69-ROUND(ROUND(I69*(1-E69),4),2))/100,6))*100,0),INT(ROUND('参数'!$C$7/(H69-I69)/100,6))*100)),""),"")</f>
        <v/>
      </c>
      <c r="M69" s="17" t="n"/>
      <c r="N69" s="20" t="str">
        <f>IF(AND(ISNUMBER(H69),ISNUMBER(I69),ISNUMBER(M69)),IF(AND(H69&gt;I69,M69&gt;0),(H69-I69)*M69,""),"")</f>
        <v/>
      </c>
      <c r="O69" s="20" t="str">
        <f>IF(ISNUMBER(N69),IF(ISNUMBER(E69),(H69-ROUND(ROUND(I69*(1-E69),4),2))*M69,"不设限"),"")</f>
        <v/>
      </c>
      <c r="P69" s="32" t="n"/>
      <c r="Q69" s="27" t="n"/>
      <c r="R69" s="42" t="str">
        <f>IF(N(T69)&gt;0,SUMPRODUCT(LARGE(('成交明细'!$A$5:$A$804=A69)*('成交明细'!$C$5:$C$804="买")*'成交明细'!$B$5:$B$804,COUNTIFS('成交明细'!$A$5:$A$804,A69,'成交明细'!$C$5:$C$804,"买"))),"")</f>
        <v/>
      </c>
      <c r="S69" s="42" t="str">
        <f>IF(AND(N(T69)&gt;0,N(V69)&gt;=N(T69)),SUMPRODUCT(MAX(('成交明细'!$A$5:$A$804=A69)*('成交明细'!$C$5:$C$804="卖")*'成交明细'!$B$5:$B$804)),"")</f>
        <v/>
      </c>
      <c r="T69" s="44" t="str">
        <f>IF(A69="","",SUMIFS('成交明细'!$E$5:$E$804,'成交明细'!$A$5:$A$804,A69,'成交明细'!$C$5:$C$804,"买"))</f>
        <v/>
      </c>
      <c r="U69" s="50" t="str">
        <f>IF(N(T69)&gt;0,SUMIFS('成交明细'!$F$5:$F$804,'成交明细'!$A$5:$A$804,A69,'成交明细'!$C$5:$C$804,"买")/T69,"")</f>
        <v/>
      </c>
      <c r="V69" s="44" t="str">
        <f>IF(A69="","",SUMIFS('成交明细'!$E$5:$E$804,'成交明细'!$A$5:$A$804,A69,'成交明细'!$C$5:$C$804,"卖"))</f>
        <v/>
      </c>
      <c r="W69" s="50" t="str">
        <f>IF(N(V69)&gt;0,SUMIFS('成交明细'!$F$5:$F$804,'成交明细'!$A$5:$A$804,A69,'成交明细'!$C$5:$C$804,"卖")/V69,"")</f>
        <v/>
      </c>
      <c r="X69" s="36" t="str">
        <f>IF(A69="","",IF(Q69&lt;&gt;"已执行",IF(Q69="","未填执行情况",Q69),IF(N(T69)=0,"待录成交",IF(N(V69)&gt;N(T69),"卖出多于买入",IF(N(V69)&lt;N(T69),"持仓中","已平仓")))))</f>
        <v/>
      </c>
      <c r="Y69" s="51" t="str">
        <f>IF(N(T69)=0,"",SUMIFS('成交明细'!$K$5:$K$804,'成交明细'!$A$5:$A$804,A69))</f>
        <v/>
      </c>
      <c r="Z69" s="52" t="str">
        <f>IF(X69&lt;&gt;"已平仓","",SUMIFS('成交明细'!$F$5:$F$804,'成交明细'!$A$5:$A$804,A69,'成交明细'!$C$5:$C$804,"卖")-SUMIFS('成交明细'!$F$5:$F$804,'成交明细'!$A$5:$A$804,A69,'成交明细'!$C$5:$C$804,"买")-Y69)</f>
        <v/>
      </c>
      <c r="AA69" s="53" t="str">
        <f>IF(AND(X69="已平仓",ISNUMBER(N69)),(Z69+Y69)/N69,"")</f>
        <v/>
      </c>
      <c r="AB69" s="53" t="str">
        <f>IF(AND(X69="已平仓",ISNUMBER(N69)),Z69/N69,"")</f>
        <v/>
      </c>
      <c r="AC69" s="54" t="str">
        <f>IF(AND(ISNUMBER(U69),ISNUMBER(H69)),U69-H69,"")</f>
        <v/>
      </c>
      <c r="AD69" s="27" t="n"/>
      <c r="AE69" s="27" t="n"/>
      <c r="AF69" s="32" t="n"/>
      <c r="AG69" s="53" t="str">
        <f>IF(A69="","",SUM(AB$5:AB69))</f>
        <v/>
      </c>
      <c r="AH69" s="55" t="str">
        <f>IF(A69="","",MAX(0,MAX(AG$5:AG69))-AG69)</f>
        <v/>
      </c>
    </row>
    <row r="70">
      <c r="A70" s="46" t="n"/>
      <c r="B70" s="31" t="n"/>
      <c r="C70" s="32" t="n"/>
      <c r="D70" s="27" t="n"/>
      <c r="E70" s="47" t="str">
        <f>IF(D70="","",IFERROR(VLOOKUP(D70,'参数'!$B$21:$C$26,2,FALSE),""))</f>
        <v/>
      </c>
      <c r="F70" s="27" t="n"/>
      <c r="G70" s="43" t="str">
        <f>IF(NOT(ISNUMBER(B70)),"",IFERROR(IF(B70-INDEX('每日复盘'!$A$5:$A$264,MATCH(B70-1,'每日复盘'!$A$5:$A$264,1))&gt;7,"",T(INDEX('每日复盘'!$AA$5:$AA$264,MATCH(B70-1,'每日复盘'!$A$5:$A$264,1)))),""))</f>
        <v/>
      </c>
      <c r="H70" s="48" t="n"/>
      <c r="I70" s="48" t="n"/>
      <c r="J70" s="48" t="n"/>
      <c r="K70" s="49" t="str">
        <f>IF(AND(ISNUMBER(H70),ISNUMBER(I70),ISNUMBER(J70)),IF(H70&gt;I70,(J70-H70)/(H70-I70),""),"")</f>
        <v/>
      </c>
      <c r="L70" s="44" t="str">
        <f>IF(AND(ISNUMBER(H70),ISNUMBER(I70)),IF(H70&gt;I70,MIN(INT(ROUND('参数'!$C$7/(H70-I70)/100,6))*100,IF(ISNUMBER(E70),IF(H70-ROUND(ROUND(I70*(1-E70),4),2)&gt;0,INT(ROUND('参数'!$C$8/(H70-ROUND(ROUND(I70*(1-E70),4),2))/100,6))*100,0),INT(ROUND('参数'!$C$7/(H70-I70)/100,6))*100)),""),"")</f>
        <v/>
      </c>
      <c r="M70" s="17" t="n"/>
      <c r="N70" s="20" t="str">
        <f>IF(AND(ISNUMBER(H70),ISNUMBER(I70),ISNUMBER(M70)),IF(AND(H70&gt;I70,M70&gt;0),(H70-I70)*M70,""),"")</f>
        <v/>
      </c>
      <c r="O70" s="20" t="str">
        <f>IF(ISNUMBER(N70),IF(ISNUMBER(E70),(H70-ROUND(ROUND(I70*(1-E70),4),2))*M70,"不设限"),"")</f>
        <v/>
      </c>
      <c r="P70" s="32" t="n"/>
      <c r="Q70" s="27" t="n"/>
      <c r="R70" s="42" t="str">
        <f>IF(N(T70)&gt;0,SUMPRODUCT(LARGE(('成交明细'!$A$5:$A$804=A70)*('成交明细'!$C$5:$C$804="买")*'成交明细'!$B$5:$B$804,COUNTIFS('成交明细'!$A$5:$A$804,A70,'成交明细'!$C$5:$C$804,"买"))),"")</f>
        <v/>
      </c>
      <c r="S70" s="42" t="str">
        <f>IF(AND(N(T70)&gt;0,N(V70)&gt;=N(T70)),SUMPRODUCT(MAX(('成交明细'!$A$5:$A$804=A70)*('成交明细'!$C$5:$C$804="卖")*'成交明细'!$B$5:$B$804)),"")</f>
        <v/>
      </c>
      <c r="T70" s="44" t="str">
        <f>IF(A70="","",SUMIFS('成交明细'!$E$5:$E$804,'成交明细'!$A$5:$A$804,A70,'成交明细'!$C$5:$C$804,"买"))</f>
        <v/>
      </c>
      <c r="U70" s="50" t="str">
        <f>IF(N(T70)&gt;0,SUMIFS('成交明细'!$F$5:$F$804,'成交明细'!$A$5:$A$804,A70,'成交明细'!$C$5:$C$804,"买")/T70,"")</f>
        <v/>
      </c>
      <c r="V70" s="44" t="str">
        <f>IF(A70="","",SUMIFS('成交明细'!$E$5:$E$804,'成交明细'!$A$5:$A$804,A70,'成交明细'!$C$5:$C$804,"卖"))</f>
        <v/>
      </c>
      <c r="W70" s="50" t="str">
        <f>IF(N(V70)&gt;0,SUMIFS('成交明细'!$F$5:$F$804,'成交明细'!$A$5:$A$804,A70,'成交明细'!$C$5:$C$804,"卖")/V70,"")</f>
        <v/>
      </c>
      <c r="X70" s="36" t="str">
        <f>IF(A70="","",IF(Q70&lt;&gt;"已执行",IF(Q70="","未填执行情况",Q70),IF(N(T70)=0,"待录成交",IF(N(V70)&gt;N(T70),"卖出多于买入",IF(N(V70)&lt;N(T70),"持仓中","已平仓")))))</f>
        <v/>
      </c>
      <c r="Y70" s="51" t="str">
        <f>IF(N(T70)=0,"",SUMIFS('成交明细'!$K$5:$K$804,'成交明细'!$A$5:$A$804,A70))</f>
        <v/>
      </c>
      <c r="Z70" s="52" t="str">
        <f>IF(X70&lt;&gt;"已平仓","",SUMIFS('成交明细'!$F$5:$F$804,'成交明细'!$A$5:$A$804,A70,'成交明细'!$C$5:$C$804,"卖")-SUMIFS('成交明细'!$F$5:$F$804,'成交明细'!$A$5:$A$804,A70,'成交明细'!$C$5:$C$804,"买")-Y70)</f>
        <v/>
      </c>
      <c r="AA70" s="53" t="str">
        <f>IF(AND(X70="已平仓",ISNUMBER(N70)),(Z70+Y70)/N70,"")</f>
        <v/>
      </c>
      <c r="AB70" s="53" t="str">
        <f>IF(AND(X70="已平仓",ISNUMBER(N70)),Z70/N70,"")</f>
        <v/>
      </c>
      <c r="AC70" s="54" t="str">
        <f>IF(AND(ISNUMBER(U70),ISNUMBER(H70)),U70-H70,"")</f>
        <v/>
      </c>
      <c r="AD70" s="27" t="n"/>
      <c r="AE70" s="27" t="n"/>
      <c r="AF70" s="32" t="n"/>
      <c r="AG70" s="53" t="str">
        <f>IF(A70="","",SUM(AB$5:AB70))</f>
        <v/>
      </c>
      <c r="AH70" s="55" t="str">
        <f>IF(A70="","",MAX(0,MAX(AG$5:AG70))-AG70)</f>
        <v/>
      </c>
    </row>
    <row r="71">
      <c r="A71" s="46" t="n"/>
      <c r="B71" s="31" t="n"/>
      <c r="C71" s="32" t="n"/>
      <c r="D71" s="27" t="n"/>
      <c r="E71" s="47" t="str">
        <f>IF(D71="","",IFERROR(VLOOKUP(D71,'参数'!$B$21:$C$26,2,FALSE),""))</f>
        <v/>
      </c>
      <c r="F71" s="27" t="n"/>
      <c r="G71" s="43" t="str">
        <f>IF(NOT(ISNUMBER(B71)),"",IFERROR(IF(B71-INDEX('每日复盘'!$A$5:$A$264,MATCH(B71-1,'每日复盘'!$A$5:$A$264,1))&gt;7,"",T(INDEX('每日复盘'!$AA$5:$AA$264,MATCH(B71-1,'每日复盘'!$A$5:$A$264,1)))),""))</f>
        <v/>
      </c>
      <c r="H71" s="48" t="n"/>
      <c r="I71" s="48" t="n"/>
      <c r="J71" s="48" t="n"/>
      <c r="K71" s="49" t="str">
        <f>IF(AND(ISNUMBER(H71),ISNUMBER(I71),ISNUMBER(J71)),IF(H71&gt;I71,(J71-H71)/(H71-I71),""),"")</f>
        <v/>
      </c>
      <c r="L71" s="44" t="str">
        <f>IF(AND(ISNUMBER(H71),ISNUMBER(I71)),IF(H71&gt;I71,MIN(INT(ROUND('参数'!$C$7/(H71-I71)/100,6))*100,IF(ISNUMBER(E71),IF(H71-ROUND(ROUND(I71*(1-E71),4),2)&gt;0,INT(ROUND('参数'!$C$8/(H71-ROUND(ROUND(I71*(1-E71),4),2))/100,6))*100,0),INT(ROUND('参数'!$C$7/(H71-I71)/100,6))*100)),""),"")</f>
        <v/>
      </c>
      <c r="M71" s="17" t="n"/>
      <c r="N71" s="20" t="str">
        <f>IF(AND(ISNUMBER(H71),ISNUMBER(I71),ISNUMBER(M71)),IF(AND(H71&gt;I71,M71&gt;0),(H71-I71)*M71,""),"")</f>
        <v/>
      </c>
      <c r="O71" s="20" t="str">
        <f>IF(ISNUMBER(N71),IF(ISNUMBER(E71),(H71-ROUND(ROUND(I71*(1-E71),4),2))*M71,"不设限"),"")</f>
        <v/>
      </c>
      <c r="P71" s="32" t="n"/>
      <c r="Q71" s="27" t="n"/>
      <c r="R71" s="42" t="str">
        <f>IF(N(T71)&gt;0,SUMPRODUCT(LARGE(('成交明细'!$A$5:$A$804=A71)*('成交明细'!$C$5:$C$804="买")*'成交明细'!$B$5:$B$804,COUNTIFS('成交明细'!$A$5:$A$804,A71,'成交明细'!$C$5:$C$804,"买"))),"")</f>
        <v/>
      </c>
      <c r="S71" s="42" t="str">
        <f>IF(AND(N(T71)&gt;0,N(V71)&gt;=N(T71)),SUMPRODUCT(MAX(('成交明细'!$A$5:$A$804=A71)*('成交明细'!$C$5:$C$804="卖")*'成交明细'!$B$5:$B$804)),"")</f>
        <v/>
      </c>
      <c r="T71" s="44" t="str">
        <f>IF(A71="","",SUMIFS('成交明细'!$E$5:$E$804,'成交明细'!$A$5:$A$804,A71,'成交明细'!$C$5:$C$804,"买"))</f>
        <v/>
      </c>
      <c r="U71" s="50" t="str">
        <f>IF(N(T71)&gt;0,SUMIFS('成交明细'!$F$5:$F$804,'成交明细'!$A$5:$A$804,A71,'成交明细'!$C$5:$C$804,"买")/T71,"")</f>
        <v/>
      </c>
      <c r="V71" s="44" t="str">
        <f>IF(A71="","",SUMIFS('成交明细'!$E$5:$E$804,'成交明细'!$A$5:$A$804,A71,'成交明细'!$C$5:$C$804,"卖"))</f>
        <v/>
      </c>
      <c r="W71" s="50" t="str">
        <f>IF(N(V71)&gt;0,SUMIFS('成交明细'!$F$5:$F$804,'成交明细'!$A$5:$A$804,A71,'成交明细'!$C$5:$C$804,"卖")/V71,"")</f>
        <v/>
      </c>
      <c r="X71" s="36" t="str">
        <f>IF(A71="","",IF(Q71&lt;&gt;"已执行",IF(Q71="","未填执行情况",Q71),IF(N(T71)=0,"待录成交",IF(N(V71)&gt;N(T71),"卖出多于买入",IF(N(V71)&lt;N(T71),"持仓中","已平仓")))))</f>
        <v/>
      </c>
      <c r="Y71" s="51" t="str">
        <f>IF(N(T71)=0,"",SUMIFS('成交明细'!$K$5:$K$804,'成交明细'!$A$5:$A$804,A71))</f>
        <v/>
      </c>
      <c r="Z71" s="52" t="str">
        <f>IF(X71&lt;&gt;"已平仓","",SUMIFS('成交明细'!$F$5:$F$804,'成交明细'!$A$5:$A$804,A71,'成交明细'!$C$5:$C$804,"卖")-SUMIFS('成交明细'!$F$5:$F$804,'成交明细'!$A$5:$A$804,A71,'成交明细'!$C$5:$C$804,"买")-Y71)</f>
        <v/>
      </c>
      <c r="AA71" s="53" t="str">
        <f>IF(AND(X71="已平仓",ISNUMBER(N71)),(Z71+Y71)/N71,"")</f>
        <v/>
      </c>
      <c r="AB71" s="53" t="str">
        <f>IF(AND(X71="已平仓",ISNUMBER(N71)),Z71/N71,"")</f>
        <v/>
      </c>
      <c r="AC71" s="54" t="str">
        <f>IF(AND(ISNUMBER(U71),ISNUMBER(H71)),U71-H71,"")</f>
        <v/>
      </c>
      <c r="AD71" s="27" t="n"/>
      <c r="AE71" s="27" t="n"/>
      <c r="AF71" s="32" t="n"/>
      <c r="AG71" s="53" t="str">
        <f>IF(A71="","",SUM(AB$5:AB71))</f>
        <v/>
      </c>
      <c r="AH71" s="55" t="str">
        <f>IF(A71="","",MAX(0,MAX(AG$5:AG71))-AG71)</f>
        <v/>
      </c>
    </row>
    <row r="72">
      <c r="A72" s="46" t="n"/>
      <c r="B72" s="31" t="n"/>
      <c r="C72" s="32" t="n"/>
      <c r="D72" s="27" t="n"/>
      <c r="E72" s="47" t="str">
        <f>IF(D72="","",IFERROR(VLOOKUP(D72,'参数'!$B$21:$C$26,2,FALSE),""))</f>
        <v/>
      </c>
      <c r="F72" s="27" t="n"/>
      <c r="G72" s="43" t="str">
        <f>IF(NOT(ISNUMBER(B72)),"",IFERROR(IF(B72-INDEX('每日复盘'!$A$5:$A$264,MATCH(B72-1,'每日复盘'!$A$5:$A$264,1))&gt;7,"",T(INDEX('每日复盘'!$AA$5:$AA$264,MATCH(B72-1,'每日复盘'!$A$5:$A$264,1)))),""))</f>
        <v/>
      </c>
      <c r="H72" s="48" t="n"/>
      <c r="I72" s="48" t="n"/>
      <c r="J72" s="48" t="n"/>
      <c r="K72" s="49" t="str">
        <f>IF(AND(ISNUMBER(H72),ISNUMBER(I72),ISNUMBER(J72)),IF(H72&gt;I72,(J72-H72)/(H72-I72),""),"")</f>
        <v/>
      </c>
      <c r="L72" s="44" t="str">
        <f>IF(AND(ISNUMBER(H72),ISNUMBER(I72)),IF(H72&gt;I72,MIN(INT(ROUND('参数'!$C$7/(H72-I72)/100,6))*100,IF(ISNUMBER(E72),IF(H72-ROUND(ROUND(I72*(1-E72),4),2)&gt;0,INT(ROUND('参数'!$C$8/(H72-ROUND(ROUND(I72*(1-E72),4),2))/100,6))*100,0),INT(ROUND('参数'!$C$7/(H72-I72)/100,6))*100)),""),"")</f>
        <v/>
      </c>
      <c r="M72" s="17" t="n"/>
      <c r="N72" s="20" t="str">
        <f>IF(AND(ISNUMBER(H72),ISNUMBER(I72),ISNUMBER(M72)),IF(AND(H72&gt;I72,M72&gt;0),(H72-I72)*M72,""),"")</f>
        <v/>
      </c>
      <c r="O72" s="20" t="str">
        <f>IF(ISNUMBER(N72),IF(ISNUMBER(E72),(H72-ROUND(ROUND(I72*(1-E72),4),2))*M72,"不设限"),"")</f>
        <v/>
      </c>
      <c r="P72" s="32" t="n"/>
      <c r="Q72" s="27" t="n"/>
      <c r="R72" s="42" t="str">
        <f>IF(N(T72)&gt;0,SUMPRODUCT(LARGE(('成交明细'!$A$5:$A$804=A72)*('成交明细'!$C$5:$C$804="买")*'成交明细'!$B$5:$B$804,COUNTIFS('成交明细'!$A$5:$A$804,A72,'成交明细'!$C$5:$C$804,"买"))),"")</f>
        <v/>
      </c>
      <c r="S72" s="42" t="str">
        <f>IF(AND(N(T72)&gt;0,N(V72)&gt;=N(T72)),SUMPRODUCT(MAX(('成交明细'!$A$5:$A$804=A72)*('成交明细'!$C$5:$C$804="卖")*'成交明细'!$B$5:$B$804)),"")</f>
        <v/>
      </c>
      <c r="T72" s="44" t="str">
        <f>IF(A72="","",SUMIFS('成交明细'!$E$5:$E$804,'成交明细'!$A$5:$A$804,A72,'成交明细'!$C$5:$C$804,"买"))</f>
        <v/>
      </c>
      <c r="U72" s="50" t="str">
        <f>IF(N(T72)&gt;0,SUMIFS('成交明细'!$F$5:$F$804,'成交明细'!$A$5:$A$804,A72,'成交明细'!$C$5:$C$804,"买")/T72,"")</f>
        <v/>
      </c>
      <c r="V72" s="44" t="str">
        <f>IF(A72="","",SUMIFS('成交明细'!$E$5:$E$804,'成交明细'!$A$5:$A$804,A72,'成交明细'!$C$5:$C$804,"卖"))</f>
        <v/>
      </c>
      <c r="W72" s="50" t="str">
        <f>IF(N(V72)&gt;0,SUMIFS('成交明细'!$F$5:$F$804,'成交明细'!$A$5:$A$804,A72,'成交明细'!$C$5:$C$804,"卖")/V72,"")</f>
        <v/>
      </c>
      <c r="X72" s="36" t="str">
        <f>IF(A72="","",IF(Q72&lt;&gt;"已执行",IF(Q72="","未填执行情况",Q72),IF(N(T72)=0,"待录成交",IF(N(V72)&gt;N(T72),"卖出多于买入",IF(N(V72)&lt;N(T72),"持仓中","已平仓")))))</f>
        <v/>
      </c>
      <c r="Y72" s="51" t="str">
        <f>IF(N(T72)=0,"",SUMIFS('成交明细'!$K$5:$K$804,'成交明细'!$A$5:$A$804,A72))</f>
        <v/>
      </c>
      <c r="Z72" s="52" t="str">
        <f>IF(X72&lt;&gt;"已平仓","",SUMIFS('成交明细'!$F$5:$F$804,'成交明细'!$A$5:$A$804,A72,'成交明细'!$C$5:$C$804,"卖")-SUMIFS('成交明细'!$F$5:$F$804,'成交明细'!$A$5:$A$804,A72,'成交明细'!$C$5:$C$804,"买")-Y72)</f>
        <v/>
      </c>
      <c r="AA72" s="53" t="str">
        <f>IF(AND(X72="已平仓",ISNUMBER(N72)),(Z72+Y72)/N72,"")</f>
        <v/>
      </c>
      <c r="AB72" s="53" t="str">
        <f>IF(AND(X72="已平仓",ISNUMBER(N72)),Z72/N72,"")</f>
        <v/>
      </c>
      <c r="AC72" s="54" t="str">
        <f>IF(AND(ISNUMBER(U72),ISNUMBER(H72)),U72-H72,"")</f>
        <v/>
      </c>
      <c r="AD72" s="27" t="n"/>
      <c r="AE72" s="27" t="n"/>
      <c r="AF72" s="32" t="n"/>
      <c r="AG72" s="53" t="str">
        <f>IF(A72="","",SUM(AB$5:AB72))</f>
        <v/>
      </c>
      <c r="AH72" s="55" t="str">
        <f>IF(A72="","",MAX(0,MAX(AG$5:AG72))-AG72)</f>
        <v/>
      </c>
    </row>
    <row r="73">
      <c r="A73" s="46" t="n"/>
      <c r="B73" s="31" t="n"/>
      <c r="C73" s="32" t="n"/>
      <c r="D73" s="27" t="n"/>
      <c r="E73" s="47" t="str">
        <f>IF(D73="","",IFERROR(VLOOKUP(D73,'参数'!$B$21:$C$26,2,FALSE),""))</f>
        <v/>
      </c>
      <c r="F73" s="27" t="n"/>
      <c r="G73" s="43" t="str">
        <f>IF(NOT(ISNUMBER(B73)),"",IFERROR(IF(B73-INDEX('每日复盘'!$A$5:$A$264,MATCH(B73-1,'每日复盘'!$A$5:$A$264,1))&gt;7,"",T(INDEX('每日复盘'!$AA$5:$AA$264,MATCH(B73-1,'每日复盘'!$A$5:$A$264,1)))),""))</f>
        <v/>
      </c>
      <c r="H73" s="48" t="n"/>
      <c r="I73" s="48" t="n"/>
      <c r="J73" s="48" t="n"/>
      <c r="K73" s="49" t="str">
        <f>IF(AND(ISNUMBER(H73),ISNUMBER(I73),ISNUMBER(J73)),IF(H73&gt;I73,(J73-H73)/(H73-I73),""),"")</f>
        <v/>
      </c>
      <c r="L73" s="44" t="str">
        <f>IF(AND(ISNUMBER(H73),ISNUMBER(I73)),IF(H73&gt;I73,MIN(INT(ROUND('参数'!$C$7/(H73-I73)/100,6))*100,IF(ISNUMBER(E73),IF(H73-ROUND(ROUND(I73*(1-E73),4),2)&gt;0,INT(ROUND('参数'!$C$8/(H73-ROUND(ROUND(I73*(1-E73),4),2))/100,6))*100,0),INT(ROUND('参数'!$C$7/(H73-I73)/100,6))*100)),""),"")</f>
        <v/>
      </c>
      <c r="M73" s="17" t="n"/>
      <c r="N73" s="20" t="str">
        <f>IF(AND(ISNUMBER(H73),ISNUMBER(I73),ISNUMBER(M73)),IF(AND(H73&gt;I73,M73&gt;0),(H73-I73)*M73,""),"")</f>
        <v/>
      </c>
      <c r="O73" s="20" t="str">
        <f>IF(ISNUMBER(N73),IF(ISNUMBER(E73),(H73-ROUND(ROUND(I73*(1-E73),4),2))*M73,"不设限"),"")</f>
        <v/>
      </c>
      <c r="P73" s="32" t="n"/>
      <c r="Q73" s="27" t="n"/>
      <c r="R73" s="42" t="str">
        <f>IF(N(T73)&gt;0,SUMPRODUCT(LARGE(('成交明细'!$A$5:$A$804=A73)*('成交明细'!$C$5:$C$804="买")*'成交明细'!$B$5:$B$804,COUNTIFS('成交明细'!$A$5:$A$804,A73,'成交明细'!$C$5:$C$804,"买"))),"")</f>
        <v/>
      </c>
      <c r="S73" s="42" t="str">
        <f>IF(AND(N(T73)&gt;0,N(V73)&gt;=N(T73)),SUMPRODUCT(MAX(('成交明细'!$A$5:$A$804=A73)*('成交明细'!$C$5:$C$804="卖")*'成交明细'!$B$5:$B$804)),"")</f>
        <v/>
      </c>
      <c r="T73" s="44" t="str">
        <f>IF(A73="","",SUMIFS('成交明细'!$E$5:$E$804,'成交明细'!$A$5:$A$804,A73,'成交明细'!$C$5:$C$804,"买"))</f>
        <v/>
      </c>
      <c r="U73" s="50" t="str">
        <f>IF(N(T73)&gt;0,SUMIFS('成交明细'!$F$5:$F$804,'成交明细'!$A$5:$A$804,A73,'成交明细'!$C$5:$C$804,"买")/T73,"")</f>
        <v/>
      </c>
      <c r="V73" s="44" t="str">
        <f>IF(A73="","",SUMIFS('成交明细'!$E$5:$E$804,'成交明细'!$A$5:$A$804,A73,'成交明细'!$C$5:$C$804,"卖"))</f>
        <v/>
      </c>
      <c r="W73" s="50" t="str">
        <f>IF(N(V73)&gt;0,SUMIFS('成交明细'!$F$5:$F$804,'成交明细'!$A$5:$A$804,A73,'成交明细'!$C$5:$C$804,"卖")/V73,"")</f>
        <v/>
      </c>
      <c r="X73" s="36" t="str">
        <f>IF(A73="","",IF(Q73&lt;&gt;"已执行",IF(Q73="","未填执行情况",Q73),IF(N(T73)=0,"待录成交",IF(N(V73)&gt;N(T73),"卖出多于买入",IF(N(V73)&lt;N(T73),"持仓中","已平仓")))))</f>
        <v/>
      </c>
      <c r="Y73" s="51" t="str">
        <f>IF(N(T73)=0,"",SUMIFS('成交明细'!$K$5:$K$804,'成交明细'!$A$5:$A$804,A73))</f>
        <v/>
      </c>
      <c r="Z73" s="52" t="str">
        <f>IF(X73&lt;&gt;"已平仓","",SUMIFS('成交明细'!$F$5:$F$804,'成交明细'!$A$5:$A$804,A73,'成交明细'!$C$5:$C$804,"卖")-SUMIFS('成交明细'!$F$5:$F$804,'成交明细'!$A$5:$A$804,A73,'成交明细'!$C$5:$C$804,"买")-Y73)</f>
        <v/>
      </c>
      <c r="AA73" s="53" t="str">
        <f>IF(AND(X73="已平仓",ISNUMBER(N73)),(Z73+Y73)/N73,"")</f>
        <v/>
      </c>
      <c r="AB73" s="53" t="str">
        <f>IF(AND(X73="已平仓",ISNUMBER(N73)),Z73/N73,"")</f>
        <v/>
      </c>
      <c r="AC73" s="54" t="str">
        <f>IF(AND(ISNUMBER(U73),ISNUMBER(H73)),U73-H73,"")</f>
        <v/>
      </c>
      <c r="AD73" s="27" t="n"/>
      <c r="AE73" s="27" t="n"/>
      <c r="AF73" s="32" t="n"/>
      <c r="AG73" s="53" t="str">
        <f>IF(A73="","",SUM(AB$5:AB73))</f>
        <v/>
      </c>
      <c r="AH73" s="55" t="str">
        <f>IF(A73="","",MAX(0,MAX(AG$5:AG73))-AG73)</f>
        <v/>
      </c>
    </row>
    <row r="74">
      <c r="A74" s="46" t="n"/>
      <c r="B74" s="31" t="n"/>
      <c r="C74" s="32" t="n"/>
      <c r="D74" s="27" t="n"/>
      <c r="E74" s="47" t="str">
        <f>IF(D74="","",IFERROR(VLOOKUP(D74,'参数'!$B$21:$C$26,2,FALSE),""))</f>
        <v/>
      </c>
      <c r="F74" s="27" t="n"/>
      <c r="G74" s="43" t="str">
        <f>IF(NOT(ISNUMBER(B74)),"",IFERROR(IF(B74-INDEX('每日复盘'!$A$5:$A$264,MATCH(B74-1,'每日复盘'!$A$5:$A$264,1))&gt;7,"",T(INDEX('每日复盘'!$AA$5:$AA$264,MATCH(B74-1,'每日复盘'!$A$5:$A$264,1)))),""))</f>
        <v/>
      </c>
      <c r="H74" s="48" t="n"/>
      <c r="I74" s="48" t="n"/>
      <c r="J74" s="48" t="n"/>
      <c r="K74" s="49" t="str">
        <f>IF(AND(ISNUMBER(H74),ISNUMBER(I74),ISNUMBER(J74)),IF(H74&gt;I74,(J74-H74)/(H74-I74),""),"")</f>
        <v/>
      </c>
      <c r="L74" s="44" t="str">
        <f>IF(AND(ISNUMBER(H74),ISNUMBER(I74)),IF(H74&gt;I74,MIN(INT(ROUND('参数'!$C$7/(H74-I74)/100,6))*100,IF(ISNUMBER(E74),IF(H74-ROUND(ROUND(I74*(1-E74),4),2)&gt;0,INT(ROUND('参数'!$C$8/(H74-ROUND(ROUND(I74*(1-E74),4),2))/100,6))*100,0),INT(ROUND('参数'!$C$7/(H74-I74)/100,6))*100)),""),"")</f>
        <v/>
      </c>
      <c r="M74" s="17" t="n"/>
      <c r="N74" s="20" t="str">
        <f>IF(AND(ISNUMBER(H74),ISNUMBER(I74),ISNUMBER(M74)),IF(AND(H74&gt;I74,M74&gt;0),(H74-I74)*M74,""),"")</f>
        <v/>
      </c>
      <c r="O74" s="20" t="str">
        <f>IF(ISNUMBER(N74),IF(ISNUMBER(E74),(H74-ROUND(ROUND(I74*(1-E74),4),2))*M74,"不设限"),"")</f>
        <v/>
      </c>
      <c r="P74" s="32" t="n"/>
      <c r="Q74" s="27" t="n"/>
      <c r="R74" s="42" t="str">
        <f>IF(N(T74)&gt;0,SUMPRODUCT(LARGE(('成交明细'!$A$5:$A$804=A74)*('成交明细'!$C$5:$C$804="买")*'成交明细'!$B$5:$B$804,COUNTIFS('成交明细'!$A$5:$A$804,A74,'成交明细'!$C$5:$C$804,"买"))),"")</f>
        <v/>
      </c>
      <c r="S74" s="42" t="str">
        <f>IF(AND(N(T74)&gt;0,N(V74)&gt;=N(T74)),SUMPRODUCT(MAX(('成交明细'!$A$5:$A$804=A74)*('成交明细'!$C$5:$C$804="卖")*'成交明细'!$B$5:$B$804)),"")</f>
        <v/>
      </c>
      <c r="T74" s="44" t="str">
        <f>IF(A74="","",SUMIFS('成交明细'!$E$5:$E$804,'成交明细'!$A$5:$A$804,A74,'成交明细'!$C$5:$C$804,"买"))</f>
        <v/>
      </c>
      <c r="U74" s="50" t="str">
        <f>IF(N(T74)&gt;0,SUMIFS('成交明细'!$F$5:$F$804,'成交明细'!$A$5:$A$804,A74,'成交明细'!$C$5:$C$804,"买")/T74,"")</f>
        <v/>
      </c>
      <c r="V74" s="44" t="str">
        <f>IF(A74="","",SUMIFS('成交明细'!$E$5:$E$804,'成交明细'!$A$5:$A$804,A74,'成交明细'!$C$5:$C$804,"卖"))</f>
        <v/>
      </c>
      <c r="W74" s="50" t="str">
        <f>IF(N(V74)&gt;0,SUMIFS('成交明细'!$F$5:$F$804,'成交明细'!$A$5:$A$804,A74,'成交明细'!$C$5:$C$804,"卖")/V74,"")</f>
        <v/>
      </c>
      <c r="X74" s="36" t="str">
        <f>IF(A74="","",IF(Q74&lt;&gt;"已执行",IF(Q74="","未填执行情况",Q74),IF(N(T74)=0,"待录成交",IF(N(V74)&gt;N(T74),"卖出多于买入",IF(N(V74)&lt;N(T74),"持仓中","已平仓")))))</f>
        <v/>
      </c>
      <c r="Y74" s="51" t="str">
        <f>IF(N(T74)=0,"",SUMIFS('成交明细'!$K$5:$K$804,'成交明细'!$A$5:$A$804,A74))</f>
        <v/>
      </c>
      <c r="Z74" s="52" t="str">
        <f>IF(X74&lt;&gt;"已平仓","",SUMIFS('成交明细'!$F$5:$F$804,'成交明细'!$A$5:$A$804,A74,'成交明细'!$C$5:$C$804,"卖")-SUMIFS('成交明细'!$F$5:$F$804,'成交明细'!$A$5:$A$804,A74,'成交明细'!$C$5:$C$804,"买")-Y74)</f>
        <v/>
      </c>
      <c r="AA74" s="53" t="str">
        <f>IF(AND(X74="已平仓",ISNUMBER(N74)),(Z74+Y74)/N74,"")</f>
        <v/>
      </c>
      <c r="AB74" s="53" t="str">
        <f>IF(AND(X74="已平仓",ISNUMBER(N74)),Z74/N74,"")</f>
        <v/>
      </c>
      <c r="AC74" s="54" t="str">
        <f>IF(AND(ISNUMBER(U74),ISNUMBER(H74)),U74-H74,"")</f>
        <v/>
      </c>
      <c r="AD74" s="27" t="n"/>
      <c r="AE74" s="27" t="n"/>
      <c r="AF74" s="32" t="n"/>
      <c r="AG74" s="53" t="str">
        <f>IF(A74="","",SUM(AB$5:AB74))</f>
        <v/>
      </c>
      <c r="AH74" s="55" t="str">
        <f>IF(A74="","",MAX(0,MAX(AG$5:AG74))-AG74)</f>
        <v/>
      </c>
    </row>
    <row r="75">
      <c r="A75" s="46" t="n"/>
      <c r="B75" s="31" t="n"/>
      <c r="C75" s="32" t="n"/>
      <c r="D75" s="27" t="n"/>
      <c r="E75" s="47" t="str">
        <f>IF(D75="","",IFERROR(VLOOKUP(D75,'参数'!$B$21:$C$26,2,FALSE),""))</f>
        <v/>
      </c>
      <c r="F75" s="27" t="n"/>
      <c r="G75" s="43" t="str">
        <f>IF(NOT(ISNUMBER(B75)),"",IFERROR(IF(B75-INDEX('每日复盘'!$A$5:$A$264,MATCH(B75-1,'每日复盘'!$A$5:$A$264,1))&gt;7,"",T(INDEX('每日复盘'!$AA$5:$AA$264,MATCH(B75-1,'每日复盘'!$A$5:$A$264,1)))),""))</f>
        <v/>
      </c>
      <c r="H75" s="48" t="n"/>
      <c r="I75" s="48" t="n"/>
      <c r="J75" s="48" t="n"/>
      <c r="K75" s="49" t="str">
        <f>IF(AND(ISNUMBER(H75),ISNUMBER(I75),ISNUMBER(J75)),IF(H75&gt;I75,(J75-H75)/(H75-I75),""),"")</f>
        <v/>
      </c>
      <c r="L75" s="44" t="str">
        <f>IF(AND(ISNUMBER(H75),ISNUMBER(I75)),IF(H75&gt;I75,MIN(INT(ROUND('参数'!$C$7/(H75-I75)/100,6))*100,IF(ISNUMBER(E75),IF(H75-ROUND(ROUND(I75*(1-E75),4),2)&gt;0,INT(ROUND('参数'!$C$8/(H75-ROUND(ROUND(I75*(1-E75),4),2))/100,6))*100,0),INT(ROUND('参数'!$C$7/(H75-I75)/100,6))*100)),""),"")</f>
        <v/>
      </c>
      <c r="M75" s="17" t="n"/>
      <c r="N75" s="20" t="str">
        <f>IF(AND(ISNUMBER(H75),ISNUMBER(I75),ISNUMBER(M75)),IF(AND(H75&gt;I75,M75&gt;0),(H75-I75)*M75,""),"")</f>
        <v/>
      </c>
      <c r="O75" s="20" t="str">
        <f>IF(ISNUMBER(N75),IF(ISNUMBER(E75),(H75-ROUND(ROUND(I75*(1-E75),4),2))*M75,"不设限"),"")</f>
        <v/>
      </c>
      <c r="P75" s="32" t="n"/>
      <c r="Q75" s="27" t="n"/>
      <c r="R75" s="42" t="str">
        <f>IF(N(T75)&gt;0,SUMPRODUCT(LARGE(('成交明细'!$A$5:$A$804=A75)*('成交明细'!$C$5:$C$804="买")*'成交明细'!$B$5:$B$804,COUNTIFS('成交明细'!$A$5:$A$804,A75,'成交明细'!$C$5:$C$804,"买"))),"")</f>
        <v/>
      </c>
      <c r="S75" s="42" t="str">
        <f>IF(AND(N(T75)&gt;0,N(V75)&gt;=N(T75)),SUMPRODUCT(MAX(('成交明细'!$A$5:$A$804=A75)*('成交明细'!$C$5:$C$804="卖")*'成交明细'!$B$5:$B$804)),"")</f>
        <v/>
      </c>
      <c r="T75" s="44" t="str">
        <f>IF(A75="","",SUMIFS('成交明细'!$E$5:$E$804,'成交明细'!$A$5:$A$804,A75,'成交明细'!$C$5:$C$804,"买"))</f>
        <v/>
      </c>
      <c r="U75" s="50" t="str">
        <f>IF(N(T75)&gt;0,SUMIFS('成交明细'!$F$5:$F$804,'成交明细'!$A$5:$A$804,A75,'成交明细'!$C$5:$C$804,"买")/T75,"")</f>
        <v/>
      </c>
      <c r="V75" s="44" t="str">
        <f>IF(A75="","",SUMIFS('成交明细'!$E$5:$E$804,'成交明细'!$A$5:$A$804,A75,'成交明细'!$C$5:$C$804,"卖"))</f>
        <v/>
      </c>
      <c r="W75" s="50" t="str">
        <f>IF(N(V75)&gt;0,SUMIFS('成交明细'!$F$5:$F$804,'成交明细'!$A$5:$A$804,A75,'成交明细'!$C$5:$C$804,"卖")/V75,"")</f>
        <v/>
      </c>
      <c r="X75" s="36" t="str">
        <f>IF(A75="","",IF(Q75&lt;&gt;"已执行",IF(Q75="","未填执行情况",Q75),IF(N(T75)=0,"待录成交",IF(N(V75)&gt;N(T75),"卖出多于买入",IF(N(V75)&lt;N(T75),"持仓中","已平仓")))))</f>
        <v/>
      </c>
      <c r="Y75" s="51" t="str">
        <f>IF(N(T75)=0,"",SUMIFS('成交明细'!$K$5:$K$804,'成交明细'!$A$5:$A$804,A75))</f>
        <v/>
      </c>
      <c r="Z75" s="52" t="str">
        <f>IF(X75&lt;&gt;"已平仓","",SUMIFS('成交明细'!$F$5:$F$804,'成交明细'!$A$5:$A$804,A75,'成交明细'!$C$5:$C$804,"卖")-SUMIFS('成交明细'!$F$5:$F$804,'成交明细'!$A$5:$A$804,A75,'成交明细'!$C$5:$C$804,"买")-Y75)</f>
        <v/>
      </c>
      <c r="AA75" s="53" t="str">
        <f>IF(AND(X75="已平仓",ISNUMBER(N75)),(Z75+Y75)/N75,"")</f>
        <v/>
      </c>
      <c r="AB75" s="53" t="str">
        <f>IF(AND(X75="已平仓",ISNUMBER(N75)),Z75/N75,"")</f>
        <v/>
      </c>
      <c r="AC75" s="54" t="str">
        <f>IF(AND(ISNUMBER(U75),ISNUMBER(H75)),U75-H75,"")</f>
        <v/>
      </c>
      <c r="AD75" s="27" t="n"/>
      <c r="AE75" s="27" t="n"/>
      <c r="AF75" s="32" t="n"/>
      <c r="AG75" s="53" t="str">
        <f>IF(A75="","",SUM(AB$5:AB75))</f>
        <v/>
      </c>
      <c r="AH75" s="55" t="str">
        <f>IF(A75="","",MAX(0,MAX(AG$5:AG75))-AG75)</f>
        <v/>
      </c>
    </row>
    <row r="76">
      <c r="A76" s="46" t="n"/>
      <c r="B76" s="31" t="n"/>
      <c r="C76" s="32" t="n"/>
      <c r="D76" s="27" t="n"/>
      <c r="E76" s="47" t="str">
        <f>IF(D76="","",IFERROR(VLOOKUP(D76,'参数'!$B$21:$C$26,2,FALSE),""))</f>
        <v/>
      </c>
      <c r="F76" s="27" t="n"/>
      <c r="G76" s="43" t="str">
        <f>IF(NOT(ISNUMBER(B76)),"",IFERROR(IF(B76-INDEX('每日复盘'!$A$5:$A$264,MATCH(B76-1,'每日复盘'!$A$5:$A$264,1))&gt;7,"",T(INDEX('每日复盘'!$AA$5:$AA$264,MATCH(B76-1,'每日复盘'!$A$5:$A$264,1)))),""))</f>
        <v/>
      </c>
      <c r="H76" s="48" t="n"/>
      <c r="I76" s="48" t="n"/>
      <c r="J76" s="48" t="n"/>
      <c r="K76" s="49" t="str">
        <f>IF(AND(ISNUMBER(H76),ISNUMBER(I76),ISNUMBER(J76)),IF(H76&gt;I76,(J76-H76)/(H76-I76),""),"")</f>
        <v/>
      </c>
      <c r="L76" s="44" t="str">
        <f>IF(AND(ISNUMBER(H76),ISNUMBER(I76)),IF(H76&gt;I76,MIN(INT(ROUND('参数'!$C$7/(H76-I76)/100,6))*100,IF(ISNUMBER(E76),IF(H76-ROUND(ROUND(I76*(1-E76),4),2)&gt;0,INT(ROUND('参数'!$C$8/(H76-ROUND(ROUND(I76*(1-E76),4),2))/100,6))*100,0),INT(ROUND('参数'!$C$7/(H76-I76)/100,6))*100)),""),"")</f>
        <v/>
      </c>
      <c r="M76" s="17" t="n"/>
      <c r="N76" s="20" t="str">
        <f>IF(AND(ISNUMBER(H76),ISNUMBER(I76),ISNUMBER(M76)),IF(AND(H76&gt;I76,M76&gt;0),(H76-I76)*M76,""),"")</f>
        <v/>
      </c>
      <c r="O76" s="20" t="str">
        <f>IF(ISNUMBER(N76),IF(ISNUMBER(E76),(H76-ROUND(ROUND(I76*(1-E76),4),2))*M76,"不设限"),"")</f>
        <v/>
      </c>
      <c r="P76" s="32" t="n"/>
      <c r="Q76" s="27" t="n"/>
      <c r="R76" s="42" t="str">
        <f>IF(N(T76)&gt;0,SUMPRODUCT(LARGE(('成交明细'!$A$5:$A$804=A76)*('成交明细'!$C$5:$C$804="买")*'成交明细'!$B$5:$B$804,COUNTIFS('成交明细'!$A$5:$A$804,A76,'成交明细'!$C$5:$C$804,"买"))),"")</f>
        <v/>
      </c>
      <c r="S76" s="42" t="str">
        <f>IF(AND(N(T76)&gt;0,N(V76)&gt;=N(T76)),SUMPRODUCT(MAX(('成交明细'!$A$5:$A$804=A76)*('成交明细'!$C$5:$C$804="卖")*'成交明细'!$B$5:$B$804)),"")</f>
        <v/>
      </c>
      <c r="T76" s="44" t="str">
        <f>IF(A76="","",SUMIFS('成交明细'!$E$5:$E$804,'成交明细'!$A$5:$A$804,A76,'成交明细'!$C$5:$C$804,"买"))</f>
        <v/>
      </c>
      <c r="U76" s="50" t="str">
        <f>IF(N(T76)&gt;0,SUMIFS('成交明细'!$F$5:$F$804,'成交明细'!$A$5:$A$804,A76,'成交明细'!$C$5:$C$804,"买")/T76,"")</f>
        <v/>
      </c>
      <c r="V76" s="44" t="str">
        <f>IF(A76="","",SUMIFS('成交明细'!$E$5:$E$804,'成交明细'!$A$5:$A$804,A76,'成交明细'!$C$5:$C$804,"卖"))</f>
        <v/>
      </c>
      <c r="W76" s="50" t="str">
        <f>IF(N(V76)&gt;0,SUMIFS('成交明细'!$F$5:$F$804,'成交明细'!$A$5:$A$804,A76,'成交明细'!$C$5:$C$804,"卖")/V76,"")</f>
        <v/>
      </c>
      <c r="X76" s="36" t="str">
        <f>IF(A76="","",IF(Q76&lt;&gt;"已执行",IF(Q76="","未填执行情况",Q76),IF(N(T76)=0,"待录成交",IF(N(V76)&gt;N(T76),"卖出多于买入",IF(N(V76)&lt;N(T76),"持仓中","已平仓")))))</f>
        <v/>
      </c>
      <c r="Y76" s="51" t="str">
        <f>IF(N(T76)=0,"",SUMIFS('成交明细'!$K$5:$K$804,'成交明细'!$A$5:$A$804,A76))</f>
        <v/>
      </c>
      <c r="Z76" s="52" t="str">
        <f>IF(X76&lt;&gt;"已平仓","",SUMIFS('成交明细'!$F$5:$F$804,'成交明细'!$A$5:$A$804,A76,'成交明细'!$C$5:$C$804,"卖")-SUMIFS('成交明细'!$F$5:$F$804,'成交明细'!$A$5:$A$804,A76,'成交明细'!$C$5:$C$804,"买")-Y76)</f>
        <v/>
      </c>
      <c r="AA76" s="53" t="str">
        <f>IF(AND(X76="已平仓",ISNUMBER(N76)),(Z76+Y76)/N76,"")</f>
        <v/>
      </c>
      <c r="AB76" s="53" t="str">
        <f>IF(AND(X76="已平仓",ISNUMBER(N76)),Z76/N76,"")</f>
        <v/>
      </c>
      <c r="AC76" s="54" t="str">
        <f>IF(AND(ISNUMBER(U76),ISNUMBER(H76)),U76-H76,"")</f>
        <v/>
      </c>
      <c r="AD76" s="27" t="n"/>
      <c r="AE76" s="27" t="n"/>
      <c r="AF76" s="32" t="n"/>
      <c r="AG76" s="53" t="str">
        <f>IF(A76="","",SUM(AB$5:AB76))</f>
        <v/>
      </c>
      <c r="AH76" s="55" t="str">
        <f>IF(A76="","",MAX(0,MAX(AG$5:AG76))-AG76)</f>
        <v/>
      </c>
    </row>
    <row r="77">
      <c r="A77" s="46" t="n"/>
      <c r="B77" s="31" t="n"/>
      <c r="C77" s="32" t="n"/>
      <c r="D77" s="27" t="n"/>
      <c r="E77" s="47" t="str">
        <f>IF(D77="","",IFERROR(VLOOKUP(D77,'参数'!$B$21:$C$26,2,FALSE),""))</f>
        <v/>
      </c>
      <c r="F77" s="27" t="n"/>
      <c r="G77" s="43" t="str">
        <f>IF(NOT(ISNUMBER(B77)),"",IFERROR(IF(B77-INDEX('每日复盘'!$A$5:$A$264,MATCH(B77-1,'每日复盘'!$A$5:$A$264,1))&gt;7,"",T(INDEX('每日复盘'!$AA$5:$AA$264,MATCH(B77-1,'每日复盘'!$A$5:$A$264,1)))),""))</f>
        <v/>
      </c>
      <c r="H77" s="48" t="n"/>
      <c r="I77" s="48" t="n"/>
      <c r="J77" s="48" t="n"/>
      <c r="K77" s="49" t="str">
        <f>IF(AND(ISNUMBER(H77),ISNUMBER(I77),ISNUMBER(J77)),IF(H77&gt;I77,(J77-H77)/(H77-I77),""),"")</f>
        <v/>
      </c>
      <c r="L77" s="44" t="str">
        <f>IF(AND(ISNUMBER(H77),ISNUMBER(I77)),IF(H77&gt;I77,MIN(INT(ROUND('参数'!$C$7/(H77-I77)/100,6))*100,IF(ISNUMBER(E77),IF(H77-ROUND(ROUND(I77*(1-E77),4),2)&gt;0,INT(ROUND('参数'!$C$8/(H77-ROUND(ROUND(I77*(1-E77),4),2))/100,6))*100,0),INT(ROUND('参数'!$C$7/(H77-I77)/100,6))*100)),""),"")</f>
        <v/>
      </c>
      <c r="M77" s="17" t="n"/>
      <c r="N77" s="20" t="str">
        <f>IF(AND(ISNUMBER(H77),ISNUMBER(I77),ISNUMBER(M77)),IF(AND(H77&gt;I77,M77&gt;0),(H77-I77)*M77,""),"")</f>
        <v/>
      </c>
      <c r="O77" s="20" t="str">
        <f>IF(ISNUMBER(N77),IF(ISNUMBER(E77),(H77-ROUND(ROUND(I77*(1-E77),4),2))*M77,"不设限"),"")</f>
        <v/>
      </c>
      <c r="P77" s="32" t="n"/>
      <c r="Q77" s="27" t="n"/>
      <c r="R77" s="42" t="str">
        <f>IF(N(T77)&gt;0,SUMPRODUCT(LARGE(('成交明细'!$A$5:$A$804=A77)*('成交明细'!$C$5:$C$804="买")*'成交明细'!$B$5:$B$804,COUNTIFS('成交明细'!$A$5:$A$804,A77,'成交明细'!$C$5:$C$804,"买"))),"")</f>
        <v/>
      </c>
      <c r="S77" s="42" t="str">
        <f>IF(AND(N(T77)&gt;0,N(V77)&gt;=N(T77)),SUMPRODUCT(MAX(('成交明细'!$A$5:$A$804=A77)*('成交明细'!$C$5:$C$804="卖")*'成交明细'!$B$5:$B$804)),"")</f>
        <v/>
      </c>
      <c r="T77" s="44" t="str">
        <f>IF(A77="","",SUMIFS('成交明细'!$E$5:$E$804,'成交明细'!$A$5:$A$804,A77,'成交明细'!$C$5:$C$804,"买"))</f>
        <v/>
      </c>
      <c r="U77" s="50" t="str">
        <f>IF(N(T77)&gt;0,SUMIFS('成交明细'!$F$5:$F$804,'成交明细'!$A$5:$A$804,A77,'成交明细'!$C$5:$C$804,"买")/T77,"")</f>
        <v/>
      </c>
      <c r="V77" s="44" t="str">
        <f>IF(A77="","",SUMIFS('成交明细'!$E$5:$E$804,'成交明细'!$A$5:$A$804,A77,'成交明细'!$C$5:$C$804,"卖"))</f>
        <v/>
      </c>
      <c r="W77" s="50" t="str">
        <f>IF(N(V77)&gt;0,SUMIFS('成交明细'!$F$5:$F$804,'成交明细'!$A$5:$A$804,A77,'成交明细'!$C$5:$C$804,"卖")/V77,"")</f>
        <v/>
      </c>
      <c r="X77" s="36" t="str">
        <f>IF(A77="","",IF(Q77&lt;&gt;"已执行",IF(Q77="","未填执行情况",Q77),IF(N(T77)=0,"待录成交",IF(N(V77)&gt;N(T77),"卖出多于买入",IF(N(V77)&lt;N(T77),"持仓中","已平仓")))))</f>
        <v/>
      </c>
      <c r="Y77" s="51" t="str">
        <f>IF(N(T77)=0,"",SUMIFS('成交明细'!$K$5:$K$804,'成交明细'!$A$5:$A$804,A77))</f>
        <v/>
      </c>
      <c r="Z77" s="52" t="str">
        <f>IF(X77&lt;&gt;"已平仓","",SUMIFS('成交明细'!$F$5:$F$804,'成交明细'!$A$5:$A$804,A77,'成交明细'!$C$5:$C$804,"卖")-SUMIFS('成交明细'!$F$5:$F$804,'成交明细'!$A$5:$A$804,A77,'成交明细'!$C$5:$C$804,"买")-Y77)</f>
        <v/>
      </c>
      <c r="AA77" s="53" t="str">
        <f>IF(AND(X77="已平仓",ISNUMBER(N77)),(Z77+Y77)/N77,"")</f>
        <v/>
      </c>
      <c r="AB77" s="53" t="str">
        <f>IF(AND(X77="已平仓",ISNUMBER(N77)),Z77/N77,"")</f>
        <v/>
      </c>
      <c r="AC77" s="54" t="str">
        <f>IF(AND(ISNUMBER(U77),ISNUMBER(H77)),U77-H77,"")</f>
        <v/>
      </c>
      <c r="AD77" s="27" t="n"/>
      <c r="AE77" s="27" t="n"/>
      <c r="AF77" s="32" t="n"/>
      <c r="AG77" s="53" t="str">
        <f>IF(A77="","",SUM(AB$5:AB77))</f>
        <v/>
      </c>
      <c r="AH77" s="55" t="str">
        <f>IF(A77="","",MAX(0,MAX(AG$5:AG77))-AG77)</f>
        <v/>
      </c>
    </row>
    <row r="78">
      <c r="A78" s="46" t="n"/>
      <c r="B78" s="31" t="n"/>
      <c r="C78" s="32" t="n"/>
      <c r="D78" s="27" t="n"/>
      <c r="E78" s="47" t="str">
        <f>IF(D78="","",IFERROR(VLOOKUP(D78,'参数'!$B$21:$C$26,2,FALSE),""))</f>
        <v/>
      </c>
      <c r="F78" s="27" t="n"/>
      <c r="G78" s="43" t="str">
        <f>IF(NOT(ISNUMBER(B78)),"",IFERROR(IF(B78-INDEX('每日复盘'!$A$5:$A$264,MATCH(B78-1,'每日复盘'!$A$5:$A$264,1))&gt;7,"",T(INDEX('每日复盘'!$AA$5:$AA$264,MATCH(B78-1,'每日复盘'!$A$5:$A$264,1)))),""))</f>
        <v/>
      </c>
      <c r="H78" s="48" t="n"/>
      <c r="I78" s="48" t="n"/>
      <c r="J78" s="48" t="n"/>
      <c r="K78" s="49" t="str">
        <f>IF(AND(ISNUMBER(H78),ISNUMBER(I78),ISNUMBER(J78)),IF(H78&gt;I78,(J78-H78)/(H78-I78),""),"")</f>
        <v/>
      </c>
      <c r="L78" s="44" t="str">
        <f>IF(AND(ISNUMBER(H78),ISNUMBER(I78)),IF(H78&gt;I78,MIN(INT(ROUND('参数'!$C$7/(H78-I78)/100,6))*100,IF(ISNUMBER(E78),IF(H78-ROUND(ROUND(I78*(1-E78),4),2)&gt;0,INT(ROUND('参数'!$C$8/(H78-ROUND(ROUND(I78*(1-E78),4),2))/100,6))*100,0),INT(ROUND('参数'!$C$7/(H78-I78)/100,6))*100)),""),"")</f>
        <v/>
      </c>
      <c r="M78" s="17" t="n"/>
      <c r="N78" s="20" t="str">
        <f>IF(AND(ISNUMBER(H78),ISNUMBER(I78),ISNUMBER(M78)),IF(AND(H78&gt;I78,M78&gt;0),(H78-I78)*M78,""),"")</f>
        <v/>
      </c>
      <c r="O78" s="20" t="str">
        <f>IF(ISNUMBER(N78),IF(ISNUMBER(E78),(H78-ROUND(ROUND(I78*(1-E78),4),2))*M78,"不设限"),"")</f>
        <v/>
      </c>
      <c r="P78" s="32" t="n"/>
      <c r="Q78" s="27" t="n"/>
      <c r="R78" s="42" t="str">
        <f>IF(N(T78)&gt;0,SUMPRODUCT(LARGE(('成交明细'!$A$5:$A$804=A78)*('成交明细'!$C$5:$C$804="买")*'成交明细'!$B$5:$B$804,COUNTIFS('成交明细'!$A$5:$A$804,A78,'成交明细'!$C$5:$C$804,"买"))),"")</f>
        <v/>
      </c>
      <c r="S78" s="42" t="str">
        <f>IF(AND(N(T78)&gt;0,N(V78)&gt;=N(T78)),SUMPRODUCT(MAX(('成交明细'!$A$5:$A$804=A78)*('成交明细'!$C$5:$C$804="卖")*'成交明细'!$B$5:$B$804)),"")</f>
        <v/>
      </c>
      <c r="T78" s="44" t="str">
        <f>IF(A78="","",SUMIFS('成交明细'!$E$5:$E$804,'成交明细'!$A$5:$A$804,A78,'成交明细'!$C$5:$C$804,"买"))</f>
        <v/>
      </c>
      <c r="U78" s="50" t="str">
        <f>IF(N(T78)&gt;0,SUMIFS('成交明细'!$F$5:$F$804,'成交明细'!$A$5:$A$804,A78,'成交明细'!$C$5:$C$804,"买")/T78,"")</f>
        <v/>
      </c>
      <c r="V78" s="44" t="str">
        <f>IF(A78="","",SUMIFS('成交明细'!$E$5:$E$804,'成交明细'!$A$5:$A$804,A78,'成交明细'!$C$5:$C$804,"卖"))</f>
        <v/>
      </c>
      <c r="W78" s="50" t="str">
        <f>IF(N(V78)&gt;0,SUMIFS('成交明细'!$F$5:$F$804,'成交明细'!$A$5:$A$804,A78,'成交明细'!$C$5:$C$804,"卖")/V78,"")</f>
        <v/>
      </c>
      <c r="X78" s="36" t="str">
        <f>IF(A78="","",IF(Q78&lt;&gt;"已执行",IF(Q78="","未填执行情况",Q78),IF(N(T78)=0,"待录成交",IF(N(V78)&gt;N(T78),"卖出多于买入",IF(N(V78)&lt;N(T78),"持仓中","已平仓")))))</f>
        <v/>
      </c>
      <c r="Y78" s="51" t="str">
        <f>IF(N(T78)=0,"",SUMIFS('成交明细'!$K$5:$K$804,'成交明细'!$A$5:$A$804,A78))</f>
        <v/>
      </c>
      <c r="Z78" s="52" t="str">
        <f>IF(X78&lt;&gt;"已平仓","",SUMIFS('成交明细'!$F$5:$F$804,'成交明细'!$A$5:$A$804,A78,'成交明细'!$C$5:$C$804,"卖")-SUMIFS('成交明细'!$F$5:$F$804,'成交明细'!$A$5:$A$804,A78,'成交明细'!$C$5:$C$804,"买")-Y78)</f>
        <v/>
      </c>
      <c r="AA78" s="53" t="str">
        <f>IF(AND(X78="已平仓",ISNUMBER(N78)),(Z78+Y78)/N78,"")</f>
        <v/>
      </c>
      <c r="AB78" s="53" t="str">
        <f>IF(AND(X78="已平仓",ISNUMBER(N78)),Z78/N78,"")</f>
        <v/>
      </c>
      <c r="AC78" s="54" t="str">
        <f>IF(AND(ISNUMBER(U78),ISNUMBER(H78)),U78-H78,"")</f>
        <v/>
      </c>
      <c r="AD78" s="27" t="n"/>
      <c r="AE78" s="27" t="n"/>
      <c r="AF78" s="32" t="n"/>
      <c r="AG78" s="53" t="str">
        <f>IF(A78="","",SUM(AB$5:AB78))</f>
        <v/>
      </c>
      <c r="AH78" s="55" t="str">
        <f>IF(A78="","",MAX(0,MAX(AG$5:AG78))-AG78)</f>
        <v/>
      </c>
    </row>
    <row r="79">
      <c r="A79" s="46" t="n"/>
      <c r="B79" s="31" t="n"/>
      <c r="C79" s="32" t="n"/>
      <c r="D79" s="27" t="n"/>
      <c r="E79" s="47" t="str">
        <f>IF(D79="","",IFERROR(VLOOKUP(D79,'参数'!$B$21:$C$26,2,FALSE),""))</f>
        <v/>
      </c>
      <c r="F79" s="27" t="n"/>
      <c r="G79" s="43" t="str">
        <f>IF(NOT(ISNUMBER(B79)),"",IFERROR(IF(B79-INDEX('每日复盘'!$A$5:$A$264,MATCH(B79-1,'每日复盘'!$A$5:$A$264,1))&gt;7,"",T(INDEX('每日复盘'!$AA$5:$AA$264,MATCH(B79-1,'每日复盘'!$A$5:$A$264,1)))),""))</f>
        <v/>
      </c>
      <c r="H79" s="48" t="n"/>
      <c r="I79" s="48" t="n"/>
      <c r="J79" s="48" t="n"/>
      <c r="K79" s="49" t="str">
        <f>IF(AND(ISNUMBER(H79),ISNUMBER(I79),ISNUMBER(J79)),IF(H79&gt;I79,(J79-H79)/(H79-I79),""),"")</f>
        <v/>
      </c>
      <c r="L79" s="44" t="str">
        <f>IF(AND(ISNUMBER(H79),ISNUMBER(I79)),IF(H79&gt;I79,MIN(INT(ROUND('参数'!$C$7/(H79-I79)/100,6))*100,IF(ISNUMBER(E79),IF(H79-ROUND(ROUND(I79*(1-E79),4),2)&gt;0,INT(ROUND('参数'!$C$8/(H79-ROUND(ROUND(I79*(1-E79),4),2))/100,6))*100,0),INT(ROUND('参数'!$C$7/(H79-I79)/100,6))*100)),""),"")</f>
        <v/>
      </c>
      <c r="M79" s="17" t="n"/>
      <c r="N79" s="20" t="str">
        <f>IF(AND(ISNUMBER(H79),ISNUMBER(I79),ISNUMBER(M79)),IF(AND(H79&gt;I79,M79&gt;0),(H79-I79)*M79,""),"")</f>
        <v/>
      </c>
      <c r="O79" s="20" t="str">
        <f>IF(ISNUMBER(N79),IF(ISNUMBER(E79),(H79-ROUND(ROUND(I79*(1-E79),4),2))*M79,"不设限"),"")</f>
        <v/>
      </c>
      <c r="P79" s="32" t="n"/>
      <c r="Q79" s="27" t="n"/>
      <c r="R79" s="42" t="str">
        <f>IF(N(T79)&gt;0,SUMPRODUCT(LARGE(('成交明细'!$A$5:$A$804=A79)*('成交明细'!$C$5:$C$804="买")*'成交明细'!$B$5:$B$804,COUNTIFS('成交明细'!$A$5:$A$804,A79,'成交明细'!$C$5:$C$804,"买"))),"")</f>
        <v/>
      </c>
      <c r="S79" s="42" t="str">
        <f>IF(AND(N(T79)&gt;0,N(V79)&gt;=N(T79)),SUMPRODUCT(MAX(('成交明细'!$A$5:$A$804=A79)*('成交明细'!$C$5:$C$804="卖")*'成交明细'!$B$5:$B$804)),"")</f>
        <v/>
      </c>
      <c r="T79" s="44" t="str">
        <f>IF(A79="","",SUMIFS('成交明细'!$E$5:$E$804,'成交明细'!$A$5:$A$804,A79,'成交明细'!$C$5:$C$804,"买"))</f>
        <v/>
      </c>
      <c r="U79" s="50" t="str">
        <f>IF(N(T79)&gt;0,SUMIFS('成交明细'!$F$5:$F$804,'成交明细'!$A$5:$A$804,A79,'成交明细'!$C$5:$C$804,"买")/T79,"")</f>
        <v/>
      </c>
      <c r="V79" s="44" t="str">
        <f>IF(A79="","",SUMIFS('成交明细'!$E$5:$E$804,'成交明细'!$A$5:$A$804,A79,'成交明细'!$C$5:$C$804,"卖"))</f>
        <v/>
      </c>
      <c r="W79" s="50" t="str">
        <f>IF(N(V79)&gt;0,SUMIFS('成交明细'!$F$5:$F$804,'成交明细'!$A$5:$A$804,A79,'成交明细'!$C$5:$C$804,"卖")/V79,"")</f>
        <v/>
      </c>
      <c r="X79" s="36" t="str">
        <f>IF(A79="","",IF(Q79&lt;&gt;"已执行",IF(Q79="","未填执行情况",Q79),IF(N(T79)=0,"待录成交",IF(N(V79)&gt;N(T79),"卖出多于买入",IF(N(V79)&lt;N(T79),"持仓中","已平仓")))))</f>
        <v/>
      </c>
      <c r="Y79" s="51" t="str">
        <f>IF(N(T79)=0,"",SUMIFS('成交明细'!$K$5:$K$804,'成交明细'!$A$5:$A$804,A79))</f>
        <v/>
      </c>
      <c r="Z79" s="52" t="str">
        <f>IF(X79&lt;&gt;"已平仓","",SUMIFS('成交明细'!$F$5:$F$804,'成交明细'!$A$5:$A$804,A79,'成交明细'!$C$5:$C$804,"卖")-SUMIFS('成交明细'!$F$5:$F$804,'成交明细'!$A$5:$A$804,A79,'成交明细'!$C$5:$C$804,"买")-Y79)</f>
        <v/>
      </c>
      <c r="AA79" s="53" t="str">
        <f>IF(AND(X79="已平仓",ISNUMBER(N79)),(Z79+Y79)/N79,"")</f>
        <v/>
      </c>
      <c r="AB79" s="53" t="str">
        <f>IF(AND(X79="已平仓",ISNUMBER(N79)),Z79/N79,"")</f>
        <v/>
      </c>
      <c r="AC79" s="54" t="str">
        <f>IF(AND(ISNUMBER(U79),ISNUMBER(H79)),U79-H79,"")</f>
        <v/>
      </c>
      <c r="AD79" s="27" t="n"/>
      <c r="AE79" s="27" t="n"/>
      <c r="AF79" s="32" t="n"/>
      <c r="AG79" s="53" t="str">
        <f>IF(A79="","",SUM(AB$5:AB79))</f>
        <v/>
      </c>
      <c r="AH79" s="55" t="str">
        <f>IF(A79="","",MAX(0,MAX(AG$5:AG79))-AG79)</f>
        <v/>
      </c>
    </row>
    <row r="80">
      <c r="A80" s="46" t="n"/>
      <c r="B80" s="31" t="n"/>
      <c r="C80" s="32" t="n"/>
      <c r="D80" s="27" t="n"/>
      <c r="E80" s="47" t="str">
        <f>IF(D80="","",IFERROR(VLOOKUP(D80,'参数'!$B$21:$C$26,2,FALSE),""))</f>
        <v/>
      </c>
      <c r="F80" s="27" t="n"/>
      <c r="G80" s="43" t="str">
        <f>IF(NOT(ISNUMBER(B80)),"",IFERROR(IF(B80-INDEX('每日复盘'!$A$5:$A$264,MATCH(B80-1,'每日复盘'!$A$5:$A$264,1))&gt;7,"",T(INDEX('每日复盘'!$AA$5:$AA$264,MATCH(B80-1,'每日复盘'!$A$5:$A$264,1)))),""))</f>
        <v/>
      </c>
      <c r="H80" s="48" t="n"/>
      <c r="I80" s="48" t="n"/>
      <c r="J80" s="48" t="n"/>
      <c r="K80" s="49" t="str">
        <f>IF(AND(ISNUMBER(H80),ISNUMBER(I80),ISNUMBER(J80)),IF(H80&gt;I80,(J80-H80)/(H80-I80),""),"")</f>
        <v/>
      </c>
      <c r="L80" s="44" t="str">
        <f>IF(AND(ISNUMBER(H80),ISNUMBER(I80)),IF(H80&gt;I80,MIN(INT(ROUND('参数'!$C$7/(H80-I80)/100,6))*100,IF(ISNUMBER(E80),IF(H80-ROUND(ROUND(I80*(1-E80),4),2)&gt;0,INT(ROUND('参数'!$C$8/(H80-ROUND(ROUND(I80*(1-E80),4),2))/100,6))*100,0),INT(ROUND('参数'!$C$7/(H80-I80)/100,6))*100)),""),"")</f>
        <v/>
      </c>
      <c r="M80" s="17" t="n"/>
      <c r="N80" s="20" t="str">
        <f>IF(AND(ISNUMBER(H80),ISNUMBER(I80),ISNUMBER(M80)),IF(AND(H80&gt;I80,M80&gt;0),(H80-I80)*M80,""),"")</f>
        <v/>
      </c>
      <c r="O80" s="20" t="str">
        <f>IF(ISNUMBER(N80),IF(ISNUMBER(E80),(H80-ROUND(ROUND(I80*(1-E80),4),2))*M80,"不设限"),"")</f>
        <v/>
      </c>
      <c r="P80" s="32" t="n"/>
      <c r="Q80" s="27" t="n"/>
      <c r="R80" s="42" t="str">
        <f>IF(N(T80)&gt;0,SUMPRODUCT(LARGE(('成交明细'!$A$5:$A$804=A80)*('成交明细'!$C$5:$C$804="买")*'成交明细'!$B$5:$B$804,COUNTIFS('成交明细'!$A$5:$A$804,A80,'成交明细'!$C$5:$C$804,"买"))),"")</f>
        <v/>
      </c>
      <c r="S80" s="42" t="str">
        <f>IF(AND(N(T80)&gt;0,N(V80)&gt;=N(T80)),SUMPRODUCT(MAX(('成交明细'!$A$5:$A$804=A80)*('成交明细'!$C$5:$C$804="卖")*'成交明细'!$B$5:$B$804)),"")</f>
        <v/>
      </c>
      <c r="T80" s="44" t="str">
        <f>IF(A80="","",SUMIFS('成交明细'!$E$5:$E$804,'成交明细'!$A$5:$A$804,A80,'成交明细'!$C$5:$C$804,"买"))</f>
        <v/>
      </c>
      <c r="U80" s="50" t="str">
        <f>IF(N(T80)&gt;0,SUMIFS('成交明细'!$F$5:$F$804,'成交明细'!$A$5:$A$804,A80,'成交明细'!$C$5:$C$804,"买")/T80,"")</f>
        <v/>
      </c>
      <c r="V80" s="44" t="str">
        <f>IF(A80="","",SUMIFS('成交明细'!$E$5:$E$804,'成交明细'!$A$5:$A$804,A80,'成交明细'!$C$5:$C$804,"卖"))</f>
        <v/>
      </c>
      <c r="W80" s="50" t="str">
        <f>IF(N(V80)&gt;0,SUMIFS('成交明细'!$F$5:$F$804,'成交明细'!$A$5:$A$804,A80,'成交明细'!$C$5:$C$804,"卖")/V80,"")</f>
        <v/>
      </c>
      <c r="X80" s="36" t="str">
        <f>IF(A80="","",IF(Q80&lt;&gt;"已执行",IF(Q80="","未填执行情况",Q80),IF(N(T80)=0,"待录成交",IF(N(V80)&gt;N(T80),"卖出多于买入",IF(N(V80)&lt;N(T80),"持仓中","已平仓")))))</f>
        <v/>
      </c>
      <c r="Y80" s="51" t="str">
        <f>IF(N(T80)=0,"",SUMIFS('成交明细'!$K$5:$K$804,'成交明细'!$A$5:$A$804,A80))</f>
        <v/>
      </c>
      <c r="Z80" s="52" t="str">
        <f>IF(X80&lt;&gt;"已平仓","",SUMIFS('成交明细'!$F$5:$F$804,'成交明细'!$A$5:$A$804,A80,'成交明细'!$C$5:$C$804,"卖")-SUMIFS('成交明细'!$F$5:$F$804,'成交明细'!$A$5:$A$804,A80,'成交明细'!$C$5:$C$804,"买")-Y80)</f>
        <v/>
      </c>
      <c r="AA80" s="53" t="str">
        <f>IF(AND(X80="已平仓",ISNUMBER(N80)),(Z80+Y80)/N80,"")</f>
        <v/>
      </c>
      <c r="AB80" s="53" t="str">
        <f>IF(AND(X80="已平仓",ISNUMBER(N80)),Z80/N80,"")</f>
        <v/>
      </c>
      <c r="AC80" s="54" t="str">
        <f>IF(AND(ISNUMBER(U80),ISNUMBER(H80)),U80-H80,"")</f>
        <v/>
      </c>
      <c r="AD80" s="27" t="n"/>
      <c r="AE80" s="27" t="n"/>
      <c r="AF80" s="32" t="n"/>
      <c r="AG80" s="53" t="str">
        <f>IF(A80="","",SUM(AB$5:AB80))</f>
        <v/>
      </c>
      <c r="AH80" s="55" t="str">
        <f>IF(A80="","",MAX(0,MAX(AG$5:AG80))-AG80)</f>
        <v/>
      </c>
    </row>
    <row r="81">
      <c r="A81" s="46" t="n"/>
      <c r="B81" s="31" t="n"/>
      <c r="C81" s="32" t="n"/>
      <c r="D81" s="27" t="n"/>
      <c r="E81" s="47" t="str">
        <f>IF(D81="","",IFERROR(VLOOKUP(D81,'参数'!$B$21:$C$26,2,FALSE),""))</f>
        <v/>
      </c>
      <c r="F81" s="27" t="n"/>
      <c r="G81" s="43" t="str">
        <f>IF(NOT(ISNUMBER(B81)),"",IFERROR(IF(B81-INDEX('每日复盘'!$A$5:$A$264,MATCH(B81-1,'每日复盘'!$A$5:$A$264,1))&gt;7,"",T(INDEX('每日复盘'!$AA$5:$AA$264,MATCH(B81-1,'每日复盘'!$A$5:$A$264,1)))),""))</f>
        <v/>
      </c>
      <c r="H81" s="48" t="n"/>
      <c r="I81" s="48" t="n"/>
      <c r="J81" s="48" t="n"/>
      <c r="K81" s="49" t="str">
        <f>IF(AND(ISNUMBER(H81),ISNUMBER(I81),ISNUMBER(J81)),IF(H81&gt;I81,(J81-H81)/(H81-I81),""),"")</f>
        <v/>
      </c>
      <c r="L81" s="44" t="str">
        <f>IF(AND(ISNUMBER(H81),ISNUMBER(I81)),IF(H81&gt;I81,MIN(INT(ROUND('参数'!$C$7/(H81-I81)/100,6))*100,IF(ISNUMBER(E81),IF(H81-ROUND(ROUND(I81*(1-E81),4),2)&gt;0,INT(ROUND('参数'!$C$8/(H81-ROUND(ROUND(I81*(1-E81),4),2))/100,6))*100,0),INT(ROUND('参数'!$C$7/(H81-I81)/100,6))*100)),""),"")</f>
        <v/>
      </c>
      <c r="M81" s="17" t="n"/>
      <c r="N81" s="20" t="str">
        <f>IF(AND(ISNUMBER(H81),ISNUMBER(I81),ISNUMBER(M81)),IF(AND(H81&gt;I81,M81&gt;0),(H81-I81)*M81,""),"")</f>
        <v/>
      </c>
      <c r="O81" s="20" t="str">
        <f>IF(ISNUMBER(N81),IF(ISNUMBER(E81),(H81-ROUND(ROUND(I81*(1-E81),4),2))*M81,"不设限"),"")</f>
        <v/>
      </c>
      <c r="P81" s="32" t="n"/>
      <c r="Q81" s="27" t="n"/>
      <c r="R81" s="42" t="str">
        <f>IF(N(T81)&gt;0,SUMPRODUCT(LARGE(('成交明细'!$A$5:$A$804=A81)*('成交明细'!$C$5:$C$804="买")*'成交明细'!$B$5:$B$804,COUNTIFS('成交明细'!$A$5:$A$804,A81,'成交明细'!$C$5:$C$804,"买"))),"")</f>
        <v/>
      </c>
      <c r="S81" s="42" t="str">
        <f>IF(AND(N(T81)&gt;0,N(V81)&gt;=N(T81)),SUMPRODUCT(MAX(('成交明细'!$A$5:$A$804=A81)*('成交明细'!$C$5:$C$804="卖")*'成交明细'!$B$5:$B$804)),"")</f>
        <v/>
      </c>
      <c r="T81" s="44" t="str">
        <f>IF(A81="","",SUMIFS('成交明细'!$E$5:$E$804,'成交明细'!$A$5:$A$804,A81,'成交明细'!$C$5:$C$804,"买"))</f>
        <v/>
      </c>
      <c r="U81" s="50" t="str">
        <f>IF(N(T81)&gt;0,SUMIFS('成交明细'!$F$5:$F$804,'成交明细'!$A$5:$A$804,A81,'成交明细'!$C$5:$C$804,"买")/T81,"")</f>
        <v/>
      </c>
      <c r="V81" s="44" t="str">
        <f>IF(A81="","",SUMIFS('成交明细'!$E$5:$E$804,'成交明细'!$A$5:$A$804,A81,'成交明细'!$C$5:$C$804,"卖"))</f>
        <v/>
      </c>
      <c r="W81" s="50" t="str">
        <f>IF(N(V81)&gt;0,SUMIFS('成交明细'!$F$5:$F$804,'成交明细'!$A$5:$A$804,A81,'成交明细'!$C$5:$C$804,"卖")/V81,"")</f>
        <v/>
      </c>
      <c r="X81" s="36" t="str">
        <f>IF(A81="","",IF(Q81&lt;&gt;"已执行",IF(Q81="","未填执行情况",Q81),IF(N(T81)=0,"待录成交",IF(N(V81)&gt;N(T81),"卖出多于买入",IF(N(V81)&lt;N(T81),"持仓中","已平仓")))))</f>
        <v/>
      </c>
      <c r="Y81" s="51" t="str">
        <f>IF(N(T81)=0,"",SUMIFS('成交明细'!$K$5:$K$804,'成交明细'!$A$5:$A$804,A81))</f>
        <v/>
      </c>
      <c r="Z81" s="52" t="str">
        <f>IF(X81&lt;&gt;"已平仓","",SUMIFS('成交明细'!$F$5:$F$804,'成交明细'!$A$5:$A$804,A81,'成交明细'!$C$5:$C$804,"卖")-SUMIFS('成交明细'!$F$5:$F$804,'成交明细'!$A$5:$A$804,A81,'成交明细'!$C$5:$C$804,"买")-Y81)</f>
        <v/>
      </c>
      <c r="AA81" s="53" t="str">
        <f>IF(AND(X81="已平仓",ISNUMBER(N81)),(Z81+Y81)/N81,"")</f>
        <v/>
      </c>
      <c r="AB81" s="53" t="str">
        <f>IF(AND(X81="已平仓",ISNUMBER(N81)),Z81/N81,"")</f>
        <v/>
      </c>
      <c r="AC81" s="54" t="str">
        <f>IF(AND(ISNUMBER(U81),ISNUMBER(H81)),U81-H81,"")</f>
        <v/>
      </c>
      <c r="AD81" s="27" t="n"/>
      <c r="AE81" s="27" t="n"/>
      <c r="AF81" s="32" t="n"/>
      <c r="AG81" s="53" t="str">
        <f>IF(A81="","",SUM(AB$5:AB81))</f>
        <v/>
      </c>
      <c r="AH81" s="55" t="str">
        <f>IF(A81="","",MAX(0,MAX(AG$5:AG81))-AG81)</f>
        <v/>
      </c>
    </row>
    <row r="82">
      <c r="A82" s="46" t="n"/>
      <c r="B82" s="31" t="n"/>
      <c r="C82" s="32" t="n"/>
      <c r="D82" s="27" t="n"/>
      <c r="E82" s="47" t="str">
        <f>IF(D82="","",IFERROR(VLOOKUP(D82,'参数'!$B$21:$C$26,2,FALSE),""))</f>
        <v/>
      </c>
      <c r="F82" s="27" t="n"/>
      <c r="G82" s="43" t="str">
        <f>IF(NOT(ISNUMBER(B82)),"",IFERROR(IF(B82-INDEX('每日复盘'!$A$5:$A$264,MATCH(B82-1,'每日复盘'!$A$5:$A$264,1))&gt;7,"",T(INDEX('每日复盘'!$AA$5:$AA$264,MATCH(B82-1,'每日复盘'!$A$5:$A$264,1)))),""))</f>
        <v/>
      </c>
      <c r="H82" s="48" t="n"/>
      <c r="I82" s="48" t="n"/>
      <c r="J82" s="48" t="n"/>
      <c r="K82" s="49" t="str">
        <f>IF(AND(ISNUMBER(H82),ISNUMBER(I82),ISNUMBER(J82)),IF(H82&gt;I82,(J82-H82)/(H82-I82),""),"")</f>
        <v/>
      </c>
      <c r="L82" s="44" t="str">
        <f>IF(AND(ISNUMBER(H82),ISNUMBER(I82)),IF(H82&gt;I82,MIN(INT(ROUND('参数'!$C$7/(H82-I82)/100,6))*100,IF(ISNUMBER(E82),IF(H82-ROUND(ROUND(I82*(1-E82),4),2)&gt;0,INT(ROUND('参数'!$C$8/(H82-ROUND(ROUND(I82*(1-E82),4),2))/100,6))*100,0),INT(ROUND('参数'!$C$7/(H82-I82)/100,6))*100)),""),"")</f>
        <v/>
      </c>
      <c r="M82" s="17" t="n"/>
      <c r="N82" s="20" t="str">
        <f>IF(AND(ISNUMBER(H82),ISNUMBER(I82),ISNUMBER(M82)),IF(AND(H82&gt;I82,M82&gt;0),(H82-I82)*M82,""),"")</f>
        <v/>
      </c>
      <c r="O82" s="20" t="str">
        <f>IF(ISNUMBER(N82),IF(ISNUMBER(E82),(H82-ROUND(ROUND(I82*(1-E82),4),2))*M82,"不设限"),"")</f>
        <v/>
      </c>
      <c r="P82" s="32" t="n"/>
      <c r="Q82" s="27" t="n"/>
      <c r="R82" s="42" t="str">
        <f>IF(N(T82)&gt;0,SUMPRODUCT(LARGE(('成交明细'!$A$5:$A$804=A82)*('成交明细'!$C$5:$C$804="买")*'成交明细'!$B$5:$B$804,COUNTIFS('成交明细'!$A$5:$A$804,A82,'成交明细'!$C$5:$C$804,"买"))),"")</f>
        <v/>
      </c>
      <c r="S82" s="42" t="str">
        <f>IF(AND(N(T82)&gt;0,N(V82)&gt;=N(T82)),SUMPRODUCT(MAX(('成交明细'!$A$5:$A$804=A82)*('成交明细'!$C$5:$C$804="卖")*'成交明细'!$B$5:$B$804)),"")</f>
        <v/>
      </c>
      <c r="T82" s="44" t="str">
        <f>IF(A82="","",SUMIFS('成交明细'!$E$5:$E$804,'成交明细'!$A$5:$A$804,A82,'成交明细'!$C$5:$C$804,"买"))</f>
        <v/>
      </c>
      <c r="U82" s="50" t="str">
        <f>IF(N(T82)&gt;0,SUMIFS('成交明细'!$F$5:$F$804,'成交明细'!$A$5:$A$804,A82,'成交明细'!$C$5:$C$804,"买")/T82,"")</f>
        <v/>
      </c>
      <c r="V82" s="44" t="str">
        <f>IF(A82="","",SUMIFS('成交明细'!$E$5:$E$804,'成交明细'!$A$5:$A$804,A82,'成交明细'!$C$5:$C$804,"卖"))</f>
        <v/>
      </c>
      <c r="W82" s="50" t="str">
        <f>IF(N(V82)&gt;0,SUMIFS('成交明细'!$F$5:$F$804,'成交明细'!$A$5:$A$804,A82,'成交明细'!$C$5:$C$804,"卖")/V82,"")</f>
        <v/>
      </c>
      <c r="X82" s="36" t="str">
        <f>IF(A82="","",IF(Q82&lt;&gt;"已执行",IF(Q82="","未填执行情况",Q82),IF(N(T82)=0,"待录成交",IF(N(V82)&gt;N(T82),"卖出多于买入",IF(N(V82)&lt;N(T82),"持仓中","已平仓")))))</f>
        <v/>
      </c>
      <c r="Y82" s="51" t="str">
        <f>IF(N(T82)=0,"",SUMIFS('成交明细'!$K$5:$K$804,'成交明细'!$A$5:$A$804,A82))</f>
        <v/>
      </c>
      <c r="Z82" s="52" t="str">
        <f>IF(X82&lt;&gt;"已平仓","",SUMIFS('成交明细'!$F$5:$F$804,'成交明细'!$A$5:$A$804,A82,'成交明细'!$C$5:$C$804,"卖")-SUMIFS('成交明细'!$F$5:$F$804,'成交明细'!$A$5:$A$804,A82,'成交明细'!$C$5:$C$804,"买")-Y82)</f>
        <v/>
      </c>
      <c r="AA82" s="53" t="str">
        <f>IF(AND(X82="已平仓",ISNUMBER(N82)),(Z82+Y82)/N82,"")</f>
        <v/>
      </c>
      <c r="AB82" s="53" t="str">
        <f>IF(AND(X82="已平仓",ISNUMBER(N82)),Z82/N82,"")</f>
        <v/>
      </c>
      <c r="AC82" s="54" t="str">
        <f>IF(AND(ISNUMBER(U82),ISNUMBER(H82)),U82-H82,"")</f>
        <v/>
      </c>
      <c r="AD82" s="27" t="n"/>
      <c r="AE82" s="27" t="n"/>
      <c r="AF82" s="32" t="n"/>
      <c r="AG82" s="53" t="str">
        <f>IF(A82="","",SUM(AB$5:AB82))</f>
        <v/>
      </c>
      <c r="AH82" s="55" t="str">
        <f>IF(A82="","",MAX(0,MAX(AG$5:AG82))-AG82)</f>
        <v/>
      </c>
    </row>
    <row r="83">
      <c r="A83" s="46" t="n"/>
      <c r="B83" s="31" t="n"/>
      <c r="C83" s="32" t="n"/>
      <c r="D83" s="27" t="n"/>
      <c r="E83" s="47" t="str">
        <f>IF(D83="","",IFERROR(VLOOKUP(D83,'参数'!$B$21:$C$26,2,FALSE),""))</f>
        <v/>
      </c>
      <c r="F83" s="27" t="n"/>
      <c r="G83" s="43" t="str">
        <f>IF(NOT(ISNUMBER(B83)),"",IFERROR(IF(B83-INDEX('每日复盘'!$A$5:$A$264,MATCH(B83-1,'每日复盘'!$A$5:$A$264,1))&gt;7,"",T(INDEX('每日复盘'!$AA$5:$AA$264,MATCH(B83-1,'每日复盘'!$A$5:$A$264,1)))),""))</f>
        <v/>
      </c>
      <c r="H83" s="48" t="n"/>
      <c r="I83" s="48" t="n"/>
      <c r="J83" s="48" t="n"/>
      <c r="K83" s="49" t="str">
        <f>IF(AND(ISNUMBER(H83),ISNUMBER(I83),ISNUMBER(J83)),IF(H83&gt;I83,(J83-H83)/(H83-I83),""),"")</f>
        <v/>
      </c>
      <c r="L83" s="44" t="str">
        <f>IF(AND(ISNUMBER(H83),ISNUMBER(I83)),IF(H83&gt;I83,MIN(INT(ROUND('参数'!$C$7/(H83-I83)/100,6))*100,IF(ISNUMBER(E83),IF(H83-ROUND(ROUND(I83*(1-E83),4),2)&gt;0,INT(ROUND('参数'!$C$8/(H83-ROUND(ROUND(I83*(1-E83),4),2))/100,6))*100,0),INT(ROUND('参数'!$C$7/(H83-I83)/100,6))*100)),""),"")</f>
        <v/>
      </c>
      <c r="M83" s="17" t="n"/>
      <c r="N83" s="20" t="str">
        <f>IF(AND(ISNUMBER(H83),ISNUMBER(I83),ISNUMBER(M83)),IF(AND(H83&gt;I83,M83&gt;0),(H83-I83)*M83,""),"")</f>
        <v/>
      </c>
      <c r="O83" s="20" t="str">
        <f>IF(ISNUMBER(N83),IF(ISNUMBER(E83),(H83-ROUND(ROUND(I83*(1-E83),4),2))*M83,"不设限"),"")</f>
        <v/>
      </c>
      <c r="P83" s="32" t="n"/>
      <c r="Q83" s="27" t="n"/>
      <c r="R83" s="42" t="str">
        <f>IF(N(T83)&gt;0,SUMPRODUCT(LARGE(('成交明细'!$A$5:$A$804=A83)*('成交明细'!$C$5:$C$804="买")*'成交明细'!$B$5:$B$804,COUNTIFS('成交明细'!$A$5:$A$804,A83,'成交明细'!$C$5:$C$804,"买"))),"")</f>
        <v/>
      </c>
      <c r="S83" s="42" t="str">
        <f>IF(AND(N(T83)&gt;0,N(V83)&gt;=N(T83)),SUMPRODUCT(MAX(('成交明细'!$A$5:$A$804=A83)*('成交明细'!$C$5:$C$804="卖")*'成交明细'!$B$5:$B$804)),"")</f>
        <v/>
      </c>
      <c r="T83" s="44" t="str">
        <f>IF(A83="","",SUMIFS('成交明细'!$E$5:$E$804,'成交明细'!$A$5:$A$804,A83,'成交明细'!$C$5:$C$804,"买"))</f>
        <v/>
      </c>
      <c r="U83" s="50" t="str">
        <f>IF(N(T83)&gt;0,SUMIFS('成交明细'!$F$5:$F$804,'成交明细'!$A$5:$A$804,A83,'成交明细'!$C$5:$C$804,"买")/T83,"")</f>
        <v/>
      </c>
      <c r="V83" s="44" t="str">
        <f>IF(A83="","",SUMIFS('成交明细'!$E$5:$E$804,'成交明细'!$A$5:$A$804,A83,'成交明细'!$C$5:$C$804,"卖"))</f>
        <v/>
      </c>
      <c r="W83" s="50" t="str">
        <f>IF(N(V83)&gt;0,SUMIFS('成交明细'!$F$5:$F$804,'成交明细'!$A$5:$A$804,A83,'成交明细'!$C$5:$C$804,"卖")/V83,"")</f>
        <v/>
      </c>
      <c r="X83" s="36" t="str">
        <f>IF(A83="","",IF(Q83&lt;&gt;"已执行",IF(Q83="","未填执行情况",Q83),IF(N(T83)=0,"待录成交",IF(N(V83)&gt;N(T83),"卖出多于买入",IF(N(V83)&lt;N(T83),"持仓中","已平仓")))))</f>
        <v/>
      </c>
      <c r="Y83" s="51" t="str">
        <f>IF(N(T83)=0,"",SUMIFS('成交明细'!$K$5:$K$804,'成交明细'!$A$5:$A$804,A83))</f>
        <v/>
      </c>
      <c r="Z83" s="52" t="str">
        <f>IF(X83&lt;&gt;"已平仓","",SUMIFS('成交明细'!$F$5:$F$804,'成交明细'!$A$5:$A$804,A83,'成交明细'!$C$5:$C$804,"卖")-SUMIFS('成交明细'!$F$5:$F$804,'成交明细'!$A$5:$A$804,A83,'成交明细'!$C$5:$C$804,"买")-Y83)</f>
        <v/>
      </c>
      <c r="AA83" s="53" t="str">
        <f>IF(AND(X83="已平仓",ISNUMBER(N83)),(Z83+Y83)/N83,"")</f>
        <v/>
      </c>
      <c r="AB83" s="53" t="str">
        <f>IF(AND(X83="已平仓",ISNUMBER(N83)),Z83/N83,"")</f>
        <v/>
      </c>
      <c r="AC83" s="54" t="str">
        <f>IF(AND(ISNUMBER(U83),ISNUMBER(H83)),U83-H83,"")</f>
        <v/>
      </c>
      <c r="AD83" s="27" t="n"/>
      <c r="AE83" s="27" t="n"/>
      <c r="AF83" s="32" t="n"/>
      <c r="AG83" s="53" t="str">
        <f>IF(A83="","",SUM(AB$5:AB83))</f>
        <v/>
      </c>
      <c r="AH83" s="55" t="str">
        <f>IF(A83="","",MAX(0,MAX(AG$5:AG83))-AG83)</f>
        <v/>
      </c>
    </row>
    <row r="84">
      <c r="A84" s="46" t="n"/>
      <c r="B84" s="31" t="n"/>
      <c r="C84" s="32" t="n"/>
      <c r="D84" s="27" t="n"/>
      <c r="E84" s="47" t="str">
        <f>IF(D84="","",IFERROR(VLOOKUP(D84,'参数'!$B$21:$C$26,2,FALSE),""))</f>
        <v/>
      </c>
      <c r="F84" s="27" t="n"/>
      <c r="G84" s="43" t="str">
        <f>IF(NOT(ISNUMBER(B84)),"",IFERROR(IF(B84-INDEX('每日复盘'!$A$5:$A$264,MATCH(B84-1,'每日复盘'!$A$5:$A$264,1))&gt;7,"",T(INDEX('每日复盘'!$AA$5:$AA$264,MATCH(B84-1,'每日复盘'!$A$5:$A$264,1)))),""))</f>
        <v/>
      </c>
      <c r="H84" s="48" t="n"/>
      <c r="I84" s="48" t="n"/>
      <c r="J84" s="48" t="n"/>
      <c r="K84" s="49" t="str">
        <f>IF(AND(ISNUMBER(H84),ISNUMBER(I84),ISNUMBER(J84)),IF(H84&gt;I84,(J84-H84)/(H84-I84),""),"")</f>
        <v/>
      </c>
      <c r="L84" s="44" t="str">
        <f>IF(AND(ISNUMBER(H84),ISNUMBER(I84)),IF(H84&gt;I84,MIN(INT(ROUND('参数'!$C$7/(H84-I84)/100,6))*100,IF(ISNUMBER(E84),IF(H84-ROUND(ROUND(I84*(1-E84),4),2)&gt;0,INT(ROUND('参数'!$C$8/(H84-ROUND(ROUND(I84*(1-E84),4),2))/100,6))*100,0),INT(ROUND('参数'!$C$7/(H84-I84)/100,6))*100)),""),"")</f>
        <v/>
      </c>
      <c r="M84" s="17" t="n"/>
      <c r="N84" s="20" t="str">
        <f>IF(AND(ISNUMBER(H84),ISNUMBER(I84),ISNUMBER(M84)),IF(AND(H84&gt;I84,M84&gt;0),(H84-I84)*M84,""),"")</f>
        <v/>
      </c>
      <c r="O84" s="20" t="str">
        <f>IF(ISNUMBER(N84),IF(ISNUMBER(E84),(H84-ROUND(ROUND(I84*(1-E84),4),2))*M84,"不设限"),"")</f>
        <v/>
      </c>
      <c r="P84" s="32" t="n"/>
      <c r="Q84" s="27" t="n"/>
      <c r="R84" s="42" t="str">
        <f>IF(N(T84)&gt;0,SUMPRODUCT(LARGE(('成交明细'!$A$5:$A$804=A84)*('成交明细'!$C$5:$C$804="买")*'成交明细'!$B$5:$B$804,COUNTIFS('成交明细'!$A$5:$A$804,A84,'成交明细'!$C$5:$C$804,"买"))),"")</f>
        <v/>
      </c>
      <c r="S84" s="42" t="str">
        <f>IF(AND(N(T84)&gt;0,N(V84)&gt;=N(T84)),SUMPRODUCT(MAX(('成交明细'!$A$5:$A$804=A84)*('成交明细'!$C$5:$C$804="卖")*'成交明细'!$B$5:$B$804)),"")</f>
        <v/>
      </c>
      <c r="T84" s="44" t="str">
        <f>IF(A84="","",SUMIFS('成交明细'!$E$5:$E$804,'成交明细'!$A$5:$A$804,A84,'成交明细'!$C$5:$C$804,"买"))</f>
        <v/>
      </c>
      <c r="U84" s="50" t="str">
        <f>IF(N(T84)&gt;0,SUMIFS('成交明细'!$F$5:$F$804,'成交明细'!$A$5:$A$804,A84,'成交明细'!$C$5:$C$804,"买")/T84,"")</f>
        <v/>
      </c>
      <c r="V84" s="44" t="str">
        <f>IF(A84="","",SUMIFS('成交明细'!$E$5:$E$804,'成交明细'!$A$5:$A$804,A84,'成交明细'!$C$5:$C$804,"卖"))</f>
        <v/>
      </c>
      <c r="W84" s="50" t="str">
        <f>IF(N(V84)&gt;0,SUMIFS('成交明细'!$F$5:$F$804,'成交明细'!$A$5:$A$804,A84,'成交明细'!$C$5:$C$804,"卖")/V84,"")</f>
        <v/>
      </c>
      <c r="X84" s="36" t="str">
        <f>IF(A84="","",IF(Q84&lt;&gt;"已执行",IF(Q84="","未填执行情况",Q84),IF(N(T84)=0,"待录成交",IF(N(V84)&gt;N(T84),"卖出多于买入",IF(N(V84)&lt;N(T84),"持仓中","已平仓")))))</f>
        <v/>
      </c>
      <c r="Y84" s="51" t="str">
        <f>IF(N(T84)=0,"",SUMIFS('成交明细'!$K$5:$K$804,'成交明细'!$A$5:$A$804,A84))</f>
        <v/>
      </c>
      <c r="Z84" s="52" t="str">
        <f>IF(X84&lt;&gt;"已平仓","",SUMIFS('成交明细'!$F$5:$F$804,'成交明细'!$A$5:$A$804,A84,'成交明细'!$C$5:$C$804,"卖")-SUMIFS('成交明细'!$F$5:$F$804,'成交明细'!$A$5:$A$804,A84,'成交明细'!$C$5:$C$804,"买")-Y84)</f>
        <v/>
      </c>
      <c r="AA84" s="53" t="str">
        <f>IF(AND(X84="已平仓",ISNUMBER(N84)),(Z84+Y84)/N84,"")</f>
        <v/>
      </c>
      <c r="AB84" s="53" t="str">
        <f>IF(AND(X84="已平仓",ISNUMBER(N84)),Z84/N84,"")</f>
        <v/>
      </c>
      <c r="AC84" s="54" t="str">
        <f>IF(AND(ISNUMBER(U84),ISNUMBER(H84)),U84-H84,"")</f>
        <v/>
      </c>
      <c r="AD84" s="27" t="n"/>
      <c r="AE84" s="27" t="n"/>
      <c r="AF84" s="32" t="n"/>
      <c r="AG84" s="53" t="str">
        <f>IF(A84="","",SUM(AB$5:AB84))</f>
        <v/>
      </c>
      <c r="AH84" s="55" t="str">
        <f>IF(A84="","",MAX(0,MAX(AG$5:AG84))-AG84)</f>
        <v/>
      </c>
    </row>
    <row r="85">
      <c r="A85" s="46" t="n"/>
      <c r="B85" s="31" t="n"/>
      <c r="C85" s="32" t="n"/>
      <c r="D85" s="27" t="n"/>
      <c r="E85" s="47" t="str">
        <f>IF(D85="","",IFERROR(VLOOKUP(D85,'参数'!$B$21:$C$26,2,FALSE),""))</f>
        <v/>
      </c>
      <c r="F85" s="27" t="n"/>
      <c r="G85" s="43" t="str">
        <f>IF(NOT(ISNUMBER(B85)),"",IFERROR(IF(B85-INDEX('每日复盘'!$A$5:$A$264,MATCH(B85-1,'每日复盘'!$A$5:$A$264,1))&gt;7,"",T(INDEX('每日复盘'!$AA$5:$AA$264,MATCH(B85-1,'每日复盘'!$A$5:$A$264,1)))),""))</f>
        <v/>
      </c>
      <c r="H85" s="48" t="n"/>
      <c r="I85" s="48" t="n"/>
      <c r="J85" s="48" t="n"/>
      <c r="K85" s="49" t="str">
        <f>IF(AND(ISNUMBER(H85),ISNUMBER(I85),ISNUMBER(J85)),IF(H85&gt;I85,(J85-H85)/(H85-I85),""),"")</f>
        <v/>
      </c>
      <c r="L85" s="44" t="str">
        <f>IF(AND(ISNUMBER(H85),ISNUMBER(I85)),IF(H85&gt;I85,MIN(INT(ROUND('参数'!$C$7/(H85-I85)/100,6))*100,IF(ISNUMBER(E85),IF(H85-ROUND(ROUND(I85*(1-E85),4),2)&gt;0,INT(ROUND('参数'!$C$8/(H85-ROUND(ROUND(I85*(1-E85),4),2))/100,6))*100,0),INT(ROUND('参数'!$C$7/(H85-I85)/100,6))*100)),""),"")</f>
        <v/>
      </c>
      <c r="M85" s="17" t="n"/>
      <c r="N85" s="20" t="str">
        <f>IF(AND(ISNUMBER(H85),ISNUMBER(I85),ISNUMBER(M85)),IF(AND(H85&gt;I85,M85&gt;0),(H85-I85)*M85,""),"")</f>
        <v/>
      </c>
      <c r="O85" s="20" t="str">
        <f>IF(ISNUMBER(N85),IF(ISNUMBER(E85),(H85-ROUND(ROUND(I85*(1-E85),4),2))*M85,"不设限"),"")</f>
        <v/>
      </c>
      <c r="P85" s="32" t="n"/>
      <c r="Q85" s="27" t="n"/>
      <c r="R85" s="42" t="str">
        <f>IF(N(T85)&gt;0,SUMPRODUCT(LARGE(('成交明细'!$A$5:$A$804=A85)*('成交明细'!$C$5:$C$804="买")*'成交明细'!$B$5:$B$804,COUNTIFS('成交明细'!$A$5:$A$804,A85,'成交明细'!$C$5:$C$804,"买"))),"")</f>
        <v/>
      </c>
      <c r="S85" s="42" t="str">
        <f>IF(AND(N(T85)&gt;0,N(V85)&gt;=N(T85)),SUMPRODUCT(MAX(('成交明细'!$A$5:$A$804=A85)*('成交明细'!$C$5:$C$804="卖")*'成交明细'!$B$5:$B$804)),"")</f>
        <v/>
      </c>
      <c r="T85" s="44" t="str">
        <f>IF(A85="","",SUMIFS('成交明细'!$E$5:$E$804,'成交明细'!$A$5:$A$804,A85,'成交明细'!$C$5:$C$804,"买"))</f>
        <v/>
      </c>
      <c r="U85" s="50" t="str">
        <f>IF(N(T85)&gt;0,SUMIFS('成交明细'!$F$5:$F$804,'成交明细'!$A$5:$A$804,A85,'成交明细'!$C$5:$C$804,"买")/T85,"")</f>
        <v/>
      </c>
      <c r="V85" s="44" t="str">
        <f>IF(A85="","",SUMIFS('成交明细'!$E$5:$E$804,'成交明细'!$A$5:$A$804,A85,'成交明细'!$C$5:$C$804,"卖"))</f>
        <v/>
      </c>
      <c r="W85" s="50" t="str">
        <f>IF(N(V85)&gt;0,SUMIFS('成交明细'!$F$5:$F$804,'成交明细'!$A$5:$A$804,A85,'成交明细'!$C$5:$C$804,"卖")/V85,"")</f>
        <v/>
      </c>
      <c r="X85" s="36" t="str">
        <f>IF(A85="","",IF(Q85&lt;&gt;"已执行",IF(Q85="","未填执行情况",Q85),IF(N(T85)=0,"待录成交",IF(N(V85)&gt;N(T85),"卖出多于买入",IF(N(V85)&lt;N(T85),"持仓中","已平仓")))))</f>
        <v/>
      </c>
      <c r="Y85" s="51" t="str">
        <f>IF(N(T85)=0,"",SUMIFS('成交明细'!$K$5:$K$804,'成交明细'!$A$5:$A$804,A85))</f>
        <v/>
      </c>
      <c r="Z85" s="52" t="str">
        <f>IF(X85&lt;&gt;"已平仓","",SUMIFS('成交明细'!$F$5:$F$804,'成交明细'!$A$5:$A$804,A85,'成交明细'!$C$5:$C$804,"卖")-SUMIFS('成交明细'!$F$5:$F$804,'成交明细'!$A$5:$A$804,A85,'成交明细'!$C$5:$C$804,"买")-Y85)</f>
        <v/>
      </c>
      <c r="AA85" s="53" t="str">
        <f>IF(AND(X85="已平仓",ISNUMBER(N85)),(Z85+Y85)/N85,"")</f>
        <v/>
      </c>
      <c r="AB85" s="53" t="str">
        <f>IF(AND(X85="已平仓",ISNUMBER(N85)),Z85/N85,"")</f>
        <v/>
      </c>
      <c r="AC85" s="54" t="str">
        <f>IF(AND(ISNUMBER(U85),ISNUMBER(H85)),U85-H85,"")</f>
        <v/>
      </c>
      <c r="AD85" s="27" t="n"/>
      <c r="AE85" s="27" t="n"/>
      <c r="AF85" s="32" t="n"/>
      <c r="AG85" s="53" t="str">
        <f>IF(A85="","",SUM(AB$5:AB85))</f>
        <v/>
      </c>
      <c r="AH85" s="55" t="str">
        <f>IF(A85="","",MAX(0,MAX(AG$5:AG85))-AG85)</f>
        <v/>
      </c>
    </row>
    <row r="86">
      <c r="A86" s="46" t="n"/>
      <c r="B86" s="31" t="n"/>
      <c r="C86" s="32" t="n"/>
      <c r="D86" s="27" t="n"/>
      <c r="E86" s="47" t="str">
        <f>IF(D86="","",IFERROR(VLOOKUP(D86,'参数'!$B$21:$C$26,2,FALSE),""))</f>
        <v/>
      </c>
      <c r="F86" s="27" t="n"/>
      <c r="G86" s="43" t="str">
        <f>IF(NOT(ISNUMBER(B86)),"",IFERROR(IF(B86-INDEX('每日复盘'!$A$5:$A$264,MATCH(B86-1,'每日复盘'!$A$5:$A$264,1))&gt;7,"",T(INDEX('每日复盘'!$AA$5:$AA$264,MATCH(B86-1,'每日复盘'!$A$5:$A$264,1)))),""))</f>
        <v/>
      </c>
      <c r="H86" s="48" t="n"/>
      <c r="I86" s="48" t="n"/>
      <c r="J86" s="48" t="n"/>
      <c r="K86" s="49" t="str">
        <f>IF(AND(ISNUMBER(H86),ISNUMBER(I86),ISNUMBER(J86)),IF(H86&gt;I86,(J86-H86)/(H86-I86),""),"")</f>
        <v/>
      </c>
      <c r="L86" s="44" t="str">
        <f>IF(AND(ISNUMBER(H86),ISNUMBER(I86)),IF(H86&gt;I86,MIN(INT(ROUND('参数'!$C$7/(H86-I86)/100,6))*100,IF(ISNUMBER(E86),IF(H86-ROUND(ROUND(I86*(1-E86),4),2)&gt;0,INT(ROUND('参数'!$C$8/(H86-ROUND(ROUND(I86*(1-E86),4),2))/100,6))*100,0),INT(ROUND('参数'!$C$7/(H86-I86)/100,6))*100)),""),"")</f>
        <v/>
      </c>
      <c r="M86" s="17" t="n"/>
      <c r="N86" s="20" t="str">
        <f>IF(AND(ISNUMBER(H86),ISNUMBER(I86),ISNUMBER(M86)),IF(AND(H86&gt;I86,M86&gt;0),(H86-I86)*M86,""),"")</f>
        <v/>
      </c>
      <c r="O86" s="20" t="str">
        <f>IF(ISNUMBER(N86),IF(ISNUMBER(E86),(H86-ROUND(ROUND(I86*(1-E86),4),2))*M86,"不设限"),"")</f>
        <v/>
      </c>
      <c r="P86" s="32" t="n"/>
      <c r="Q86" s="27" t="n"/>
      <c r="R86" s="42" t="str">
        <f>IF(N(T86)&gt;0,SUMPRODUCT(LARGE(('成交明细'!$A$5:$A$804=A86)*('成交明细'!$C$5:$C$804="买")*'成交明细'!$B$5:$B$804,COUNTIFS('成交明细'!$A$5:$A$804,A86,'成交明细'!$C$5:$C$804,"买"))),"")</f>
        <v/>
      </c>
      <c r="S86" s="42" t="str">
        <f>IF(AND(N(T86)&gt;0,N(V86)&gt;=N(T86)),SUMPRODUCT(MAX(('成交明细'!$A$5:$A$804=A86)*('成交明细'!$C$5:$C$804="卖")*'成交明细'!$B$5:$B$804)),"")</f>
        <v/>
      </c>
      <c r="T86" s="44" t="str">
        <f>IF(A86="","",SUMIFS('成交明细'!$E$5:$E$804,'成交明细'!$A$5:$A$804,A86,'成交明细'!$C$5:$C$804,"买"))</f>
        <v/>
      </c>
      <c r="U86" s="50" t="str">
        <f>IF(N(T86)&gt;0,SUMIFS('成交明细'!$F$5:$F$804,'成交明细'!$A$5:$A$804,A86,'成交明细'!$C$5:$C$804,"买")/T86,"")</f>
        <v/>
      </c>
      <c r="V86" s="44" t="str">
        <f>IF(A86="","",SUMIFS('成交明细'!$E$5:$E$804,'成交明细'!$A$5:$A$804,A86,'成交明细'!$C$5:$C$804,"卖"))</f>
        <v/>
      </c>
      <c r="W86" s="50" t="str">
        <f>IF(N(V86)&gt;0,SUMIFS('成交明细'!$F$5:$F$804,'成交明细'!$A$5:$A$804,A86,'成交明细'!$C$5:$C$804,"卖")/V86,"")</f>
        <v/>
      </c>
      <c r="X86" s="36" t="str">
        <f>IF(A86="","",IF(Q86&lt;&gt;"已执行",IF(Q86="","未填执行情况",Q86),IF(N(T86)=0,"待录成交",IF(N(V86)&gt;N(T86),"卖出多于买入",IF(N(V86)&lt;N(T86),"持仓中","已平仓")))))</f>
        <v/>
      </c>
      <c r="Y86" s="51" t="str">
        <f>IF(N(T86)=0,"",SUMIFS('成交明细'!$K$5:$K$804,'成交明细'!$A$5:$A$804,A86))</f>
        <v/>
      </c>
      <c r="Z86" s="52" t="str">
        <f>IF(X86&lt;&gt;"已平仓","",SUMIFS('成交明细'!$F$5:$F$804,'成交明细'!$A$5:$A$804,A86,'成交明细'!$C$5:$C$804,"卖")-SUMIFS('成交明细'!$F$5:$F$804,'成交明细'!$A$5:$A$804,A86,'成交明细'!$C$5:$C$804,"买")-Y86)</f>
        <v/>
      </c>
      <c r="AA86" s="53" t="str">
        <f>IF(AND(X86="已平仓",ISNUMBER(N86)),(Z86+Y86)/N86,"")</f>
        <v/>
      </c>
      <c r="AB86" s="53" t="str">
        <f>IF(AND(X86="已平仓",ISNUMBER(N86)),Z86/N86,"")</f>
        <v/>
      </c>
      <c r="AC86" s="54" t="str">
        <f>IF(AND(ISNUMBER(U86),ISNUMBER(H86)),U86-H86,"")</f>
        <v/>
      </c>
      <c r="AD86" s="27" t="n"/>
      <c r="AE86" s="27" t="n"/>
      <c r="AF86" s="32" t="n"/>
      <c r="AG86" s="53" t="str">
        <f>IF(A86="","",SUM(AB$5:AB86))</f>
        <v/>
      </c>
      <c r="AH86" s="55" t="str">
        <f>IF(A86="","",MAX(0,MAX(AG$5:AG86))-AG86)</f>
        <v/>
      </c>
    </row>
    <row r="87">
      <c r="A87" s="46" t="n"/>
      <c r="B87" s="31" t="n"/>
      <c r="C87" s="32" t="n"/>
      <c r="D87" s="27" t="n"/>
      <c r="E87" s="47" t="str">
        <f>IF(D87="","",IFERROR(VLOOKUP(D87,'参数'!$B$21:$C$26,2,FALSE),""))</f>
        <v/>
      </c>
      <c r="F87" s="27" t="n"/>
      <c r="G87" s="43" t="str">
        <f>IF(NOT(ISNUMBER(B87)),"",IFERROR(IF(B87-INDEX('每日复盘'!$A$5:$A$264,MATCH(B87-1,'每日复盘'!$A$5:$A$264,1))&gt;7,"",T(INDEX('每日复盘'!$AA$5:$AA$264,MATCH(B87-1,'每日复盘'!$A$5:$A$264,1)))),""))</f>
        <v/>
      </c>
      <c r="H87" s="48" t="n"/>
      <c r="I87" s="48" t="n"/>
      <c r="J87" s="48" t="n"/>
      <c r="K87" s="49" t="str">
        <f>IF(AND(ISNUMBER(H87),ISNUMBER(I87),ISNUMBER(J87)),IF(H87&gt;I87,(J87-H87)/(H87-I87),""),"")</f>
        <v/>
      </c>
      <c r="L87" s="44" t="str">
        <f>IF(AND(ISNUMBER(H87),ISNUMBER(I87)),IF(H87&gt;I87,MIN(INT(ROUND('参数'!$C$7/(H87-I87)/100,6))*100,IF(ISNUMBER(E87),IF(H87-ROUND(ROUND(I87*(1-E87),4),2)&gt;0,INT(ROUND('参数'!$C$8/(H87-ROUND(ROUND(I87*(1-E87),4),2))/100,6))*100,0),INT(ROUND('参数'!$C$7/(H87-I87)/100,6))*100)),""),"")</f>
        <v/>
      </c>
      <c r="M87" s="17" t="n"/>
      <c r="N87" s="20" t="str">
        <f>IF(AND(ISNUMBER(H87),ISNUMBER(I87),ISNUMBER(M87)),IF(AND(H87&gt;I87,M87&gt;0),(H87-I87)*M87,""),"")</f>
        <v/>
      </c>
      <c r="O87" s="20" t="str">
        <f>IF(ISNUMBER(N87),IF(ISNUMBER(E87),(H87-ROUND(ROUND(I87*(1-E87),4),2))*M87,"不设限"),"")</f>
        <v/>
      </c>
      <c r="P87" s="32" t="n"/>
      <c r="Q87" s="27" t="n"/>
      <c r="R87" s="42" t="str">
        <f>IF(N(T87)&gt;0,SUMPRODUCT(LARGE(('成交明细'!$A$5:$A$804=A87)*('成交明细'!$C$5:$C$804="买")*'成交明细'!$B$5:$B$804,COUNTIFS('成交明细'!$A$5:$A$804,A87,'成交明细'!$C$5:$C$804,"买"))),"")</f>
        <v/>
      </c>
      <c r="S87" s="42" t="str">
        <f>IF(AND(N(T87)&gt;0,N(V87)&gt;=N(T87)),SUMPRODUCT(MAX(('成交明细'!$A$5:$A$804=A87)*('成交明细'!$C$5:$C$804="卖")*'成交明细'!$B$5:$B$804)),"")</f>
        <v/>
      </c>
      <c r="T87" s="44" t="str">
        <f>IF(A87="","",SUMIFS('成交明细'!$E$5:$E$804,'成交明细'!$A$5:$A$804,A87,'成交明细'!$C$5:$C$804,"买"))</f>
        <v/>
      </c>
      <c r="U87" s="50" t="str">
        <f>IF(N(T87)&gt;0,SUMIFS('成交明细'!$F$5:$F$804,'成交明细'!$A$5:$A$804,A87,'成交明细'!$C$5:$C$804,"买")/T87,"")</f>
        <v/>
      </c>
      <c r="V87" s="44" t="str">
        <f>IF(A87="","",SUMIFS('成交明细'!$E$5:$E$804,'成交明细'!$A$5:$A$804,A87,'成交明细'!$C$5:$C$804,"卖"))</f>
        <v/>
      </c>
      <c r="W87" s="50" t="str">
        <f>IF(N(V87)&gt;0,SUMIFS('成交明细'!$F$5:$F$804,'成交明细'!$A$5:$A$804,A87,'成交明细'!$C$5:$C$804,"卖")/V87,"")</f>
        <v/>
      </c>
      <c r="X87" s="36" t="str">
        <f>IF(A87="","",IF(Q87&lt;&gt;"已执行",IF(Q87="","未填执行情况",Q87),IF(N(T87)=0,"待录成交",IF(N(V87)&gt;N(T87),"卖出多于买入",IF(N(V87)&lt;N(T87),"持仓中","已平仓")))))</f>
        <v/>
      </c>
      <c r="Y87" s="51" t="str">
        <f>IF(N(T87)=0,"",SUMIFS('成交明细'!$K$5:$K$804,'成交明细'!$A$5:$A$804,A87))</f>
        <v/>
      </c>
      <c r="Z87" s="52" t="str">
        <f>IF(X87&lt;&gt;"已平仓","",SUMIFS('成交明细'!$F$5:$F$804,'成交明细'!$A$5:$A$804,A87,'成交明细'!$C$5:$C$804,"卖")-SUMIFS('成交明细'!$F$5:$F$804,'成交明细'!$A$5:$A$804,A87,'成交明细'!$C$5:$C$804,"买")-Y87)</f>
        <v/>
      </c>
      <c r="AA87" s="53" t="str">
        <f>IF(AND(X87="已平仓",ISNUMBER(N87)),(Z87+Y87)/N87,"")</f>
        <v/>
      </c>
      <c r="AB87" s="53" t="str">
        <f>IF(AND(X87="已平仓",ISNUMBER(N87)),Z87/N87,"")</f>
        <v/>
      </c>
      <c r="AC87" s="54" t="str">
        <f>IF(AND(ISNUMBER(U87),ISNUMBER(H87)),U87-H87,"")</f>
        <v/>
      </c>
      <c r="AD87" s="27" t="n"/>
      <c r="AE87" s="27" t="n"/>
      <c r="AF87" s="32" t="n"/>
      <c r="AG87" s="53" t="str">
        <f>IF(A87="","",SUM(AB$5:AB87))</f>
        <v/>
      </c>
      <c r="AH87" s="55" t="str">
        <f>IF(A87="","",MAX(0,MAX(AG$5:AG87))-AG87)</f>
        <v/>
      </c>
    </row>
    <row r="88">
      <c r="A88" s="46" t="n"/>
      <c r="B88" s="31" t="n"/>
      <c r="C88" s="32" t="n"/>
      <c r="D88" s="27" t="n"/>
      <c r="E88" s="47" t="str">
        <f>IF(D88="","",IFERROR(VLOOKUP(D88,'参数'!$B$21:$C$26,2,FALSE),""))</f>
        <v/>
      </c>
      <c r="F88" s="27" t="n"/>
      <c r="G88" s="43" t="str">
        <f>IF(NOT(ISNUMBER(B88)),"",IFERROR(IF(B88-INDEX('每日复盘'!$A$5:$A$264,MATCH(B88-1,'每日复盘'!$A$5:$A$264,1))&gt;7,"",T(INDEX('每日复盘'!$AA$5:$AA$264,MATCH(B88-1,'每日复盘'!$A$5:$A$264,1)))),""))</f>
        <v/>
      </c>
      <c r="H88" s="48" t="n"/>
      <c r="I88" s="48" t="n"/>
      <c r="J88" s="48" t="n"/>
      <c r="K88" s="49" t="str">
        <f>IF(AND(ISNUMBER(H88),ISNUMBER(I88),ISNUMBER(J88)),IF(H88&gt;I88,(J88-H88)/(H88-I88),""),"")</f>
        <v/>
      </c>
      <c r="L88" s="44" t="str">
        <f>IF(AND(ISNUMBER(H88),ISNUMBER(I88)),IF(H88&gt;I88,MIN(INT(ROUND('参数'!$C$7/(H88-I88)/100,6))*100,IF(ISNUMBER(E88),IF(H88-ROUND(ROUND(I88*(1-E88),4),2)&gt;0,INT(ROUND('参数'!$C$8/(H88-ROUND(ROUND(I88*(1-E88),4),2))/100,6))*100,0),INT(ROUND('参数'!$C$7/(H88-I88)/100,6))*100)),""),"")</f>
        <v/>
      </c>
      <c r="M88" s="17" t="n"/>
      <c r="N88" s="20" t="str">
        <f>IF(AND(ISNUMBER(H88),ISNUMBER(I88),ISNUMBER(M88)),IF(AND(H88&gt;I88,M88&gt;0),(H88-I88)*M88,""),"")</f>
        <v/>
      </c>
      <c r="O88" s="20" t="str">
        <f>IF(ISNUMBER(N88),IF(ISNUMBER(E88),(H88-ROUND(ROUND(I88*(1-E88),4),2))*M88,"不设限"),"")</f>
        <v/>
      </c>
      <c r="P88" s="32" t="n"/>
      <c r="Q88" s="27" t="n"/>
      <c r="R88" s="42" t="str">
        <f>IF(N(T88)&gt;0,SUMPRODUCT(LARGE(('成交明细'!$A$5:$A$804=A88)*('成交明细'!$C$5:$C$804="买")*'成交明细'!$B$5:$B$804,COUNTIFS('成交明细'!$A$5:$A$804,A88,'成交明细'!$C$5:$C$804,"买"))),"")</f>
        <v/>
      </c>
      <c r="S88" s="42" t="str">
        <f>IF(AND(N(T88)&gt;0,N(V88)&gt;=N(T88)),SUMPRODUCT(MAX(('成交明细'!$A$5:$A$804=A88)*('成交明细'!$C$5:$C$804="卖")*'成交明细'!$B$5:$B$804)),"")</f>
        <v/>
      </c>
      <c r="T88" s="44" t="str">
        <f>IF(A88="","",SUMIFS('成交明细'!$E$5:$E$804,'成交明细'!$A$5:$A$804,A88,'成交明细'!$C$5:$C$804,"买"))</f>
        <v/>
      </c>
      <c r="U88" s="50" t="str">
        <f>IF(N(T88)&gt;0,SUMIFS('成交明细'!$F$5:$F$804,'成交明细'!$A$5:$A$804,A88,'成交明细'!$C$5:$C$804,"买")/T88,"")</f>
        <v/>
      </c>
      <c r="V88" s="44" t="str">
        <f>IF(A88="","",SUMIFS('成交明细'!$E$5:$E$804,'成交明细'!$A$5:$A$804,A88,'成交明细'!$C$5:$C$804,"卖"))</f>
        <v/>
      </c>
      <c r="W88" s="50" t="str">
        <f>IF(N(V88)&gt;0,SUMIFS('成交明细'!$F$5:$F$804,'成交明细'!$A$5:$A$804,A88,'成交明细'!$C$5:$C$804,"卖")/V88,"")</f>
        <v/>
      </c>
      <c r="X88" s="36" t="str">
        <f>IF(A88="","",IF(Q88&lt;&gt;"已执行",IF(Q88="","未填执行情况",Q88),IF(N(T88)=0,"待录成交",IF(N(V88)&gt;N(T88),"卖出多于买入",IF(N(V88)&lt;N(T88),"持仓中","已平仓")))))</f>
        <v/>
      </c>
      <c r="Y88" s="51" t="str">
        <f>IF(N(T88)=0,"",SUMIFS('成交明细'!$K$5:$K$804,'成交明细'!$A$5:$A$804,A88))</f>
        <v/>
      </c>
      <c r="Z88" s="52" t="str">
        <f>IF(X88&lt;&gt;"已平仓","",SUMIFS('成交明细'!$F$5:$F$804,'成交明细'!$A$5:$A$804,A88,'成交明细'!$C$5:$C$804,"卖")-SUMIFS('成交明细'!$F$5:$F$804,'成交明细'!$A$5:$A$804,A88,'成交明细'!$C$5:$C$804,"买")-Y88)</f>
        <v/>
      </c>
      <c r="AA88" s="53" t="str">
        <f>IF(AND(X88="已平仓",ISNUMBER(N88)),(Z88+Y88)/N88,"")</f>
        <v/>
      </c>
      <c r="AB88" s="53" t="str">
        <f>IF(AND(X88="已平仓",ISNUMBER(N88)),Z88/N88,"")</f>
        <v/>
      </c>
      <c r="AC88" s="54" t="str">
        <f>IF(AND(ISNUMBER(U88),ISNUMBER(H88)),U88-H88,"")</f>
        <v/>
      </c>
      <c r="AD88" s="27" t="n"/>
      <c r="AE88" s="27" t="n"/>
      <c r="AF88" s="32" t="n"/>
      <c r="AG88" s="53" t="str">
        <f>IF(A88="","",SUM(AB$5:AB88))</f>
        <v/>
      </c>
      <c r="AH88" s="55" t="str">
        <f>IF(A88="","",MAX(0,MAX(AG$5:AG88))-AG88)</f>
        <v/>
      </c>
    </row>
    <row r="89">
      <c r="A89" s="46" t="n"/>
      <c r="B89" s="31" t="n"/>
      <c r="C89" s="32" t="n"/>
      <c r="D89" s="27" t="n"/>
      <c r="E89" s="47" t="str">
        <f>IF(D89="","",IFERROR(VLOOKUP(D89,'参数'!$B$21:$C$26,2,FALSE),""))</f>
        <v/>
      </c>
      <c r="F89" s="27" t="n"/>
      <c r="G89" s="43" t="str">
        <f>IF(NOT(ISNUMBER(B89)),"",IFERROR(IF(B89-INDEX('每日复盘'!$A$5:$A$264,MATCH(B89-1,'每日复盘'!$A$5:$A$264,1))&gt;7,"",T(INDEX('每日复盘'!$AA$5:$AA$264,MATCH(B89-1,'每日复盘'!$A$5:$A$264,1)))),""))</f>
        <v/>
      </c>
      <c r="H89" s="48" t="n"/>
      <c r="I89" s="48" t="n"/>
      <c r="J89" s="48" t="n"/>
      <c r="K89" s="49" t="str">
        <f>IF(AND(ISNUMBER(H89),ISNUMBER(I89),ISNUMBER(J89)),IF(H89&gt;I89,(J89-H89)/(H89-I89),""),"")</f>
        <v/>
      </c>
      <c r="L89" s="44" t="str">
        <f>IF(AND(ISNUMBER(H89),ISNUMBER(I89)),IF(H89&gt;I89,MIN(INT(ROUND('参数'!$C$7/(H89-I89)/100,6))*100,IF(ISNUMBER(E89),IF(H89-ROUND(ROUND(I89*(1-E89),4),2)&gt;0,INT(ROUND('参数'!$C$8/(H89-ROUND(ROUND(I89*(1-E89),4),2))/100,6))*100,0),INT(ROUND('参数'!$C$7/(H89-I89)/100,6))*100)),""),"")</f>
        <v/>
      </c>
      <c r="M89" s="17" t="n"/>
      <c r="N89" s="20" t="str">
        <f>IF(AND(ISNUMBER(H89),ISNUMBER(I89),ISNUMBER(M89)),IF(AND(H89&gt;I89,M89&gt;0),(H89-I89)*M89,""),"")</f>
        <v/>
      </c>
      <c r="O89" s="20" t="str">
        <f>IF(ISNUMBER(N89),IF(ISNUMBER(E89),(H89-ROUND(ROUND(I89*(1-E89),4),2))*M89,"不设限"),"")</f>
        <v/>
      </c>
      <c r="P89" s="32" t="n"/>
      <c r="Q89" s="27" t="n"/>
      <c r="R89" s="42" t="str">
        <f>IF(N(T89)&gt;0,SUMPRODUCT(LARGE(('成交明细'!$A$5:$A$804=A89)*('成交明细'!$C$5:$C$804="买")*'成交明细'!$B$5:$B$804,COUNTIFS('成交明细'!$A$5:$A$804,A89,'成交明细'!$C$5:$C$804,"买"))),"")</f>
        <v/>
      </c>
      <c r="S89" s="42" t="str">
        <f>IF(AND(N(T89)&gt;0,N(V89)&gt;=N(T89)),SUMPRODUCT(MAX(('成交明细'!$A$5:$A$804=A89)*('成交明细'!$C$5:$C$804="卖")*'成交明细'!$B$5:$B$804)),"")</f>
        <v/>
      </c>
      <c r="T89" s="44" t="str">
        <f>IF(A89="","",SUMIFS('成交明细'!$E$5:$E$804,'成交明细'!$A$5:$A$804,A89,'成交明细'!$C$5:$C$804,"买"))</f>
        <v/>
      </c>
      <c r="U89" s="50" t="str">
        <f>IF(N(T89)&gt;0,SUMIFS('成交明细'!$F$5:$F$804,'成交明细'!$A$5:$A$804,A89,'成交明细'!$C$5:$C$804,"买")/T89,"")</f>
        <v/>
      </c>
      <c r="V89" s="44" t="str">
        <f>IF(A89="","",SUMIFS('成交明细'!$E$5:$E$804,'成交明细'!$A$5:$A$804,A89,'成交明细'!$C$5:$C$804,"卖"))</f>
        <v/>
      </c>
      <c r="W89" s="50" t="str">
        <f>IF(N(V89)&gt;0,SUMIFS('成交明细'!$F$5:$F$804,'成交明细'!$A$5:$A$804,A89,'成交明细'!$C$5:$C$804,"卖")/V89,"")</f>
        <v/>
      </c>
      <c r="X89" s="36" t="str">
        <f>IF(A89="","",IF(Q89&lt;&gt;"已执行",IF(Q89="","未填执行情况",Q89),IF(N(T89)=0,"待录成交",IF(N(V89)&gt;N(T89),"卖出多于买入",IF(N(V89)&lt;N(T89),"持仓中","已平仓")))))</f>
        <v/>
      </c>
      <c r="Y89" s="51" t="str">
        <f>IF(N(T89)=0,"",SUMIFS('成交明细'!$K$5:$K$804,'成交明细'!$A$5:$A$804,A89))</f>
        <v/>
      </c>
      <c r="Z89" s="52" t="str">
        <f>IF(X89&lt;&gt;"已平仓","",SUMIFS('成交明细'!$F$5:$F$804,'成交明细'!$A$5:$A$804,A89,'成交明细'!$C$5:$C$804,"卖")-SUMIFS('成交明细'!$F$5:$F$804,'成交明细'!$A$5:$A$804,A89,'成交明细'!$C$5:$C$804,"买")-Y89)</f>
        <v/>
      </c>
      <c r="AA89" s="53" t="str">
        <f>IF(AND(X89="已平仓",ISNUMBER(N89)),(Z89+Y89)/N89,"")</f>
        <v/>
      </c>
      <c r="AB89" s="53" t="str">
        <f>IF(AND(X89="已平仓",ISNUMBER(N89)),Z89/N89,"")</f>
        <v/>
      </c>
      <c r="AC89" s="54" t="str">
        <f>IF(AND(ISNUMBER(U89),ISNUMBER(H89)),U89-H89,"")</f>
        <v/>
      </c>
      <c r="AD89" s="27" t="n"/>
      <c r="AE89" s="27" t="n"/>
      <c r="AF89" s="32" t="n"/>
      <c r="AG89" s="53" t="str">
        <f>IF(A89="","",SUM(AB$5:AB89))</f>
        <v/>
      </c>
      <c r="AH89" s="55" t="str">
        <f>IF(A89="","",MAX(0,MAX(AG$5:AG89))-AG89)</f>
        <v/>
      </c>
    </row>
    <row r="90">
      <c r="A90" s="46" t="n"/>
      <c r="B90" s="31" t="n"/>
      <c r="C90" s="32" t="n"/>
      <c r="D90" s="27" t="n"/>
      <c r="E90" s="47" t="str">
        <f>IF(D90="","",IFERROR(VLOOKUP(D90,'参数'!$B$21:$C$26,2,FALSE),""))</f>
        <v/>
      </c>
      <c r="F90" s="27" t="n"/>
      <c r="G90" s="43" t="str">
        <f>IF(NOT(ISNUMBER(B90)),"",IFERROR(IF(B90-INDEX('每日复盘'!$A$5:$A$264,MATCH(B90-1,'每日复盘'!$A$5:$A$264,1))&gt;7,"",T(INDEX('每日复盘'!$AA$5:$AA$264,MATCH(B90-1,'每日复盘'!$A$5:$A$264,1)))),""))</f>
        <v/>
      </c>
      <c r="H90" s="48" t="n"/>
      <c r="I90" s="48" t="n"/>
      <c r="J90" s="48" t="n"/>
      <c r="K90" s="49" t="str">
        <f>IF(AND(ISNUMBER(H90),ISNUMBER(I90),ISNUMBER(J90)),IF(H90&gt;I90,(J90-H90)/(H90-I90),""),"")</f>
        <v/>
      </c>
      <c r="L90" s="44" t="str">
        <f>IF(AND(ISNUMBER(H90),ISNUMBER(I90)),IF(H90&gt;I90,MIN(INT(ROUND('参数'!$C$7/(H90-I90)/100,6))*100,IF(ISNUMBER(E90),IF(H90-ROUND(ROUND(I90*(1-E90),4),2)&gt;0,INT(ROUND('参数'!$C$8/(H90-ROUND(ROUND(I90*(1-E90),4),2))/100,6))*100,0),INT(ROUND('参数'!$C$7/(H90-I90)/100,6))*100)),""),"")</f>
        <v/>
      </c>
      <c r="M90" s="17" t="n"/>
      <c r="N90" s="20" t="str">
        <f>IF(AND(ISNUMBER(H90),ISNUMBER(I90),ISNUMBER(M90)),IF(AND(H90&gt;I90,M90&gt;0),(H90-I90)*M90,""),"")</f>
        <v/>
      </c>
      <c r="O90" s="20" t="str">
        <f>IF(ISNUMBER(N90),IF(ISNUMBER(E90),(H90-ROUND(ROUND(I90*(1-E90),4),2))*M90,"不设限"),"")</f>
        <v/>
      </c>
      <c r="P90" s="32" t="n"/>
      <c r="Q90" s="27" t="n"/>
      <c r="R90" s="42" t="str">
        <f>IF(N(T90)&gt;0,SUMPRODUCT(LARGE(('成交明细'!$A$5:$A$804=A90)*('成交明细'!$C$5:$C$804="买")*'成交明细'!$B$5:$B$804,COUNTIFS('成交明细'!$A$5:$A$804,A90,'成交明细'!$C$5:$C$804,"买"))),"")</f>
        <v/>
      </c>
      <c r="S90" s="42" t="str">
        <f>IF(AND(N(T90)&gt;0,N(V90)&gt;=N(T90)),SUMPRODUCT(MAX(('成交明细'!$A$5:$A$804=A90)*('成交明细'!$C$5:$C$804="卖")*'成交明细'!$B$5:$B$804)),"")</f>
        <v/>
      </c>
      <c r="T90" s="44" t="str">
        <f>IF(A90="","",SUMIFS('成交明细'!$E$5:$E$804,'成交明细'!$A$5:$A$804,A90,'成交明细'!$C$5:$C$804,"买"))</f>
        <v/>
      </c>
      <c r="U90" s="50" t="str">
        <f>IF(N(T90)&gt;0,SUMIFS('成交明细'!$F$5:$F$804,'成交明细'!$A$5:$A$804,A90,'成交明细'!$C$5:$C$804,"买")/T90,"")</f>
        <v/>
      </c>
      <c r="V90" s="44" t="str">
        <f>IF(A90="","",SUMIFS('成交明细'!$E$5:$E$804,'成交明细'!$A$5:$A$804,A90,'成交明细'!$C$5:$C$804,"卖"))</f>
        <v/>
      </c>
      <c r="W90" s="50" t="str">
        <f>IF(N(V90)&gt;0,SUMIFS('成交明细'!$F$5:$F$804,'成交明细'!$A$5:$A$804,A90,'成交明细'!$C$5:$C$804,"卖")/V90,"")</f>
        <v/>
      </c>
      <c r="X90" s="36" t="str">
        <f>IF(A90="","",IF(Q90&lt;&gt;"已执行",IF(Q90="","未填执行情况",Q90),IF(N(T90)=0,"待录成交",IF(N(V90)&gt;N(T90),"卖出多于买入",IF(N(V90)&lt;N(T90),"持仓中","已平仓")))))</f>
        <v/>
      </c>
      <c r="Y90" s="51" t="str">
        <f>IF(N(T90)=0,"",SUMIFS('成交明细'!$K$5:$K$804,'成交明细'!$A$5:$A$804,A90))</f>
        <v/>
      </c>
      <c r="Z90" s="52" t="str">
        <f>IF(X90&lt;&gt;"已平仓","",SUMIFS('成交明细'!$F$5:$F$804,'成交明细'!$A$5:$A$804,A90,'成交明细'!$C$5:$C$804,"卖")-SUMIFS('成交明细'!$F$5:$F$804,'成交明细'!$A$5:$A$804,A90,'成交明细'!$C$5:$C$804,"买")-Y90)</f>
        <v/>
      </c>
      <c r="AA90" s="53" t="str">
        <f>IF(AND(X90="已平仓",ISNUMBER(N90)),(Z90+Y90)/N90,"")</f>
        <v/>
      </c>
      <c r="AB90" s="53" t="str">
        <f>IF(AND(X90="已平仓",ISNUMBER(N90)),Z90/N90,"")</f>
        <v/>
      </c>
      <c r="AC90" s="54" t="str">
        <f>IF(AND(ISNUMBER(U90),ISNUMBER(H90)),U90-H90,"")</f>
        <v/>
      </c>
      <c r="AD90" s="27" t="n"/>
      <c r="AE90" s="27" t="n"/>
      <c r="AF90" s="32" t="n"/>
      <c r="AG90" s="53" t="str">
        <f>IF(A90="","",SUM(AB$5:AB90))</f>
        <v/>
      </c>
      <c r="AH90" s="55" t="str">
        <f>IF(A90="","",MAX(0,MAX(AG$5:AG90))-AG90)</f>
        <v/>
      </c>
    </row>
    <row r="91">
      <c r="A91" s="46" t="n"/>
      <c r="B91" s="31" t="n"/>
      <c r="C91" s="32" t="n"/>
      <c r="D91" s="27" t="n"/>
      <c r="E91" s="47" t="str">
        <f>IF(D91="","",IFERROR(VLOOKUP(D91,'参数'!$B$21:$C$26,2,FALSE),""))</f>
        <v/>
      </c>
      <c r="F91" s="27" t="n"/>
      <c r="G91" s="43" t="str">
        <f>IF(NOT(ISNUMBER(B91)),"",IFERROR(IF(B91-INDEX('每日复盘'!$A$5:$A$264,MATCH(B91-1,'每日复盘'!$A$5:$A$264,1))&gt;7,"",T(INDEX('每日复盘'!$AA$5:$AA$264,MATCH(B91-1,'每日复盘'!$A$5:$A$264,1)))),""))</f>
        <v/>
      </c>
      <c r="H91" s="48" t="n"/>
      <c r="I91" s="48" t="n"/>
      <c r="J91" s="48" t="n"/>
      <c r="K91" s="49" t="str">
        <f>IF(AND(ISNUMBER(H91),ISNUMBER(I91),ISNUMBER(J91)),IF(H91&gt;I91,(J91-H91)/(H91-I91),""),"")</f>
        <v/>
      </c>
      <c r="L91" s="44" t="str">
        <f>IF(AND(ISNUMBER(H91),ISNUMBER(I91)),IF(H91&gt;I91,MIN(INT(ROUND('参数'!$C$7/(H91-I91)/100,6))*100,IF(ISNUMBER(E91),IF(H91-ROUND(ROUND(I91*(1-E91),4),2)&gt;0,INT(ROUND('参数'!$C$8/(H91-ROUND(ROUND(I91*(1-E91),4),2))/100,6))*100,0),INT(ROUND('参数'!$C$7/(H91-I91)/100,6))*100)),""),"")</f>
        <v/>
      </c>
      <c r="M91" s="17" t="n"/>
      <c r="N91" s="20" t="str">
        <f>IF(AND(ISNUMBER(H91),ISNUMBER(I91),ISNUMBER(M91)),IF(AND(H91&gt;I91,M91&gt;0),(H91-I91)*M91,""),"")</f>
        <v/>
      </c>
      <c r="O91" s="20" t="str">
        <f>IF(ISNUMBER(N91),IF(ISNUMBER(E91),(H91-ROUND(ROUND(I91*(1-E91),4),2))*M91,"不设限"),"")</f>
        <v/>
      </c>
      <c r="P91" s="32" t="n"/>
      <c r="Q91" s="27" t="n"/>
      <c r="R91" s="42" t="str">
        <f>IF(N(T91)&gt;0,SUMPRODUCT(LARGE(('成交明细'!$A$5:$A$804=A91)*('成交明细'!$C$5:$C$804="买")*'成交明细'!$B$5:$B$804,COUNTIFS('成交明细'!$A$5:$A$804,A91,'成交明细'!$C$5:$C$804,"买"))),"")</f>
        <v/>
      </c>
      <c r="S91" s="42" t="str">
        <f>IF(AND(N(T91)&gt;0,N(V91)&gt;=N(T91)),SUMPRODUCT(MAX(('成交明细'!$A$5:$A$804=A91)*('成交明细'!$C$5:$C$804="卖")*'成交明细'!$B$5:$B$804)),"")</f>
        <v/>
      </c>
      <c r="T91" s="44" t="str">
        <f>IF(A91="","",SUMIFS('成交明细'!$E$5:$E$804,'成交明细'!$A$5:$A$804,A91,'成交明细'!$C$5:$C$804,"买"))</f>
        <v/>
      </c>
      <c r="U91" s="50" t="str">
        <f>IF(N(T91)&gt;0,SUMIFS('成交明细'!$F$5:$F$804,'成交明细'!$A$5:$A$804,A91,'成交明细'!$C$5:$C$804,"买")/T91,"")</f>
        <v/>
      </c>
      <c r="V91" s="44" t="str">
        <f>IF(A91="","",SUMIFS('成交明细'!$E$5:$E$804,'成交明细'!$A$5:$A$804,A91,'成交明细'!$C$5:$C$804,"卖"))</f>
        <v/>
      </c>
      <c r="W91" s="50" t="str">
        <f>IF(N(V91)&gt;0,SUMIFS('成交明细'!$F$5:$F$804,'成交明细'!$A$5:$A$804,A91,'成交明细'!$C$5:$C$804,"卖")/V91,"")</f>
        <v/>
      </c>
      <c r="X91" s="36" t="str">
        <f>IF(A91="","",IF(Q91&lt;&gt;"已执行",IF(Q91="","未填执行情况",Q91),IF(N(T91)=0,"待录成交",IF(N(V91)&gt;N(T91),"卖出多于买入",IF(N(V91)&lt;N(T91),"持仓中","已平仓")))))</f>
        <v/>
      </c>
      <c r="Y91" s="51" t="str">
        <f>IF(N(T91)=0,"",SUMIFS('成交明细'!$K$5:$K$804,'成交明细'!$A$5:$A$804,A91))</f>
        <v/>
      </c>
      <c r="Z91" s="52" t="str">
        <f>IF(X91&lt;&gt;"已平仓","",SUMIFS('成交明细'!$F$5:$F$804,'成交明细'!$A$5:$A$804,A91,'成交明细'!$C$5:$C$804,"卖")-SUMIFS('成交明细'!$F$5:$F$804,'成交明细'!$A$5:$A$804,A91,'成交明细'!$C$5:$C$804,"买")-Y91)</f>
        <v/>
      </c>
      <c r="AA91" s="53" t="str">
        <f>IF(AND(X91="已平仓",ISNUMBER(N91)),(Z91+Y91)/N91,"")</f>
        <v/>
      </c>
      <c r="AB91" s="53" t="str">
        <f>IF(AND(X91="已平仓",ISNUMBER(N91)),Z91/N91,"")</f>
        <v/>
      </c>
      <c r="AC91" s="54" t="str">
        <f>IF(AND(ISNUMBER(U91),ISNUMBER(H91)),U91-H91,"")</f>
        <v/>
      </c>
      <c r="AD91" s="27" t="n"/>
      <c r="AE91" s="27" t="n"/>
      <c r="AF91" s="32" t="n"/>
      <c r="AG91" s="53" t="str">
        <f>IF(A91="","",SUM(AB$5:AB91))</f>
        <v/>
      </c>
      <c r="AH91" s="55" t="str">
        <f>IF(A91="","",MAX(0,MAX(AG$5:AG91))-AG91)</f>
        <v/>
      </c>
    </row>
    <row r="92">
      <c r="A92" s="46" t="n"/>
      <c r="B92" s="31" t="n"/>
      <c r="C92" s="32" t="n"/>
      <c r="D92" s="27" t="n"/>
      <c r="E92" s="47" t="str">
        <f>IF(D92="","",IFERROR(VLOOKUP(D92,'参数'!$B$21:$C$26,2,FALSE),""))</f>
        <v/>
      </c>
      <c r="F92" s="27" t="n"/>
      <c r="G92" s="43" t="str">
        <f>IF(NOT(ISNUMBER(B92)),"",IFERROR(IF(B92-INDEX('每日复盘'!$A$5:$A$264,MATCH(B92-1,'每日复盘'!$A$5:$A$264,1))&gt;7,"",T(INDEX('每日复盘'!$AA$5:$AA$264,MATCH(B92-1,'每日复盘'!$A$5:$A$264,1)))),""))</f>
        <v/>
      </c>
      <c r="H92" s="48" t="n"/>
      <c r="I92" s="48" t="n"/>
      <c r="J92" s="48" t="n"/>
      <c r="K92" s="49" t="str">
        <f>IF(AND(ISNUMBER(H92),ISNUMBER(I92),ISNUMBER(J92)),IF(H92&gt;I92,(J92-H92)/(H92-I92),""),"")</f>
        <v/>
      </c>
      <c r="L92" s="44" t="str">
        <f>IF(AND(ISNUMBER(H92),ISNUMBER(I92)),IF(H92&gt;I92,MIN(INT(ROUND('参数'!$C$7/(H92-I92)/100,6))*100,IF(ISNUMBER(E92),IF(H92-ROUND(ROUND(I92*(1-E92),4),2)&gt;0,INT(ROUND('参数'!$C$8/(H92-ROUND(ROUND(I92*(1-E92),4),2))/100,6))*100,0),INT(ROUND('参数'!$C$7/(H92-I92)/100,6))*100)),""),"")</f>
        <v/>
      </c>
      <c r="M92" s="17" t="n"/>
      <c r="N92" s="20" t="str">
        <f>IF(AND(ISNUMBER(H92),ISNUMBER(I92),ISNUMBER(M92)),IF(AND(H92&gt;I92,M92&gt;0),(H92-I92)*M92,""),"")</f>
        <v/>
      </c>
      <c r="O92" s="20" t="str">
        <f>IF(ISNUMBER(N92),IF(ISNUMBER(E92),(H92-ROUND(ROUND(I92*(1-E92),4),2))*M92,"不设限"),"")</f>
        <v/>
      </c>
      <c r="P92" s="32" t="n"/>
      <c r="Q92" s="27" t="n"/>
      <c r="R92" s="42" t="str">
        <f>IF(N(T92)&gt;0,SUMPRODUCT(LARGE(('成交明细'!$A$5:$A$804=A92)*('成交明细'!$C$5:$C$804="买")*'成交明细'!$B$5:$B$804,COUNTIFS('成交明细'!$A$5:$A$804,A92,'成交明细'!$C$5:$C$804,"买"))),"")</f>
        <v/>
      </c>
      <c r="S92" s="42" t="str">
        <f>IF(AND(N(T92)&gt;0,N(V92)&gt;=N(T92)),SUMPRODUCT(MAX(('成交明细'!$A$5:$A$804=A92)*('成交明细'!$C$5:$C$804="卖")*'成交明细'!$B$5:$B$804)),"")</f>
        <v/>
      </c>
      <c r="T92" s="44" t="str">
        <f>IF(A92="","",SUMIFS('成交明细'!$E$5:$E$804,'成交明细'!$A$5:$A$804,A92,'成交明细'!$C$5:$C$804,"买"))</f>
        <v/>
      </c>
      <c r="U92" s="50" t="str">
        <f>IF(N(T92)&gt;0,SUMIFS('成交明细'!$F$5:$F$804,'成交明细'!$A$5:$A$804,A92,'成交明细'!$C$5:$C$804,"买")/T92,"")</f>
        <v/>
      </c>
      <c r="V92" s="44" t="str">
        <f>IF(A92="","",SUMIFS('成交明细'!$E$5:$E$804,'成交明细'!$A$5:$A$804,A92,'成交明细'!$C$5:$C$804,"卖"))</f>
        <v/>
      </c>
      <c r="W92" s="50" t="str">
        <f>IF(N(V92)&gt;0,SUMIFS('成交明细'!$F$5:$F$804,'成交明细'!$A$5:$A$804,A92,'成交明细'!$C$5:$C$804,"卖")/V92,"")</f>
        <v/>
      </c>
      <c r="X92" s="36" t="str">
        <f>IF(A92="","",IF(Q92&lt;&gt;"已执行",IF(Q92="","未填执行情况",Q92),IF(N(T92)=0,"待录成交",IF(N(V92)&gt;N(T92),"卖出多于买入",IF(N(V92)&lt;N(T92),"持仓中","已平仓")))))</f>
        <v/>
      </c>
      <c r="Y92" s="51" t="str">
        <f>IF(N(T92)=0,"",SUMIFS('成交明细'!$K$5:$K$804,'成交明细'!$A$5:$A$804,A92))</f>
        <v/>
      </c>
      <c r="Z92" s="52" t="str">
        <f>IF(X92&lt;&gt;"已平仓","",SUMIFS('成交明细'!$F$5:$F$804,'成交明细'!$A$5:$A$804,A92,'成交明细'!$C$5:$C$804,"卖")-SUMIFS('成交明细'!$F$5:$F$804,'成交明细'!$A$5:$A$804,A92,'成交明细'!$C$5:$C$804,"买")-Y92)</f>
        <v/>
      </c>
      <c r="AA92" s="53" t="str">
        <f>IF(AND(X92="已平仓",ISNUMBER(N92)),(Z92+Y92)/N92,"")</f>
        <v/>
      </c>
      <c r="AB92" s="53" t="str">
        <f>IF(AND(X92="已平仓",ISNUMBER(N92)),Z92/N92,"")</f>
        <v/>
      </c>
      <c r="AC92" s="54" t="str">
        <f>IF(AND(ISNUMBER(U92),ISNUMBER(H92)),U92-H92,"")</f>
        <v/>
      </c>
      <c r="AD92" s="27" t="n"/>
      <c r="AE92" s="27" t="n"/>
      <c r="AF92" s="32" t="n"/>
      <c r="AG92" s="53" t="str">
        <f>IF(A92="","",SUM(AB$5:AB92))</f>
        <v/>
      </c>
      <c r="AH92" s="55" t="str">
        <f>IF(A92="","",MAX(0,MAX(AG$5:AG92))-AG92)</f>
        <v/>
      </c>
    </row>
    <row r="93">
      <c r="A93" s="46" t="n"/>
      <c r="B93" s="31" t="n"/>
      <c r="C93" s="32" t="n"/>
      <c r="D93" s="27" t="n"/>
      <c r="E93" s="47" t="str">
        <f>IF(D93="","",IFERROR(VLOOKUP(D93,'参数'!$B$21:$C$26,2,FALSE),""))</f>
        <v/>
      </c>
      <c r="F93" s="27" t="n"/>
      <c r="G93" s="43" t="str">
        <f>IF(NOT(ISNUMBER(B93)),"",IFERROR(IF(B93-INDEX('每日复盘'!$A$5:$A$264,MATCH(B93-1,'每日复盘'!$A$5:$A$264,1))&gt;7,"",T(INDEX('每日复盘'!$AA$5:$AA$264,MATCH(B93-1,'每日复盘'!$A$5:$A$264,1)))),""))</f>
        <v/>
      </c>
      <c r="H93" s="48" t="n"/>
      <c r="I93" s="48" t="n"/>
      <c r="J93" s="48" t="n"/>
      <c r="K93" s="49" t="str">
        <f>IF(AND(ISNUMBER(H93),ISNUMBER(I93),ISNUMBER(J93)),IF(H93&gt;I93,(J93-H93)/(H93-I93),""),"")</f>
        <v/>
      </c>
      <c r="L93" s="44" t="str">
        <f>IF(AND(ISNUMBER(H93),ISNUMBER(I93)),IF(H93&gt;I93,MIN(INT(ROUND('参数'!$C$7/(H93-I93)/100,6))*100,IF(ISNUMBER(E93),IF(H93-ROUND(ROUND(I93*(1-E93),4),2)&gt;0,INT(ROUND('参数'!$C$8/(H93-ROUND(ROUND(I93*(1-E93),4),2))/100,6))*100,0),INT(ROUND('参数'!$C$7/(H93-I93)/100,6))*100)),""),"")</f>
        <v/>
      </c>
      <c r="M93" s="17" t="n"/>
      <c r="N93" s="20" t="str">
        <f>IF(AND(ISNUMBER(H93),ISNUMBER(I93),ISNUMBER(M93)),IF(AND(H93&gt;I93,M93&gt;0),(H93-I93)*M93,""),"")</f>
        <v/>
      </c>
      <c r="O93" s="20" t="str">
        <f>IF(ISNUMBER(N93),IF(ISNUMBER(E93),(H93-ROUND(ROUND(I93*(1-E93),4),2))*M93,"不设限"),"")</f>
        <v/>
      </c>
      <c r="P93" s="32" t="n"/>
      <c r="Q93" s="27" t="n"/>
      <c r="R93" s="42" t="str">
        <f>IF(N(T93)&gt;0,SUMPRODUCT(LARGE(('成交明细'!$A$5:$A$804=A93)*('成交明细'!$C$5:$C$804="买")*'成交明细'!$B$5:$B$804,COUNTIFS('成交明细'!$A$5:$A$804,A93,'成交明细'!$C$5:$C$804,"买"))),"")</f>
        <v/>
      </c>
      <c r="S93" s="42" t="str">
        <f>IF(AND(N(T93)&gt;0,N(V93)&gt;=N(T93)),SUMPRODUCT(MAX(('成交明细'!$A$5:$A$804=A93)*('成交明细'!$C$5:$C$804="卖")*'成交明细'!$B$5:$B$804)),"")</f>
        <v/>
      </c>
      <c r="T93" s="44" t="str">
        <f>IF(A93="","",SUMIFS('成交明细'!$E$5:$E$804,'成交明细'!$A$5:$A$804,A93,'成交明细'!$C$5:$C$804,"买"))</f>
        <v/>
      </c>
      <c r="U93" s="50" t="str">
        <f>IF(N(T93)&gt;0,SUMIFS('成交明细'!$F$5:$F$804,'成交明细'!$A$5:$A$804,A93,'成交明细'!$C$5:$C$804,"买")/T93,"")</f>
        <v/>
      </c>
      <c r="V93" s="44" t="str">
        <f>IF(A93="","",SUMIFS('成交明细'!$E$5:$E$804,'成交明细'!$A$5:$A$804,A93,'成交明细'!$C$5:$C$804,"卖"))</f>
        <v/>
      </c>
      <c r="W93" s="50" t="str">
        <f>IF(N(V93)&gt;0,SUMIFS('成交明细'!$F$5:$F$804,'成交明细'!$A$5:$A$804,A93,'成交明细'!$C$5:$C$804,"卖")/V93,"")</f>
        <v/>
      </c>
      <c r="X93" s="36" t="str">
        <f>IF(A93="","",IF(Q93&lt;&gt;"已执行",IF(Q93="","未填执行情况",Q93),IF(N(T93)=0,"待录成交",IF(N(V93)&gt;N(T93),"卖出多于买入",IF(N(V93)&lt;N(T93),"持仓中","已平仓")))))</f>
        <v/>
      </c>
      <c r="Y93" s="51" t="str">
        <f>IF(N(T93)=0,"",SUMIFS('成交明细'!$K$5:$K$804,'成交明细'!$A$5:$A$804,A93))</f>
        <v/>
      </c>
      <c r="Z93" s="52" t="str">
        <f>IF(X93&lt;&gt;"已平仓","",SUMIFS('成交明细'!$F$5:$F$804,'成交明细'!$A$5:$A$804,A93,'成交明细'!$C$5:$C$804,"卖")-SUMIFS('成交明细'!$F$5:$F$804,'成交明细'!$A$5:$A$804,A93,'成交明细'!$C$5:$C$804,"买")-Y93)</f>
        <v/>
      </c>
      <c r="AA93" s="53" t="str">
        <f>IF(AND(X93="已平仓",ISNUMBER(N93)),(Z93+Y93)/N93,"")</f>
        <v/>
      </c>
      <c r="AB93" s="53" t="str">
        <f>IF(AND(X93="已平仓",ISNUMBER(N93)),Z93/N93,"")</f>
        <v/>
      </c>
      <c r="AC93" s="54" t="str">
        <f>IF(AND(ISNUMBER(U93),ISNUMBER(H93)),U93-H93,"")</f>
        <v/>
      </c>
      <c r="AD93" s="27" t="n"/>
      <c r="AE93" s="27" t="n"/>
      <c r="AF93" s="32" t="n"/>
      <c r="AG93" s="53" t="str">
        <f>IF(A93="","",SUM(AB$5:AB93))</f>
        <v/>
      </c>
      <c r="AH93" s="55" t="str">
        <f>IF(A93="","",MAX(0,MAX(AG$5:AG93))-AG93)</f>
        <v/>
      </c>
    </row>
    <row r="94">
      <c r="A94" s="46" t="n"/>
      <c r="B94" s="31" t="n"/>
      <c r="C94" s="32" t="n"/>
      <c r="D94" s="27" t="n"/>
      <c r="E94" s="47" t="str">
        <f>IF(D94="","",IFERROR(VLOOKUP(D94,'参数'!$B$21:$C$26,2,FALSE),""))</f>
        <v/>
      </c>
      <c r="F94" s="27" t="n"/>
      <c r="G94" s="43" t="str">
        <f>IF(NOT(ISNUMBER(B94)),"",IFERROR(IF(B94-INDEX('每日复盘'!$A$5:$A$264,MATCH(B94-1,'每日复盘'!$A$5:$A$264,1))&gt;7,"",T(INDEX('每日复盘'!$AA$5:$AA$264,MATCH(B94-1,'每日复盘'!$A$5:$A$264,1)))),""))</f>
        <v/>
      </c>
      <c r="H94" s="48" t="n"/>
      <c r="I94" s="48" t="n"/>
      <c r="J94" s="48" t="n"/>
      <c r="K94" s="49" t="str">
        <f>IF(AND(ISNUMBER(H94),ISNUMBER(I94),ISNUMBER(J94)),IF(H94&gt;I94,(J94-H94)/(H94-I94),""),"")</f>
        <v/>
      </c>
      <c r="L94" s="44" t="str">
        <f>IF(AND(ISNUMBER(H94),ISNUMBER(I94)),IF(H94&gt;I94,MIN(INT(ROUND('参数'!$C$7/(H94-I94)/100,6))*100,IF(ISNUMBER(E94),IF(H94-ROUND(ROUND(I94*(1-E94),4),2)&gt;0,INT(ROUND('参数'!$C$8/(H94-ROUND(ROUND(I94*(1-E94),4),2))/100,6))*100,0),INT(ROUND('参数'!$C$7/(H94-I94)/100,6))*100)),""),"")</f>
        <v/>
      </c>
      <c r="M94" s="17" t="n"/>
      <c r="N94" s="20" t="str">
        <f>IF(AND(ISNUMBER(H94),ISNUMBER(I94),ISNUMBER(M94)),IF(AND(H94&gt;I94,M94&gt;0),(H94-I94)*M94,""),"")</f>
        <v/>
      </c>
      <c r="O94" s="20" t="str">
        <f>IF(ISNUMBER(N94),IF(ISNUMBER(E94),(H94-ROUND(ROUND(I94*(1-E94),4),2))*M94,"不设限"),"")</f>
        <v/>
      </c>
      <c r="P94" s="32" t="n"/>
      <c r="Q94" s="27" t="n"/>
      <c r="R94" s="42" t="str">
        <f>IF(N(T94)&gt;0,SUMPRODUCT(LARGE(('成交明细'!$A$5:$A$804=A94)*('成交明细'!$C$5:$C$804="买")*'成交明细'!$B$5:$B$804,COUNTIFS('成交明细'!$A$5:$A$804,A94,'成交明细'!$C$5:$C$804,"买"))),"")</f>
        <v/>
      </c>
      <c r="S94" s="42" t="str">
        <f>IF(AND(N(T94)&gt;0,N(V94)&gt;=N(T94)),SUMPRODUCT(MAX(('成交明细'!$A$5:$A$804=A94)*('成交明细'!$C$5:$C$804="卖")*'成交明细'!$B$5:$B$804)),"")</f>
        <v/>
      </c>
      <c r="T94" s="44" t="str">
        <f>IF(A94="","",SUMIFS('成交明细'!$E$5:$E$804,'成交明细'!$A$5:$A$804,A94,'成交明细'!$C$5:$C$804,"买"))</f>
        <v/>
      </c>
      <c r="U94" s="50" t="str">
        <f>IF(N(T94)&gt;0,SUMIFS('成交明细'!$F$5:$F$804,'成交明细'!$A$5:$A$804,A94,'成交明细'!$C$5:$C$804,"买")/T94,"")</f>
        <v/>
      </c>
      <c r="V94" s="44" t="str">
        <f>IF(A94="","",SUMIFS('成交明细'!$E$5:$E$804,'成交明细'!$A$5:$A$804,A94,'成交明细'!$C$5:$C$804,"卖"))</f>
        <v/>
      </c>
      <c r="W94" s="50" t="str">
        <f>IF(N(V94)&gt;0,SUMIFS('成交明细'!$F$5:$F$804,'成交明细'!$A$5:$A$804,A94,'成交明细'!$C$5:$C$804,"卖")/V94,"")</f>
        <v/>
      </c>
      <c r="X94" s="36" t="str">
        <f>IF(A94="","",IF(Q94&lt;&gt;"已执行",IF(Q94="","未填执行情况",Q94),IF(N(T94)=0,"待录成交",IF(N(V94)&gt;N(T94),"卖出多于买入",IF(N(V94)&lt;N(T94),"持仓中","已平仓")))))</f>
        <v/>
      </c>
      <c r="Y94" s="51" t="str">
        <f>IF(N(T94)=0,"",SUMIFS('成交明细'!$K$5:$K$804,'成交明细'!$A$5:$A$804,A94))</f>
        <v/>
      </c>
      <c r="Z94" s="52" t="str">
        <f>IF(X94&lt;&gt;"已平仓","",SUMIFS('成交明细'!$F$5:$F$804,'成交明细'!$A$5:$A$804,A94,'成交明细'!$C$5:$C$804,"卖")-SUMIFS('成交明细'!$F$5:$F$804,'成交明细'!$A$5:$A$804,A94,'成交明细'!$C$5:$C$804,"买")-Y94)</f>
        <v/>
      </c>
      <c r="AA94" s="53" t="str">
        <f>IF(AND(X94="已平仓",ISNUMBER(N94)),(Z94+Y94)/N94,"")</f>
        <v/>
      </c>
      <c r="AB94" s="53" t="str">
        <f>IF(AND(X94="已平仓",ISNUMBER(N94)),Z94/N94,"")</f>
        <v/>
      </c>
      <c r="AC94" s="54" t="str">
        <f>IF(AND(ISNUMBER(U94),ISNUMBER(H94)),U94-H94,"")</f>
        <v/>
      </c>
      <c r="AD94" s="27" t="n"/>
      <c r="AE94" s="27" t="n"/>
      <c r="AF94" s="32" t="n"/>
      <c r="AG94" s="53" t="str">
        <f>IF(A94="","",SUM(AB$5:AB94))</f>
        <v/>
      </c>
      <c r="AH94" s="55" t="str">
        <f>IF(A94="","",MAX(0,MAX(AG$5:AG94))-AG94)</f>
        <v/>
      </c>
    </row>
    <row r="95">
      <c r="A95" s="46" t="n"/>
      <c r="B95" s="31" t="n"/>
      <c r="C95" s="32" t="n"/>
      <c r="D95" s="27" t="n"/>
      <c r="E95" s="47" t="str">
        <f>IF(D95="","",IFERROR(VLOOKUP(D95,'参数'!$B$21:$C$26,2,FALSE),""))</f>
        <v/>
      </c>
      <c r="F95" s="27" t="n"/>
      <c r="G95" s="43" t="str">
        <f>IF(NOT(ISNUMBER(B95)),"",IFERROR(IF(B95-INDEX('每日复盘'!$A$5:$A$264,MATCH(B95-1,'每日复盘'!$A$5:$A$264,1))&gt;7,"",T(INDEX('每日复盘'!$AA$5:$AA$264,MATCH(B95-1,'每日复盘'!$A$5:$A$264,1)))),""))</f>
        <v/>
      </c>
      <c r="H95" s="48" t="n"/>
      <c r="I95" s="48" t="n"/>
      <c r="J95" s="48" t="n"/>
      <c r="K95" s="49" t="str">
        <f>IF(AND(ISNUMBER(H95),ISNUMBER(I95),ISNUMBER(J95)),IF(H95&gt;I95,(J95-H95)/(H95-I95),""),"")</f>
        <v/>
      </c>
      <c r="L95" s="44" t="str">
        <f>IF(AND(ISNUMBER(H95),ISNUMBER(I95)),IF(H95&gt;I95,MIN(INT(ROUND('参数'!$C$7/(H95-I95)/100,6))*100,IF(ISNUMBER(E95),IF(H95-ROUND(ROUND(I95*(1-E95),4),2)&gt;0,INT(ROUND('参数'!$C$8/(H95-ROUND(ROUND(I95*(1-E95),4),2))/100,6))*100,0),INT(ROUND('参数'!$C$7/(H95-I95)/100,6))*100)),""),"")</f>
        <v/>
      </c>
      <c r="M95" s="17" t="n"/>
      <c r="N95" s="20" t="str">
        <f>IF(AND(ISNUMBER(H95),ISNUMBER(I95),ISNUMBER(M95)),IF(AND(H95&gt;I95,M95&gt;0),(H95-I95)*M95,""),"")</f>
        <v/>
      </c>
      <c r="O95" s="20" t="str">
        <f>IF(ISNUMBER(N95),IF(ISNUMBER(E95),(H95-ROUND(ROUND(I95*(1-E95),4),2))*M95,"不设限"),"")</f>
        <v/>
      </c>
      <c r="P95" s="32" t="n"/>
      <c r="Q95" s="27" t="n"/>
      <c r="R95" s="42" t="str">
        <f>IF(N(T95)&gt;0,SUMPRODUCT(LARGE(('成交明细'!$A$5:$A$804=A95)*('成交明细'!$C$5:$C$804="买")*'成交明细'!$B$5:$B$804,COUNTIFS('成交明细'!$A$5:$A$804,A95,'成交明细'!$C$5:$C$804,"买"))),"")</f>
        <v/>
      </c>
      <c r="S95" s="42" t="str">
        <f>IF(AND(N(T95)&gt;0,N(V95)&gt;=N(T95)),SUMPRODUCT(MAX(('成交明细'!$A$5:$A$804=A95)*('成交明细'!$C$5:$C$804="卖")*'成交明细'!$B$5:$B$804)),"")</f>
        <v/>
      </c>
      <c r="T95" s="44" t="str">
        <f>IF(A95="","",SUMIFS('成交明细'!$E$5:$E$804,'成交明细'!$A$5:$A$804,A95,'成交明细'!$C$5:$C$804,"买"))</f>
        <v/>
      </c>
      <c r="U95" s="50" t="str">
        <f>IF(N(T95)&gt;0,SUMIFS('成交明细'!$F$5:$F$804,'成交明细'!$A$5:$A$804,A95,'成交明细'!$C$5:$C$804,"买")/T95,"")</f>
        <v/>
      </c>
      <c r="V95" s="44" t="str">
        <f>IF(A95="","",SUMIFS('成交明细'!$E$5:$E$804,'成交明细'!$A$5:$A$804,A95,'成交明细'!$C$5:$C$804,"卖"))</f>
        <v/>
      </c>
      <c r="W95" s="50" t="str">
        <f>IF(N(V95)&gt;0,SUMIFS('成交明细'!$F$5:$F$804,'成交明细'!$A$5:$A$804,A95,'成交明细'!$C$5:$C$804,"卖")/V95,"")</f>
        <v/>
      </c>
      <c r="X95" s="36" t="str">
        <f>IF(A95="","",IF(Q95&lt;&gt;"已执行",IF(Q95="","未填执行情况",Q95),IF(N(T95)=0,"待录成交",IF(N(V95)&gt;N(T95),"卖出多于买入",IF(N(V95)&lt;N(T95),"持仓中","已平仓")))))</f>
        <v/>
      </c>
      <c r="Y95" s="51" t="str">
        <f>IF(N(T95)=0,"",SUMIFS('成交明细'!$K$5:$K$804,'成交明细'!$A$5:$A$804,A95))</f>
        <v/>
      </c>
      <c r="Z95" s="52" t="str">
        <f>IF(X95&lt;&gt;"已平仓","",SUMIFS('成交明细'!$F$5:$F$804,'成交明细'!$A$5:$A$804,A95,'成交明细'!$C$5:$C$804,"卖")-SUMIFS('成交明细'!$F$5:$F$804,'成交明细'!$A$5:$A$804,A95,'成交明细'!$C$5:$C$804,"买")-Y95)</f>
        <v/>
      </c>
      <c r="AA95" s="53" t="str">
        <f>IF(AND(X95="已平仓",ISNUMBER(N95)),(Z95+Y95)/N95,"")</f>
        <v/>
      </c>
      <c r="AB95" s="53" t="str">
        <f>IF(AND(X95="已平仓",ISNUMBER(N95)),Z95/N95,"")</f>
        <v/>
      </c>
      <c r="AC95" s="54" t="str">
        <f>IF(AND(ISNUMBER(U95),ISNUMBER(H95)),U95-H95,"")</f>
        <v/>
      </c>
      <c r="AD95" s="27" t="n"/>
      <c r="AE95" s="27" t="n"/>
      <c r="AF95" s="32" t="n"/>
      <c r="AG95" s="53" t="str">
        <f>IF(A95="","",SUM(AB$5:AB95))</f>
        <v/>
      </c>
      <c r="AH95" s="55" t="str">
        <f>IF(A95="","",MAX(0,MAX(AG$5:AG95))-AG95)</f>
        <v/>
      </c>
    </row>
    <row r="96">
      <c r="A96" s="46" t="n"/>
      <c r="B96" s="31" t="n"/>
      <c r="C96" s="32" t="n"/>
      <c r="D96" s="27" t="n"/>
      <c r="E96" s="47" t="str">
        <f>IF(D96="","",IFERROR(VLOOKUP(D96,'参数'!$B$21:$C$26,2,FALSE),""))</f>
        <v/>
      </c>
      <c r="F96" s="27" t="n"/>
      <c r="G96" s="43" t="str">
        <f>IF(NOT(ISNUMBER(B96)),"",IFERROR(IF(B96-INDEX('每日复盘'!$A$5:$A$264,MATCH(B96-1,'每日复盘'!$A$5:$A$264,1))&gt;7,"",T(INDEX('每日复盘'!$AA$5:$AA$264,MATCH(B96-1,'每日复盘'!$A$5:$A$264,1)))),""))</f>
        <v/>
      </c>
      <c r="H96" s="48" t="n"/>
      <c r="I96" s="48" t="n"/>
      <c r="J96" s="48" t="n"/>
      <c r="K96" s="49" t="str">
        <f>IF(AND(ISNUMBER(H96),ISNUMBER(I96),ISNUMBER(J96)),IF(H96&gt;I96,(J96-H96)/(H96-I96),""),"")</f>
        <v/>
      </c>
      <c r="L96" s="44" t="str">
        <f>IF(AND(ISNUMBER(H96),ISNUMBER(I96)),IF(H96&gt;I96,MIN(INT(ROUND('参数'!$C$7/(H96-I96)/100,6))*100,IF(ISNUMBER(E96),IF(H96-ROUND(ROUND(I96*(1-E96),4),2)&gt;0,INT(ROUND('参数'!$C$8/(H96-ROUND(ROUND(I96*(1-E96),4),2))/100,6))*100,0),INT(ROUND('参数'!$C$7/(H96-I96)/100,6))*100)),""),"")</f>
        <v/>
      </c>
      <c r="M96" s="17" t="n"/>
      <c r="N96" s="20" t="str">
        <f>IF(AND(ISNUMBER(H96),ISNUMBER(I96),ISNUMBER(M96)),IF(AND(H96&gt;I96,M96&gt;0),(H96-I96)*M96,""),"")</f>
        <v/>
      </c>
      <c r="O96" s="20" t="str">
        <f>IF(ISNUMBER(N96),IF(ISNUMBER(E96),(H96-ROUND(ROUND(I96*(1-E96),4),2))*M96,"不设限"),"")</f>
        <v/>
      </c>
      <c r="P96" s="32" t="n"/>
      <c r="Q96" s="27" t="n"/>
      <c r="R96" s="42" t="str">
        <f>IF(N(T96)&gt;0,SUMPRODUCT(LARGE(('成交明细'!$A$5:$A$804=A96)*('成交明细'!$C$5:$C$804="买")*'成交明细'!$B$5:$B$804,COUNTIFS('成交明细'!$A$5:$A$804,A96,'成交明细'!$C$5:$C$804,"买"))),"")</f>
        <v/>
      </c>
      <c r="S96" s="42" t="str">
        <f>IF(AND(N(T96)&gt;0,N(V96)&gt;=N(T96)),SUMPRODUCT(MAX(('成交明细'!$A$5:$A$804=A96)*('成交明细'!$C$5:$C$804="卖")*'成交明细'!$B$5:$B$804)),"")</f>
        <v/>
      </c>
      <c r="T96" s="44" t="str">
        <f>IF(A96="","",SUMIFS('成交明细'!$E$5:$E$804,'成交明细'!$A$5:$A$804,A96,'成交明细'!$C$5:$C$804,"买"))</f>
        <v/>
      </c>
      <c r="U96" s="50" t="str">
        <f>IF(N(T96)&gt;0,SUMIFS('成交明细'!$F$5:$F$804,'成交明细'!$A$5:$A$804,A96,'成交明细'!$C$5:$C$804,"买")/T96,"")</f>
        <v/>
      </c>
      <c r="V96" s="44" t="str">
        <f>IF(A96="","",SUMIFS('成交明细'!$E$5:$E$804,'成交明细'!$A$5:$A$804,A96,'成交明细'!$C$5:$C$804,"卖"))</f>
        <v/>
      </c>
      <c r="W96" s="50" t="str">
        <f>IF(N(V96)&gt;0,SUMIFS('成交明细'!$F$5:$F$804,'成交明细'!$A$5:$A$804,A96,'成交明细'!$C$5:$C$804,"卖")/V96,"")</f>
        <v/>
      </c>
      <c r="X96" s="36" t="str">
        <f>IF(A96="","",IF(Q96&lt;&gt;"已执行",IF(Q96="","未填执行情况",Q96),IF(N(T96)=0,"待录成交",IF(N(V96)&gt;N(T96),"卖出多于买入",IF(N(V96)&lt;N(T96),"持仓中","已平仓")))))</f>
        <v/>
      </c>
      <c r="Y96" s="51" t="str">
        <f>IF(N(T96)=0,"",SUMIFS('成交明细'!$K$5:$K$804,'成交明细'!$A$5:$A$804,A96))</f>
        <v/>
      </c>
      <c r="Z96" s="52" t="str">
        <f>IF(X96&lt;&gt;"已平仓","",SUMIFS('成交明细'!$F$5:$F$804,'成交明细'!$A$5:$A$804,A96,'成交明细'!$C$5:$C$804,"卖")-SUMIFS('成交明细'!$F$5:$F$804,'成交明细'!$A$5:$A$804,A96,'成交明细'!$C$5:$C$804,"买")-Y96)</f>
        <v/>
      </c>
      <c r="AA96" s="53" t="str">
        <f>IF(AND(X96="已平仓",ISNUMBER(N96)),(Z96+Y96)/N96,"")</f>
        <v/>
      </c>
      <c r="AB96" s="53" t="str">
        <f>IF(AND(X96="已平仓",ISNUMBER(N96)),Z96/N96,"")</f>
        <v/>
      </c>
      <c r="AC96" s="54" t="str">
        <f>IF(AND(ISNUMBER(U96),ISNUMBER(H96)),U96-H96,"")</f>
        <v/>
      </c>
      <c r="AD96" s="27" t="n"/>
      <c r="AE96" s="27" t="n"/>
      <c r="AF96" s="32" t="n"/>
      <c r="AG96" s="53" t="str">
        <f>IF(A96="","",SUM(AB$5:AB96))</f>
        <v/>
      </c>
      <c r="AH96" s="55" t="str">
        <f>IF(A96="","",MAX(0,MAX(AG$5:AG96))-AG96)</f>
        <v/>
      </c>
    </row>
    <row r="97">
      <c r="A97" s="46" t="n"/>
      <c r="B97" s="31" t="n"/>
      <c r="C97" s="32" t="n"/>
      <c r="D97" s="27" t="n"/>
      <c r="E97" s="47" t="str">
        <f>IF(D97="","",IFERROR(VLOOKUP(D97,'参数'!$B$21:$C$26,2,FALSE),""))</f>
        <v/>
      </c>
      <c r="F97" s="27" t="n"/>
      <c r="G97" s="43" t="str">
        <f>IF(NOT(ISNUMBER(B97)),"",IFERROR(IF(B97-INDEX('每日复盘'!$A$5:$A$264,MATCH(B97-1,'每日复盘'!$A$5:$A$264,1))&gt;7,"",T(INDEX('每日复盘'!$AA$5:$AA$264,MATCH(B97-1,'每日复盘'!$A$5:$A$264,1)))),""))</f>
        <v/>
      </c>
      <c r="H97" s="48" t="n"/>
      <c r="I97" s="48" t="n"/>
      <c r="J97" s="48" t="n"/>
      <c r="K97" s="49" t="str">
        <f>IF(AND(ISNUMBER(H97),ISNUMBER(I97),ISNUMBER(J97)),IF(H97&gt;I97,(J97-H97)/(H97-I97),""),"")</f>
        <v/>
      </c>
      <c r="L97" s="44" t="str">
        <f>IF(AND(ISNUMBER(H97),ISNUMBER(I97)),IF(H97&gt;I97,MIN(INT(ROUND('参数'!$C$7/(H97-I97)/100,6))*100,IF(ISNUMBER(E97),IF(H97-ROUND(ROUND(I97*(1-E97),4),2)&gt;0,INT(ROUND('参数'!$C$8/(H97-ROUND(ROUND(I97*(1-E97),4),2))/100,6))*100,0),INT(ROUND('参数'!$C$7/(H97-I97)/100,6))*100)),""),"")</f>
        <v/>
      </c>
      <c r="M97" s="17" t="n"/>
      <c r="N97" s="20" t="str">
        <f>IF(AND(ISNUMBER(H97),ISNUMBER(I97),ISNUMBER(M97)),IF(AND(H97&gt;I97,M97&gt;0),(H97-I97)*M97,""),"")</f>
        <v/>
      </c>
      <c r="O97" s="20" t="str">
        <f>IF(ISNUMBER(N97),IF(ISNUMBER(E97),(H97-ROUND(ROUND(I97*(1-E97),4),2))*M97,"不设限"),"")</f>
        <v/>
      </c>
      <c r="P97" s="32" t="n"/>
      <c r="Q97" s="27" t="n"/>
      <c r="R97" s="42" t="str">
        <f>IF(N(T97)&gt;0,SUMPRODUCT(LARGE(('成交明细'!$A$5:$A$804=A97)*('成交明细'!$C$5:$C$804="买")*'成交明细'!$B$5:$B$804,COUNTIFS('成交明细'!$A$5:$A$804,A97,'成交明细'!$C$5:$C$804,"买"))),"")</f>
        <v/>
      </c>
      <c r="S97" s="42" t="str">
        <f>IF(AND(N(T97)&gt;0,N(V97)&gt;=N(T97)),SUMPRODUCT(MAX(('成交明细'!$A$5:$A$804=A97)*('成交明细'!$C$5:$C$804="卖")*'成交明细'!$B$5:$B$804)),"")</f>
        <v/>
      </c>
      <c r="T97" s="44" t="str">
        <f>IF(A97="","",SUMIFS('成交明细'!$E$5:$E$804,'成交明细'!$A$5:$A$804,A97,'成交明细'!$C$5:$C$804,"买"))</f>
        <v/>
      </c>
      <c r="U97" s="50" t="str">
        <f>IF(N(T97)&gt;0,SUMIFS('成交明细'!$F$5:$F$804,'成交明细'!$A$5:$A$804,A97,'成交明细'!$C$5:$C$804,"买")/T97,"")</f>
        <v/>
      </c>
      <c r="V97" s="44" t="str">
        <f>IF(A97="","",SUMIFS('成交明细'!$E$5:$E$804,'成交明细'!$A$5:$A$804,A97,'成交明细'!$C$5:$C$804,"卖"))</f>
        <v/>
      </c>
      <c r="W97" s="50" t="str">
        <f>IF(N(V97)&gt;0,SUMIFS('成交明细'!$F$5:$F$804,'成交明细'!$A$5:$A$804,A97,'成交明细'!$C$5:$C$804,"卖")/V97,"")</f>
        <v/>
      </c>
      <c r="X97" s="36" t="str">
        <f>IF(A97="","",IF(Q97&lt;&gt;"已执行",IF(Q97="","未填执行情况",Q97),IF(N(T97)=0,"待录成交",IF(N(V97)&gt;N(T97),"卖出多于买入",IF(N(V97)&lt;N(T97),"持仓中","已平仓")))))</f>
        <v/>
      </c>
      <c r="Y97" s="51" t="str">
        <f>IF(N(T97)=0,"",SUMIFS('成交明细'!$K$5:$K$804,'成交明细'!$A$5:$A$804,A97))</f>
        <v/>
      </c>
      <c r="Z97" s="52" t="str">
        <f>IF(X97&lt;&gt;"已平仓","",SUMIFS('成交明细'!$F$5:$F$804,'成交明细'!$A$5:$A$804,A97,'成交明细'!$C$5:$C$804,"卖")-SUMIFS('成交明细'!$F$5:$F$804,'成交明细'!$A$5:$A$804,A97,'成交明细'!$C$5:$C$804,"买")-Y97)</f>
        <v/>
      </c>
      <c r="AA97" s="53" t="str">
        <f>IF(AND(X97="已平仓",ISNUMBER(N97)),(Z97+Y97)/N97,"")</f>
        <v/>
      </c>
      <c r="AB97" s="53" t="str">
        <f>IF(AND(X97="已平仓",ISNUMBER(N97)),Z97/N97,"")</f>
        <v/>
      </c>
      <c r="AC97" s="54" t="str">
        <f>IF(AND(ISNUMBER(U97),ISNUMBER(H97)),U97-H97,"")</f>
        <v/>
      </c>
      <c r="AD97" s="27" t="n"/>
      <c r="AE97" s="27" t="n"/>
      <c r="AF97" s="32" t="n"/>
      <c r="AG97" s="53" t="str">
        <f>IF(A97="","",SUM(AB$5:AB97))</f>
        <v/>
      </c>
      <c r="AH97" s="55" t="str">
        <f>IF(A97="","",MAX(0,MAX(AG$5:AG97))-AG97)</f>
        <v/>
      </c>
    </row>
    <row r="98">
      <c r="A98" s="46" t="n"/>
      <c r="B98" s="31" t="n"/>
      <c r="C98" s="32" t="n"/>
      <c r="D98" s="27" t="n"/>
      <c r="E98" s="47" t="str">
        <f>IF(D98="","",IFERROR(VLOOKUP(D98,'参数'!$B$21:$C$26,2,FALSE),""))</f>
        <v/>
      </c>
      <c r="F98" s="27" t="n"/>
      <c r="G98" s="43" t="str">
        <f>IF(NOT(ISNUMBER(B98)),"",IFERROR(IF(B98-INDEX('每日复盘'!$A$5:$A$264,MATCH(B98-1,'每日复盘'!$A$5:$A$264,1))&gt;7,"",T(INDEX('每日复盘'!$AA$5:$AA$264,MATCH(B98-1,'每日复盘'!$A$5:$A$264,1)))),""))</f>
        <v/>
      </c>
      <c r="H98" s="48" t="n"/>
      <c r="I98" s="48" t="n"/>
      <c r="J98" s="48" t="n"/>
      <c r="K98" s="49" t="str">
        <f>IF(AND(ISNUMBER(H98),ISNUMBER(I98),ISNUMBER(J98)),IF(H98&gt;I98,(J98-H98)/(H98-I98),""),"")</f>
        <v/>
      </c>
      <c r="L98" s="44" t="str">
        <f>IF(AND(ISNUMBER(H98),ISNUMBER(I98)),IF(H98&gt;I98,MIN(INT(ROUND('参数'!$C$7/(H98-I98)/100,6))*100,IF(ISNUMBER(E98),IF(H98-ROUND(ROUND(I98*(1-E98),4),2)&gt;0,INT(ROUND('参数'!$C$8/(H98-ROUND(ROUND(I98*(1-E98),4),2))/100,6))*100,0),INT(ROUND('参数'!$C$7/(H98-I98)/100,6))*100)),""),"")</f>
        <v/>
      </c>
      <c r="M98" s="17" t="n"/>
      <c r="N98" s="20" t="str">
        <f>IF(AND(ISNUMBER(H98),ISNUMBER(I98),ISNUMBER(M98)),IF(AND(H98&gt;I98,M98&gt;0),(H98-I98)*M98,""),"")</f>
        <v/>
      </c>
      <c r="O98" s="20" t="str">
        <f>IF(ISNUMBER(N98),IF(ISNUMBER(E98),(H98-ROUND(ROUND(I98*(1-E98),4),2))*M98,"不设限"),"")</f>
        <v/>
      </c>
      <c r="P98" s="32" t="n"/>
      <c r="Q98" s="27" t="n"/>
      <c r="R98" s="42" t="str">
        <f>IF(N(T98)&gt;0,SUMPRODUCT(LARGE(('成交明细'!$A$5:$A$804=A98)*('成交明细'!$C$5:$C$804="买")*'成交明细'!$B$5:$B$804,COUNTIFS('成交明细'!$A$5:$A$804,A98,'成交明细'!$C$5:$C$804,"买"))),"")</f>
        <v/>
      </c>
      <c r="S98" s="42" t="str">
        <f>IF(AND(N(T98)&gt;0,N(V98)&gt;=N(T98)),SUMPRODUCT(MAX(('成交明细'!$A$5:$A$804=A98)*('成交明细'!$C$5:$C$804="卖")*'成交明细'!$B$5:$B$804)),"")</f>
        <v/>
      </c>
      <c r="T98" s="44" t="str">
        <f>IF(A98="","",SUMIFS('成交明细'!$E$5:$E$804,'成交明细'!$A$5:$A$804,A98,'成交明细'!$C$5:$C$804,"买"))</f>
        <v/>
      </c>
      <c r="U98" s="50" t="str">
        <f>IF(N(T98)&gt;0,SUMIFS('成交明细'!$F$5:$F$804,'成交明细'!$A$5:$A$804,A98,'成交明细'!$C$5:$C$804,"买")/T98,"")</f>
        <v/>
      </c>
      <c r="V98" s="44" t="str">
        <f>IF(A98="","",SUMIFS('成交明细'!$E$5:$E$804,'成交明细'!$A$5:$A$804,A98,'成交明细'!$C$5:$C$804,"卖"))</f>
        <v/>
      </c>
      <c r="W98" s="50" t="str">
        <f>IF(N(V98)&gt;0,SUMIFS('成交明细'!$F$5:$F$804,'成交明细'!$A$5:$A$804,A98,'成交明细'!$C$5:$C$804,"卖")/V98,"")</f>
        <v/>
      </c>
      <c r="X98" s="36" t="str">
        <f>IF(A98="","",IF(Q98&lt;&gt;"已执行",IF(Q98="","未填执行情况",Q98),IF(N(T98)=0,"待录成交",IF(N(V98)&gt;N(T98),"卖出多于买入",IF(N(V98)&lt;N(T98),"持仓中","已平仓")))))</f>
        <v/>
      </c>
      <c r="Y98" s="51" t="str">
        <f>IF(N(T98)=0,"",SUMIFS('成交明细'!$K$5:$K$804,'成交明细'!$A$5:$A$804,A98))</f>
        <v/>
      </c>
      <c r="Z98" s="52" t="str">
        <f>IF(X98&lt;&gt;"已平仓","",SUMIFS('成交明细'!$F$5:$F$804,'成交明细'!$A$5:$A$804,A98,'成交明细'!$C$5:$C$804,"卖")-SUMIFS('成交明细'!$F$5:$F$804,'成交明细'!$A$5:$A$804,A98,'成交明细'!$C$5:$C$804,"买")-Y98)</f>
        <v/>
      </c>
      <c r="AA98" s="53" t="str">
        <f>IF(AND(X98="已平仓",ISNUMBER(N98)),(Z98+Y98)/N98,"")</f>
        <v/>
      </c>
      <c r="AB98" s="53" t="str">
        <f>IF(AND(X98="已平仓",ISNUMBER(N98)),Z98/N98,"")</f>
        <v/>
      </c>
      <c r="AC98" s="54" t="str">
        <f>IF(AND(ISNUMBER(U98),ISNUMBER(H98)),U98-H98,"")</f>
        <v/>
      </c>
      <c r="AD98" s="27" t="n"/>
      <c r="AE98" s="27" t="n"/>
      <c r="AF98" s="32" t="n"/>
      <c r="AG98" s="53" t="str">
        <f>IF(A98="","",SUM(AB$5:AB98))</f>
        <v/>
      </c>
      <c r="AH98" s="55" t="str">
        <f>IF(A98="","",MAX(0,MAX(AG$5:AG98))-AG98)</f>
        <v/>
      </c>
    </row>
    <row r="99">
      <c r="A99" s="46" t="n"/>
      <c r="B99" s="31" t="n"/>
      <c r="C99" s="32" t="n"/>
      <c r="D99" s="27" t="n"/>
      <c r="E99" s="47" t="str">
        <f>IF(D99="","",IFERROR(VLOOKUP(D99,'参数'!$B$21:$C$26,2,FALSE),""))</f>
        <v/>
      </c>
      <c r="F99" s="27" t="n"/>
      <c r="G99" s="43" t="str">
        <f>IF(NOT(ISNUMBER(B99)),"",IFERROR(IF(B99-INDEX('每日复盘'!$A$5:$A$264,MATCH(B99-1,'每日复盘'!$A$5:$A$264,1))&gt;7,"",T(INDEX('每日复盘'!$AA$5:$AA$264,MATCH(B99-1,'每日复盘'!$A$5:$A$264,1)))),""))</f>
        <v/>
      </c>
      <c r="H99" s="48" t="n"/>
      <c r="I99" s="48" t="n"/>
      <c r="J99" s="48" t="n"/>
      <c r="K99" s="49" t="str">
        <f>IF(AND(ISNUMBER(H99),ISNUMBER(I99),ISNUMBER(J99)),IF(H99&gt;I99,(J99-H99)/(H99-I99),""),"")</f>
        <v/>
      </c>
      <c r="L99" s="44" t="str">
        <f>IF(AND(ISNUMBER(H99),ISNUMBER(I99)),IF(H99&gt;I99,MIN(INT(ROUND('参数'!$C$7/(H99-I99)/100,6))*100,IF(ISNUMBER(E99),IF(H99-ROUND(ROUND(I99*(1-E99),4),2)&gt;0,INT(ROUND('参数'!$C$8/(H99-ROUND(ROUND(I99*(1-E99),4),2))/100,6))*100,0),INT(ROUND('参数'!$C$7/(H99-I99)/100,6))*100)),""),"")</f>
        <v/>
      </c>
      <c r="M99" s="17" t="n"/>
      <c r="N99" s="20" t="str">
        <f>IF(AND(ISNUMBER(H99),ISNUMBER(I99),ISNUMBER(M99)),IF(AND(H99&gt;I99,M99&gt;0),(H99-I99)*M99,""),"")</f>
        <v/>
      </c>
      <c r="O99" s="20" t="str">
        <f>IF(ISNUMBER(N99),IF(ISNUMBER(E99),(H99-ROUND(ROUND(I99*(1-E99),4),2))*M99,"不设限"),"")</f>
        <v/>
      </c>
      <c r="P99" s="32" t="n"/>
      <c r="Q99" s="27" t="n"/>
      <c r="R99" s="42" t="str">
        <f>IF(N(T99)&gt;0,SUMPRODUCT(LARGE(('成交明细'!$A$5:$A$804=A99)*('成交明细'!$C$5:$C$804="买")*'成交明细'!$B$5:$B$804,COUNTIFS('成交明细'!$A$5:$A$804,A99,'成交明细'!$C$5:$C$804,"买"))),"")</f>
        <v/>
      </c>
      <c r="S99" s="42" t="str">
        <f>IF(AND(N(T99)&gt;0,N(V99)&gt;=N(T99)),SUMPRODUCT(MAX(('成交明细'!$A$5:$A$804=A99)*('成交明细'!$C$5:$C$804="卖")*'成交明细'!$B$5:$B$804)),"")</f>
        <v/>
      </c>
      <c r="T99" s="44" t="str">
        <f>IF(A99="","",SUMIFS('成交明细'!$E$5:$E$804,'成交明细'!$A$5:$A$804,A99,'成交明细'!$C$5:$C$804,"买"))</f>
        <v/>
      </c>
      <c r="U99" s="50" t="str">
        <f>IF(N(T99)&gt;0,SUMIFS('成交明细'!$F$5:$F$804,'成交明细'!$A$5:$A$804,A99,'成交明细'!$C$5:$C$804,"买")/T99,"")</f>
        <v/>
      </c>
      <c r="V99" s="44" t="str">
        <f>IF(A99="","",SUMIFS('成交明细'!$E$5:$E$804,'成交明细'!$A$5:$A$804,A99,'成交明细'!$C$5:$C$804,"卖"))</f>
        <v/>
      </c>
      <c r="W99" s="50" t="str">
        <f>IF(N(V99)&gt;0,SUMIFS('成交明细'!$F$5:$F$804,'成交明细'!$A$5:$A$804,A99,'成交明细'!$C$5:$C$804,"卖")/V99,"")</f>
        <v/>
      </c>
      <c r="X99" s="36" t="str">
        <f>IF(A99="","",IF(Q99&lt;&gt;"已执行",IF(Q99="","未填执行情况",Q99),IF(N(T99)=0,"待录成交",IF(N(V99)&gt;N(T99),"卖出多于买入",IF(N(V99)&lt;N(T99),"持仓中","已平仓")))))</f>
        <v/>
      </c>
      <c r="Y99" s="51" t="str">
        <f>IF(N(T99)=0,"",SUMIFS('成交明细'!$K$5:$K$804,'成交明细'!$A$5:$A$804,A99))</f>
        <v/>
      </c>
      <c r="Z99" s="52" t="str">
        <f>IF(X99&lt;&gt;"已平仓","",SUMIFS('成交明细'!$F$5:$F$804,'成交明细'!$A$5:$A$804,A99,'成交明细'!$C$5:$C$804,"卖")-SUMIFS('成交明细'!$F$5:$F$804,'成交明细'!$A$5:$A$804,A99,'成交明细'!$C$5:$C$804,"买")-Y99)</f>
        <v/>
      </c>
      <c r="AA99" s="53" t="str">
        <f>IF(AND(X99="已平仓",ISNUMBER(N99)),(Z99+Y99)/N99,"")</f>
        <v/>
      </c>
      <c r="AB99" s="53" t="str">
        <f>IF(AND(X99="已平仓",ISNUMBER(N99)),Z99/N99,"")</f>
        <v/>
      </c>
      <c r="AC99" s="54" t="str">
        <f>IF(AND(ISNUMBER(U99),ISNUMBER(H99)),U99-H99,"")</f>
        <v/>
      </c>
      <c r="AD99" s="27" t="n"/>
      <c r="AE99" s="27" t="n"/>
      <c r="AF99" s="32" t="n"/>
      <c r="AG99" s="53" t="str">
        <f>IF(A99="","",SUM(AB$5:AB99))</f>
        <v/>
      </c>
      <c r="AH99" s="55" t="str">
        <f>IF(A99="","",MAX(0,MAX(AG$5:AG99))-AG99)</f>
        <v/>
      </c>
    </row>
    <row r="100">
      <c r="A100" s="46" t="n"/>
      <c r="B100" s="31" t="n"/>
      <c r="C100" s="32" t="n"/>
      <c r="D100" s="27" t="n"/>
      <c r="E100" s="47" t="str">
        <f>IF(D100="","",IFERROR(VLOOKUP(D100,'参数'!$B$21:$C$26,2,FALSE),""))</f>
        <v/>
      </c>
      <c r="F100" s="27" t="n"/>
      <c r="G100" s="43" t="str">
        <f>IF(NOT(ISNUMBER(B100)),"",IFERROR(IF(B100-INDEX('每日复盘'!$A$5:$A$264,MATCH(B100-1,'每日复盘'!$A$5:$A$264,1))&gt;7,"",T(INDEX('每日复盘'!$AA$5:$AA$264,MATCH(B100-1,'每日复盘'!$A$5:$A$264,1)))),""))</f>
        <v/>
      </c>
      <c r="H100" s="48" t="n"/>
      <c r="I100" s="48" t="n"/>
      <c r="J100" s="48" t="n"/>
      <c r="K100" s="49" t="str">
        <f>IF(AND(ISNUMBER(H100),ISNUMBER(I100),ISNUMBER(J100)),IF(H100&gt;I100,(J100-H100)/(H100-I100),""),"")</f>
        <v/>
      </c>
      <c r="L100" s="44" t="str">
        <f>IF(AND(ISNUMBER(H100),ISNUMBER(I100)),IF(H100&gt;I100,MIN(INT(ROUND('参数'!$C$7/(H100-I100)/100,6))*100,IF(ISNUMBER(E100),IF(H100-ROUND(ROUND(I100*(1-E100),4),2)&gt;0,INT(ROUND('参数'!$C$8/(H100-ROUND(ROUND(I100*(1-E100),4),2))/100,6))*100,0),INT(ROUND('参数'!$C$7/(H100-I100)/100,6))*100)),""),"")</f>
        <v/>
      </c>
      <c r="M100" s="17" t="n"/>
      <c r="N100" s="20" t="str">
        <f>IF(AND(ISNUMBER(H100),ISNUMBER(I100),ISNUMBER(M100)),IF(AND(H100&gt;I100,M100&gt;0),(H100-I100)*M100,""),"")</f>
        <v/>
      </c>
      <c r="O100" s="20" t="str">
        <f>IF(ISNUMBER(N100),IF(ISNUMBER(E100),(H100-ROUND(ROUND(I100*(1-E100),4),2))*M100,"不设限"),"")</f>
        <v/>
      </c>
      <c r="P100" s="32" t="n"/>
      <c r="Q100" s="27" t="n"/>
      <c r="R100" s="42" t="str">
        <f>IF(N(T100)&gt;0,SUMPRODUCT(LARGE(('成交明细'!$A$5:$A$804=A100)*('成交明细'!$C$5:$C$804="买")*'成交明细'!$B$5:$B$804,COUNTIFS('成交明细'!$A$5:$A$804,A100,'成交明细'!$C$5:$C$804,"买"))),"")</f>
        <v/>
      </c>
      <c r="S100" s="42" t="str">
        <f>IF(AND(N(T100)&gt;0,N(V100)&gt;=N(T100)),SUMPRODUCT(MAX(('成交明细'!$A$5:$A$804=A100)*('成交明细'!$C$5:$C$804="卖")*'成交明细'!$B$5:$B$804)),"")</f>
        <v/>
      </c>
      <c r="T100" s="44" t="str">
        <f>IF(A100="","",SUMIFS('成交明细'!$E$5:$E$804,'成交明细'!$A$5:$A$804,A100,'成交明细'!$C$5:$C$804,"买"))</f>
        <v/>
      </c>
      <c r="U100" s="50" t="str">
        <f>IF(N(T100)&gt;0,SUMIFS('成交明细'!$F$5:$F$804,'成交明细'!$A$5:$A$804,A100,'成交明细'!$C$5:$C$804,"买")/T100,"")</f>
        <v/>
      </c>
      <c r="V100" s="44" t="str">
        <f>IF(A100="","",SUMIFS('成交明细'!$E$5:$E$804,'成交明细'!$A$5:$A$804,A100,'成交明细'!$C$5:$C$804,"卖"))</f>
        <v/>
      </c>
      <c r="W100" s="50" t="str">
        <f>IF(N(V100)&gt;0,SUMIFS('成交明细'!$F$5:$F$804,'成交明细'!$A$5:$A$804,A100,'成交明细'!$C$5:$C$804,"卖")/V100,"")</f>
        <v/>
      </c>
      <c r="X100" s="36" t="str">
        <f>IF(A100="","",IF(Q100&lt;&gt;"已执行",IF(Q100="","未填执行情况",Q100),IF(N(T100)=0,"待录成交",IF(N(V100)&gt;N(T100),"卖出多于买入",IF(N(V100)&lt;N(T100),"持仓中","已平仓")))))</f>
        <v/>
      </c>
      <c r="Y100" s="51" t="str">
        <f>IF(N(T100)=0,"",SUMIFS('成交明细'!$K$5:$K$804,'成交明细'!$A$5:$A$804,A100))</f>
        <v/>
      </c>
      <c r="Z100" s="52" t="str">
        <f>IF(X100&lt;&gt;"已平仓","",SUMIFS('成交明细'!$F$5:$F$804,'成交明细'!$A$5:$A$804,A100,'成交明细'!$C$5:$C$804,"卖")-SUMIFS('成交明细'!$F$5:$F$804,'成交明细'!$A$5:$A$804,A100,'成交明细'!$C$5:$C$804,"买")-Y100)</f>
        <v/>
      </c>
      <c r="AA100" s="53" t="str">
        <f>IF(AND(X100="已平仓",ISNUMBER(N100)),(Z100+Y100)/N100,"")</f>
        <v/>
      </c>
      <c r="AB100" s="53" t="str">
        <f>IF(AND(X100="已平仓",ISNUMBER(N100)),Z100/N100,"")</f>
        <v/>
      </c>
      <c r="AC100" s="54" t="str">
        <f>IF(AND(ISNUMBER(U100),ISNUMBER(H100)),U100-H100,"")</f>
        <v/>
      </c>
      <c r="AD100" s="27" t="n"/>
      <c r="AE100" s="27" t="n"/>
      <c r="AF100" s="32" t="n"/>
      <c r="AG100" s="53" t="str">
        <f>IF(A100="","",SUM(AB$5:AB100))</f>
        <v/>
      </c>
      <c r="AH100" s="55" t="str">
        <f>IF(A100="","",MAX(0,MAX(AG$5:AG100))-AG100)</f>
        <v/>
      </c>
    </row>
    <row r="101">
      <c r="A101" s="46" t="n"/>
      <c r="B101" s="31" t="n"/>
      <c r="C101" s="32" t="n"/>
      <c r="D101" s="27" t="n"/>
      <c r="E101" s="47" t="str">
        <f>IF(D101="","",IFERROR(VLOOKUP(D101,'参数'!$B$21:$C$26,2,FALSE),""))</f>
        <v/>
      </c>
      <c r="F101" s="27" t="n"/>
      <c r="G101" s="43" t="str">
        <f>IF(NOT(ISNUMBER(B101)),"",IFERROR(IF(B101-INDEX('每日复盘'!$A$5:$A$264,MATCH(B101-1,'每日复盘'!$A$5:$A$264,1))&gt;7,"",T(INDEX('每日复盘'!$AA$5:$AA$264,MATCH(B101-1,'每日复盘'!$A$5:$A$264,1)))),""))</f>
        <v/>
      </c>
      <c r="H101" s="48" t="n"/>
      <c r="I101" s="48" t="n"/>
      <c r="J101" s="48" t="n"/>
      <c r="K101" s="49" t="str">
        <f>IF(AND(ISNUMBER(H101),ISNUMBER(I101),ISNUMBER(J101)),IF(H101&gt;I101,(J101-H101)/(H101-I101),""),"")</f>
        <v/>
      </c>
      <c r="L101" s="44" t="str">
        <f>IF(AND(ISNUMBER(H101),ISNUMBER(I101)),IF(H101&gt;I101,MIN(INT(ROUND('参数'!$C$7/(H101-I101)/100,6))*100,IF(ISNUMBER(E101),IF(H101-ROUND(ROUND(I101*(1-E101),4),2)&gt;0,INT(ROUND('参数'!$C$8/(H101-ROUND(ROUND(I101*(1-E101),4),2))/100,6))*100,0),INT(ROUND('参数'!$C$7/(H101-I101)/100,6))*100)),""),"")</f>
        <v/>
      </c>
      <c r="M101" s="17" t="n"/>
      <c r="N101" s="20" t="str">
        <f>IF(AND(ISNUMBER(H101),ISNUMBER(I101),ISNUMBER(M101)),IF(AND(H101&gt;I101,M101&gt;0),(H101-I101)*M101,""),"")</f>
        <v/>
      </c>
      <c r="O101" s="20" t="str">
        <f>IF(ISNUMBER(N101),IF(ISNUMBER(E101),(H101-ROUND(ROUND(I101*(1-E101),4),2))*M101,"不设限"),"")</f>
        <v/>
      </c>
      <c r="P101" s="32" t="n"/>
      <c r="Q101" s="27" t="n"/>
      <c r="R101" s="42" t="str">
        <f>IF(N(T101)&gt;0,SUMPRODUCT(LARGE(('成交明细'!$A$5:$A$804=A101)*('成交明细'!$C$5:$C$804="买")*'成交明细'!$B$5:$B$804,COUNTIFS('成交明细'!$A$5:$A$804,A101,'成交明细'!$C$5:$C$804,"买"))),"")</f>
        <v/>
      </c>
      <c r="S101" s="42" t="str">
        <f>IF(AND(N(T101)&gt;0,N(V101)&gt;=N(T101)),SUMPRODUCT(MAX(('成交明细'!$A$5:$A$804=A101)*('成交明细'!$C$5:$C$804="卖")*'成交明细'!$B$5:$B$804)),"")</f>
        <v/>
      </c>
      <c r="T101" s="44" t="str">
        <f>IF(A101="","",SUMIFS('成交明细'!$E$5:$E$804,'成交明细'!$A$5:$A$804,A101,'成交明细'!$C$5:$C$804,"买"))</f>
        <v/>
      </c>
      <c r="U101" s="50" t="str">
        <f>IF(N(T101)&gt;0,SUMIFS('成交明细'!$F$5:$F$804,'成交明细'!$A$5:$A$804,A101,'成交明细'!$C$5:$C$804,"买")/T101,"")</f>
        <v/>
      </c>
      <c r="V101" s="44" t="str">
        <f>IF(A101="","",SUMIFS('成交明细'!$E$5:$E$804,'成交明细'!$A$5:$A$804,A101,'成交明细'!$C$5:$C$804,"卖"))</f>
        <v/>
      </c>
      <c r="W101" s="50" t="str">
        <f>IF(N(V101)&gt;0,SUMIFS('成交明细'!$F$5:$F$804,'成交明细'!$A$5:$A$804,A101,'成交明细'!$C$5:$C$804,"卖")/V101,"")</f>
        <v/>
      </c>
      <c r="X101" s="36" t="str">
        <f>IF(A101="","",IF(Q101&lt;&gt;"已执行",IF(Q101="","未填执行情况",Q101),IF(N(T101)=0,"待录成交",IF(N(V101)&gt;N(T101),"卖出多于买入",IF(N(V101)&lt;N(T101),"持仓中","已平仓")))))</f>
        <v/>
      </c>
      <c r="Y101" s="51" t="str">
        <f>IF(N(T101)=0,"",SUMIFS('成交明细'!$K$5:$K$804,'成交明细'!$A$5:$A$804,A101))</f>
        <v/>
      </c>
      <c r="Z101" s="52" t="str">
        <f>IF(X101&lt;&gt;"已平仓","",SUMIFS('成交明细'!$F$5:$F$804,'成交明细'!$A$5:$A$804,A101,'成交明细'!$C$5:$C$804,"卖")-SUMIFS('成交明细'!$F$5:$F$804,'成交明细'!$A$5:$A$804,A101,'成交明细'!$C$5:$C$804,"买")-Y101)</f>
        <v/>
      </c>
      <c r="AA101" s="53" t="str">
        <f>IF(AND(X101="已平仓",ISNUMBER(N101)),(Z101+Y101)/N101,"")</f>
        <v/>
      </c>
      <c r="AB101" s="53" t="str">
        <f>IF(AND(X101="已平仓",ISNUMBER(N101)),Z101/N101,"")</f>
        <v/>
      </c>
      <c r="AC101" s="54" t="str">
        <f>IF(AND(ISNUMBER(U101),ISNUMBER(H101)),U101-H101,"")</f>
        <v/>
      </c>
      <c r="AD101" s="27" t="n"/>
      <c r="AE101" s="27" t="n"/>
      <c r="AF101" s="32" t="n"/>
      <c r="AG101" s="53" t="str">
        <f>IF(A101="","",SUM(AB$5:AB101))</f>
        <v/>
      </c>
      <c r="AH101" s="55" t="str">
        <f>IF(A101="","",MAX(0,MAX(AG$5:AG101))-AG101)</f>
        <v/>
      </c>
    </row>
    <row r="102">
      <c r="A102" s="46" t="n"/>
      <c r="B102" s="31" t="n"/>
      <c r="C102" s="32" t="n"/>
      <c r="D102" s="27" t="n"/>
      <c r="E102" s="47" t="str">
        <f>IF(D102="","",IFERROR(VLOOKUP(D102,'参数'!$B$21:$C$26,2,FALSE),""))</f>
        <v/>
      </c>
      <c r="F102" s="27" t="n"/>
      <c r="G102" s="43" t="str">
        <f>IF(NOT(ISNUMBER(B102)),"",IFERROR(IF(B102-INDEX('每日复盘'!$A$5:$A$264,MATCH(B102-1,'每日复盘'!$A$5:$A$264,1))&gt;7,"",T(INDEX('每日复盘'!$AA$5:$AA$264,MATCH(B102-1,'每日复盘'!$A$5:$A$264,1)))),""))</f>
        <v/>
      </c>
      <c r="H102" s="48" t="n"/>
      <c r="I102" s="48" t="n"/>
      <c r="J102" s="48" t="n"/>
      <c r="K102" s="49" t="str">
        <f>IF(AND(ISNUMBER(H102),ISNUMBER(I102),ISNUMBER(J102)),IF(H102&gt;I102,(J102-H102)/(H102-I102),""),"")</f>
        <v/>
      </c>
      <c r="L102" s="44" t="str">
        <f>IF(AND(ISNUMBER(H102),ISNUMBER(I102)),IF(H102&gt;I102,MIN(INT(ROUND('参数'!$C$7/(H102-I102)/100,6))*100,IF(ISNUMBER(E102),IF(H102-ROUND(ROUND(I102*(1-E102),4),2)&gt;0,INT(ROUND('参数'!$C$8/(H102-ROUND(ROUND(I102*(1-E102),4),2))/100,6))*100,0),INT(ROUND('参数'!$C$7/(H102-I102)/100,6))*100)),""),"")</f>
        <v/>
      </c>
      <c r="M102" s="17" t="n"/>
      <c r="N102" s="20" t="str">
        <f>IF(AND(ISNUMBER(H102),ISNUMBER(I102),ISNUMBER(M102)),IF(AND(H102&gt;I102,M102&gt;0),(H102-I102)*M102,""),"")</f>
        <v/>
      </c>
      <c r="O102" s="20" t="str">
        <f>IF(ISNUMBER(N102),IF(ISNUMBER(E102),(H102-ROUND(ROUND(I102*(1-E102),4),2))*M102,"不设限"),"")</f>
        <v/>
      </c>
      <c r="P102" s="32" t="n"/>
      <c r="Q102" s="27" t="n"/>
      <c r="R102" s="42" t="str">
        <f>IF(N(T102)&gt;0,SUMPRODUCT(LARGE(('成交明细'!$A$5:$A$804=A102)*('成交明细'!$C$5:$C$804="买")*'成交明细'!$B$5:$B$804,COUNTIFS('成交明细'!$A$5:$A$804,A102,'成交明细'!$C$5:$C$804,"买"))),"")</f>
        <v/>
      </c>
      <c r="S102" s="42" t="str">
        <f>IF(AND(N(T102)&gt;0,N(V102)&gt;=N(T102)),SUMPRODUCT(MAX(('成交明细'!$A$5:$A$804=A102)*('成交明细'!$C$5:$C$804="卖")*'成交明细'!$B$5:$B$804)),"")</f>
        <v/>
      </c>
      <c r="T102" s="44" t="str">
        <f>IF(A102="","",SUMIFS('成交明细'!$E$5:$E$804,'成交明细'!$A$5:$A$804,A102,'成交明细'!$C$5:$C$804,"买"))</f>
        <v/>
      </c>
      <c r="U102" s="50" t="str">
        <f>IF(N(T102)&gt;0,SUMIFS('成交明细'!$F$5:$F$804,'成交明细'!$A$5:$A$804,A102,'成交明细'!$C$5:$C$804,"买")/T102,"")</f>
        <v/>
      </c>
      <c r="V102" s="44" t="str">
        <f>IF(A102="","",SUMIFS('成交明细'!$E$5:$E$804,'成交明细'!$A$5:$A$804,A102,'成交明细'!$C$5:$C$804,"卖"))</f>
        <v/>
      </c>
      <c r="W102" s="50" t="str">
        <f>IF(N(V102)&gt;0,SUMIFS('成交明细'!$F$5:$F$804,'成交明细'!$A$5:$A$804,A102,'成交明细'!$C$5:$C$804,"卖")/V102,"")</f>
        <v/>
      </c>
      <c r="X102" s="36" t="str">
        <f>IF(A102="","",IF(Q102&lt;&gt;"已执行",IF(Q102="","未填执行情况",Q102),IF(N(T102)=0,"待录成交",IF(N(V102)&gt;N(T102),"卖出多于买入",IF(N(V102)&lt;N(T102),"持仓中","已平仓")))))</f>
        <v/>
      </c>
      <c r="Y102" s="51" t="str">
        <f>IF(N(T102)=0,"",SUMIFS('成交明细'!$K$5:$K$804,'成交明细'!$A$5:$A$804,A102))</f>
        <v/>
      </c>
      <c r="Z102" s="52" t="str">
        <f>IF(X102&lt;&gt;"已平仓","",SUMIFS('成交明细'!$F$5:$F$804,'成交明细'!$A$5:$A$804,A102,'成交明细'!$C$5:$C$804,"卖")-SUMIFS('成交明细'!$F$5:$F$804,'成交明细'!$A$5:$A$804,A102,'成交明细'!$C$5:$C$804,"买")-Y102)</f>
        <v/>
      </c>
      <c r="AA102" s="53" t="str">
        <f>IF(AND(X102="已平仓",ISNUMBER(N102)),(Z102+Y102)/N102,"")</f>
        <v/>
      </c>
      <c r="AB102" s="53" t="str">
        <f>IF(AND(X102="已平仓",ISNUMBER(N102)),Z102/N102,"")</f>
        <v/>
      </c>
      <c r="AC102" s="54" t="str">
        <f>IF(AND(ISNUMBER(U102),ISNUMBER(H102)),U102-H102,"")</f>
        <v/>
      </c>
      <c r="AD102" s="27" t="n"/>
      <c r="AE102" s="27" t="n"/>
      <c r="AF102" s="32" t="n"/>
      <c r="AG102" s="53" t="str">
        <f>IF(A102="","",SUM(AB$5:AB102))</f>
        <v/>
      </c>
      <c r="AH102" s="55" t="str">
        <f>IF(A102="","",MAX(0,MAX(AG$5:AG102))-AG102)</f>
        <v/>
      </c>
    </row>
    <row r="103">
      <c r="A103" s="46" t="n"/>
      <c r="B103" s="31" t="n"/>
      <c r="C103" s="32" t="n"/>
      <c r="D103" s="27" t="n"/>
      <c r="E103" s="47" t="str">
        <f>IF(D103="","",IFERROR(VLOOKUP(D103,'参数'!$B$21:$C$26,2,FALSE),""))</f>
        <v/>
      </c>
      <c r="F103" s="27" t="n"/>
      <c r="G103" s="43" t="str">
        <f>IF(NOT(ISNUMBER(B103)),"",IFERROR(IF(B103-INDEX('每日复盘'!$A$5:$A$264,MATCH(B103-1,'每日复盘'!$A$5:$A$264,1))&gt;7,"",T(INDEX('每日复盘'!$AA$5:$AA$264,MATCH(B103-1,'每日复盘'!$A$5:$A$264,1)))),""))</f>
        <v/>
      </c>
      <c r="H103" s="48" t="n"/>
      <c r="I103" s="48" t="n"/>
      <c r="J103" s="48" t="n"/>
      <c r="K103" s="49" t="str">
        <f>IF(AND(ISNUMBER(H103),ISNUMBER(I103),ISNUMBER(J103)),IF(H103&gt;I103,(J103-H103)/(H103-I103),""),"")</f>
        <v/>
      </c>
      <c r="L103" s="44" t="str">
        <f>IF(AND(ISNUMBER(H103),ISNUMBER(I103)),IF(H103&gt;I103,MIN(INT(ROUND('参数'!$C$7/(H103-I103)/100,6))*100,IF(ISNUMBER(E103),IF(H103-ROUND(ROUND(I103*(1-E103),4),2)&gt;0,INT(ROUND('参数'!$C$8/(H103-ROUND(ROUND(I103*(1-E103),4),2))/100,6))*100,0),INT(ROUND('参数'!$C$7/(H103-I103)/100,6))*100)),""),"")</f>
        <v/>
      </c>
      <c r="M103" s="17" t="n"/>
      <c r="N103" s="20" t="str">
        <f>IF(AND(ISNUMBER(H103),ISNUMBER(I103),ISNUMBER(M103)),IF(AND(H103&gt;I103,M103&gt;0),(H103-I103)*M103,""),"")</f>
        <v/>
      </c>
      <c r="O103" s="20" t="str">
        <f>IF(ISNUMBER(N103),IF(ISNUMBER(E103),(H103-ROUND(ROUND(I103*(1-E103),4),2))*M103,"不设限"),"")</f>
        <v/>
      </c>
      <c r="P103" s="32" t="n"/>
      <c r="Q103" s="27" t="n"/>
      <c r="R103" s="42" t="str">
        <f>IF(N(T103)&gt;0,SUMPRODUCT(LARGE(('成交明细'!$A$5:$A$804=A103)*('成交明细'!$C$5:$C$804="买")*'成交明细'!$B$5:$B$804,COUNTIFS('成交明细'!$A$5:$A$804,A103,'成交明细'!$C$5:$C$804,"买"))),"")</f>
        <v/>
      </c>
      <c r="S103" s="42" t="str">
        <f>IF(AND(N(T103)&gt;0,N(V103)&gt;=N(T103)),SUMPRODUCT(MAX(('成交明细'!$A$5:$A$804=A103)*('成交明细'!$C$5:$C$804="卖")*'成交明细'!$B$5:$B$804)),"")</f>
        <v/>
      </c>
      <c r="T103" s="44" t="str">
        <f>IF(A103="","",SUMIFS('成交明细'!$E$5:$E$804,'成交明细'!$A$5:$A$804,A103,'成交明细'!$C$5:$C$804,"买"))</f>
        <v/>
      </c>
      <c r="U103" s="50" t="str">
        <f>IF(N(T103)&gt;0,SUMIFS('成交明细'!$F$5:$F$804,'成交明细'!$A$5:$A$804,A103,'成交明细'!$C$5:$C$804,"买")/T103,"")</f>
        <v/>
      </c>
      <c r="V103" s="44" t="str">
        <f>IF(A103="","",SUMIFS('成交明细'!$E$5:$E$804,'成交明细'!$A$5:$A$804,A103,'成交明细'!$C$5:$C$804,"卖"))</f>
        <v/>
      </c>
      <c r="W103" s="50" t="str">
        <f>IF(N(V103)&gt;0,SUMIFS('成交明细'!$F$5:$F$804,'成交明细'!$A$5:$A$804,A103,'成交明细'!$C$5:$C$804,"卖")/V103,"")</f>
        <v/>
      </c>
      <c r="X103" s="36" t="str">
        <f>IF(A103="","",IF(Q103&lt;&gt;"已执行",IF(Q103="","未填执行情况",Q103),IF(N(T103)=0,"待录成交",IF(N(V103)&gt;N(T103),"卖出多于买入",IF(N(V103)&lt;N(T103),"持仓中","已平仓")))))</f>
        <v/>
      </c>
      <c r="Y103" s="51" t="str">
        <f>IF(N(T103)=0,"",SUMIFS('成交明细'!$K$5:$K$804,'成交明细'!$A$5:$A$804,A103))</f>
        <v/>
      </c>
      <c r="Z103" s="52" t="str">
        <f>IF(X103&lt;&gt;"已平仓","",SUMIFS('成交明细'!$F$5:$F$804,'成交明细'!$A$5:$A$804,A103,'成交明细'!$C$5:$C$804,"卖")-SUMIFS('成交明细'!$F$5:$F$804,'成交明细'!$A$5:$A$804,A103,'成交明细'!$C$5:$C$804,"买")-Y103)</f>
        <v/>
      </c>
      <c r="AA103" s="53" t="str">
        <f>IF(AND(X103="已平仓",ISNUMBER(N103)),(Z103+Y103)/N103,"")</f>
        <v/>
      </c>
      <c r="AB103" s="53" t="str">
        <f>IF(AND(X103="已平仓",ISNUMBER(N103)),Z103/N103,"")</f>
        <v/>
      </c>
      <c r="AC103" s="54" t="str">
        <f>IF(AND(ISNUMBER(U103),ISNUMBER(H103)),U103-H103,"")</f>
        <v/>
      </c>
      <c r="AD103" s="27" t="n"/>
      <c r="AE103" s="27" t="n"/>
      <c r="AF103" s="32" t="n"/>
      <c r="AG103" s="53" t="str">
        <f>IF(A103="","",SUM(AB$5:AB103))</f>
        <v/>
      </c>
      <c r="AH103" s="55" t="str">
        <f>IF(A103="","",MAX(0,MAX(AG$5:AG103))-AG103)</f>
        <v/>
      </c>
    </row>
    <row r="104">
      <c r="A104" s="46" t="n"/>
      <c r="B104" s="31" t="n"/>
      <c r="C104" s="32" t="n"/>
      <c r="D104" s="27" t="n"/>
      <c r="E104" s="47" t="str">
        <f>IF(D104="","",IFERROR(VLOOKUP(D104,'参数'!$B$21:$C$26,2,FALSE),""))</f>
        <v/>
      </c>
      <c r="F104" s="27" t="n"/>
      <c r="G104" s="43" t="str">
        <f>IF(NOT(ISNUMBER(B104)),"",IFERROR(IF(B104-INDEX('每日复盘'!$A$5:$A$264,MATCH(B104-1,'每日复盘'!$A$5:$A$264,1))&gt;7,"",T(INDEX('每日复盘'!$AA$5:$AA$264,MATCH(B104-1,'每日复盘'!$A$5:$A$264,1)))),""))</f>
        <v/>
      </c>
      <c r="H104" s="48" t="n"/>
      <c r="I104" s="48" t="n"/>
      <c r="J104" s="48" t="n"/>
      <c r="K104" s="49" t="str">
        <f>IF(AND(ISNUMBER(H104),ISNUMBER(I104),ISNUMBER(J104)),IF(H104&gt;I104,(J104-H104)/(H104-I104),""),"")</f>
        <v/>
      </c>
      <c r="L104" s="44" t="str">
        <f>IF(AND(ISNUMBER(H104),ISNUMBER(I104)),IF(H104&gt;I104,MIN(INT(ROUND('参数'!$C$7/(H104-I104)/100,6))*100,IF(ISNUMBER(E104),IF(H104-ROUND(ROUND(I104*(1-E104),4),2)&gt;0,INT(ROUND('参数'!$C$8/(H104-ROUND(ROUND(I104*(1-E104),4),2))/100,6))*100,0),INT(ROUND('参数'!$C$7/(H104-I104)/100,6))*100)),""),"")</f>
        <v/>
      </c>
      <c r="M104" s="17" t="n"/>
      <c r="N104" s="20" t="str">
        <f>IF(AND(ISNUMBER(H104),ISNUMBER(I104),ISNUMBER(M104)),IF(AND(H104&gt;I104,M104&gt;0),(H104-I104)*M104,""),"")</f>
        <v/>
      </c>
      <c r="O104" s="20" t="str">
        <f>IF(ISNUMBER(N104),IF(ISNUMBER(E104),(H104-ROUND(ROUND(I104*(1-E104),4),2))*M104,"不设限"),"")</f>
        <v/>
      </c>
      <c r="P104" s="32" t="n"/>
      <c r="Q104" s="27" t="n"/>
      <c r="R104" s="42" t="str">
        <f>IF(N(T104)&gt;0,SUMPRODUCT(LARGE(('成交明细'!$A$5:$A$804=A104)*('成交明细'!$C$5:$C$804="买")*'成交明细'!$B$5:$B$804,COUNTIFS('成交明细'!$A$5:$A$804,A104,'成交明细'!$C$5:$C$804,"买"))),"")</f>
        <v/>
      </c>
      <c r="S104" s="42" t="str">
        <f>IF(AND(N(T104)&gt;0,N(V104)&gt;=N(T104)),SUMPRODUCT(MAX(('成交明细'!$A$5:$A$804=A104)*('成交明细'!$C$5:$C$804="卖")*'成交明细'!$B$5:$B$804)),"")</f>
        <v/>
      </c>
      <c r="T104" s="44" t="str">
        <f>IF(A104="","",SUMIFS('成交明细'!$E$5:$E$804,'成交明细'!$A$5:$A$804,A104,'成交明细'!$C$5:$C$804,"买"))</f>
        <v/>
      </c>
      <c r="U104" s="50" t="str">
        <f>IF(N(T104)&gt;0,SUMIFS('成交明细'!$F$5:$F$804,'成交明细'!$A$5:$A$804,A104,'成交明细'!$C$5:$C$804,"买")/T104,"")</f>
        <v/>
      </c>
      <c r="V104" s="44" t="str">
        <f>IF(A104="","",SUMIFS('成交明细'!$E$5:$E$804,'成交明细'!$A$5:$A$804,A104,'成交明细'!$C$5:$C$804,"卖"))</f>
        <v/>
      </c>
      <c r="W104" s="50" t="str">
        <f>IF(N(V104)&gt;0,SUMIFS('成交明细'!$F$5:$F$804,'成交明细'!$A$5:$A$804,A104,'成交明细'!$C$5:$C$804,"卖")/V104,"")</f>
        <v/>
      </c>
      <c r="X104" s="36" t="str">
        <f>IF(A104="","",IF(Q104&lt;&gt;"已执行",IF(Q104="","未填执行情况",Q104),IF(N(T104)=0,"待录成交",IF(N(V104)&gt;N(T104),"卖出多于买入",IF(N(V104)&lt;N(T104),"持仓中","已平仓")))))</f>
        <v/>
      </c>
      <c r="Y104" s="51" t="str">
        <f>IF(N(T104)=0,"",SUMIFS('成交明细'!$K$5:$K$804,'成交明细'!$A$5:$A$804,A104))</f>
        <v/>
      </c>
      <c r="Z104" s="52" t="str">
        <f>IF(X104&lt;&gt;"已平仓","",SUMIFS('成交明细'!$F$5:$F$804,'成交明细'!$A$5:$A$804,A104,'成交明细'!$C$5:$C$804,"卖")-SUMIFS('成交明细'!$F$5:$F$804,'成交明细'!$A$5:$A$804,A104,'成交明细'!$C$5:$C$804,"买")-Y104)</f>
        <v/>
      </c>
      <c r="AA104" s="53" t="str">
        <f>IF(AND(X104="已平仓",ISNUMBER(N104)),(Z104+Y104)/N104,"")</f>
        <v/>
      </c>
      <c r="AB104" s="53" t="str">
        <f>IF(AND(X104="已平仓",ISNUMBER(N104)),Z104/N104,"")</f>
        <v/>
      </c>
      <c r="AC104" s="54" t="str">
        <f>IF(AND(ISNUMBER(U104),ISNUMBER(H104)),U104-H104,"")</f>
        <v/>
      </c>
      <c r="AD104" s="27" t="n"/>
      <c r="AE104" s="27" t="n"/>
      <c r="AF104" s="32" t="n"/>
      <c r="AG104" s="53" t="str">
        <f>IF(A104="","",SUM(AB$5:AB104))</f>
        <v/>
      </c>
      <c r="AH104" s="55" t="str">
        <f>IF(A104="","",MAX(0,MAX(AG$5:AG104))-AG104)</f>
        <v/>
      </c>
    </row>
    <row r="105">
      <c r="A105" s="46" t="n"/>
      <c r="B105" s="31" t="n"/>
      <c r="C105" s="32" t="n"/>
      <c r="D105" s="27" t="n"/>
      <c r="E105" s="47" t="str">
        <f>IF(D105="","",IFERROR(VLOOKUP(D105,'参数'!$B$21:$C$26,2,FALSE),""))</f>
        <v/>
      </c>
      <c r="F105" s="27" t="n"/>
      <c r="G105" s="43" t="str">
        <f>IF(NOT(ISNUMBER(B105)),"",IFERROR(IF(B105-INDEX('每日复盘'!$A$5:$A$264,MATCH(B105-1,'每日复盘'!$A$5:$A$264,1))&gt;7,"",T(INDEX('每日复盘'!$AA$5:$AA$264,MATCH(B105-1,'每日复盘'!$A$5:$A$264,1)))),""))</f>
        <v/>
      </c>
      <c r="H105" s="48" t="n"/>
      <c r="I105" s="48" t="n"/>
      <c r="J105" s="48" t="n"/>
      <c r="K105" s="49" t="str">
        <f>IF(AND(ISNUMBER(H105),ISNUMBER(I105),ISNUMBER(J105)),IF(H105&gt;I105,(J105-H105)/(H105-I105),""),"")</f>
        <v/>
      </c>
      <c r="L105" s="44" t="str">
        <f>IF(AND(ISNUMBER(H105),ISNUMBER(I105)),IF(H105&gt;I105,MIN(INT(ROUND('参数'!$C$7/(H105-I105)/100,6))*100,IF(ISNUMBER(E105),IF(H105-ROUND(ROUND(I105*(1-E105),4),2)&gt;0,INT(ROUND('参数'!$C$8/(H105-ROUND(ROUND(I105*(1-E105),4),2))/100,6))*100,0),INT(ROUND('参数'!$C$7/(H105-I105)/100,6))*100)),""),"")</f>
        <v/>
      </c>
      <c r="M105" s="17" t="n"/>
      <c r="N105" s="20" t="str">
        <f>IF(AND(ISNUMBER(H105),ISNUMBER(I105),ISNUMBER(M105)),IF(AND(H105&gt;I105,M105&gt;0),(H105-I105)*M105,""),"")</f>
        <v/>
      </c>
      <c r="O105" s="20" t="str">
        <f>IF(ISNUMBER(N105),IF(ISNUMBER(E105),(H105-ROUND(ROUND(I105*(1-E105),4),2))*M105,"不设限"),"")</f>
        <v/>
      </c>
      <c r="P105" s="32" t="n"/>
      <c r="Q105" s="27" t="n"/>
      <c r="R105" s="42" t="str">
        <f>IF(N(T105)&gt;0,SUMPRODUCT(LARGE(('成交明细'!$A$5:$A$804=A105)*('成交明细'!$C$5:$C$804="买")*'成交明细'!$B$5:$B$804,COUNTIFS('成交明细'!$A$5:$A$804,A105,'成交明细'!$C$5:$C$804,"买"))),"")</f>
        <v/>
      </c>
      <c r="S105" s="42" t="str">
        <f>IF(AND(N(T105)&gt;0,N(V105)&gt;=N(T105)),SUMPRODUCT(MAX(('成交明细'!$A$5:$A$804=A105)*('成交明细'!$C$5:$C$804="卖")*'成交明细'!$B$5:$B$804)),"")</f>
        <v/>
      </c>
      <c r="T105" s="44" t="str">
        <f>IF(A105="","",SUMIFS('成交明细'!$E$5:$E$804,'成交明细'!$A$5:$A$804,A105,'成交明细'!$C$5:$C$804,"买"))</f>
        <v/>
      </c>
      <c r="U105" s="50" t="str">
        <f>IF(N(T105)&gt;0,SUMIFS('成交明细'!$F$5:$F$804,'成交明细'!$A$5:$A$804,A105,'成交明细'!$C$5:$C$804,"买")/T105,"")</f>
        <v/>
      </c>
      <c r="V105" s="44" t="str">
        <f>IF(A105="","",SUMIFS('成交明细'!$E$5:$E$804,'成交明细'!$A$5:$A$804,A105,'成交明细'!$C$5:$C$804,"卖"))</f>
        <v/>
      </c>
      <c r="W105" s="50" t="str">
        <f>IF(N(V105)&gt;0,SUMIFS('成交明细'!$F$5:$F$804,'成交明细'!$A$5:$A$804,A105,'成交明细'!$C$5:$C$804,"卖")/V105,"")</f>
        <v/>
      </c>
      <c r="X105" s="36" t="str">
        <f>IF(A105="","",IF(Q105&lt;&gt;"已执行",IF(Q105="","未填执行情况",Q105),IF(N(T105)=0,"待录成交",IF(N(V105)&gt;N(T105),"卖出多于买入",IF(N(V105)&lt;N(T105),"持仓中","已平仓")))))</f>
        <v/>
      </c>
      <c r="Y105" s="51" t="str">
        <f>IF(N(T105)=0,"",SUMIFS('成交明细'!$K$5:$K$804,'成交明细'!$A$5:$A$804,A105))</f>
        <v/>
      </c>
      <c r="Z105" s="52" t="str">
        <f>IF(X105&lt;&gt;"已平仓","",SUMIFS('成交明细'!$F$5:$F$804,'成交明细'!$A$5:$A$804,A105,'成交明细'!$C$5:$C$804,"卖")-SUMIFS('成交明细'!$F$5:$F$804,'成交明细'!$A$5:$A$804,A105,'成交明细'!$C$5:$C$804,"买")-Y105)</f>
        <v/>
      </c>
      <c r="AA105" s="53" t="str">
        <f>IF(AND(X105="已平仓",ISNUMBER(N105)),(Z105+Y105)/N105,"")</f>
        <v/>
      </c>
      <c r="AB105" s="53" t="str">
        <f>IF(AND(X105="已平仓",ISNUMBER(N105)),Z105/N105,"")</f>
        <v/>
      </c>
      <c r="AC105" s="54" t="str">
        <f>IF(AND(ISNUMBER(U105),ISNUMBER(H105)),U105-H105,"")</f>
        <v/>
      </c>
      <c r="AD105" s="27" t="n"/>
      <c r="AE105" s="27" t="n"/>
      <c r="AF105" s="32" t="n"/>
      <c r="AG105" s="53" t="str">
        <f>IF(A105="","",SUM(AB$5:AB105))</f>
        <v/>
      </c>
      <c r="AH105" s="55" t="str">
        <f>IF(A105="","",MAX(0,MAX(AG$5:AG105))-AG105)</f>
        <v/>
      </c>
    </row>
    <row r="106">
      <c r="A106" s="46" t="n"/>
      <c r="B106" s="31" t="n"/>
      <c r="C106" s="32" t="n"/>
      <c r="D106" s="27" t="n"/>
      <c r="E106" s="47" t="str">
        <f>IF(D106="","",IFERROR(VLOOKUP(D106,'参数'!$B$21:$C$26,2,FALSE),""))</f>
        <v/>
      </c>
      <c r="F106" s="27" t="n"/>
      <c r="G106" s="43" t="str">
        <f>IF(NOT(ISNUMBER(B106)),"",IFERROR(IF(B106-INDEX('每日复盘'!$A$5:$A$264,MATCH(B106-1,'每日复盘'!$A$5:$A$264,1))&gt;7,"",T(INDEX('每日复盘'!$AA$5:$AA$264,MATCH(B106-1,'每日复盘'!$A$5:$A$264,1)))),""))</f>
        <v/>
      </c>
      <c r="H106" s="48" t="n"/>
      <c r="I106" s="48" t="n"/>
      <c r="J106" s="48" t="n"/>
      <c r="K106" s="49" t="str">
        <f>IF(AND(ISNUMBER(H106),ISNUMBER(I106),ISNUMBER(J106)),IF(H106&gt;I106,(J106-H106)/(H106-I106),""),"")</f>
        <v/>
      </c>
      <c r="L106" s="44" t="str">
        <f>IF(AND(ISNUMBER(H106),ISNUMBER(I106)),IF(H106&gt;I106,MIN(INT(ROUND('参数'!$C$7/(H106-I106)/100,6))*100,IF(ISNUMBER(E106),IF(H106-ROUND(ROUND(I106*(1-E106),4),2)&gt;0,INT(ROUND('参数'!$C$8/(H106-ROUND(ROUND(I106*(1-E106),4),2))/100,6))*100,0),INT(ROUND('参数'!$C$7/(H106-I106)/100,6))*100)),""),"")</f>
        <v/>
      </c>
      <c r="M106" s="17" t="n"/>
      <c r="N106" s="20" t="str">
        <f>IF(AND(ISNUMBER(H106),ISNUMBER(I106),ISNUMBER(M106)),IF(AND(H106&gt;I106,M106&gt;0),(H106-I106)*M106,""),"")</f>
        <v/>
      </c>
      <c r="O106" s="20" t="str">
        <f>IF(ISNUMBER(N106),IF(ISNUMBER(E106),(H106-ROUND(ROUND(I106*(1-E106),4),2))*M106,"不设限"),"")</f>
        <v/>
      </c>
      <c r="P106" s="32" t="n"/>
      <c r="Q106" s="27" t="n"/>
      <c r="R106" s="42" t="str">
        <f>IF(N(T106)&gt;0,SUMPRODUCT(LARGE(('成交明细'!$A$5:$A$804=A106)*('成交明细'!$C$5:$C$804="买")*'成交明细'!$B$5:$B$804,COUNTIFS('成交明细'!$A$5:$A$804,A106,'成交明细'!$C$5:$C$804,"买"))),"")</f>
        <v/>
      </c>
      <c r="S106" s="42" t="str">
        <f>IF(AND(N(T106)&gt;0,N(V106)&gt;=N(T106)),SUMPRODUCT(MAX(('成交明细'!$A$5:$A$804=A106)*('成交明细'!$C$5:$C$804="卖")*'成交明细'!$B$5:$B$804)),"")</f>
        <v/>
      </c>
      <c r="T106" s="44" t="str">
        <f>IF(A106="","",SUMIFS('成交明细'!$E$5:$E$804,'成交明细'!$A$5:$A$804,A106,'成交明细'!$C$5:$C$804,"买"))</f>
        <v/>
      </c>
      <c r="U106" s="50" t="str">
        <f>IF(N(T106)&gt;0,SUMIFS('成交明细'!$F$5:$F$804,'成交明细'!$A$5:$A$804,A106,'成交明细'!$C$5:$C$804,"买")/T106,"")</f>
        <v/>
      </c>
      <c r="V106" s="44" t="str">
        <f>IF(A106="","",SUMIFS('成交明细'!$E$5:$E$804,'成交明细'!$A$5:$A$804,A106,'成交明细'!$C$5:$C$804,"卖"))</f>
        <v/>
      </c>
      <c r="W106" s="50" t="str">
        <f>IF(N(V106)&gt;0,SUMIFS('成交明细'!$F$5:$F$804,'成交明细'!$A$5:$A$804,A106,'成交明细'!$C$5:$C$804,"卖")/V106,"")</f>
        <v/>
      </c>
      <c r="X106" s="36" t="str">
        <f>IF(A106="","",IF(Q106&lt;&gt;"已执行",IF(Q106="","未填执行情况",Q106),IF(N(T106)=0,"待录成交",IF(N(V106)&gt;N(T106),"卖出多于买入",IF(N(V106)&lt;N(T106),"持仓中","已平仓")))))</f>
        <v/>
      </c>
      <c r="Y106" s="51" t="str">
        <f>IF(N(T106)=0,"",SUMIFS('成交明细'!$K$5:$K$804,'成交明细'!$A$5:$A$804,A106))</f>
        <v/>
      </c>
      <c r="Z106" s="52" t="str">
        <f>IF(X106&lt;&gt;"已平仓","",SUMIFS('成交明细'!$F$5:$F$804,'成交明细'!$A$5:$A$804,A106,'成交明细'!$C$5:$C$804,"卖")-SUMIFS('成交明细'!$F$5:$F$804,'成交明细'!$A$5:$A$804,A106,'成交明细'!$C$5:$C$804,"买")-Y106)</f>
        <v/>
      </c>
      <c r="AA106" s="53" t="str">
        <f>IF(AND(X106="已平仓",ISNUMBER(N106)),(Z106+Y106)/N106,"")</f>
        <v/>
      </c>
      <c r="AB106" s="53" t="str">
        <f>IF(AND(X106="已平仓",ISNUMBER(N106)),Z106/N106,"")</f>
        <v/>
      </c>
      <c r="AC106" s="54" t="str">
        <f>IF(AND(ISNUMBER(U106),ISNUMBER(H106)),U106-H106,"")</f>
        <v/>
      </c>
      <c r="AD106" s="27" t="n"/>
      <c r="AE106" s="27" t="n"/>
      <c r="AF106" s="32" t="n"/>
      <c r="AG106" s="53" t="str">
        <f>IF(A106="","",SUM(AB$5:AB106))</f>
        <v/>
      </c>
      <c r="AH106" s="55" t="str">
        <f>IF(A106="","",MAX(0,MAX(AG$5:AG106))-AG106)</f>
        <v/>
      </c>
    </row>
    <row r="107">
      <c r="A107" s="46" t="n"/>
      <c r="B107" s="31" t="n"/>
      <c r="C107" s="32" t="n"/>
      <c r="D107" s="27" t="n"/>
      <c r="E107" s="47" t="str">
        <f>IF(D107="","",IFERROR(VLOOKUP(D107,'参数'!$B$21:$C$26,2,FALSE),""))</f>
        <v/>
      </c>
      <c r="F107" s="27" t="n"/>
      <c r="G107" s="43" t="str">
        <f>IF(NOT(ISNUMBER(B107)),"",IFERROR(IF(B107-INDEX('每日复盘'!$A$5:$A$264,MATCH(B107-1,'每日复盘'!$A$5:$A$264,1))&gt;7,"",T(INDEX('每日复盘'!$AA$5:$AA$264,MATCH(B107-1,'每日复盘'!$A$5:$A$264,1)))),""))</f>
        <v/>
      </c>
      <c r="H107" s="48" t="n"/>
      <c r="I107" s="48" t="n"/>
      <c r="J107" s="48" t="n"/>
      <c r="K107" s="49" t="str">
        <f>IF(AND(ISNUMBER(H107),ISNUMBER(I107),ISNUMBER(J107)),IF(H107&gt;I107,(J107-H107)/(H107-I107),""),"")</f>
        <v/>
      </c>
      <c r="L107" s="44" t="str">
        <f>IF(AND(ISNUMBER(H107),ISNUMBER(I107)),IF(H107&gt;I107,MIN(INT(ROUND('参数'!$C$7/(H107-I107)/100,6))*100,IF(ISNUMBER(E107),IF(H107-ROUND(ROUND(I107*(1-E107),4),2)&gt;0,INT(ROUND('参数'!$C$8/(H107-ROUND(ROUND(I107*(1-E107),4),2))/100,6))*100,0),INT(ROUND('参数'!$C$7/(H107-I107)/100,6))*100)),""),"")</f>
        <v/>
      </c>
      <c r="M107" s="17" t="n"/>
      <c r="N107" s="20" t="str">
        <f>IF(AND(ISNUMBER(H107),ISNUMBER(I107),ISNUMBER(M107)),IF(AND(H107&gt;I107,M107&gt;0),(H107-I107)*M107,""),"")</f>
        <v/>
      </c>
      <c r="O107" s="20" t="str">
        <f>IF(ISNUMBER(N107),IF(ISNUMBER(E107),(H107-ROUND(ROUND(I107*(1-E107),4),2))*M107,"不设限"),"")</f>
        <v/>
      </c>
      <c r="P107" s="32" t="n"/>
      <c r="Q107" s="27" t="n"/>
      <c r="R107" s="42" t="str">
        <f>IF(N(T107)&gt;0,SUMPRODUCT(LARGE(('成交明细'!$A$5:$A$804=A107)*('成交明细'!$C$5:$C$804="买")*'成交明细'!$B$5:$B$804,COUNTIFS('成交明细'!$A$5:$A$804,A107,'成交明细'!$C$5:$C$804,"买"))),"")</f>
        <v/>
      </c>
      <c r="S107" s="42" t="str">
        <f>IF(AND(N(T107)&gt;0,N(V107)&gt;=N(T107)),SUMPRODUCT(MAX(('成交明细'!$A$5:$A$804=A107)*('成交明细'!$C$5:$C$804="卖")*'成交明细'!$B$5:$B$804)),"")</f>
        <v/>
      </c>
      <c r="T107" s="44" t="str">
        <f>IF(A107="","",SUMIFS('成交明细'!$E$5:$E$804,'成交明细'!$A$5:$A$804,A107,'成交明细'!$C$5:$C$804,"买"))</f>
        <v/>
      </c>
      <c r="U107" s="50" t="str">
        <f>IF(N(T107)&gt;0,SUMIFS('成交明细'!$F$5:$F$804,'成交明细'!$A$5:$A$804,A107,'成交明细'!$C$5:$C$804,"买")/T107,"")</f>
        <v/>
      </c>
      <c r="V107" s="44" t="str">
        <f>IF(A107="","",SUMIFS('成交明细'!$E$5:$E$804,'成交明细'!$A$5:$A$804,A107,'成交明细'!$C$5:$C$804,"卖"))</f>
        <v/>
      </c>
      <c r="W107" s="50" t="str">
        <f>IF(N(V107)&gt;0,SUMIFS('成交明细'!$F$5:$F$804,'成交明细'!$A$5:$A$804,A107,'成交明细'!$C$5:$C$804,"卖")/V107,"")</f>
        <v/>
      </c>
      <c r="X107" s="36" t="str">
        <f>IF(A107="","",IF(Q107&lt;&gt;"已执行",IF(Q107="","未填执行情况",Q107),IF(N(T107)=0,"待录成交",IF(N(V107)&gt;N(T107),"卖出多于买入",IF(N(V107)&lt;N(T107),"持仓中","已平仓")))))</f>
        <v/>
      </c>
      <c r="Y107" s="51" t="str">
        <f>IF(N(T107)=0,"",SUMIFS('成交明细'!$K$5:$K$804,'成交明细'!$A$5:$A$804,A107))</f>
        <v/>
      </c>
      <c r="Z107" s="52" t="str">
        <f>IF(X107&lt;&gt;"已平仓","",SUMIFS('成交明细'!$F$5:$F$804,'成交明细'!$A$5:$A$804,A107,'成交明细'!$C$5:$C$804,"卖")-SUMIFS('成交明细'!$F$5:$F$804,'成交明细'!$A$5:$A$804,A107,'成交明细'!$C$5:$C$804,"买")-Y107)</f>
        <v/>
      </c>
      <c r="AA107" s="53" t="str">
        <f>IF(AND(X107="已平仓",ISNUMBER(N107)),(Z107+Y107)/N107,"")</f>
        <v/>
      </c>
      <c r="AB107" s="53" t="str">
        <f>IF(AND(X107="已平仓",ISNUMBER(N107)),Z107/N107,"")</f>
        <v/>
      </c>
      <c r="AC107" s="54" t="str">
        <f>IF(AND(ISNUMBER(U107),ISNUMBER(H107)),U107-H107,"")</f>
        <v/>
      </c>
      <c r="AD107" s="27" t="n"/>
      <c r="AE107" s="27" t="n"/>
      <c r="AF107" s="32" t="n"/>
      <c r="AG107" s="53" t="str">
        <f>IF(A107="","",SUM(AB$5:AB107))</f>
        <v/>
      </c>
      <c r="AH107" s="55" t="str">
        <f>IF(A107="","",MAX(0,MAX(AG$5:AG107))-AG107)</f>
        <v/>
      </c>
    </row>
    <row r="108">
      <c r="A108" s="46" t="n"/>
      <c r="B108" s="31" t="n"/>
      <c r="C108" s="32" t="n"/>
      <c r="D108" s="27" t="n"/>
      <c r="E108" s="47" t="str">
        <f>IF(D108="","",IFERROR(VLOOKUP(D108,'参数'!$B$21:$C$26,2,FALSE),""))</f>
        <v/>
      </c>
      <c r="F108" s="27" t="n"/>
      <c r="G108" s="43" t="str">
        <f>IF(NOT(ISNUMBER(B108)),"",IFERROR(IF(B108-INDEX('每日复盘'!$A$5:$A$264,MATCH(B108-1,'每日复盘'!$A$5:$A$264,1))&gt;7,"",T(INDEX('每日复盘'!$AA$5:$AA$264,MATCH(B108-1,'每日复盘'!$A$5:$A$264,1)))),""))</f>
        <v/>
      </c>
      <c r="H108" s="48" t="n"/>
      <c r="I108" s="48" t="n"/>
      <c r="J108" s="48" t="n"/>
      <c r="K108" s="49" t="str">
        <f>IF(AND(ISNUMBER(H108),ISNUMBER(I108),ISNUMBER(J108)),IF(H108&gt;I108,(J108-H108)/(H108-I108),""),"")</f>
        <v/>
      </c>
      <c r="L108" s="44" t="str">
        <f>IF(AND(ISNUMBER(H108),ISNUMBER(I108)),IF(H108&gt;I108,MIN(INT(ROUND('参数'!$C$7/(H108-I108)/100,6))*100,IF(ISNUMBER(E108),IF(H108-ROUND(ROUND(I108*(1-E108),4),2)&gt;0,INT(ROUND('参数'!$C$8/(H108-ROUND(ROUND(I108*(1-E108),4),2))/100,6))*100,0),INT(ROUND('参数'!$C$7/(H108-I108)/100,6))*100)),""),"")</f>
        <v/>
      </c>
      <c r="M108" s="17" t="n"/>
      <c r="N108" s="20" t="str">
        <f>IF(AND(ISNUMBER(H108),ISNUMBER(I108),ISNUMBER(M108)),IF(AND(H108&gt;I108,M108&gt;0),(H108-I108)*M108,""),"")</f>
        <v/>
      </c>
      <c r="O108" s="20" t="str">
        <f>IF(ISNUMBER(N108),IF(ISNUMBER(E108),(H108-ROUND(ROUND(I108*(1-E108),4),2))*M108,"不设限"),"")</f>
        <v/>
      </c>
      <c r="P108" s="32" t="n"/>
      <c r="Q108" s="27" t="n"/>
      <c r="R108" s="42" t="str">
        <f>IF(N(T108)&gt;0,SUMPRODUCT(LARGE(('成交明细'!$A$5:$A$804=A108)*('成交明细'!$C$5:$C$804="买")*'成交明细'!$B$5:$B$804,COUNTIFS('成交明细'!$A$5:$A$804,A108,'成交明细'!$C$5:$C$804,"买"))),"")</f>
        <v/>
      </c>
      <c r="S108" s="42" t="str">
        <f>IF(AND(N(T108)&gt;0,N(V108)&gt;=N(T108)),SUMPRODUCT(MAX(('成交明细'!$A$5:$A$804=A108)*('成交明细'!$C$5:$C$804="卖")*'成交明细'!$B$5:$B$804)),"")</f>
        <v/>
      </c>
      <c r="T108" s="44" t="str">
        <f>IF(A108="","",SUMIFS('成交明细'!$E$5:$E$804,'成交明细'!$A$5:$A$804,A108,'成交明细'!$C$5:$C$804,"买"))</f>
        <v/>
      </c>
      <c r="U108" s="50" t="str">
        <f>IF(N(T108)&gt;0,SUMIFS('成交明细'!$F$5:$F$804,'成交明细'!$A$5:$A$804,A108,'成交明细'!$C$5:$C$804,"买")/T108,"")</f>
        <v/>
      </c>
      <c r="V108" s="44" t="str">
        <f>IF(A108="","",SUMIFS('成交明细'!$E$5:$E$804,'成交明细'!$A$5:$A$804,A108,'成交明细'!$C$5:$C$804,"卖"))</f>
        <v/>
      </c>
      <c r="W108" s="50" t="str">
        <f>IF(N(V108)&gt;0,SUMIFS('成交明细'!$F$5:$F$804,'成交明细'!$A$5:$A$804,A108,'成交明细'!$C$5:$C$804,"卖")/V108,"")</f>
        <v/>
      </c>
      <c r="X108" s="36" t="str">
        <f>IF(A108="","",IF(Q108&lt;&gt;"已执行",IF(Q108="","未填执行情况",Q108),IF(N(T108)=0,"待录成交",IF(N(V108)&gt;N(T108),"卖出多于买入",IF(N(V108)&lt;N(T108),"持仓中","已平仓")))))</f>
        <v/>
      </c>
      <c r="Y108" s="51" t="str">
        <f>IF(N(T108)=0,"",SUMIFS('成交明细'!$K$5:$K$804,'成交明细'!$A$5:$A$804,A108))</f>
        <v/>
      </c>
      <c r="Z108" s="52" t="str">
        <f>IF(X108&lt;&gt;"已平仓","",SUMIFS('成交明细'!$F$5:$F$804,'成交明细'!$A$5:$A$804,A108,'成交明细'!$C$5:$C$804,"卖")-SUMIFS('成交明细'!$F$5:$F$804,'成交明细'!$A$5:$A$804,A108,'成交明细'!$C$5:$C$804,"买")-Y108)</f>
        <v/>
      </c>
      <c r="AA108" s="53" t="str">
        <f>IF(AND(X108="已平仓",ISNUMBER(N108)),(Z108+Y108)/N108,"")</f>
        <v/>
      </c>
      <c r="AB108" s="53" t="str">
        <f>IF(AND(X108="已平仓",ISNUMBER(N108)),Z108/N108,"")</f>
        <v/>
      </c>
      <c r="AC108" s="54" t="str">
        <f>IF(AND(ISNUMBER(U108),ISNUMBER(H108)),U108-H108,"")</f>
        <v/>
      </c>
      <c r="AD108" s="27" t="n"/>
      <c r="AE108" s="27" t="n"/>
      <c r="AF108" s="32" t="n"/>
      <c r="AG108" s="53" t="str">
        <f>IF(A108="","",SUM(AB$5:AB108))</f>
        <v/>
      </c>
      <c r="AH108" s="55" t="str">
        <f>IF(A108="","",MAX(0,MAX(AG$5:AG108))-AG108)</f>
        <v/>
      </c>
    </row>
    <row r="109">
      <c r="A109" s="46" t="n"/>
      <c r="B109" s="31" t="n"/>
      <c r="C109" s="32" t="n"/>
      <c r="D109" s="27" t="n"/>
      <c r="E109" s="47" t="str">
        <f>IF(D109="","",IFERROR(VLOOKUP(D109,'参数'!$B$21:$C$26,2,FALSE),""))</f>
        <v/>
      </c>
      <c r="F109" s="27" t="n"/>
      <c r="G109" s="43" t="str">
        <f>IF(NOT(ISNUMBER(B109)),"",IFERROR(IF(B109-INDEX('每日复盘'!$A$5:$A$264,MATCH(B109-1,'每日复盘'!$A$5:$A$264,1))&gt;7,"",T(INDEX('每日复盘'!$AA$5:$AA$264,MATCH(B109-1,'每日复盘'!$A$5:$A$264,1)))),""))</f>
        <v/>
      </c>
      <c r="H109" s="48" t="n"/>
      <c r="I109" s="48" t="n"/>
      <c r="J109" s="48" t="n"/>
      <c r="K109" s="49" t="str">
        <f>IF(AND(ISNUMBER(H109),ISNUMBER(I109),ISNUMBER(J109)),IF(H109&gt;I109,(J109-H109)/(H109-I109),""),"")</f>
        <v/>
      </c>
      <c r="L109" s="44" t="str">
        <f>IF(AND(ISNUMBER(H109),ISNUMBER(I109)),IF(H109&gt;I109,MIN(INT(ROUND('参数'!$C$7/(H109-I109)/100,6))*100,IF(ISNUMBER(E109),IF(H109-ROUND(ROUND(I109*(1-E109),4),2)&gt;0,INT(ROUND('参数'!$C$8/(H109-ROUND(ROUND(I109*(1-E109),4),2))/100,6))*100,0),INT(ROUND('参数'!$C$7/(H109-I109)/100,6))*100)),""),"")</f>
        <v/>
      </c>
      <c r="M109" s="17" t="n"/>
      <c r="N109" s="20" t="str">
        <f>IF(AND(ISNUMBER(H109),ISNUMBER(I109),ISNUMBER(M109)),IF(AND(H109&gt;I109,M109&gt;0),(H109-I109)*M109,""),"")</f>
        <v/>
      </c>
      <c r="O109" s="20" t="str">
        <f>IF(ISNUMBER(N109),IF(ISNUMBER(E109),(H109-ROUND(ROUND(I109*(1-E109),4),2))*M109,"不设限"),"")</f>
        <v/>
      </c>
      <c r="P109" s="32" t="n"/>
      <c r="Q109" s="27" t="n"/>
      <c r="R109" s="42" t="str">
        <f>IF(N(T109)&gt;0,SUMPRODUCT(LARGE(('成交明细'!$A$5:$A$804=A109)*('成交明细'!$C$5:$C$804="买")*'成交明细'!$B$5:$B$804,COUNTIFS('成交明细'!$A$5:$A$804,A109,'成交明细'!$C$5:$C$804,"买"))),"")</f>
        <v/>
      </c>
      <c r="S109" s="42" t="str">
        <f>IF(AND(N(T109)&gt;0,N(V109)&gt;=N(T109)),SUMPRODUCT(MAX(('成交明细'!$A$5:$A$804=A109)*('成交明细'!$C$5:$C$804="卖")*'成交明细'!$B$5:$B$804)),"")</f>
        <v/>
      </c>
      <c r="T109" s="44" t="str">
        <f>IF(A109="","",SUMIFS('成交明细'!$E$5:$E$804,'成交明细'!$A$5:$A$804,A109,'成交明细'!$C$5:$C$804,"买"))</f>
        <v/>
      </c>
      <c r="U109" s="50" t="str">
        <f>IF(N(T109)&gt;0,SUMIFS('成交明细'!$F$5:$F$804,'成交明细'!$A$5:$A$804,A109,'成交明细'!$C$5:$C$804,"买")/T109,"")</f>
        <v/>
      </c>
      <c r="V109" s="44" t="str">
        <f>IF(A109="","",SUMIFS('成交明细'!$E$5:$E$804,'成交明细'!$A$5:$A$804,A109,'成交明细'!$C$5:$C$804,"卖"))</f>
        <v/>
      </c>
      <c r="W109" s="50" t="str">
        <f>IF(N(V109)&gt;0,SUMIFS('成交明细'!$F$5:$F$804,'成交明细'!$A$5:$A$804,A109,'成交明细'!$C$5:$C$804,"卖")/V109,"")</f>
        <v/>
      </c>
      <c r="X109" s="36" t="str">
        <f>IF(A109="","",IF(Q109&lt;&gt;"已执行",IF(Q109="","未填执行情况",Q109),IF(N(T109)=0,"待录成交",IF(N(V109)&gt;N(T109),"卖出多于买入",IF(N(V109)&lt;N(T109),"持仓中","已平仓")))))</f>
        <v/>
      </c>
      <c r="Y109" s="51" t="str">
        <f>IF(N(T109)=0,"",SUMIFS('成交明细'!$K$5:$K$804,'成交明细'!$A$5:$A$804,A109))</f>
        <v/>
      </c>
      <c r="Z109" s="52" t="str">
        <f>IF(X109&lt;&gt;"已平仓","",SUMIFS('成交明细'!$F$5:$F$804,'成交明细'!$A$5:$A$804,A109,'成交明细'!$C$5:$C$804,"卖")-SUMIFS('成交明细'!$F$5:$F$804,'成交明细'!$A$5:$A$804,A109,'成交明细'!$C$5:$C$804,"买")-Y109)</f>
        <v/>
      </c>
      <c r="AA109" s="53" t="str">
        <f>IF(AND(X109="已平仓",ISNUMBER(N109)),(Z109+Y109)/N109,"")</f>
        <v/>
      </c>
      <c r="AB109" s="53" t="str">
        <f>IF(AND(X109="已平仓",ISNUMBER(N109)),Z109/N109,"")</f>
        <v/>
      </c>
      <c r="AC109" s="54" t="str">
        <f>IF(AND(ISNUMBER(U109),ISNUMBER(H109)),U109-H109,"")</f>
        <v/>
      </c>
      <c r="AD109" s="27" t="n"/>
      <c r="AE109" s="27" t="n"/>
      <c r="AF109" s="32" t="n"/>
      <c r="AG109" s="53" t="str">
        <f>IF(A109="","",SUM(AB$5:AB109))</f>
        <v/>
      </c>
      <c r="AH109" s="55" t="str">
        <f>IF(A109="","",MAX(0,MAX(AG$5:AG109))-AG109)</f>
        <v/>
      </c>
    </row>
    <row r="110">
      <c r="A110" s="46" t="n"/>
      <c r="B110" s="31" t="n"/>
      <c r="C110" s="32" t="n"/>
      <c r="D110" s="27" t="n"/>
      <c r="E110" s="47" t="str">
        <f>IF(D110="","",IFERROR(VLOOKUP(D110,'参数'!$B$21:$C$26,2,FALSE),""))</f>
        <v/>
      </c>
      <c r="F110" s="27" t="n"/>
      <c r="G110" s="43" t="str">
        <f>IF(NOT(ISNUMBER(B110)),"",IFERROR(IF(B110-INDEX('每日复盘'!$A$5:$A$264,MATCH(B110-1,'每日复盘'!$A$5:$A$264,1))&gt;7,"",T(INDEX('每日复盘'!$AA$5:$AA$264,MATCH(B110-1,'每日复盘'!$A$5:$A$264,1)))),""))</f>
        <v/>
      </c>
      <c r="H110" s="48" t="n"/>
      <c r="I110" s="48" t="n"/>
      <c r="J110" s="48" t="n"/>
      <c r="K110" s="49" t="str">
        <f>IF(AND(ISNUMBER(H110),ISNUMBER(I110),ISNUMBER(J110)),IF(H110&gt;I110,(J110-H110)/(H110-I110),""),"")</f>
        <v/>
      </c>
      <c r="L110" s="44" t="str">
        <f>IF(AND(ISNUMBER(H110),ISNUMBER(I110)),IF(H110&gt;I110,MIN(INT(ROUND('参数'!$C$7/(H110-I110)/100,6))*100,IF(ISNUMBER(E110),IF(H110-ROUND(ROUND(I110*(1-E110),4),2)&gt;0,INT(ROUND('参数'!$C$8/(H110-ROUND(ROUND(I110*(1-E110),4),2))/100,6))*100,0),INT(ROUND('参数'!$C$7/(H110-I110)/100,6))*100)),""),"")</f>
        <v/>
      </c>
      <c r="M110" s="17" t="n"/>
      <c r="N110" s="20" t="str">
        <f>IF(AND(ISNUMBER(H110),ISNUMBER(I110),ISNUMBER(M110)),IF(AND(H110&gt;I110,M110&gt;0),(H110-I110)*M110,""),"")</f>
        <v/>
      </c>
      <c r="O110" s="20" t="str">
        <f>IF(ISNUMBER(N110),IF(ISNUMBER(E110),(H110-ROUND(ROUND(I110*(1-E110),4),2))*M110,"不设限"),"")</f>
        <v/>
      </c>
      <c r="P110" s="32" t="n"/>
      <c r="Q110" s="27" t="n"/>
      <c r="R110" s="42" t="str">
        <f>IF(N(T110)&gt;0,SUMPRODUCT(LARGE(('成交明细'!$A$5:$A$804=A110)*('成交明细'!$C$5:$C$804="买")*'成交明细'!$B$5:$B$804,COUNTIFS('成交明细'!$A$5:$A$804,A110,'成交明细'!$C$5:$C$804,"买"))),"")</f>
        <v/>
      </c>
      <c r="S110" s="42" t="str">
        <f>IF(AND(N(T110)&gt;0,N(V110)&gt;=N(T110)),SUMPRODUCT(MAX(('成交明细'!$A$5:$A$804=A110)*('成交明细'!$C$5:$C$804="卖")*'成交明细'!$B$5:$B$804)),"")</f>
        <v/>
      </c>
      <c r="T110" s="44" t="str">
        <f>IF(A110="","",SUMIFS('成交明细'!$E$5:$E$804,'成交明细'!$A$5:$A$804,A110,'成交明细'!$C$5:$C$804,"买"))</f>
        <v/>
      </c>
      <c r="U110" s="50" t="str">
        <f>IF(N(T110)&gt;0,SUMIFS('成交明细'!$F$5:$F$804,'成交明细'!$A$5:$A$804,A110,'成交明细'!$C$5:$C$804,"买")/T110,"")</f>
        <v/>
      </c>
      <c r="V110" s="44" t="str">
        <f>IF(A110="","",SUMIFS('成交明细'!$E$5:$E$804,'成交明细'!$A$5:$A$804,A110,'成交明细'!$C$5:$C$804,"卖"))</f>
        <v/>
      </c>
      <c r="W110" s="50" t="str">
        <f>IF(N(V110)&gt;0,SUMIFS('成交明细'!$F$5:$F$804,'成交明细'!$A$5:$A$804,A110,'成交明细'!$C$5:$C$804,"卖")/V110,"")</f>
        <v/>
      </c>
      <c r="X110" s="36" t="str">
        <f>IF(A110="","",IF(Q110&lt;&gt;"已执行",IF(Q110="","未填执行情况",Q110),IF(N(T110)=0,"待录成交",IF(N(V110)&gt;N(T110),"卖出多于买入",IF(N(V110)&lt;N(T110),"持仓中","已平仓")))))</f>
        <v/>
      </c>
      <c r="Y110" s="51" t="str">
        <f>IF(N(T110)=0,"",SUMIFS('成交明细'!$K$5:$K$804,'成交明细'!$A$5:$A$804,A110))</f>
        <v/>
      </c>
      <c r="Z110" s="52" t="str">
        <f>IF(X110&lt;&gt;"已平仓","",SUMIFS('成交明细'!$F$5:$F$804,'成交明细'!$A$5:$A$804,A110,'成交明细'!$C$5:$C$804,"卖")-SUMIFS('成交明细'!$F$5:$F$804,'成交明细'!$A$5:$A$804,A110,'成交明细'!$C$5:$C$804,"买")-Y110)</f>
        <v/>
      </c>
      <c r="AA110" s="53" t="str">
        <f>IF(AND(X110="已平仓",ISNUMBER(N110)),(Z110+Y110)/N110,"")</f>
        <v/>
      </c>
      <c r="AB110" s="53" t="str">
        <f>IF(AND(X110="已平仓",ISNUMBER(N110)),Z110/N110,"")</f>
        <v/>
      </c>
      <c r="AC110" s="54" t="str">
        <f>IF(AND(ISNUMBER(U110),ISNUMBER(H110)),U110-H110,"")</f>
        <v/>
      </c>
      <c r="AD110" s="27" t="n"/>
      <c r="AE110" s="27" t="n"/>
      <c r="AF110" s="32" t="n"/>
      <c r="AG110" s="53" t="str">
        <f>IF(A110="","",SUM(AB$5:AB110))</f>
        <v/>
      </c>
      <c r="AH110" s="55" t="str">
        <f>IF(A110="","",MAX(0,MAX(AG$5:AG110))-AG110)</f>
        <v/>
      </c>
    </row>
    <row r="111">
      <c r="A111" s="46" t="n"/>
      <c r="B111" s="31" t="n"/>
      <c r="C111" s="32" t="n"/>
      <c r="D111" s="27" t="n"/>
      <c r="E111" s="47" t="str">
        <f>IF(D111="","",IFERROR(VLOOKUP(D111,'参数'!$B$21:$C$26,2,FALSE),""))</f>
        <v/>
      </c>
      <c r="F111" s="27" t="n"/>
      <c r="G111" s="43" t="str">
        <f>IF(NOT(ISNUMBER(B111)),"",IFERROR(IF(B111-INDEX('每日复盘'!$A$5:$A$264,MATCH(B111-1,'每日复盘'!$A$5:$A$264,1))&gt;7,"",T(INDEX('每日复盘'!$AA$5:$AA$264,MATCH(B111-1,'每日复盘'!$A$5:$A$264,1)))),""))</f>
        <v/>
      </c>
      <c r="H111" s="48" t="n"/>
      <c r="I111" s="48" t="n"/>
      <c r="J111" s="48" t="n"/>
      <c r="K111" s="49" t="str">
        <f>IF(AND(ISNUMBER(H111),ISNUMBER(I111),ISNUMBER(J111)),IF(H111&gt;I111,(J111-H111)/(H111-I111),""),"")</f>
        <v/>
      </c>
      <c r="L111" s="44" t="str">
        <f>IF(AND(ISNUMBER(H111),ISNUMBER(I111)),IF(H111&gt;I111,MIN(INT(ROUND('参数'!$C$7/(H111-I111)/100,6))*100,IF(ISNUMBER(E111),IF(H111-ROUND(ROUND(I111*(1-E111),4),2)&gt;0,INT(ROUND('参数'!$C$8/(H111-ROUND(ROUND(I111*(1-E111),4),2))/100,6))*100,0),INT(ROUND('参数'!$C$7/(H111-I111)/100,6))*100)),""),"")</f>
        <v/>
      </c>
      <c r="M111" s="17" t="n"/>
      <c r="N111" s="20" t="str">
        <f>IF(AND(ISNUMBER(H111),ISNUMBER(I111),ISNUMBER(M111)),IF(AND(H111&gt;I111,M111&gt;0),(H111-I111)*M111,""),"")</f>
        <v/>
      </c>
      <c r="O111" s="20" t="str">
        <f>IF(ISNUMBER(N111),IF(ISNUMBER(E111),(H111-ROUND(ROUND(I111*(1-E111),4),2))*M111,"不设限"),"")</f>
        <v/>
      </c>
      <c r="P111" s="32" t="n"/>
      <c r="Q111" s="27" t="n"/>
      <c r="R111" s="42" t="str">
        <f>IF(N(T111)&gt;0,SUMPRODUCT(LARGE(('成交明细'!$A$5:$A$804=A111)*('成交明细'!$C$5:$C$804="买")*'成交明细'!$B$5:$B$804,COUNTIFS('成交明细'!$A$5:$A$804,A111,'成交明细'!$C$5:$C$804,"买"))),"")</f>
        <v/>
      </c>
      <c r="S111" s="42" t="str">
        <f>IF(AND(N(T111)&gt;0,N(V111)&gt;=N(T111)),SUMPRODUCT(MAX(('成交明细'!$A$5:$A$804=A111)*('成交明细'!$C$5:$C$804="卖")*'成交明细'!$B$5:$B$804)),"")</f>
        <v/>
      </c>
      <c r="T111" s="44" t="str">
        <f>IF(A111="","",SUMIFS('成交明细'!$E$5:$E$804,'成交明细'!$A$5:$A$804,A111,'成交明细'!$C$5:$C$804,"买"))</f>
        <v/>
      </c>
      <c r="U111" s="50" t="str">
        <f>IF(N(T111)&gt;0,SUMIFS('成交明细'!$F$5:$F$804,'成交明细'!$A$5:$A$804,A111,'成交明细'!$C$5:$C$804,"买")/T111,"")</f>
        <v/>
      </c>
      <c r="V111" s="44" t="str">
        <f>IF(A111="","",SUMIFS('成交明细'!$E$5:$E$804,'成交明细'!$A$5:$A$804,A111,'成交明细'!$C$5:$C$804,"卖"))</f>
        <v/>
      </c>
      <c r="W111" s="50" t="str">
        <f>IF(N(V111)&gt;0,SUMIFS('成交明细'!$F$5:$F$804,'成交明细'!$A$5:$A$804,A111,'成交明细'!$C$5:$C$804,"卖")/V111,"")</f>
        <v/>
      </c>
      <c r="X111" s="36" t="str">
        <f>IF(A111="","",IF(Q111&lt;&gt;"已执行",IF(Q111="","未填执行情况",Q111),IF(N(T111)=0,"待录成交",IF(N(V111)&gt;N(T111),"卖出多于买入",IF(N(V111)&lt;N(T111),"持仓中","已平仓")))))</f>
        <v/>
      </c>
      <c r="Y111" s="51" t="str">
        <f>IF(N(T111)=0,"",SUMIFS('成交明细'!$K$5:$K$804,'成交明细'!$A$5:$A$804,A111))</f>
        <v/>
      </c>
      <c r="Z111" s="52" t="str">
        <f>IF(X111&lt;&gt;"已平仓","",SUMIFS('成交明细'!$F$5:$F$804,'成交明细'!$A$5:$A$804,A111,'成交明细'!$C$5:$C$804,"卖")-SUMIFS('成交明细'!$F$5:$F$804,'成交明细'!$A$5:$A$804,A111,'成交明细'!$C$5:$C$804,"买")-Y111)</f>
        <v/>
      </c>
      <c r="AA111" s="53" t="str">
        <f>IF(AND(X111="已平仓",ISNUMBER(N111)),(Z111+Y111)/N111,"")</f>
        <v/>
      </c>
      <c r="AB111" s="53" t="str">
        <f>IF(AND(X111="已平仓",ISNUMBER(N111)),Z111/N111,"")</f>
        <v/>
      </c>
      <c r="AC111" s="54" t="str">
        <f>IF(AND(ISNUMBER(U111),ISNUMBER(H111)),U111-H111,"")</f>
        <v/>
      </c>
      <c r="AD111" s="27" t="n"/>
      <c r="AE111" s="27" t="n"/>
      <c r="AF111" s="32" t="n"/>
      <c r="AG111" s="53" t="str">
        <f>IF(A111="","",SUM(AB$5:AB111))</f>
        <v/>
      </c>
      <c r="AH111" s="55" t="str">
        <f>IF(A111="","",MAX(0,MAX(AG$5:AG111))-AG111)</f>
        <v/>
      </c>
    </row>
    <row r="112">
      <c r="A112" s="46" t="n"/>
      <c r="B112" s="31" t="n"/>
      <c r="C112" s="32" t="n"/>
      <c r="D112" s="27" t="n"/>
      <c r="E112" s="47" t="str">
        <f>IF(D112="","",IFERROR(VLOOKUP(D112,'参数'!$B$21:$C$26,2,FALSE),""))</f>
        <v/>
      </c>
      <c r="F112" s="27" t="n"/>
      <c r="G112" s="43" t="str">
        <f>IF(NOT(ISNUMBER(B112)),"",IFERROR(IF(B112-INDEX('每日复盘'!$A$5:$A$264,MATCH(B112-1,'每日复盘'!$A$5:$A$264,1))&gt;7,"",T(INDEX('每日复盘'!$AA$5:$AA$264,MATCH(B112-1,'每日复盘'!$A$5:$A$264,1)))),""))</f>
        <v/>
      </c>
      <c r="H112" s="48" t="n"/>
      <c r="I112" s="48" t="n"/>
      <c r="J112" s="48" t="n"/>
      <c r="K112" s="49" t="str">
        <f>IF(AND(ISNUMBER(H112),ISNUMBER(I112),ISNUMBER(J112)),IF(H112&gt;I112,(J112-H112)/(H112-I112),""),"")</f>
        <v/>
      </c>
      <c r="L112" s="44" t="str">
        <f>IF(AND(ISNUMBER(H112),ISNUMBER(I112)),IF(H112&gt;I112,MIN(INT(ROUND('参数'!$C$7/(H112-I112)/100,6))*100,IF(ISNUMBER(E112),IF(H112-ROUND(ROUND(I112*(1-E112),4),2)&gt;0,INT(ROUND('参数'!$C$8/(H112-ROUND(ROUND(I112*(1-E112),4),2))/100,6))*100,0),INT(ROUND('参数'!$C$7/(H112-I112)/100,6))*100)),""),"")</f>
        <v/>
      </c>
      <c r="M112" s="17" t="n"/>
      <c r="N112" s="20" t="str">
        <f>IF(AND(ISNUMBER(H112),ISNUMBER(I112),ISNUMBER(M112)),IF(AND(H112&gt;I112,M112&gt;0),(H112-I112)*M112,""),"")</f>
        <v/>
      </c>
      <c r="O112" s="20" t="str">
        <f>IF(ISNUMBER(N112),IF(ISNUMBER(E112),(H112-ROUND(ROUND(I112*(1-E112),4),2))*M112,"不设限"),"")</f>
        <v/>
      </c>
      <c r="P112" s="32" t="n"/>
      <c r="Q112" s="27" t="n"/>
      <c r="R112" s="42" t="str">
        <f>IF(N(T112)&gt;0,SUMPRODUCT(LARGE(('成交明细'!$A$5:$A$804=A112)*('成交明细'!$C$5:$C$804="买")*'成交明细'!$B$5:$B$804,COUNTIFS('成交明细'!$A$5:$A$804,A112,'成交明细'!$C$5:$C$804,"买"))),"")</f>
        <v/>
      </c>
      <c r="S112" s="42" t="str">
        <f>IF(AND(N(T112)&gt;0,N(V112)&gt;=N(T112)),SUMPRODUCT(MAX(('成交明细'!$A$5:$A$804=A112)*('成交明细'!$C$5:$C$804="卖")*'成交明细'!$B$5:$B$804)),"")</f>
        <v/>
      </c>
      <c r="T112" s="44" t="str">
        <f>IF(A112="","",SUMIFS('成交明细'!$E$5:$E$804,'成交明细'!$A$5:$A$804,A112,'成交明细'!$C$5:$C$804,"买"))</f>
        <v/>
      </c>
      <c r="U112" s="50" t="str">
        <f>IF(N(T112)&gt;0,SUMIFS('成交明细'!$F$5:$F$804,'成交明细'!$A$5:$A$804,A112,'成交明细'!$C$5:$C$804,"买")/T112,"")</f>
        <v/>
      </c>
      <c r="V112" s="44" t="str">
        <f>IF(A112="","",SUMIFS('成交明细'!$E$5:$E$804,'成交明细'!$A$5:$A$804,A112,'成交明细'!$C$5:$C$804,"卖"))</f>
        <v/>
      </c>
      <c r="W112" s="50" t="str">
        <f>IF(N(V112)&gt;0,SUMIFS('成交明细'!$F$5:$F$804,'成交明细'!$A$5:$A$804,A112,'成交明细'!$C$5:$C$804,"卖")/V112,"")</f>
        <v/>
      </c>
      <c r="X112" s="36" t="str">
        <f>IF(A112="","",IF(Q112&lt;&gt;"已执行",IF(Q112="","未填执行情况",Q112),IF(N(T112)=0,"待录成交",IF(N(V112)&gt;N(T112),"卖出多于买入",IF(N(V112)&lt;N(T112),"持仓中","已平仓")))))</f>
        <v/>
      </c>
      <c r="Y112" s="51" t="str">
        <f>IF(N(T112)=0,"",SUMIFS('成交明细'!$K$5:$K$804,'成交明细'!$A$5:$A$804,A112))</f>
        <v/>
      </c>
      <c r="Z112" s="52" t="str">
        <f>IF(X112&lt;&gt;"已平仓","",SUMIFS('成交明细'!$F$5:$F$804,'成交明细'!$A$5:$A$804,A112,'成交明细'!$C$5:$C$804,"卖")-SUMIFS('成交明细'!$F$5:$F$804,'成交明细'!$A$5:$A$804,A112,'成交明细'!$C$5:$C$804,"买")-Y112)</f>
        <v/>
      </c>
      <c r="AA112" s="53" t="str">
        <f>IF(AND(X112="已平仓",ISNUMBER(N112)),(Z112+Y112)/N112,"")</f>
        <v/>
      </c>
      <c r="AB112" s="53" t="str">
        <f>IF(AND(X112="已平仓",ISNUMBER(N112)),Z112/N112,"")</f>
        <v/>
      </c>
      <c r="AC112" s="54" t="str">
        <f>IF(AND(ISNUMBER(U112),ISNUMBER(H112)),U112-H112,"")</f>
        <v/>
      </c>
      <c r="AD112" s="27" t="n"/>
      <c r="AE112" s="27" t="n"/>
      <c r="AF112" s="32" t="n"/>
      <c r="AG112" s="53" t="str">
        <f>IF(A112="","",SUM(AB$5:AB112))</f>
        <v/>
      </c>
      <c r="AH112" s="55" t="str">
        <f>IF(A112="","",MAX(0,MAX(AG$5:AG112))-AG112)</f>
        <v/>
      </c>
    </row>
    <row r="113">
      <c r="A113" s="46" t="n"/>
      <c r="B113" s="31" t="n"/>
      <c r="C113" s="32" t="n"/>
      <c r="D113" s="27" t="n"/>
      <c r="E113" s="47" t="str">
        <f>IF(D113="","",IFERROR(VLOOKUP(D113,'参数'!$B$21:$C$26,2,FALSE),""))</f>
        <v/>
      </c>
      <c r="F113" s="27" t="n"/>
      <c r="G113" s="43" t="str">
        <f>IF(NOT(ISNUMBER(B113)),"",IFERROR(IF(B113-INDEX('每日复盘'!$A$5:$A$264,MATCH(B113-1,'每日复盘'!$A$5:$A$264,1))&gt;7,"",T(INDEX('每日复盘'!$AA$5:$AA$264,MATCH(B113-1,'每日复盘'!$A$5:$A$264,1)))),""))</f>
        <v/>
      </c>
      <c r="H113" s="48" t="n"/>
      <c r="I113" s="48" t="n"/>
      <c r="J113" s="48" t="n"/>
      <c r="K113" s="49" t="str">
        <f>IF(AND(ISNUMBER(H113),ISNUMBER(I113),ISNUMBER(J113)),IF(H113&gt;I113,(J113-H113)/(H113-I113),""),"")</f>
        <v/>
      </c>
      <c r="L113" s="44" t="str">
        <f>IF(AND(ISNUMBER(H113),ISNUMBER(I113)),IF(H113&gt;I113,MIN(INT(ROUND('参数'!$C$7/(H113-I113)/100,6))*100,IF(ISNUMBER(E113),IF(H113-ROUND(ROUND(I113*(1-E113),4),2)&gt;0,INT(ROUND('参数'!$C$8/(H113-ROUND(ROUND(I113*(1-E113),4),2))/100,6))*100,0),INT(ROUND('参数'!$C$7/(H113-I113)/100,6))*100)),""),"")</f>
        <v/>
      </c>
      <c r="M113" s="17" t="n"/>
      <c r="N113" s="20" t="str">
        <f>IF(AND(ISNUMBER(H113),ISNUMBER(I113),ISNUMBER(M113)),IF(AND(H113&gt;I113,M113&gt;0),(H113-I113)*M113,""),"")</f>
        <v/>
      </c>
      <c r="O113" s="20" t="str">
        <f>IF(ISNUMBER(N113),IF(ISNUMBER(E113),(H113-ROUND(ROUND(I113*(1-E113),4),2))*M113,"不设限"),"")</f>
        <v/>
      </c>
      <c r="P113" s="32" t="n"/>
      <c r="Q113" s="27" t="n"/>
      <c r="R113" s="42" t="str">
        <f>IF(N(T113)&gt;0,SUMPRODUCT(LARGE(('成交明细'!$A$5:$A$804=A113)*('成交明细'!$C$5:$C$804="买")*'成交明细'!$B$5:$B$804,COUNTIFS('成交明细'!$A$5:$A$804,A113,'成交明细'!$C$5:$C$804,"买"))),"")</f>
        <v/>
      </c>
      <c r="S113" s="42" t="str">
        <f>IF(AND(N(T113)&gt;0,N(V113)&gt;=N(T113)),SUMPRODUCT(MAX(('成交明细'!$A$5:$A$804=A113)*('成交明细'!$C$5:$C$804="卖")*'成交明细'!$B$5:$B$804)),"")</f>
        <v/>
      </c>
      <c r="T113" s="44" t="str">
        <f>IF(A113="","",SUMIFS('成交明细'!$E$5:$E$804,'成交明细'!$A$5:$A$804,A113,'成交明细'!$C$5:$C$804,"买"))</f>
        <v/>
      </c>
      <c r="U113" s="50" t="str">
        <f>IF(N(T113)&gt;0,SUMIFS('成交明细'!$F$5:$F$804,'成交明细'!$A$5:$A$804,A113,'成交明细'!$C$5:$C$804,"买")/T113,"")</f>
        <v/>
      </c>
      <c r="V113" s="44" t="str">
        <f>IF(A113="","",SUMIFS('成交明细'!$E$5:$E$804,'成交明细'!$A$5:$A$804,A113,'成交明细'!$C$5:$C$804,"卖"))</f>
        <v/>
      </c>
      <c r="W113" s="50" t="str">
        <f>IF(N(V113)&gt;0,SUMIFS('成交明细'!$F$5:$F$804,'成交明细'!$A$5:$A$804,A113,'成交明细'!$C$5:$C$804,"卖")/V113,"")</f>
        <v/>
      </c>
      <c r="X113" s="36" t="str">
        <f>IF(A113="","",IF(Q113&lt;&gt;"已执行",IF(Q113="","未填执行情况",Q113),IF(N(T113)=0,"待录成交",IF(N(V113)&gt;N(T113),"卖出多于买入",IF(N(V113)&lt;N(T113),"持仓中","已平仓")))))</f>
        <v/>
      </c>
      <c r="Y113" s="51" t="str">
        <f>IF(N(T113)=0,"",SUMIFS('成交明细'!$K$5:$K$804,'成交明细'!$A$5:$A$804,A113))</f>
        <v/>
      </c>
      <c r="Z113" s="52" t="str">
        <f>IF(X113&lt;&gt;"已平仓","",SUMIFS('成交明细'!$F$5:$F$804,'成交明细'!$A$5:$A$804,A113,'成交明细'!$C$5:$C$804,"卖")-SUMIFS('成交明细'!$F$5:$F$804,'成交明细'!$A$5:$A$804,A113,'成交明细'!$C$5:$C$804,"买")-Y113)</f>
        <v/>
      </c>
      <c r="AA113" s="53" t="str">
        <f>IF(AND(X113="已平仓",ISNUMBER(N113)),(Z113+Y113)/N113,"")</f>
        <v/>
      </c>
      <c r="AB113" s="53" t="str">
        <f>IF(AND(X113="已平仓",ISNUMBER(N113)),Z113/N113,"")</f>
        <v/>
      </c>
      <c r="AC113" s="54" t="str">
        <f>IF(AND(ISNUMBER(U113),ISNUMBER(H113)),U113-H113,"")</f>
        <v/>
      </c>
      <c r="AD113" s="27" t="n"/>
      <c r="AE113" s="27" t="n"/>
      <c r="AF113" s="32" t="n"/>
      <c r="AG113" s="53" t="str">
        <f>IF(A113="","",SUM(AB$5:AB113))</f>
        <v/>
      </c>
      <c r="AH113" s="55" t="str">
        <f>IF(A113="","",MAX(0,MAX(AG$5:AG113))-AG113)</f>
        <v/>
      </c>
    </row>
    <row r="114">
      <c r="A114" s="46" t="n"/>
      <c r="B114" s="31" t="n"/>
      <c r="C114" s="32" t="n"/>
      <c r="D114" s="27" t="n"/>
      <c r="E114" s="47" t="str">
        <f>IF(D114="","",IFERROR(VLOOKUP(D114,'参数'!$B$21:$C$26,2,FALSE),""))</f>
        <v/>
      </c>
      <c r="F114" s="27" t="n"/>
      <c r="G114" s="43" t="str">
        <f>IF(NOT(ISNUMBER(B114)),"",IFERROR(IF(B114-INDEX('每日复盘'!$A$5:$A$264,MATCH(B114-1,'每日复盘'!$A$5:$A$264,1))&gt;7,"",T(INDEX('每日复盘'!$AA$5:$AA$264,MATCH(B114-1,'每日复盘'!$A$5:$A$264,1)))),""))</f>
        <v/>
      </c>
      <c r="H114" s="48" t="n"/>
      <c r="I114" s="48" t="n"/>
      <c r="J114" s="48" t="n"/>
      <c r="K114" s="49" t="str">
        <f>IF(AND(ISNUMBER(H114),ISNUMBER(I114),ISNUMBER(J114)),IF(H114&gt;I114,(J114-H114)/(H114-I114),""),"")</f>
        <v/>
      </c>
      <c r="L114" s="44" t="str">
        <f>IF(AND(ISNUMBER(H114),ISNUMBER(I114)),IF(H114&gt;I114,MIN(INT(ROUND('参数'!$C$7/(H114-I114)/100,6))*100,IF(ISNUMBER(E114),IF(H114-ROUND(ROUND(I114*(1-E114),4),2)&gt;0,INT(ROUND('参数'!$C$8/(H114-ROUND(ROUND(I114*(1-E114),4),2))/100,6))*100,0),INT(ROUND('参数'!$C$7/(H114-I114)/100,6))*100)),""),"")</f>
        <v/>
      </c>
      <c r="M114" s="17" t="n"/>
      <c r="N114" s="20" t="str">
        <f>IF(AND(ISNUMBER(H114),ISNUMBER(I114),ISNUMBER(M114)),IF(AND(H114&gt;I114,M114&gt;0),(H114-I114)*M114,""),"")</f>
        <v/>
      </c>
      <c r="O114" s="20" t="str">
        <f>IF(ISNUMBER(N114),IF(ISNUMBER(E114),(H114-ROUND(ROUND(I114*(1-E114),4),2))*M114,"不设限"),"")</f>
        <v/>
      </c>
      <c r="P114" s="32" t="n"/>
      <c r="Q114" s="27" t="n"/>
      <c r="R114" s="42" t="str">
        <f>IF(N(T114)&gt;0,SUMPRODUCT(LARGE(('成交明细'!$A$5:$A$804=A114)*('成交明细'!$C$5:$C$804="买")*'成交明细'!$B$5:$B$804,COUNTIFS('成交明细'!$A$5:$A$804,A114,'成交明细'!$C$5:$C$804,"买"))),"")</f>
        <v/>
      </c>
      <c r="S114" s="42" t="str">
        <f>IF(AND(N(T114)&gt;0,N(V114)&gt;=N(T114)),SUMPRODUCT(MAX(('成交明细'!$A$5:$A$804=A114)*('成交明细'!$C$5:$C$804="卖")*'成交明细'!$B$5:$B$804)),"")</f>
        <v/>
      </c>
      <c r="T114" s="44" t="str">
        <f>IF(A114="","",SUMIFS('成交明细'!$E$5:$E$804,'成交明细'!$A$5:$A$804,A114,'成交明细'!$C$5:$C$804,"买"))</f>
        <v/>
      </c>
      <c r="U114" s="50" t="str">
        <f>IF(N(T114)&gt;0,SUMIFS('成交明细'!$F$5:$F$804,'成交明细'!$A$5:$A$804,A114,'成交明细'!$C$5:$C$804,"买")/T114,"")</f>
        <v/>
      </c>
      <c r="V114" s="44" t="str">
        <f>IF(A114="","",SUMIFS('成交明细'!$E$5:$E$804,'成交明细'!$A$5:$A$804,A114,'成交明细'!$C$5:$C$804,"卖"))</f>
        <v/>
      </c>
      <c r="W114" s="50" t="str">
        <f>IF(N(V114)&gt;0,SUMIFS('成交明细'!$F$5:$F$804,'成交明细'!$A$5:$A$804,A114,'成交明细'!$C$5:$C$804,"卖")/V114,"")</f>
        <v/>
      </c>
      <c r="X114" s="36" t="str">
        <f>IF(A114="","",IF(Q114&lt;&gt;"已执行",IF(Q114="","未填执行情况",Q114),IF(N(T114)=0,"待录成交",IF(N(V114)&gt;N(T114),"卖出多于买入",IF(N(V114)&lt;N(T114),"持仓中","已平仓")))))</f>
        <v/>
      </c>
      <c r="Y114" s="51" t="str">
        <f>IF(N(T114)=0,"",SUMIFS('成交明细'!$K$5:$K$804,'成交明细'!$A$5:$A$804,A114))</f>
        <v/>
      </c>
      <c r="Z114" s="52" t="str">
        <f>IF(X114&lt;&gt;"已平仓","",SUMIFS('成交明细'!$F$5:$F$804,'成交明细'!$A$5:$A$804,A114,'成交明细'!$C$5:$C$804,"卖")-SUMIFS('成交明细'!$F$5:$F$804,'成交明细'!$A$5:$A$804,A114,'成交明细'!$C$5:$C$804,"买")-Y114)</f>
        <v/>
      </c>
      <c r="AA114" s="53" t="str">
        <f>IF(AND(X114="已平仓",ISNUMBER(N114)),(Z114+Y114)/N114,"")</f>
        <v/>
      </c>
      <c r="AB114" s="53" t="str">
        <f>IF(AND(X114="已平仓",ISNUMBER(N114)),Z114/N114,"")</f>
        <v/>
      </c>
      <c r="AC114" s="54" t="str">
        <f>IF(AND(ISNUMBER(U114),ISNUMBER(H114)),U114-H114,"")</f>
        <v/>
      </c>
      <c r="AD114" s="27" t="n"/>
      <c r="AE114" s="27" t="n"/>
      <c r="AF114" s="32" t="n"/>
      <c r="AG114" s="53" t="str">
        <f>IF(A114="","",SUM(AB$5:AB114))</f>
        <v/>
      </c>
      <c r="AH114" s="55" t="str">
        <f>IF(A114="","",MAX(0,MAX(AG$5:AG114))-AG114)</f>
        <v/>
      </c>
    </row>
    <row r="115">
      <c r="A115" s="46" t="n"/>
      <c r="B115" s="31" t="n"/>
      <c r="C115" s="32" t="n"/>
      <c r="D115" s="27" t="n"/>
      <c r="E115" s="47" t="str">
        <f>IF(D115="","",IFERROR(VLOOKUP(D115,'参数'!$B$21:$C$26,2,FALSE),""))</f>
        <v/>
      </c>
      <c r="F115" s="27" t="n"/>
      <c r="G115" s="43" t="str">
        <f>IF(NOT(ISNUMBER(B115)),"",IFERROR(IF(B115-INDEX('每日复盘'!$A$5:$A$264,MATCH(B115-1,'每日复盘'!$A$5:$A$264,1))&gt;7,"",T(INDEX('每日复盘'!$AA$5:$AA$264,MATCH(B115-1,'每日复盘'!$A$5:$A$264,1)))),""))</f>
        <v/>
      </c>
      <c r="H115" s="48" t="n"/>
      <c r="I115" s="48" t="n"/>
      <c r="J115" s="48" t="n"/>
      <c r="K115" s="49" t="str">
        <f>IF(AND(ISNUMBER(H115),ISNUMBER(I115),ISNUMBER(J115)),IF(H115&gt;I115,(J115-H115)/(H115-I115),""),"")</f>
        <v/>
      </c>
      <c r="L115" s="44" t="str">
        <f>IF(AND(ISNUMBER(H115),ISNUMBER(I115)),IF(H115&gt;I115,MIN(INT(ROUND('参数'!$C$7/(H115-I115)/100,6))*100,IF(ISNUMBER(E115),IF(H115-ROUND(ROUND(I115*(1-E115),4),2)&gt;0,INT(ROUND('参数'!$C$8/(H115-ROUND(ROUND(I115*(1-E115),4),2))/100,6))*100,0),INT(ROUND('参数'!$C$7/(H115-I115)/100,6))*100)),""),"")</f>
        <v/>
      </c>
      <c r="M115" s="17" t="n"/>
      <c r="N115" s="20" t="str">
        <f>IF(AND(ISNUMBER(H115),ISNUMBER(I115),ISNUMBER(M115)),IF(AND(H115&gt;I115,M115&gt;0),(H115-I115)*M115,""),"")</f>
        <v/>
      </c>
      <c r="O115" s="20" t="str">
        <f>IF(ISNUMBER(N115),IF(ISNUMBER(E115),(H115-ROUND(ROUND(I115*(1-E115),4),2))*M115,"不设限"),"")</f>
        <v/>
      </c>
      <c r="P115" s="32" t="n"/>
      <c r="Q115" s="27" t="n"/>
      <c r="R115" s="42" t="str">
        <f>IF(N(T115)&gt;0,SUMPRODUCT(LARGE(('成交明细'!$A$5:$A$804=A115)*('成交明细'!$C$5:$C$804="买")*'成交明细'!$B$5:$B$804,COUNTIFS('成交明细'!$A$5:$A$804,A115,'成交明细'!$C$5:$C$804,"买"))),"")</f>
        <v/>
      </c>
      <c r="S115" s="42" t="str">
        <f>IF(AND(N(T115)&gt;0,N(V115)&gt;=N(T115)),SUMPRODUCT(MAX(('成交明细'!$A$5:$A$804=A115)*('成交明细'!$C$5:$C$804="卖")*'成交明细'!$B$5:$B$804)),"")</f>
        <v/>
      </c>
      <c r="T115" s="44" t="str">
        <f>IF(A115="","",SUMIFS('成交明细'!$E$5:$E$804,'成交明细'!$A$5:$A$804,A115,'成交明细'!$C$5:$C$804,"买"))</f>
        <v/>
      </c>
      <c r="U115" s="50" t="str">
        <f>IF(N(T115)&gt;0,SUMIFS('成交明细'!$F$5:$F$804,'成交明细'!$A$5:$A$804,A115,'成交明细'!$C$5:$C$804,"买")/T115,"")</f>
        <v/>
      </c>
      <c r="V115" s="44" t="str">
        <f>IF(A115="","",SUMIFS('成交明细'!$E$5:$E$804,'成交明细'!$A$5:$A$804,A115,'成交明细'!$C$5:$C$804,"卖"))</f>
        <v/>
      </c>
      <c r="W115" s="50" t="str">
        <f>IF(N(V115)&gt;0,SUMIFS('成交明细'!$F$5:$F$804,'成交明细'!$A$5:$A$804,A115,'成交明细'!$C$5:$C$804,"卖")/V115,"")</f>
        <v/>
      </c>
      <c r="X115" s="36" t="str">
        <f>IF(A115="","",IF(Q115&lt;&gt;"已执行",IF(Q115="","未填执行情况",Q115),IF(N(T115)=0,"待录成交",IF(N(V115)&gt;N(T115),"卖出多于买入",IF(N(V115)&lt;N(T115),"持仓中","已平仓")))))</f>
        <v/>
      </c>
      <c r="Y115" s="51" t="str">
        <f>IF(N(T115)=0,"",SUMIFS('成交明细'!$K$5:$K$804,'成交明细'!$A$5:$A$804,A115))</f>
        <v/>
      </c>
      <c r="Z115" s="52" t="str">
        <f>IF(X115&lt;&gt;"已平仓","",SUMIFS('成交明细'!$F$5:$F$804,'成交明细'!$A$5:$A$804,A115,'成交明细'!$C$5:$C$804,"卖")-SUMIFS('成交明细'!$F$5:$F$804,'成交明细'!$A$5:$A$804,A115,'成交明细'!$C$5:$C$804,"买")-Y115)</f>
        <v/>
      </c>
      <c r="AA115" s="53" t="str">
        <f>IF(AND(X115="已平仓",ISNUMBER(N115)),(Z115+Y115)/N115,"")</f>
        <v/>
      </c>
      <c r="AB115" s="53" t="str">
        <f>IF(AND(X115="已平仓",ISNUMBER(N115)),Z115/N115,"")</f>
        <v/>
      </c>
      <c r="AC115" s="54" t="str">
        <f>IF(AND(ISNUMBER(U115),ISNUMBER(H115)),U115-H115,"")</f>
        <v/>
      </c>
      <c r="AD115" s="27" t="n"/>
      <c r="AE115" s="27" t="n"/>
      <c r="AF115" s="32" t="n"/>
      <c r="AG115" s="53" t="str">
        <f>IF(A115="","",SUM(AB$5:AB115))</f>
        <v/>
      </c>
      <c r="AH115" s="55" t="str">
        <f>IF(A115="","",MAX(0,MAX(AG$5:AG115))-AG115)</f>
        <v/>
      </c>
    </row>
    <row r="116">
      <c r="A116" s="46" t="n"/>
      <c r="B116" s="31" t="n"/>
      <c r="C116" s="32" t="n"/>
      <c r="D116" s="27" t="n"/>
      <c r="E116" s="47" t="str">
        <f>IF(D116="","",IFERROR(VLOOKUP(D116,'参数'!$B$21:$C$26,2,FALSE),""))</f>
        <v/>
      </c>
      <c r="F116" s="27" t="n"/>
      <c r="G116" s="43" t="str">
        <f>IF(NOT(ISNUMBER(B116)),"",IFERROR(IF(B116-INDEX('每日复盘'!$A$5:$A$264,MATCH(B116-1,'每日复盘'!$A$5:$A$264,1))&gt;7,"",T(INDEX('每日复盘'!$AA$5:$AA$264,MATCH(B116-1,'每日复盘'!$A$5:$A$264,1)))),""))</f>
        <v/>
      </c>
      <c r="H116" s="48" t="n"/>
      <c r="I116" s="48" t="n"/>
      <c r="J116" s="48" t="n"/>
      <c r="K116" s="49" t="str">
        <f>IF(AND(ISNUMBER(H116),ISNUMBER(I116),ISNUMBER(J116)),IF(H116&gt;I116,(J116-H116)/(H116-I116),""),"")</f>
        <v/>
      </c>
      <c r="L116" s="44" t="str">
        <f>IF(AND(ISNUMBER(H116),ISNUMBER(I116)),IF(H116&gt;I116,MIN(INT(ROUND('参数'!$C$7/(H116-I116)/100,6))*100,IF(ISNUMBER(E116),IF(H116-ROUND(ROUND(I116*(1-E116),4),2)&gt;0,INT(ROUND('参数'!$C$8/(H116-ROUND(ROUND(I116*(1-E116),4),2))/100,6))*100,0),INT(ROUND('参数'!$C$7/(H116-I116)/100,6))*100)),""),"")</f>
        <v/>
      </c>
      <c r="M116" s="17" t="n"/>
      <c r="N116" s="20" t="str">
        <f>IF(AND(ISNUMBER(H116),ISNUMBER(I116),ISNUMBER(M116)),IF(AND(H116&gt;I116,M116&gt;0),(H116-I116)*M116,""),"")</f>
        <v/>
      </c>
      <c r="O116" s="20" t="str">
        <f>IF(ISNUMBER(N116),IF(ISNUMBER(E116),(H116-ROUND(ROUND(I116*(1-E116),4),2))*M116,"不设限"),"")</f>
        <v/>
      </c>
      <c r="P116" s="32" t="n"/>
      <c r="Q116" s="27" t="n"/>
      <c r="R116" s="42" t="str">
        <f>IF(N(T116)&gt;0,SUMPRODUCT(LARGE(('成交明细'!$A$5:$A$804=A116)*('成交明细'!$C$5:$C$804="买")*'成交明细'!$B$5:$B$804,COUNTIFS('成交明细'!$A$5:$A$804,A116,'成交明细'!$C$5:$C$804,"买"))),"")</f>
        <v/>
      </c>
      <c r="S116" s="42" t="str">
        <f>IF(AND(N(T116)&gt;0,N(V116)&gt;=N(T116)),SUMPRODUCT(MAX(('成交明细'!$A$5:$A$804=A116)*('成交明细'!$C$5:$C$804="卖")*'成交明细'!$B$5:$B$804)),"")</f>
        <v/>
      </c>
      <c r="T116" s="44" t="str">
        <f>IF(A116="","",SUMIFS('成交明细'!$E$5:$E$804,'成交明细'!$A$5:$A$804,A116,'成交明细'!$C$5:$C$804,"买"))</f>
        <v/>
      </c>
      <c r="U116" s="50" t="str">
        <f>IF(N(T116)&gt;0,SUMIFS('成交明细'!$F$5:$F$804,'成交明细'!$A$5:$A$804,A116,'成交明细'!$C$5:$C$804,"买")/T116,"")</f>
        <v/>
      </c>
      <c r="V116" s="44" t="str">
        <f>IF(A116="","",SUMIFS('成交明细'!$E$5:$E$804,'成交明细'!$A$5:$A$804,A116,'成交明细'!$C$5:$C$804,"卖"))</f>
        <v/>
      </c>
      <c r="W116" s="50" t="str">
        <f>IF(N(V116)&gt;0,SUMIFS('成交明细'!$F$5:$F$804,'成交明细'!$A$5:$A$804,A116,'成交明细'!$C$5:$C$804,"卖")/V116,"")</f>
        <v/>
      </c>
      <c r="X116" s="36" t="str">
        <f>IF(A116="","",IF(Q116&lt;&gt;"已执行",IF(Q116="","未填执行情况",Q116),IF(N(T116)=0,"待录成交",IF(N(V116)&gt;N(T116),"卖出多于买入",IF(N(V116)&lt;N(T116),"持仓中","已平仓")))))</f>
        <v/>
      </c>
      <c r="Y116" s="51" t="str">
        <f>IF(N(T116)=0,"",SUMIFS('成交明细'!$K$5:$K$804,'成交明细'!$A$5:$A$804,A116))</f>
        <v/>
      </c>
      <c r="Z116" s="52" t="str">
        <f>IF(X116&lt;&gt;"已平仓","",SUMIFS('成交明细'!$F$5:$F$804,'成交明细'!$A$5:$A$804,A116,'成交明细'!$C$5:$C$804,"卖")-SUMIFS('成交明细'!$F$5:$F$804,'成交明细'!$A$5:$A$804,A116,'成交明细'!$C$5:$C$804,"买")-Y116)</f>
        <v/>
      </c>
      <c r="AA116" s="53" t="str">
        <f>IF(AND(X116="已平仓",ISNUMBER(N116)),(Z116+Y116)/N116,"")</f>
        <v/>
      </c>
      <c r="AB116" s="53" t="str">
        <f>IF(AND(X116="已平仓",ISNUMBER(N116)),Z116/N116,"")</f>
        <v/>
      </c>
      <c r="AC116" s="54" t="str">
        <f>IF(AND(ISNUMBER(U116),ISNUMBER(H116)),U116-H116,"")</f>
        <v/>
      </c>
      <c r="AD116" s="27" t="n"/>
      <c r="AE116" s="27" t="n"/>
      <c r="AF116" s="32" t="n"/>
      <c r="AG116" s="53" t="str">
        <f>IF(A116="","",SUM(AB$5:AB116))</f>
        <v/>
      </c>
      <c r="AH116" s="55" t="str">
        <f>IF(A116="","",MAX(0,MAX(AG$5:AG116))-AG116)</f>
        <v/>
      </c>
    </row>
    <row r="117">
      <c r="A117" s="46" t="n"/>
      <c r="B117" s="31" t="n"/>
      <c r="C117" s="32" t="n"/>
      <c r="D117" s="27" t="n"/>
      <c r="E117" s="47" t="str">
        <f>IF(D117="","",IFERROR(VLOOKUP(D117,'参数'!$B$21:$C$26,2,FALSE),""))</f>
        <v/>
      </c>
      <c r="F117" s="27" t="n"/>
      <c r="G117" s="43" t="str">
        <f>IF(NOT(ISNUMBER(B117)),"",IFERROR(IF(B117-INDEX('每日复盘'!$A$5:$A$264,MATCH(B117-1,'每日复盘'!$A$5:$A$264,1))&gt;7,"",T(INDEX('每日复盘'!$AA$5:$AA$264,MATCH(B117-1,'每日复盘'!$A$5:$A$264,1)))),""))</f>
        <v/>
      </c>
      <c r="H117" s="48" t="n"/>
      <c r="I117" s="48" t="n"/>
      <c r="J117" s="48" t="n"/>
      <c r="K117" s="49" t="str">
        <f>IF(AND(ISNUMBER(H117),ISNUMBER(I117),ISNUMBER(J117)),IF(H117&gt;I117,(J117-H117)/(H117-I117),""),"")</f>
        <v/>
      </c>
      <c r="L117" s="44" t="str">
        <f>IF(AND(ISNUMBER(H117),ISNUMBER(I117)),IF(H117&gt;I117,MIN(INT(ROUND('参数'!$C$7/(H117-I117)/100,6))*100,IF(ISNUMBER(E117),IF(H117-ROUND(ROUND(I117*(1-E117),4),2)&gt;0,INT(ROUND('参数'!$C$8/(H117-ROUND(ROUND(I117*(1-E117),4),2))/100,6))*100,0),INT(ROUND('参数'!$C$7/(H117-I117)/100,6))*100)),""),"")</f>
        <v/>
      </c>
      <c r="M117" s="17" t="n"/>
      <c r="N117" s="20" t="str">
        <f>IF(AND(ISNUMBER(H117),ISNUMBER(I117),ISNUMBER(M117)),IF(AND(H117&gt;I117,M117&gt;0),(H117-I117)*M117,""),"")</f>
        <v/>
      </c>
      <c r="O117" s="20" t="str">
        <f>IF(ISNUMBER(N117),IF(ISNUMBER(E117),(H117-ROUND(ROUND(I117*(1-E117),4),2))*M117,"不设限"),"")</f>
        <v/>
      </c>
      <c r="P117" s="32" t="n"/>
      <c r="Q117" s="27" t="n"/>
      <c r="R117" s="42" t="str">
        <f>IF(N(T117)&gt;0,SUMPRODUCT(LARGE(('成交明细'!$A$5:$A$804=A117)*('成交明细'!$C$5:$C$804="买")*'成交明细'!$B$5:$B$804,COUNTIFS('成交明细'!$A$5:$A$804,A117,'成交明细'!$C$5:$C$804,"买"))),"")</f>
        <v/>
      </c>
      <c r="S117" s="42" t="str">
        <f>IF(AND(N(T117)&gt;0,N(V117)&gt;=N(T117)),SUMPRODUCT(MAX(('成交明细'!$A$5:$A$804=A117)*('成交明细'!$C$5:$C$804="卖")*'成交明细'!$B$5:$B$804)),"")</f>
        <v/>
      </c>
      <c r="T117" s="44" t="str">
        <f>IF(A117="","",SUMIFS('成交明细'!$E$5:$E$804,'成交明细'!$A$5:$A$804,A117,'成交明细'!$C$5:$C$804,"买"))</f>
        <v/>
      </c>
      <c r="U117" s="50" t="str">
        <f>IF(N(T117)&gt;0,SUMIFS('成交明细'!$F$5:$F$804,'成交明细'!$A$5:$A$804,A117,'成交明细'!$C$5:$C$804,"买")/T117,"")</f>
        <v/>
      </c>
      <c r="V117" s="44" t="str">
        <f>IF(A117="","",SUMIFS('成交明细'!$E$5:$E$804,'成交明细'!$A$5:$A$804,A117,'成交明细'!$C$5:$C$804,"卖"))</f>
        <v/>
      </c>
      <c r="W117" s="50" t="str">
        <f>IF(N(V117)&gt;0,SUMIFS('成交明细'!$F$5:$F$804,'成交明细'!$A$5:$A$804,A117,'成交明细'!$C$5:$C$804,"卖")/V117,"")</f>
        <v/>
      </c>
      <c r="X117" s="36" t="str">
        <f>IF(A117="","",IF(Q117&lt;&gt;"已执行",IF(Q117="","未填执行情况",Q117),IF(N(T117)=0,"待录成交",IF(N(V117)&gt;N(T117),"卖出多于买入",IF(N(V117)&lt;N(T117),"持仓中","已平仓")))))</f>
        <v/>
      </c>
      <c r="Y117" s="51" t="str">
        <f>IF(N(T117)=0,"",SUMIFS('成交明细'!$K$5:$K$804,'成交明细'!$A$5:$A$804,A117))</f>
        <v/>
      </c>
      <c r="Z117" s="52" t="str">
        <f>IF(X117&lt;&gt;"已平仓","",SUMIFS('成交明细'!$F$5:$F$804,'成交明细'!$A$5:$A$804,A117,'成交明细'!$C$5:$C$804,"卖")-SUMIFS('成交明细'!$F$5:$F$804,'成交明细'!$A$5:$A$804,A117,'成交明细'!$C$5:$C$804,"买")-Y117)</f>
        <v/>
      </c>
      <c r="AA117" s="53" t="str">
        <f>IF(AND(X117="已平仓",ISNUMBER(N117)),(Z117+Y117)/N117,"")</f>
        <v/>
      </c>
      <c r="AB117" s="53" t="str">
        <f>IF(AND(X117="已平仓",ISNUMBER(N117)),Z117/N117,"")</f>
        <v/>
      </c>
      <c r="AC117" s="54" t="str">
        <f>IF(AND(ISNUMBER(U117),ISNUMBER(H117)),U117-H117,"")</f>
        <v/>
      </c>
      <c r="AD117" s="27" t="n"/>
      <c r="AE117" s="27" t="n"/>
      <c r="AF117" s="32" t="n"/>
      <c r="AG117" s="53" t="str">
        <f>IF(A117="","",SUM(AB$5:AB117))</f>
        <v/>
      </c>
      <c r="AH117" s="55" t="str">
        <f>IF(A117="","",MAX(0,MAX(AG$5:AG117))-AG117)</f>
        <v/>
      </c>
    </row>
    <row r="118">
      <c r="A118" s="46" t="n"/>
      <c r="B118" s="31" t="n"/>
      <c r="C118" s="32" t="n"/>
      <c r="D118" s="27" t="n"/>
      <c r="E118" s="47" t="str">
        <f>IF(D118="","",IFERROR(VLOOKUP(D118,'参数'!$B$21:$C$26,2,FALSE),""))</f>
        <v/>
      </c>
      <c r="F118" s="27" t="n"/>
      <c r="G118" s="43" t="str">
        <f>IF(NOT(ISNUMBER(B118)),"",IFERROR(IF(B118-INDEX('每日复盘'!$A$5:$A$264,MATCH(B118-1,'每日复盘'!$A$5:$A$264,1))&gt;7,"",T(INDEX('每日复盘'!$AA$5:$AA$264,MATCH(B118-1,'每日复盘'!$A$5:$A$264,1)))),""))</f>
        <v/>
      </c>
      <c r="H118" s="48" t="n"/>
      <c r="I118" s="48" t="n"/>
      <c r="J118" s="48" t="n"/>
      <c r="K118" s="49" t="str">
        <f>IF(AND(ISNUMBER(H118),ISNUMBER(I118),ISNUMBER(J118)),IF(H118&gt;I118,(J118-H118)/(H118-I118),""),"")</f>
        <v/>
      </c>
      <c r="L118" s="44" t="str">
        <f>IF(AND(ISNUMBER(H118),ISNUMBER(I118)),IF(H118&gt;I118,MIN(INT(ROUND('参数'!$C$7/(H118-I118)/100,6))*100,IF(ISNUMBER(E118),IF(H118-ROUND(ROUND(I118*(1-E118),4),2)&gt;0,INT(ROUND('参数'!$C$8/(H118-ROUND(ROUND(I118*(1-E118),4),2))/100,6))*100,0),INT(ROUND('参数'!$C$7/(H118-I118)/100,6))*100)),""),"")</f>
        <v/>
      </c>
      <c r="M118" s="17" t="n"/>
      <c r="N118" s="20" t="str">
        <f>IF(AND(ISNUMBER(H118),ISNUMBER(I118),ISNUMBER(M118)),IF(AND(H118&gt;I118,M118&gt;0),(H118-I118)*M118,""),"")</f>
        <v/>
      </c>
      <c r="O118" s="20" t="str">
        <f>IF(ISNUMBER(N118),IF(ISNUMBER(E118),(H118-ROUND(ROUND(I118*(1-E118),4),2))*M118,"不设限"),"")</f>
        <v/>
      </c>
      <c r="P118" s="32" t="n"/>
      <c r="Q118" s="27" t="n"/>
      <c r="R118" s="42" t="str">
        <f>IF(N(T118)&gt;0,SUMPRODUCT(LARGE(('成交明细'!$A$5:$A$804=A118)*('成交明细'!$C$5:$C$804="买")*'成交明细'!$B$5:$B$804,COUNTIFS('成交明细'!$A$5:$A$804,A118,'成交明细'!$C$5:$C$804,"买"))),"")</f>
        <v/>
      </c>
      <c r="S118" s="42" t="str">
        <f>IF(AND(N(T118)&gt;0,N(V118)&gt;=N(T118)),SUMPRODUCT(MAX(('成交明细'!$A$5:$A$804=A118)*('成交明细'!$C$5:$C$804="卖")*'成交明细'!$B$5:$B$804)),"")</f>
        <v/>
      </c>
      <c r="T118" s="44" t="str">
        <f>IF(A118="","",SUMIFS('成交明细'!$E$5:$E$804,'成交明细'!$A$5:$A$804,A118,'成交明细'!$C$5:$C$804,"买"))</f>
        <v/>
      </c>
      <c r="U118" s="50" t="str">
        <f>IF(N(T118)&gt;0,SUMIFS('成交明细'!$F$5:$F$804,'成交明细'!$A$5:$A$804,A118,'成交明细'!$C$5:$C$804,"买")/T118,"")</f>
        <v/>
      </c>
      <c r="V118" s="44" t="str">
        <f>IF(A118="","",SUMIFS('成交明细'!$E$5:$E$804,'成交明细'!$A$5:$A$804,A118,'成交明细'!$C$5:$C$804,"卖"))</f>
        <v/>
      </c>
      <c r="W118" s="50" t="str">
        <f>IF(N(V118)&gt;0,SUMIFS('成交明细'!$F$5:$F$804,'成交明细'!$A$5:$A$804,A118,'成交明细'!$C$5:$C$804,"卖")/V118,"")</f>
        <v/>
      </c>
      <c r="X118" s="36" t="str">
        <f>IF(A118="","",IF(Q118&lt;&gt;"已执行",IF(Q118="","未填执行情况",Q118),IF(N(T118)=0,"待录成交",IF(N(V118)&gt;N(T118),"卖出多于买入",IF(N(V118)&lt;N(T118),"持仓中","已平仓")))))</f>
        <v/>
      </c>
      <c r="Y118" s="51" t="str">
        <f>IF(N(T118)=0,"",SUMIFS('成交明细'!$K$5:$K$804,'成交明细'!$A$5:$A$804,A118))</f>
        <v/>
      </c>
      <c r="Z118" s="52" t="str">
        <f>IF(X118&lt;&gt;"已平仓","",SUMIFS('成交明细'!$F$5:$F$804,'成交明细'!$A$5:$A$804,A118,'成交明细'!$C$5:$C$804,"卖")-SUMIFS('成交明细'!$F$5:$F$804,'成交明细'!$A$5:$A$804,A118,'成交明细'!$C$5:$C$804,"买")-Y118)</f>
        <v/>
      </c>
      <c r="AA118" s="53" t="str">
        <f>IF(AND(X118="已平仓",ISNUMBER(N118)),(Z118+Y118)/N118,"")</f>
        <v/>
      </c>
      <c r="AB118" s="53" t="str">
        <f>IF(AND(X118="已平仓",ISNUMBER(N118)),Z118/N118,"")</f>
        <v/>
      </c>
      <c r="AC118" s="54" t="str">
        <f>IF(AND(ISNUMBER(U118),ISNUMBER(H118)),U118-H118,"")</f>
        <v/>
      </c>
      <c r="AD118" s="27" t="n"/>
      <c r="AE118" s="27" t="n"/>
      <c r="AF118" s="32" t="n"/>
      <c r="AG118" s="53" t="str">
        <f>IF(A118="","",SUM(AB$5:AB118))</f>
        <v/>
      </c>
      <c r="AH118" s="55" t="str">
        <f>IF(A118="","",MAX(0,MAX(AG$5:AG118))-AG118)</f>
        <v/>
      </c>
    </row>
    <row r="119">
      <c r="A119" s="46" t="n"/>
      <c r="B119" s="31" t="n"/>
      <c r="C119" s="32" t="n"/>
      <c r="D119" s="27" t="n"/>
      <c r="E119" s="47" t="str">
        <f>IF(D119="","",IFERROR(VLOOKUP(D119,'参数'!$B$21:$C$26,2,FALSE),""))</f>
        <v/>
      </c>
      <c r="F119" s="27" t="n"/>
      <c r="G119" s="43" t="str">
        <f>IF(NOT(ISNUMBER(B119)),"",IFERROR(IF(B119-INDEX('每日复盘'!$A$5:$A$264,MATCH(B119-1,'每日复盘'!$A$5:$A$264,1))&gt;7,"",T(INDEX('每日复盘'!$AA$5:$AA$264,MATCH(B119-1,'每日复盘'!$A$5:$A$264,1)))),""))</f>
        <v/>
      </c>
      <c r="H119" s="48" t="n"/>
      <c r="I119" s="48" t="n"/>
      <c r="J119" s="48" t="n"/>
      <c r="K119" s="49" t="str">
        <f>IF(AND(ISNUMBER(H119),ISNUMBER(I119),ISNUMBER(J119)),IF(H119&gt;I119,(J119-H119)/(H119-I119),""),"")</f>
        <v/>
      </c>
      <c r="L119" s="44" t="str">
        <f>IF(AND(ISNUMBER(H119),ISNUMBER(I119)),IF(H119&gt;I119,MIN(INT(ROUND('参数'!$C$7/(H119-I119)/100,6))*100,IF(ISNUMBER(E119),IF(H119-ROUND(ROUND(I119*(1-E119),4),2)&gt;0,INT(ROUND('参数'!$C$8/(H119-ROUND(ROUND(I119*(1-E119),4),2))/100,6))*100,0),INT(ROUND('参数'!$C$7/(H119-I119)/100,6))*100)),""),"")</f>
        <v/>
      </c>
      <c r="M119" s="17" t="n"/>
      <c r="N119" s="20" t="str">
        <f>IF(AND(ISNUMBER(H119),ISNUMBER(I119),ISNUMBER(M119)),IF(AND(H119&gt;I119,M119&gt;0),(H119-I119)*M119,""),"")</f>
        <v/>
      </c>
      <c r="O119" s="20" t="str">
        <f>IF(ISNUMBER(N119),IF(ISNUMBER(E119),(H119-ROUND(ROUND(I119*(1-E119),4),2))*M119,"不设限"),"")</f>
        <v/>
      </c>
      <c r="P119" s="32" t="n"/>
      <c r="Q119" s="27" t="n"/>
      <c r="R119" s="42" t="str">
        <f>IF(N(T119)&gt;0,SUMPRODUCT(LARGE(('成交明细'!$A$5:$A$804=A119)*('成交明细'!$C$5:$C$804="买")*'成交明细'!$B$5:$B$804,COUNTIFS('成交明细'!$A$5:$A$804,A119,'成交明细'!$C$5:$C$804,"买"))),"")</f>
        <v/>
      </c>
      <c r="S119" s="42" t="str">
        <f>IF(AND(N(T119)&gt;0,N(V119)&gt;=N(T119)),SUMPRODUCT(MAX(('成交明细'!$A$5:$A$804=A119)*('成交明细'!$C$5:$C$804="卖")*'成交明细'!$B$5:$B$804)),"")</f>
        <v/>
      </c>
      <c r="T119" s="44" t="str">
        <f>IF(A119="","",SUMIFS('成交明细'!$E$5:$E$804,'成交明细'!$A$5:$A$804,A119,'成交明细'!$C$5:$C$804,"买"))</f>
        <v/>
      </c>
      <c r="U119" s="50" t="str">
        <f>IF(N(T119)&gt;0,SUMIFS('成交明细'!$F$5:$F$804,'成交明细'!$A$5:$A$804,A119,'成交明细'!$C$5:$C$804,"买")/T119,"")</f>
        <v/>
      </c>
      <c r="V119" s="44" t="str">
        <f>IF(A119="","",SUMIFS('成交明细'!$E$5:$E$804,'成交明细'!$A$5:$A$804,A119,'成交明细'!$C$5:$C$804,"卖"))</f>
        <v/>
      </c>
      <c r="W119" s="50" t="str">
        <f>IF(N(V119)&gt;0,SUMIFS('成交明细'!$F$5:$F$804,'成交明细'!$A$5:$A$804,A119,'成交明细'!$C$5:$C$804,"卖")/V119,"")</f>
        <v/>
      </c>
      <c r="X119" s="36" t="str">
        <f>IF(A119="","",IF(Q119&lt;&gt;"已执行",IF(Q119="","未填执行情况",Q119),IF(N(T119)=0,"待录成交",IF(N(V119)&gt;N(T119),"卖出多于买入",IF(N(V119)&lt;N(T119),"持仓中","已平仓")))))</f>
        <v/>
      </c>
      <c r="Y119" s="51" t="str">
        <f>IF(N(T119)=0,"",SUMIFS('成交明细'!$K$5:$K$804,'成交明细'!$A$5:$A$804,A119))</f>
        <v/>
      </c>
      <c r="Z119" s="52" t="str">
        <f>IF(X119&lt;&gt;"已平仓","",SUMIFS('成交明细'!$F$5:$F$804,'成交明细'!$A$5:$A$804,A119,'成交明细'!$C$5:$C$804,"卖")-SUMIFS('成交明细'!$F$5:$F$804,'成交明细'!$A$5:$A$804,A119,'成交明细'!$C$5:$C$804,"买")-Y119)</f>
        <v/>
      </c>
      <c r="AA119" s="53" t="str">
        <f>IF(AND(X119="已平仓",ISNUMBER(N119)),(Z119+Y119)/N119,"")</f>
        <v/>
      </c>
      <c r="AB119" s="53" t="str">
        <f>IF(AND(X119="已平仓",ISNUMBER(N119)),Z119/N119,"")</f>
        <v/>
      </c>
      <c r="AC119" s="54" t="str">
        <f>IF(AND(ISNUMBER(U119),ISNUMBER(H119)),U119-H119,"")</f>
        <v/>
      </c>
      <c r="AD119" s="27" t="n"/>
      <c r="AE119" s="27" t="n"/>
      <c r="AF119" s="32" t="n"/>
      <c r="AG119" s="53" t="str">
        <f>IF(A119="","",SUM(AB$5:AB119))</f>
        <v/>
      </c>
      <c r="AH119" s="55" t="str">
        <f>IF(A119="","",MAX(0,MAX(AG$5:AG119))-AG119)</f>
        <v/>
      </c>
    </row>
    <row r="120">
      <c r="A120" s="46" t="n"/>
      <c r="B120" s="31" t="n"/>
      <c r="C120" s="32" t="n"/>
      <c r="D120" s="27" t="n"/>
      <c r="E120" s="47" t="str">
        <f>IF(D120="","",IFERROR(VLOOKUP(D120,'参数'!$B$21:$C$26,2,FALSE),""))</f>
        <v/>
      </c>
      <c r="F120" s="27" t="n"/>
      <c r="G120" s="43" t="str">
        <f>IF(NOT(ISNUMBER(B120)),"",IFERROR(IF(B120-INDEX('每日复盘'!$A$5:$A$264,MATCH(B120-1,'每日复盘'!$A$5:$A$264,1))&gt;7,"",T(INDEX('每日复盘'!$AA$5:$AA$264,MATCH(B120-1,'每日复盘'!$A$5:$A$264,1)))),""))</f>
        <v/>
      </c>
      <c r="H120" s="48" t="n"/>
      <c r="I120" s="48" t="n"/>
      <c r="J120" s="48" t="n"/>
      <c r="K120" s="49" t="str">
        <f>IF(AND(ISNUMBER(H120),ISNUMBER(I120),ISNUMBER(J120)),IF(H120&gt;I120,(J120-H120)/(H120-I120),""),"")</f>
        <v/>
      </c>
      <c r="L120" s="44" t="str">
        <f>IF(AND(ISNUMBER(H120),ISNUMBER(I120)),IF(H120&gt;I120,MIN(INT(ROUND('参数'!$C$7/(H120-I120)/100,6))*100,IF(ISNUMBER(E120),IF(H120-ROUND(ROUND(I120*(1-E120),4),2)&gt;0,INT(ROUND('参数'!$C$8/(H120-ROUND(ROUND(I120*(1-E120),4),2))/100,6))*100,0),INT(ROUND('参数'!$C$7/(H120-I120)/100,6))*100)),""),"")</f>
        <v/>
      </c>
      <c r="M120" s="17" t="n"/>
      <c r="N120" s="20" t="str">
        <f>IF(AND(ISNUMBER(H120),ISNUMBER(I120),ISNUMBER(M120)),IF(AND(H120&gt;I120,M120&gt;0),(H120-I120)*M120,""),"")</f>
        <v/>
      </c>
      <c r="O120" s="20" t="str">
        <f>IF(ISNUMBER(N120),IF(ISNUMBER(E120),(H120-ROUND(ROUND(I120*(1-E120),4),2))*M120,"不设限"),"")</f>
        <v/>
      </c>
      <c r="P120" s="32" t="n"/>
      <c r="Q120" s="27" t="n"/>
      <c r="R120" s="42" t="str">
        <f>IF(N(T120)&gt;0,SUMPRODUCT(LARGE(('成交明细'!$A$5:$A$804=A120)*('成交明细'!$C$5:$C$804="买")*'成交明细'!$B$5:$B$804,COUNTIFS('成交明细'!$A$5:$A$804,A120,'成交明细'!$C$5:$C$804,"买"))),"")</f>
        <v/>
      </c>
      <c r="S120" s="42" t="str">
        <f>IF(AND(N(T120)&gt;0,N(V120)&gt;=N(T120)),SUMPRODUCT(MAX(('成交明细'!$A$5:$A$804=A120)*('成交明细'!$C$5:$C$804="卖")*'成交明细'!$B$5:$B$804)),"")</f>
        <v/>
      </c>
      <c r="T120" s="44" t="str">
        <f>IF(A120="","",SUMIFS('成交明细'!$E$5:$E$804,'成交明细'!$A$5:$A$804,A120,'成交明细'!$C$5:$C$804,"买"))</f>
        <v/>
      </c>
      <c r="U120" s="50" t="str">
        <f>IF(N(T120)&gt;0,SUMIFS('成交明细'!$F$5:$F$804,'成交明细'!$A$5:$A$804,A120,'成交明细'!$C$5:$C$804,"买")/T120,"")</f>
        <v/>
      </c>
      <c r="V120" s="44" t="str">
        <f>IF(A120="","",SUMIFS('成交明细'!$E$5:$E$804,'成交明细'!$A$5:$A$804,A120,'成交明细'!$C$5:$C$804,"卖"))</f>
        <v/>
      </c>
      <c r="W120" s="50" t="str">
        <f>IF(N(V120)&gt;0,SUMIFS('成交明细'!$F$5:$F$804,'成交明细'!$A$5:$A$804,A120,'成交明细'!$C$5:$C$804,"卖")/V120,"")</f>
        <v/>
      </c>
      <c r="X120" s="36" t="str">
        <f>IF(A120="","",IF(Q120&lt;&gt;"已执行",IF(Q120="","未填执行情况",Q120),IF(N(T120)=0,"待录成交",IF(N(V120)&gt;N(T120),"卖出多于买入",IF(N(V120)&lt;N(T120),"持仓中","已平仓")))))</f>
        <v/>
      </c>
      <c r="Y120" s="51" t="str">
        <f>IF(N(T120)=0,"",SUMIFS('成交明细'!$K$5:$K$804,'成交明细'!$A$5:$A$804,A120))</f>
        <v/>
      </c>
      <c r="Z120" s="52" t="str">
        <f>IF(X120&lt;&gt;"已平仓","",SUMIFS('成交明细'!$F$5:$F$804,'成交明细'!$A$5:$A$804,A120,'成交明细'!$C$5:$C$804,"卖")-SUMIFS('成交明细'!$F$5:$F$804,'成交明细'!$A$5:$A$804,A120,'成交明细'!$C$5:$C$804,"买")-Y120)</f>
        <v/>
      </c>
      <c r="AA120" s="53" t="str">
        <f>IF(AND(X120="已平仓",ISNUMBER(N120)),(Z120+Y120)/N120,"")</f>
        <v/>
      </c>
      <c r="AB120" s="53" t="str">
        <f>IF(AND(X120="已平仓",ISNUMBER(N120)),Z120/N120,"")</f>
        <v/>
      </c>
      <c r="AC120" s="54" t="str">
        <f>IF(AND(ISNUMBER(U120),ISNUMBER(H120)),U120-H120,"")</f>
        <v/>
      </c>
      <c r="AD120" s="27" t="n"/>
      <c r="AE120" s="27" t="n"/>
      <c r="AF120" s="32" t="n"/>
      <c r="AG120" s="53" t="str">
        <f>IF(A120="","",SUM(AB$5:AB120))</f>
        <v/>
      </c>
      <c r="AH120" s="55" t="str">
        <f>IF(A120="","",MAX(0,MAX(AG$5:AG120))-AG120)</f>
        <v/>
      </c>
    </row>
    <row r="121">
      <c r="A121" s="46" t="n"/>
      <c r="B121" s="31" t="n"/>
      <c r="C121" s="32" t="n"/>
      <c r="D121" s="27" t="n"/>
      <c r="E121" s="47" t="str">
        <f>IF(D121="","",IFERROR(VLOOKUP(D121,'参数'!$B$21:$C$26,2,FALSE),""))</f>
        <v/>
      </c>
      <c r="F121" s="27" t="n"/>
      <c r="G121" s="43" t="str">
        <f>IF(NOT(ISNUMBER(B121)),"",IFERROR(IF(B121-INDEX('每日复盘'!$A$5:$A$264,MATCH(B121-1,'每日复盘'!$A$5:$A$264,1))&gt;7,"",T(INDEX('每日复盘'!$AA$5:$AA$264,MATCH(B121-1,'每日复盘'!$A$5:$A$264,1)))),""))</f>
        <v/>
      </c>
      <c r="H121" s="48" t="n"/>
      <c r="I121" s="48" t="n"/>
      <c r="J121" s="48" t="n"/>
      <c r="K121" s="49" t="str">
        <f>IF(AND(ISNUMBER(H121),ISNUMBER(I121),ISNUMBER(J121)),IF(H121&gt;I121,(J121-H121)/(H121-I121),""),"")</f>
        <v/>
      </c>
      <c r="L121" s="44" t="str">
        <f>IF(AND(ISNUMBER(H121),ISNUMBER(I121)),IF(H121&gt;I121,MIN(INT(ROUND('参数'!$C$7/(H121-I121)/100,6))*100,IF(ISNUMBER(E121),IF(H121-ROUND(ROUND(I121*(1-E121),4),2)&gt;0,INT(ROUND('参数'!$C$8/(H121-ROUND(ROUND(I121*(1-E121),4),2))/100,6))*100,0),INT(ROUND('参数'!$C$7/(H121-I121)/100,6))*100)),""),"")</f>
        <v/>
      </c>
      <c r="M121" s="17" t="n"/>
      <c r="N121" s="20" t="str">
        <f>IF(AND(ISNUMBER(H121),ISNUMBER(I121),ISNUMBER(M121)),IF(AND(H121&gt;I121,M121&gt;0),(H121-I121)*M121,""),"")</f>
        <v/>
      </c>
      <c r="O121" s="20" t="str">
        <f>IF(ISNUMBER(N121),IF(ISNUMBER(E121),(H121-ROUND(ROUND(I121*(1-E121),4),2))*M121,"不设限"),"")</f>
        <v/>
      </c>
      <c r="P121" s="32" t="n"/>
      <c r="Q121" s="27" t="n"/>
      <c r="R121" s="42" t="str">
        <f>IF(N(T121)&gt;0,SUMPRODUCT(LARGE(('成交明细'!$A$5:$A$804=A121)*('成交明细'!$C$5:$C$804="买")*'成交明细'!$B$5:$B$804,COUNTIFS('成交明细'!$A$5:$A$804,A121,'成交明细'!$C$5:$C$804,"买"))),"")</f>
        <v/>
      </c>
      <c r="S121" s="42" t="str">
        <f>IF(AND(N(T121)&gt;0,N(V121)&gt;=N(T121)),SUMPRODUCT(MAX(('成交明细'!$A$5:$A$804=A121)*('成交明细'!$C$5:$C$804="卖")*'成交明细'!$B$5:$B$804)),"")</f>
        <v/>
      </c>
      <c r="T121" s="44" t="str">
        <f>IF(A121="","",SUMIFS('成交明细'!$E$5:$E$804,'成交明细'!$A$5:$A$804,A121,'成交明细'!$C$5:$C$804,"买"))</f>
        <v/>
      </c>
      <c r="U121" s="50" t="str">
        <f>IF(N(T121)&gt;0,SUMIFS('成交明细'!$F$5:$F$804,'成交明细'!$A$5:$A$804,A121,'成交明细'!$C$5:$C$804,"买")/T121,"")</f>
        <v/>
      </c>
      <c r="V121" s="44" t="str">
        <f>IF(A121="","",SUMIFS('成交明细'!$E$5:$E$804,'成交明细'!$A$5:$A$804,A121,'成交明细'!$C$5:$C$804,"卖"))</f>
        <v/>
      </c>
      <c r="W121" s="50" t="str">
        <f>IF(N(V121)&gt;0,SUMIFS('成交明细'!$F$5:$F$804,'成交明细'!$A$5:$A$804,A121,'成交明细'!$C$5:$C$804,"卖")/V121,"")</f>
        <v/>
      </c>
      <c r="X121" s="36" t="str">
        <f>IF(A121="","",IF(Q121&lt;&gt;"已执行",IF(Q121="","未填执行情况",Q121),IF(N(T121)=0,"待录成交",IF(N(V121)&gt;N(T121),"卖出多于买入",IF(N(V121)&lt;N(T121),"持仓中","已平仓")))))</f>
        <v/>
      </c>
      <c r="Y121" s="51" t="str">
        <f>IF(N(T121)=0,"",SUMIFS('成交明细'!$K$5:$K$804,'成交明细'!$A$5:$A$804,A121))</f>
        <v/>
      </c>
      <c r="Z121" s="52" t="str">
        <f>IF(X121&lt;&gt;"已平仓","",SUMIFS('成交明细'!$F$5:$F$804,'成交明细'!$A$5:$A$804,A121,'成交明细'!$C$5:$C$804,"卖")-SUMIFS('成交明细'!$F$5:$F$804,'成交明细'!$A$5:$A$804,A121,'成交明细'!$C$5:$C$804,"买")-Y121)</f>
        <v/>
      </c>
      <c r="AA121" s="53" t="str">
        <f>IF(AND(X121="已平仓",ISNUMBER(N121)),(Z121+Y121)/N121,"")</f>
        <v/>
      </c>
      <c r="AB121" s="53" t="str">
        <f>IF(AND(X121="已平仓",ISNUMBER(N121)),Z121/N121,"")</f>
        <v/>
      </c>
      <c r="AC121" s="54" t="str">
        <f>IF(AND(ISNUMBER(U121),ISNUMBER(H121)),U121-H121,"")</f>
        <v/>
      </c>
      <c r="AD121" s="27" t="n"/>
      <c r="AE121" s="27" t="n"/>
      <c r="AF121" s="32" t="n"/>
      <c r="AG121" s="53" t="str">
        <f>IF(A121="","",SUM(AB$5:AB121))</f>
        <v/>
      </c>
      <c r="AH121" s="55" t="str">
        <f>IF(A121="","",MAX(0,MAX(AG$5:AG121))-AG121)</f>
        <v/>
      </c>
    </row>
    <row r="122">
      <c r="A122" s="46" t="n"/>
      <c r="B122" s="31" t="n"/>
      <c r="C122" s="32" t="n"/>
      <c r="D122" s="27" t="n"/>
      <c r="E122" s="47" t="str">
        <f>IF(D122="","",IFERROR(VLOOKUP(D122,'参数'!$B$21:$C$26,2,FALSE),""))</f>
        <v/>
      </c>
      <c r="F122" s="27" t="n"/>
      <c r="G122" s="43" t="str">
        <f>IF(NOT(ISNUMBER(B122)),"",IFERROR(IF(B122-INDEX('每日复盘'!$A$5:$A$264,MATCH(B122-1,'每日复盘'!$A$5:$A$264,1))&gt;7,"",T(INDEX('每日复盘'!$AA$5:$AA$264,MATCH(B122-1,'每日复盘'!$A$5:$A$264,1)))),""))</f>
        <v/>
      </c>
      <c r="H122" s="48" t="n"/>
      <c r="I122" s="48" t="n"/>
      <c r="J122" s="48" t="n"/>
      <c r="K122" s="49" t="str">
        <f>IF(AND(ISNUMBER(H122),ISNUMBER(I122),ISNUMBER(J122)),IF(H122&gt;I122,(J122-H122)/(H122-I122),""),"")</f>
        <v/>
      </c>
      <c r="L122" s="44" t="str">
        <f>IF(AND(ISNUMBER(H122),ISNUMBER(I122)),IF(H122&gt;I122,MIN(INT(ROUND('参数'!$C$7/(H122-I122)/100,6))*100,IF(ISNUMBER(E122),IF(H122-ROUND(ROUND(I122*(1-E122),4),2)&gt;0,INT(ROUND('参数'!$C$8/(H122-ROUND(ROUND(I122*(1-E122),4),2))/100,6))*100,0),INT(ROUND('参数'!$C$7/(H122-I122)/100,6))*100)),""),"")</f>
        <v/>
      </c>
      <c r="M122" s="17" t="n"/>
      <c r="N122" s="20" t="str">
        <f>IF(AND(ISNUMBER(H122),ISNUMBER(I122),ISNUMBER(M122)),IF(AND(H122&gt;I122,M122&gt;0),(H122-I122)*M122,""),"")</f>
        <v/>
      </c>
      <c r="O122" s="20" t="str">
        <f>IF(ISNUMBER(N122),IF(ISNUMBER(E122),(H122-ROUND(ROUND(I122*(1-E122),4),2))*M122,"不设限"),"")</f>
        <v/>
      </c>
      <c r="P122" s="32" t="n"/>
      <c r="Q122" s="27" t="n"/>
      <c r="R122" s="42" t="str">
        <f>IF(N(T122)&gt;0,SUMPRODUCT(LARGE(('成交明细'!$A$5:$A$804=A122)*('成交明细'!$C$5:$C$804="买")*'成交明细'!$B$5:$B$804,COUNTIFS('成交明细'!$A$5:$A$804,A122,'成交明细'!$C$5:$C$804,"买"))),"")</f>
        <v/>
      </c>
      <c r="S122" s="42" t="str">
        <f>IF(AND(N(T122)&gt;0,N(V122)&gt;=N(T122)),SUMPRODUCT(MAX(('成交明细'!$A$5:$A$804=A122)*('成交明细'!$C$5:$C$804="卖")*'成交明细'!$B$5:$B$804)),"")</f>
        <v/>
      </c>
      <c r="T122" s="44" t="str">
        <f>IF(A122="","",SUMIFS('成交明细'!$E$5:$E$804,'成交明细'!$A$5:$A$804,A122,'成交明细'!$C$5:$C$804,"买"))</f>
        <v/>
      </c>
      <c r="U122" s="50" t="str">
        <f>IF(N(T122)&gt;0,SUMIFS('成交明细'!$F$5:$F$804,'成交明细'!$A$5:$A$804,A122,'成交明细'!$C$5:$C$804,"买")/T122,"")</f>
        <v/>
      </c>
      <c r="V122" s="44" t="str">
        <f>IF(A122="","",SUMIFS('成交明细'!$E$5:$E$804,'成交明细'!$A$5:$A$804,A122,'成交明细'!$C$5:$C$804,"卖"))</f>
        <v/>
      </c>
      <c r="W122" s="50" t="str">
        <f>IF(N(V122)&gt;0,SUMIFS('成交明细'!$F$5:$F$804,'成交明细'!$A$5:$A$804,A122,'成交明细'!$C$5:$C$804,"卖")/V122,"")</f>
        <v/>
      </c>
      <c r="X122" s="36" t="str">
        <f>IF(A122="","",IF(Q122&lt;&gt;"已执行",IF(Q122="","未填执行情况",Q122),IF(N(T122)=0,"待录成交",IF(N(V122)&gt;N(T122),"卖出多于买入",IF(N(V122)&lt;N(T122),"持仓中","已平仓")))))</f>
        <v/>
      </c>
      <c r="Y122" s="51" t="str">
        <f>IF(N(T122)=0,"",SUMIFS('成交明细'!$K$5:$K$804,'成交明细'!$A$5:$A$804,A122))</f>
        <v/>
      </c>
      <c r="Z122" s="52" t="str">
        <f>IF(X122&lt;&gt;"已平仓","",SUMIFS('成交明细'!$F$5:$F$804,'成交明细'!$A$5:$A$804,A122,'成交明细'!$C$5:$C$804,"卖")-SUMIFS('成交明细'!$F$5:$F$804,'成交明细'!$A$5:$A$804,A122,'成交明细'!$C$5:$C$804,"买")-Y122)</f>
        <v/>
      </c>
      <c r="AA122" s="53" t="str">
        <f>IF(AND(X122="已平仓",ISNUMBER(N122)),(Z122+Y122)/N122,"")</f>
        <v/>
      </c>
      <c r="AB122" s="53" t="str">
        <f>IF(AND(X122="已平仓",ISNUMBER(N122)),Z122/N122,"")</f>
        <v/>
      </c>
      <c r="AC122" s="54" t="str">
        <f>IF(AND(ISNUMBER(U122),ISNUMBER(H122)),U122-H122,"")</f>
        <v/>
      </c>
      <c r="AD122" s="27" t="n"/>
      <c r="AE122" s="27" t="n"/>
      <c r="AF122" s="32" t="n"/>
      <c r="AG122" s="53" t="str">
        <f>IF(A122="","",SUM(AB$5:AB122))</f>
        <v/>
      </c>
      <c r="AH122" s="55" t="str">
        <f>IF(A122="","",MAX(0,MAX(AG$5:AG122))-AG122)</f>
        <v/>
      </c>
    </row>
    <row r="123">
      <c r="A123" s="46" t="n"/>
      <c r="B123" s="31" t="n"/>
      <c r="C123" s="32" t="n"/>
      <c r="D123" s="27" t="n"/>
      <c r="E123" s="47" t="str">
        <f>IF(D123="","",IFERROR(VLOOKUP(D123,'参数'!$B$21:$C$26,2,FALSE),""))</f>
        <v/>
      </c>
      <c r="F123" s="27" t="n"/>
      <c r="G123" s="43" t="str">
        <f>IF(NOT(ISNUMBER(B123)),"",IFERROR(IF(B123-INDEX('每日复盘'!$A$5:$A$264,MATCH(B123-1,'每日复盘'!$A$5:$A$264,1))&gt;7,"",T(INDEX('每日复盘'!$AA$5:$AA$264,MATCH(B123-1,'每日复盘'!$A$5:$A$264,1)))),""))</f>
        <v/>
      </c>
      <c r="H123" s="48" t="n"/>
      <c r="I123" s="48" t="n"/>
      <c r="J123" s="48" t="n"/>
      <c r="K123" s="49" t="str">
        <f>IF(AND(ISNUMBER(H123),ISNUMBER(I123),ISNUMBER(J123)),IF(H123&gt;I123,(J123-H123)/(H123-I123),""),"")</f>
        <v/>
      </c>
      <c r="L123" s="44" t="str">
        <f>IF(AND(ISNUMBER(H123),ISNUMBER(I123)),IF(H123&gt;I123,MIN(INT(ROUND('参数'!$C$7/(H123-I123)/100,6))*100,IF(ISNUMBER(E123),IF(H123-ROUND(ROUND(I123*(1-E123),4),2)&gt;0,INT(ROUND('参数'!$C$8/(H123-ROUND(ROUND(I123*(1-E123),4),2))/100,6))*100,0),INT(ROUND('参数'!$C$7/(H123-I123)/100,6))*100)),""),"")</f>
        <v/>
      </c>
      <c r="M123" s="17" t="n"/>
      <c r="N123" s="20" t="str">
        <f>IF(AND(ISNUMBER(H123),ISNUMBER(I123),ISNUMBER(M123)),IF(AND(H123&gt;I123,M123&gt;0),(H123-I123)*M123,""),"")</f>
        <v/>
      </c>
      <c r="O123" s="20" t="str">
        <f>IF(ISNUMBER(N123),IF(ISNUMBER(E123),(H123-ROUND(ROUND(I123*(1-E123),4),2))*M123,"不设限"),"")</f>
        <v/>
      </c>
      <c r="P123" s="32" t="n"/>
      <c r="Q123" s="27" t="n"/>
      <c r="R123" s="42" t="str">
        <f>IF(N(T123)&gt;0,SUMPRODUCT(LARGE(('成交明细'!$A$5:$A$804=A123)*('成交明细'!$C$5:$C$804="买")*'成交明细'!$B$5:$B$804,COUNTIFS('成交明细'!$A$5:$A$804,A123,'成交明细'!$C$5:$C$804,"买"))),"")</f>
        <v/>
      </c>
      <c r="S123" s="42" t="str">
        <f>IF(AND(N(T123)&gt;0,N(V123)&gt;=N(T123)),SUMPRODUCT(MAX(('成交明细'!$A$5:$A$804=A123)*('成交明细'!$C$5:$C$804="卖")*'成交明细'!$B$5:$B$804)),"")</f>
        <v/>
      </c>
      <c r="T123" s="44" t="str">
        <f>IF(A123="","",SUMIFS('成交明细'!$E$5:$E$804,'成交明细'!$A$5:$A$804,A123,'成交明细'!$C$5:$C$804,"买"))</f>
        <v/>
      </c>
      <c r="U123" s="50" t="str">
        <f>IF(N(T123)&gt;0,SUMIFS('成交明细'!$F$5:$F$804,'成交明细'!$A$5:$A$804,A123,'成交明细'!$C$5:$C$804,"买")/T123,"")</f>
        <v/>
      </c>
      <c r="V123" s="44" t="str">
        <f>IF(A123="","",SUMIFS('成交明细'!$E$5:$E$804,'成交明细'!$A$5:$A$804,A123,'成交明细'!$C$5:$C$804,"卖"))</f>
        <v/>
      </c>
      <c r="W123" s="50" t="str">
        <f>IF(N(V123)&gt;0,SUMIFS('成交明细'!$F$5:$F$804,'成交明细'!$A$5:$A$804,A123,'成交明细'!$C$5:$C$804,"卖")/V123,"")</f>
        <v/>
      </c>
      <c r="X123" s="36" t="str">
        <f>IF(A123="","",IF(Q123&lt;&gt;"已执行",IF(Q123="","未填执行情况",Q123),IF(N(T123)=0,"待录成交",IF(N(V123)&gt;N(T123),"卖出多于买入",IF(N(V123)&lt;N(T123),"持仓中","已平仓")))))</f>
        <v/>
      </c>
      <c r="Y123" s="51" t="str">
        <f>IF(N(T123)=0,"",SUMIFS('成交明细'!$K$5:$K$804,'成交明细'!$A$5:$A$804,A123))</f>
        <v/>
      </c>
      <c r="Z123" s="52" t="str">
        <f>IF(X123&lt;&gt;"已平仓","",SUMIFS('成交明细'!$F$5:$F$804,'成交明细'!$A$5:$A$804,A123,'成交明细'!$C$5:$C$804,"卖")-SUMIFS('成交明细'!$F$5:$F$804,'成交明细'!$A$5:$A$804,A123,'成交明细'!$C$5:$C$804,"买")-Y123)</f>
        <v/>
      </c>
      <c r="AA123" s="53" t="str">
        <f>IF(AND(X123="已平仓",ISNUMBER(N123)),(Z123+Y123)/N123,"")</f>
        <v/>
      </c>
      <c r="AB123" s="53" t="str">
        <f>IF(AND(X123="已平仓",ISNUMBER(N123)),Z123/N123,"")</f>
        <v/>
      </c>
      <c r="AC123" s="54" t="str">
        <f>IF(AND(ISNUMBER(U123),ISNUMBER(H123)),U123-H123,"")</f>
        <v/>
      </c>
      <c r="AD123" s="27" t="n"/>
      <c r="AE123" s="27" t="n"/>
      <c r="AF123" s="32" t="n"/>
      <c r="AG123" s="53" t="str">
        <f>IF(A123="","",SUM(AB$5:AB123))</f>
        <v/>
      </c>
      <c r="AH123" s="55" t="str">
        <f>IF(A123="","",MAX(0,MAX(AG$5:AG123))-AG123)</f>
        <v/>
      </c>
    </row>
    <row r="124">
      <c r="A124" s="46" t="n"/>
      <c r="B124" s="31" t="n"/>
      <c r="C124" s="32" t="n"/>
      <c r="D124" s="27" t="n"/>
      <c r="E124" s="47" t="str">
        <f>IF(D124="","",IFERROR(VLOOKUP(D124,'参数'!$B$21:$C$26,2,FALSE),""))</f>
        <v/>
      </c>
      <c r="F124" s="27" t="n"/>
      <c r="G124" s="43" t="str">
        <f>IF(NOT(ISNUMBER(B124)),"",IFERROR(IF(B124-INDEX('每日复盘'!$A$5:$A$264,MATCH(B124-1,'每日复盘'!$A$5:$A$264,1))&gt;7,"",T(INDEX('每日复盘'!$AA$5:$AA$264,MATCH(B124-1,'每日复盘'!$A$5:$A$264,1)))),""))</f>
        <v/>
      </c>
      <c r="H124" s="48" t="n"/>
      <c r="I124" s="48" t="n"/>
      <c r="J124" s="48" t="n"/>
      <c r="K124" s="49" t="str">
        <f>IF(AND(ISNUMBER(H124),ISNUMBER(I124),ISNUMBER(J124)),IF(H124&gt;I124,(J124-H124)/(H124-I124),""),"")</f>
        <v/>
      </c>
      <c r="L124" s="44" t="str">
        <f>IF(AND(ISNUMBER(H124),ISNUMBER(I124)),IF(H124&gt;I124,MIN(INT(ROUND('参数'!$C$7/(H124-I124)/100,6))*100,IF(ISNUMBER(E124),IF(H124-ROUND(ROUND(I124*(1-E124),4),2)&gt;0,INT(ROUND('参数'!$C$8/(H124-ROUND(ROUND(I124*(1-E124),4),2))/100,6))*100,0),INT(ROUND('参数'!$C$7/(H124-I124)/100,6))*100)),""),"")</f>
        <v/>
      </c>
      <c r="M124" s="17" t="n"/>
      <c r="N124" s="20" t="str">
        <f>IF(AND(ISNUMBER(H124),ISNUMBER(I124),ISNUMBER(M124)),IF(AND(H124&gt;I124,M124&gt;0),(H124-I124)*M124,""),"")</f>
        <v/>
      </c>
      <c r="O124" s="20" t="str">
        <f>IF(ISNUMBER(N124),IF(ISNUMBER(E124),(H124-ROUND(ROUND(I124*(1-E124),4),2))*M124,"不设限"),"")</f>
        <v/>
      </c>
      <c r="P124" s="32" t="n"/>
      <c r="Q124" s="27" t="n"/>
      <c r="R124" s="42" t="str">
        <f>IF(N(T124)&gt;0,SUMPRODUCT(LARGE(('成交明细'!$A$5:$A$804=A124)*('成交明细'!$C$5:$C$804="买")*'成交明细'!$B$5:$B$804,COUNTIFS('成交明细'!$A$5:$A$804,A124,'成交明细'!$C$5:$C$804,"买"))),"")</f>
        <v/>
      </c>
      <c r="S124" s="42" t="str">
        <f>IF(AND(N(T124)&gt;0,N(V124)&gt;=N(T124)),SUMPRODUCT(MAX(('成交明细'!$A$5:$A$804=A124)*('成交明细'!$C$5:$C$804="卖")*'成交明细'!$B$5:$B$804)),"")</f>
        <v/>
      </c>
      <c r="T124" s="44" t="str">
        <f>IF(A124="","",SUMIFS('成交明细'!$E$5:$E$804,'成交明细'!$A$5:$A$804,A124,'成交明细'!$C$5:$C$804,"买"))</f>
        <v/>
      </c>
      <c r="U124" s="50" t="str">
        <f>IF(N(T124)&gt;0,SUMIFS('成交明细'!$F$5:$F$804,'成交明细'!$A$5:$A$804,A124,'成交明细'!$C$5:$C$804,"买")/T124,"")</f>
        <v/>
      </c>
      <c r="V124" s="44" t="str">
        <f>IF(A124="","",SUMIFS('成交明细'!$E$5:$E$804,'成交明细'!$A$5:$A$804,A124,'成交明细'!$C$5:$C$804,"卖"))</f>
        <v/>
      </c>
      <c r="W124" s="50" t="str">
        <f>IF(N(V124)&gt;0,SUMIFS('成交明细'!$F$5:$F$804,'成交明细'!$A$5:$A$804,A124,'成交明细'!$C$5:$C$804,"卖")/V124,"")</f>
        <v/>
      </c>
      <c r="X124" s="36" t="str">
        <f>IF(A124="","",IF(Q124&lt;&gt;"已执行",IF(Q124="","未填执行情况",Q124),IF(N(T124)=0,"待录成交",IF(N(V124)&gt;N(T124),"卖出多于买入",IF(N(V124)&lt;N(T124),"持仓中","已平仓")))))</f>
        <v/>
      </c>
      <c r="Y124" s="51" t="str">
        <f>IF(N(T124)=0,"",SUMIFS('成交明细'!$K$5:$K$804,'成交明细'!$A$5:$A$804,A124))</f>
        <v/>
      </c>
      <c r="Z124" s="52" t="str">
        <f>IF(X124&lt;&gt;"已平仓","",SUMIFS('成交明细'!$F$5:$F$804,'成交明细'!$A$5:$A$804,A124,'成交明细'!$C$5:$C$804,"卖")-SUMIFS('成交明细'!$F$5:$F$804,'成交明细'!$A$5:$A$804,A124,'成交明细'!$C$5:$C$804,"买")-Y124)</f>
        <v/>
      </c>
      <c r="AA124" s="53" t="str">
        <f>IF(AND(X124="已平仓",ISNUMBER(N124)),(Z124+Y124)/N124,"")</f>
        <v/>
      </c>
      <c r="AB124" s="53" t="str">
        <f>IF(AND(X124="已平仓",ISNUMBER(N124)),Z124/N124,"")</f>
        <v/>
      </c>
      <c r="AC124" s="54" t="str">
        <f>IF(AND(ISNUMBER(U124),ISNUMBER(H124)),U124-H124,"")</f>
        <v/>
      </c>
      <c r="AD124" s="27" t="n"/>
      <c r="AE124" s="27" t="n"/>
      <c r="AF124" s="32" t="n"/>
      <c r="AG124" s="53" t="str">
        <f>IF(A124="","",SUM(AB$5:AB124))</f>
        <v/>
      </c>
      <c r="AH124" s="55" t="str">
        <f>IF(A124="","",MAX(0,MAX(AG$5:AG124))-AG124)</f>
        <v/>
      </c>
    </row>
    <row r="125">
      <c r="A125" s="46" t="n"/>
      <c r="B125" s="31" t="n"/>
      <c r="C125" s="32" t="n"/>
      <c r="D125" s="27" t="n"/>
      <c r="E125" s="47" t="str">
        <f>IF(D125="","",IFERROR(VLOOKUP(D125,'参数'!$B$21:$C$26,2,FALSE),""))</f>
        <v/>
      </c>
      <c r="F125" s="27" t="n"/>
      <c r="G125" s="43" t="str">
        <f>IF(NOT(ISNUMBER(B125)),"",IFERROR(IF(B125-INDEX('每日复盘'!$A$5:$A$264,MATCH(B125-1,'每日复盘'!$A$5:$A$264,1))&gt;7,"",T(INDEX('每日复盘'!$AA$5:$AA$264,MATCH(B125-1,'每日复盘'!$A$5:$A$264,1)))),""))</f>
        <v/>
      </c>
      <c r="H125" s="48" t="n"/>
      <c r="I125" s="48" t="n"/>
      <c r="J125" s="48" t="n"/>
      <c r="K125" s="49" t="str">
        <f>IF(AND(ISNUMBER(H125),ISNUMBER(I125),ISNUMBER(J125)),IF(H125&gt;I125,(J125-H125)/(H125-I125),""),"")</f>
        <v/>
      </c>
      <c r="L125" s="44" t="str">
        <f>IF(AND(ISNUMBER(H125),ISNUMBER(I125)),IF(H125&gt;I125,MIN(INT(ROUND('参数'!$C$7/(H125-I125)/100,6))*100,IF(ISNUMBER(E125),IF(H125-ROUND(ROUND(I125*(1-E125),4),2)&gt;0,INT(ROUND('参数'!$C$8/(H125-ROUND(ROUND(I125*(1-E125),4),2))/100,6))*100,0),INT(ROUND('参数'!$C$7/(H125-I125)/100,6))*100)),""),"")</f>
        <v/>
      </c>
      <c r="M125" s="17" t="n"/>
      <c r="N125" s="20" t="str">
        <f>IF(AND(ISNUMBER(H125),ISNUMBER(I125),ISNUMBER(M125)),IF(AND(H125&gt;I125,M125&gt;0),(H125-I125)*M125,""),"")</f>
        <v/>
      </c>
      <c r="O125" s="20" t="str">
        <f>IF(ISNUMBER(N125),IF(ISNUMBER(E125),(H125-ROUND(ROUND(I125*(1-E125),4),2))*M125,"不设限"),"")</f>
        <v/>
      </c>
      <c r="P125" s="32" t="n"/>
      <c r="Q125" s="27" t="n"/>
      <c r="R125" s="42" t="str">
        <f>IF(N(T125)&gt;0,SUMPRODUCT(LARGE(('成交明细'!$A$5:$A$804=A125)*('成交明细'!$C$5:$C$804="买")*'成交明细'!$B$5:$B$804,COUNTIFS('成交明细'!$A$5:$A$804,A125,'成交明细'!$C$5:$C$804,"买"))),"")</f>
        <v/>
      </c>
      <c r="S125" s="42" t="str">
        <f>IF(AND(N(T125)&gt;0,N(V125)&gt;=N(T125)),SUMPRODUCT(MAX(('成交明细'!$A$5:$A$804=A125)*('成交明细'!$C$5:$C$804="卖")*'成交明细'!$B$5:$B$804)),"")</f>
        <v/>
      </c>
      <c r="T125" s="44" t="str">
        <f>IF(A125="","",SUMIFS('成交明细'!$E$5:$E$804,'成交明细'!$A$5:$A$804,A125,'成交明细'!$C$5:$C$804,"买"))</f>
        <v/>
      </c>
      <c r="U125" s="50" t="str">
        <f>IF(N(T125)&gt;0,SUMIFS('成交明细'!$F$5:$F$804,'成交明细'!$A$5:$A$804,A125,'成交明细'!$C$5:$C$804,"买")/T125,"")</f>
        <v/>
      </c>
      <c r="V125" s="44" t="str">
        <f>IF(A125="","",SUMIFS('成交明细'!$E$5:$E$804,'成交明细'!$A$5:$A$804,A125,'成交明细'!$C$5:$C$804,"卖"))</f>
        <v/>
      </c>
      <c r="W125" s="50" t="str">
        <f>IF(N(V125)&gt;0,SUMIFS('成交明细'!$F$5:$F$804,'成交明细'!$A$5:$A$804,A125,'成交明细'!$C$5:$C$804,"卖")/V125,"")</f>
        <v/>
      </c>
      <c r="X125" s="36" t="str">
        <f>IF(A125="","",IF(Q125&lt;&gt;"已执行",IF(Q125="","未填执行情况",Q125),IF(N(T125)=0,"待录成交",IF(N(V125)&gt;N(T125),"卖出多于买入",IF(N(V125)&lt;N(T125),"持仓中","已平仓")))))</f>
        <v/>
      </c>
      <c r="Y125" s="51" t="str">
        <f>IF(N(T125)=0,"",SUMIFS('成交明细'!$K$5:$K$804,'成交明细'!$A$5:$A$804,A125))</f>
        <v/>
      </c>
      <c r="Z125" s="52" t="str">
        <f>IF(X125&lt;&gt;"已平仓","",SUMIFS('成交明细'!$F$5:$F$804,'成交明细'!$A$5:$A$804,A125,'成交明细'!$C$5:$C$804,"卖")-SUMIFS('成交明细'!$F$5:$F$804,'成交明细'!$A$5:$A$804,A125,'成交明细'!$C$5:$C$804,"买")-Y125)</f>
        <v/>
      </c>
      <c r="AA125" s="53" t="str">
        <f>IF(AND(X125="已平仓",ISNUMBER(N125)),(Z125+Y125)/N125,"")</f>
        <v/>
      </c>
      <c r="AB125" s="53" t="str">
        <f>IF(AND(X125="已平仓",ISNUMBER(N125)),Z125/N125,"")</f>
        <v/>
      </c>
      <c r="AC125" s="54" t="str">
        <f>IF(AND(ISNUMBER(U125),ISNUMBER(H125)),U125-H125,"")</f>
        <v/>
      </c>
      <c r="AD125" s="27" t="n"/>
      <c r="AE125" s="27" t="n"/>
      <c r="AF125" s="32" t="n"/>
      <c r="AG125" s="53" t="str">
        <f>IF(A125="","",SUM(AB$5:AB125))</f>
        <v/>
      </c>
      <c r="AH125" s="55" t="str">
        <f>IF(A125="","",MAX(0,MAX(AG$5:AG125))-AG125)</f>
        <v/>
      </c>
    </row>
    <row r="126">
      <c r="A126" s="46" t="n"/>
      <c r="B126" s="31" t="n"/>
      <c r="C126" s="32" t="n"/>
      <c r="D126" s="27" t="n"/>
      <c r="E126" s="47" t="str">
        <f>IF(D126="","",IFERROR(VLOOKUP(D126,'参数'!$B$21:$C$26,2,FALSE),""))</f>
        <v/>
      </c>
      <c r="F126" s="27" t="n"/>
      <c r="G126" s="43" t="str">
        <f>IF(NOT(ISNUMBER(B126)),"",IFERROR(IF(B126-INDEX('每日复盘'!$A$5:$A$264,MATCH(B126-1,'每日复盘'!$A$5:$A$264,1))&gt;7,"",T(INDEX('每日复盘'!$AA$5:$AA$264,MATCH(B126-1,'每日复盘'!$A$5:$A$264,1)))),""))</f>
        <v/>
      </c>
      <c r="H126" s="48" t="n"/>
      <c r="I126" s="48" t="n"/>
      <c r="J126" s="48" t="n"/>
      <c r="K126" s="49" t="str">
        <f>IF(AND(ISNUMBER(H126),ISNUMBER(I126),ISNUMBER(J126)),IF(H126&gt;I126,(J126-H126)/(H126-I126),""),"")</f>
        <v/>
      </c>
      <c r="L126" s="44" t="str">
        <f>IF(AND(ISNUMBER(H126),ISNUMBER(I126)),IF(H126&gt;I126,MIN(INT(ROUND('参数'!$C$7/(H126-I126)/100,6))*100,IF(ISNUMBER(E126),IF(H126-ROUND(ROUND(I126*(1-E126),4),2)&gt;0,INT(ROUND('参数'!$C$8/(H126-ROUND(ROUND(I126*(1-E126),4),2))/100,6))*100,0),INT(ROUND('参数'!$C$7/(H126-I126)/100,6))*100)),""),"")</f>
        <v/>
      </c>
      <c r="M126" s="17" t="n"/>
      <c r="N126" s="20" t="str">
        <f>IF(AND(ISNUMBER(H126),ISNUMBER(I126),ISNUMBER(M126)),IF(AND(H126&gt;I126,M126&gt;0),(H126-I126)*M126,""),"")</f>
        <v/>
      </c>
      <c r="O126" s="20" t="str">
        <f>IF(ISNUMBER(N126),IF(ISNUMBER(E126),(H126-ROUND(ROUND(I126*(1-E126),4),2))*M126,"不设限"),"")</f>
        <v/>
      </c>
      <c r="P126" s="32" t="n"/>
      <c r="Q126" s="27" t="n"/>
      <c r="R126" s="42" t="str">
        <f>IF(N(T126)&gt;0,SUMPRODUCT(LARGE(('成交明细'!$A$5:$A$804=A126)*('成交明细'!$C$5:$C$804="买")*'成交明细'!$B$5:$B$804,COUNTIFS('成交明细'!$A$5:$A$804,A126,'成交明细'!$C$5:$C$804,"买"))),"")</f>
        <v/>
      </c>
      <c r="S126" s="42" t="str">
        <f>IF(AND(N(T126)&gt;0,N(V126)&gt;=N(T126)),SUMPRODUCT(MAX(('成交明细'!$A$5:$A$804=A126)*('成交明细'!$C$5:$C$804="卖")*'成交明细'!$B$5:$B$804)),"")</f>
        <v/>
      </c>
      <c r="T126" s="44" t="str">
        <f>IF(A126="","",SUMIFS('成交明细'!$E$5:$E$804,'成交明细'!$A$5:$A$804,A126,'成交明细'!$C$5:$C$804,"买"))</f>
        <v/>
      </c>
      <c r="U126" s="50" t="str">
        <f>IF(N(T126)&gt;0,SUMIFS('成交明细'!$F$5:$F$804,'成交明细'!$A$5:$A$804,A126,'成交明细'!$C$5:$C$804,"买")/T126,"")</f>
        <v/>
      </c>
      <c r="V126" s="44" t="str">
        <f>IF(A126="","",SUMIFS('成交明细'!$E$5:$E$804,'成交明细'!$A$5:$A$804,A126,'成交明细'!$C$5:$C$804,"卖"))</f>
        <v/>
      </c>
      <c r="W126" s="50" t="str">
        <f>IF(N(V126)&gt;0,SUMIFS('成交明细'!$F$5:$F$804,'成交明细'!$A$5:$A$804,A126,'成交明细'!$C$5:$C$804,"卖")/V126,"")</f>
        <v/>
      </c>
      <c r="X126" s="36" t="str">
        <f>IF(A126="","",IF(Q126&lt;&gt;"已执行",IF(Q126="","未填执行情况",Q126),IF(N(T126)=0,"待录成交",IF(N(V126)&gt;N(T126),"卖出多于买入",IF(N(V126)&lt;N(T126),"持仓中","已平仓")))))</f>
        <v/>
      </c>
      <c r="Y126" s="51" t="str">
        <f>IF(N(T126)=0,"",SUMIFS('成交明细'!$K$5:$K$804,'成交明细'!$A$5:$A$804,A126))</f>
        <v/>
      </c>
      <c r="Z126" s="52" t="str">
        <f>IF(X126&lt;&gt;"已平仓","",SUMIFS('成交明细'!$F$5:$F$804,'成交明细'!$A$5:$A$804,A126,'成交明细'!$C$5:$C$804,"卖")-SUMIFS('成交明细'!$F$5:$F$804,'成交明细'!$A$5:$A$804,A126,'成交明细'!$C$5:$C$804,"买")-Y126)</f>
        <v/>
      </c>
      <c r="AA126" s="53" t="str">
        <f>IF(AND(X126="已平仓",ISNUMBER(N126)),(Z126+Y126)/N126,"")</f>
        <v/>
      </c>
      <c r="AB126" s="53" t="str">
        <f>IF(AND(X126="已平仓",ISNUMBER(N126)),Z126/N126,"")</f>
        <v/>
      </c>
      <c r="AC126" s="54" t="str">
        <f>IF(AND(ISNUMBER(U126),ISNUMBER(H126)),U126-H126,"")</f>
        <v/>
      </c>
      <c r="AD126" s="27" t="n"/>
      <c r="AE126" s="27" t="n"/>
      <c r="AF126" s="32" t="n"/>
      <c r="AG126" s="53" t="str">
        <f>IF(A126="","",SUM(AB$5:AB126))</f>
        <v/>
      </c>
      <c r="AH126" s="55" t="str">
        <f>IF(A126="","",MAX(0,MAX(AG$5:AG126))-AG126)</f>
        <v/>
      </c>
    </row>
    <row r="127">
      <c r="A127" s="46" t="n"/>
      <c r="B127" s="31" t="n"/>
      <c r="C127" s="32" t="n"/>
      <c r="D127" s="27" t="n"/>
      <c r="E127" s="47" t="str">
        <f>IF(D127="","",IFERROR(VLOOKUP(D127,'参数'!$B$21:$C$26,2,FALSE),""))</f>
        <v/>
      </c>
      <c r="F127" s="27" t="n"/>
      <c r="G127" s="43" t="str">
        <f>IF(NOT(ISNUMBER(B127)),"",IFERROR(IF(B127-INDEX('每日复盘'!$A$5:$A$264,MATCH(B127-1,'每日复盘'!$A$5:$A$264,1))&gt;7,"",T(INDEX('每日复盘'!$AA$5:$AA$264,MATCH(B127-1,'每日复盘'!$A$5:$A$264,1)))),""))</f>
        <v/>
      </c>
      <c r="H127" s="48" t="n"/>
      <c r="I127" s="48" t="n"/>
      <c r="J127" s="48" t="n"/>
      <c r="K127" s="49" t="str">
        <f>IF(AND(ISNUMBER(H127),ISNUMBER(I127),ISNUMBER(J127)),IF(H127&gt;I127,(J127-H127)/(H127-I127),""),"")</f>
        <v/>
      </c>
      <c r="L127" s="44" t="str">
        <f>IF(AND(ISNUMBER(H127),ISNUMBER(I127)),IF(H127&gt;I127,MIN(INT(ROUND('参数'!$C$7/(H127-I127)/100,6))*100,IF(ISNUMBER(E127),IF(H127-ROUND(ROUND(I127*(1-E127),4),2)&gt;0,INT(ROUND('参数'!$C$8/(H127-ROUND(ROUND(I127*(1-E127),4),2))/100,6))*100,0),INT(ROUND('参数'!$C$7/(H127-I127)/100,6))*100)),""),"")</f>
        <v/>
      </c>
      <c r="M127" s="17" t="n"/>
      <c r="N127" s="20" t="str">
        <f>IF(AND(ISNUMBER(H127),ISNUMBER(I127),ISNUMBER(M127)),IF(AND(H127&gt;I127,M127&gt;0),(H127-I127)*M127,""),"")</f>
        <v/>
      </c>
      <c r="O127" s="20" t="str">
        <f>IF(ISNUMBER(N127),IF(ISNUMBER(E127),(H127-ROUND(ROUND(I127*(1-E127),4),2))*M127,"不设限"),"")</f>
        <v/>
      </c>
      <c r="P127" s="32" t="n"/>
      <c r="Q127" s="27" t="n"/>
      <c r="R127" s="42" t="str">
        <f>IF(N(T127)&gt;0,SUMPRODUCT(LARGE(('成交明细'!$A$5:$A$804=A127)*('成交明细'!$C$5:$C$804="买")*'成交明细'!$B$5:$B$804,COUNTIFS('成交明细'!$A$5:$A$804,A127,'成交明细'!$C$5:$C$804,"买"))),"")</f>
        <v/>
      </c>
      <c r="S127" s="42" t="str">
        <f>IF(AND(N(T127)&gt;0,N(V127)&gt;=N(T127)),SUMPRODUCT(MAX(('成交明细'!$A$5:$A$804=A127)*('成交明细'!$C$5:$C$804="卖")*'成交明细'!$B$5:$B$804)),"")</f>
        <v/>
      </c>
      <c r="T127" s="44" t="str">
        <f>IF(A127="","",SUMIFS('成交明细'!$E$5:$E$804,'成交明细'!$A$5:$A$804,A127,'成交明细'!$C$5:$C$804,"买"))</f>
        <v/>
      </c>
      <c r="U127" s="50" t="str">
        <f>IF(N(T127)&gt;0,SUMIFS('成交明细'!$F$5:$F$804,'成交明细'!$A$5:$A$804,A127,'成交明细'!$C$5:$C$804,"买")/T127,"")</f>
        <v/>
      </c>
      <c r="V127" s="44" t="str">
        <f>IF(A127="","",SUMIFS('成交明细'!$E$5:$E$804,'成交明细'!$A$5:$A$804,A127,'成交明细'!$C$5:$C$804,"卖"))</f>
        <v/>
      </c>
      <c r="W127" s="50" t="str">
        <f>IF(N(V127)&gt;0,SUMIFS('成交明细'!$F$5:$F$804,'成交明细'!$A$5:$A$804,A127,'成交明细'!$C$5:$C$804,"卖")/V127,"")</f>
        <v/>
      </c>
      <c r="X127" s="36" t="str">
        <f>IF(A127="","",IF(Q127&lt;&gt;"已执行",IF(Q127="","未填执行情况",Q127),IF(N(T127)=0,"待录成交",IF(N(V127)&gt;N(T127),"卖出多于买入",IF(N(V127)&lt;N(T127),"持仓中","已平仓")))))</f>
        <v/>
      </c>
      <c r="Y127" s="51" t="str">
        <f>IF(N(T127)=0,"",SUMIFS('成交明细'!$K$5:$K$804,'成交明细'!$A$5:$A$804,A127))</f>
        <v/>
      </c>
      <c r="Z127" s="52" t="str">
        <f>IF(X127&lt;&gt;"已平仓","",SUMIFS('成交明细'!$F$5:$F$804,'成交明细'!$A$5:$A$804,A127,'成交明细'!$C$5:$C$804,"卖")-SUMIFS('成交明细'!$F$5:$F$804,'成交明细'!$A$5:$A$804,A127,'成交明细'!$C$5:$C$804,"买")-Y127)</f>
        <v/>
      </c>
      <c r="AA127" s="53" t="str">
        <f>IF(AND(X127="已平仓",ISNUMBER(N127)),(Z127+Y127)/N127,"")</f>
        <v/>
      </c>
      <c r="AB127" s="53" t="str">
        <f>IF(AND(X127="已平仓",ISNUMBER(N127)),Z127/N127,"")</f>
        <v/>
      </c>
      <c r="AC127" s="54" t="str">
        <f>IF(AND(ISNUMBER(U127),ISNUMBER(H127)),U127-H127,"")</f>
        <v/>
      </c>
      <c r="AD127" s="27" t="n"/>
      <c r="AE127" s="27" t="n"/>
      <c r="AF127" s="32" t="n"/>
      <c r="AG127" s="53" t="str">
        <f>IF(A127="","",SUM(AB$5:AB127))</f>
        <v/>
      </c>
      <c r="AH127" s="55" t="str">
        <f>IF(A127="","",MAX(0,MAX(AG$5:AG127))-AG127)</f>
        <v/>
      </c>
    </row>
    <row r="128">
      <c r="A128" s="46" t="n"/>
      <c r="B128" s="31" t="n"/>
      <c r="C128" s="32" t="n"/>
      <c r="D128" s="27" t="n"/>
      <c r="E128" s="47" t="str">
        <f>IF(D128="","",IFERROR(VLOOKUP(D128,'参数'!$B$21:$C$26,2,FALSE),""))</f>
        <v/>
      </c>
      <c r="F128" s="27" t="n"/>
      <c r="G128" s="43" t="str">
        <f>IF(NOT(ISNUMBER(B128)),"",IFERROR(IF(B128-INDEX('每日复盘'!$A$5:$A$264,MATCH(B128-1,'每日复盘'!$A$5:$A$264,1))&gt;7,"",T(INDEX('每日复盘'!$AA$5:$AA$264,MATCH(B128-1,'每日复盘'!$A$5:$A$264,1)))),""))</f>
        <v/>
      </c>
      <c r="H128" s="48" t="n"/>
      <c r="I128" s="48" t="n"/>
      <c r="J128" s="48" t="n"/>
      <c r="K128" s="49" t="str">
        <f>IF(AND(ISNUMBER(H128),ISNUMBER(I128),ISNUMBER(J128)),IF(H128&gt;I128,(J128-H128)/(H128-I128),""),"")</f>
        <v/>
      </c>
      <c r="L128" s="44" t="str">
        <f>IF(AND(ISNUMBER(H128),ISNUMBER(I128)),IF(H128&gt;I128,MIN(INT(ROUND('参数'!$C$7/(H128-I128)/100,6))*100,IF(ISNUMBER(E128),IF(H128-ROUND(ROUND(I128*(1-E128),4),2)&gt;0,INT(ROUND('参数'!$C$8/(H128-ROUND(ROUND(I128*(1-E128),4),2))/100,6))*100,0),INT(ROUND('参数'!$C$7/(H128-I128)/100,6))*100)),""),"")</f>
        <v/>
      </c>
      <c r="M128" s="17" t="n"/>
      <c r="N128" s="20" t="str">
        <f>IF(AND(ISNUMBER(H128),ISNUMBER(I128),ISNUMBER(M128)),IF(AND(H128&gt;I128,M128&gt;0),(H128-I128)*M128,""),"")</f>
        <v/>
      </c>
      <c r="O128" s="20" t="str">
        <f>IF(ISNUMBER(N128),IF(ISNUMBER(E128),(H128-ROUND(ROUND(I128*(1-E128),4),2))*M128,"不设限"),"")</f>
        <v/>
      </c>
      <c r="P128" s="32" t="n"/>
      <c r="Q128" s="27" t="n"/>
      <c r="R128" s="42" t="str">
        <f>IF(N(T128)&gt;0,SUMPRODUCT(LARGE(('成交明细'!$A$5:$A$804=A128)*('成交明细'!$C$5:$C$804="买")*'成交明细'!$B$5:$B$804,COUNTIFS('成交明细'!$A$5:$A$804,A128,'成交明细'!$C$5:$C$804,"买"))),"")</f>
        <v/>
      </c>
      <c r="S128" s="42" t="str">
        <f>IF(AND(N(T128)&gt;0,N(V128)&gt;=N(T128)),SUMPRODUCT(MAX(('成交明细'!$A$5:$A$804=A128)*('成交明细'!$C$5:$C$804="卖")*'成交明细'!$B$5:$B$804)),"")</f>
        <v/>
      </c>
      <c r="T128" s="44" t="str">
        <f>IF(A128="","",SUMIFS('成交明细'!$E$5:$E$804,'成交明细'!$A$5:$A$804,A128,'成交明细'!$C$5:$C$804,"买"))</f>
        <v/>
      </c>
      <c r="U128" s="50" t="str">
        <f>IF(N(T128)&gt;0,SUMIFS('成交明细'!$F$5:$F$804,'成交明细'!$A$5:$A$804,A128,'成交明细'!$C$5:$C$804,"买")/T128,"")</f>
        <v/>
      </c>
      <c r="V128" s="44" t="str">
        <f>IF(A128="","",SUMIFS('成交明细'!$E$5:$E$804,'成交明细'!$A$5:$A$804,A128,'成交明细'!$C$5:$C$804,"卖"))</f>
        <v/>
      </c>
      <c r="W128" s="50" t="str">
        <f>IF(N(V128)&gt;0,SUMIFS('成交明细'!$F$5:$F$804,'成交明细'!$A$5:$A$804,A128,'成交明细'!$C$5:$C$804,"卖")/V128,"")</f>
        <v/>
      </c>
      <c r="X128" s="36" t="str">
        <f>IF(A128="","",IF(Q128&lt;&gt;"已执行",IF(Q128="","未填执行情况",Q128),IF(N(T128)=0,"待录成交",IF(N(V128)&gt;N(T128),"卖出多于买入",IF(N(V128)&lt;N(T128),"持仓中","已平仓")))))</f>
        <v/>
      </c>
      <c r="Y128" s="51" t="str">
        <f>IF(N(T128)=0,"",SUMIFS('成交明细'!$K$5:$K$804,'成交明细'!$A$5:$A$804,A128))</f>
        <v/>
      </c>
      <c r="Z128" s="52" t="str">
        <f>IF(X128&lt;&gt;"已平仓","",SUMIFS('成交明细'!$F$5:$F$804,'成交明细'!$A$5:$A$804,A128,'成交明细'!$C$5:$C$804,"卖")-SUMIFS('成交明细'!$F$5:$F$804,'成交明细'!$A$5:$A$804,A128,'成交明细'!$C$5:$C$804,"买")-Y128)</f>
        <v/>
      </c>
      <c r="AA128" s="53" t="str">
        <f>IF(AND(X128="已平仓",ISNUMBER(N128)),(Z128+Y128)/N128,"")</f>
        <v/>
      </c>
      <c r="AB128" s="53" t="str">
        <f>IF(AND(X128="已平仓",ISNUMBER(N128)),Z128/N128,"")</f>
        <v/>
      </c>
      <c r="AC128" s="54" t="str">
        <f>IF(AND(ISNUMBER(U128),ISNUMBER(H128)),U128-H128,"")</f>
        <v/>
      </c>
      <c r="AD128" s="27" t="n"/>
      <c r="AE128" s="27" t="n"/>
      <c r="AF128" s="32" t="n"/>
      <c r="AG128" s="53" t="str">
        <f>IF(A128="","",SUM(AB$5:AB128))</f>
        <v/>
      </c>
      <c r="AH128" s="55" t="str">
        <f>IF(A128="","",MAX(0,MAX(AG$5:AG128))-AG128)</f>
        <v/>
      </c>
    </row>
    <row r="129">
      <c r="A129" s="46" t="n"/>
      <c r="B129" s="31" t="n"/>
      <c r="C129" s="32" t="n"/>
      <c r="D129" s="27" t="n"/>
      <c r="E129" s="47" t="str">
        <f>IF(D129="","",IFERROR(VLOOKUP(D129,'参数'!$B$21:$C$26,2,FALSE),""))</f>
        <v/>
      </c>
      <c r="F129" s="27" t="n"/>
      <c r="G129" s="43" t="str">
        <f>IF(NOT(ISNUMBER(B129)),"",IFERROR(IF(B129-INDEX('每日复盘'!$A$5:$A$264,MATCH(B129-1,'每日复盘'!$A$5:$A$264,1))&gt;7,"",T(INDEX('每日复盘'!$AA$5:$AA$264,MATCH(B129-1,'每日复盘'!$A$5:$A$264,1)))),""))</f>
        <v/>
      </c>
      <c r="H129" s="48" t="n"/>
      <c r="I129" s="48" t="n"/>
      <c r="J129" s="48" t="n"/>
      <c r="K129" s="49" t="str">
        <f>IF(AND(ISNUMBER(H129),ISNUMBER(I129),ISNUMBER(J129)),IF(H129&gt;I129,(J129-H129)/(H129-I129),""),"")</f>
        <v/>
      </c>
      <c r="L129" s="44" t="str">
        <f>IF(AND(ISNUMBER(H129),ISNUMBER(I129)),IF(H129&gt;I129,MIN(INT(ROUND('参数'!$C$7/(H129-I129)/100,6))*100,IF(ISNUMBER(E129),IF(H129-ROUND(ROUND(I129*(1-E129),4),2)&gt;0,INT(ROUND('参数'!$C$8/(H129-ROUND(ROUND(I129*(1-E129),4),2))/100,6))*100,0),INT(ROUND('参数'!$C$7/(H129-I129)/100,6))*100)),""),"")</f>
        <v/>
      </c>
      <c r="M129" s="17" t="n"/>
      <c r="N129" s="20" t="str">
        <f>IF(AND(ISNUMBER(H129),ISNUMBER(I129),ISNUMBER(M129)),IF(AND(H129&gt;I129,M129&gt;0),(H129-I129)*M129,""),"")</f>
        <v/>
      </c>
      <c r="O129" s="20" t="str">
        <f>IF(ISNUMBER(N129),IF(ISNUMBER(E129),(H129-ROUND(ROUND(I129*(1-E129),4),2))*M129,"不设限"),"")</f>
        <v/>
      </c>
      <c r="P129" s="32" t="n"/>
      <c r="Q129" s="27" t="n"/>
      <c r="R129" s="42" t="str">
        <f>IF(N(T129)&gt;0,SUMPRODUCT(LARGE(('成交明细'!$A$5:$A$804=A129)*('成交明细'!$C$5:$C$804="买")*'成交明细'!$B$5:$B$804,COUNTIFS('成交明细'!$A$5:$A$804,A129,'成交明细'!$C$5:$C$804,"买"))),"")</f>
        <v/>
      </c>
      <c r="S129" s="42" t="str">
        <f>IF(AND(N(T129)&gt;0,N(V129)&gt;=N(T129)),SUMPRODUCT(MAX(('成交明细'!$A$5:$A$804=A129)*('成交明细'!$C$5:$C$804="卖")*'成交明细'!$B$5:$B$804)),"")</f>
        <v/>
      </c>
      <c r="T129" s="44" t="str">
        <f>IF(A129="","",SUMIFS('成交明细'!$E$5:$E$804,'成交明细'!$A$5:$A$804,A129,'成交明细'!$C$5:$C$804,"买"))</f>
        <v/>
      </c>
      <c r="U129" s="50" t="str">
        <f>IF(N(T129)&gt;0,SUMIFS('成交明细'!$F$5:$F$804,'成交明细'!$A$5:$A$804,A129,'成交明细'!$C$5:$C$804,"买")/T129,"")</f>
        <v/>
      </c>
      <c r="V129" s="44" t="str">
        <f>IF(A129="","",SUMIFS('成交明细'!$E$5:$E$804,'成交明细'!$A$5:$A$804,A129,'成交明细'!$C$5:$C$804,"卖"))</f>
        <v/>
      </c>
      <c r="W129" s="50" t="str">
        <f>IF(N(V129)&gt;0,SUMIFS('成交明细'!$F$5:$F$804,'成交明细'!$A$5:$A$804,A129,'成交明细'!$C$5:$C$804,"卖")/V129,"")</f>
        <v/>
      </c>
      <c r="X129" s="36" t="str">
        <f>IF(A129="","",IF(Q129&lt;&gt;"已执行",IF(Q129="","未填执行情况",Q129),IF(N(T129)=0,"待录成交",IF(N(V129)&gt;N(T129),"卖出多于买入",IF(N(V129)&lt;N(T129),"持仓中","已平仓")))))</f>
        <v/>
      </c>
      <c r="Y129" s="51" t="str">
        <f>IF(N(T129)=0,"",SUMIFS('成交明细'!$K$5:$K$804,'成交明细'!$A$5:$A$804,A129))</f>
        <v/>
      </c>
      <c r="Z129" s="52" t="str">
        <f>IF(X129&lt;&gt;"已平仓","",SUMIFS('成交明细'!$F$5:$F$804,'成交明细'!$A$5:$A$804,A129,'成交明细'!$C$5:$C$804,"卖")-SUMIFS('成交明细'!$F$5:$F$804,'成交明细'!$A$5:$A$804,A129,'成交明细'!$C$5:$C$804,"买")-Y129)</f>
        <v/>
      </c>
      <c r="AA129" s="53" t="str">
        <f>IF(AND(X129="已平仓",ISNUMBER(N129)),(Z129+Y129)/N129,"")</f>
        <v/>
      </c>
      <c r="AB129" s="53" t="str">
        <f>IF(AND(X129="已平仓",ISNUMBER(N129)),Z129/N129,"")</f>
        <v/>
      </c>
      <c r="AC129" s="54" t="str">
        <f>IF(AND(ISNUMBER(U129),ISNUMBER(H129)),U129-H129,"")</f>
        <v/>
      </c>
      <c r="AD129" s="27" t="n"/>
      <c r="AE129" s="27" t="n"/>
      <c r="AF129" s="32" t="n"/>
      <c r="AG129" s="53" t="str">
        <f>IF(A129="","",SUM(AB$5:AB129))</f>
        <v/>
      </c>
      <c r="AH129" s="55" t="str">
        <f>IF(A129="","",MAX(0,MAX(AG$5:AG129))-AG129)</f>
        <v/>
      </c>
    </row>
    <row r="130">
      <c r="A130" s="46" t="n"/>
      <c r="B130" s="31" t="n"/>
      <c r="C130" s="32" t="n"/>
      <c r="D130" s="27" t="n"/>
      <c r="E130" s="47" t="str">
        <f>IF(D130="","",IFERROR(VLOOKUP(D130,'参数'!$B$21:$C$26,2,FALSE),""))</f>
        <v/>
      </c>
      <c r="F130" s="27" t="n"/>
      <c r="G130" s="43" t="str">
        <f>IF(NOT(ISNUMBER(B130)),"",IFERROR(IF(B130-INDEX('每日复盘'!$A$5:$A$264,MATCH(B130-1,'每日复盘'!$A$5:$A$264,1))&gt;7,"",T(INDEX('每日复盘'!$AA$5:$AA$264,MATCH(B130-1,'每日复盘'!$A$5:$A$264,1)))),""))</f>
        <v/>
      </c>
      <c r="H130" s="48" t="n"/>
      <c r="I130" s="48" t="n"/>
      <c r="J130" s="48" t="n"/>
      <c r="K130" s="49" t="str">
        <f>IF(AND(ISNUMBER(H130),ISNUMBER(I130),ISNUMBER(J130)),IF(H130&gt;I130,(J130-H130)/(H130-I130),""),"")</f>
        <v/>
      </c>
      <c r="L130" s="44" t="str">
        <f>IF(AND(ISNUMBER(H130),ISNUMBER(I130)),IF(H130&gt;I130,MIN(INT(ROUND('参数'!$C$7/(H130-I130)/100,6))*100,IF(ISNUMBER(E130),IF(H130-ROUND(ROUND(I130*(1-E130),4),2)&gt;0,INT(ROUND('参数'!$C$8/(H130-ROUND(ROUND(I130*(1-E130),4),2))/100,6))*100,0),INT(ROUND('参数'!$C$7/(H130-I130)/100,6))*100)),""),"")</f>
        <v/>
      </c>
      <c r="M130" s="17" t="n"/>
      <c r="N130" s="20" t="str">
        <f>IF(AND(ISNUMBER(H130),ISNUMBER(I130),ISNUMBER(M130)),IF(AND(H130&gt;I130,M130&gt;0),(H130-I130)*M130,""),"")</f>
        <v/>
      </c>
      <c r="O130" s="20" t="str">
        <f>IF(ISNUMBER(N130),IF(ISNUMBER(E130),(H130-ROUND(ROUND(I130*(1-E130),4),2))*M130,"不设限"),"")</f>
        <v/>
      </c>
      <c r="P130" s="32" t="n"/>
      <c r="Q130" s="27" t="n"/>
      <c r="R130" s="42" t="str">
        <f>IF(N(T130)&gt;0,SUMPRODUCT(LARGE(('成交明细'!$A$5:$A$804=A130)*('成交明细'!$C$5:$C$804="买")*'成交明细'!$B$5:$B$804,COUNTIFS('成交明细'!$A$5:$A$804,A130,'成交明细'!$C$5:$C$804,"买"))),"")</f>
        <v/>
      </c>
      <c r="S130" s="42" t="str">
        <f>IF(AND(N(T130)&gt;0,N(V130)&gt;=N(T130)),SUMPRODUCT(MAX(('成交明细'!$A$5:$A$804=A130)*('成交明细'!$C$5:$C$804="卖")*'成交明细'!$B$5:$B$804)),"")</f>
        <v/>
      </c>
      <c r="T130" s="44" t="str">
        <f>IF(A130="","",SUMIFS('成交明细'!$E$5:$E$804,'成交明细'!$A$5:$A$804,A130,'成交明细'!$C$5:$C$804,"买"))</f>
        <v/>
      </c>
      <c r="U130" s="50" t="str">
        <f>IF(N(T130)&gt;0,SUMIFS('成交明细'!$F$5:$F$804,'成交明细'!$A$5:$A$804,A130,'成交明细'!$C$5:$C$804,"买")/T130,"")</f>
        <v/>
      </c>
      <c r="V130" s="44" t="str">
        <f>IF(A130="","",SUMIFS('成交明细'!$E$5:$E$804,'成交明细'!$A$5:$A$804,A130,'成交明细'!$C$5:$C$804,"卖"))</f>
        <v/>
      </c>
      <c r="W130" s="50" t="str">
        <f>IF(N(V130)&gt;0,SUMIFS('成交明细'!$F$5:$F$804,'成交明细'!$A$5:$A$804,A130,'成交明细'!$C$5:$C$804,"卖")/V130,"")</f>
        <v/>
      </c>
      <c r="X130" s="36" t="str">
        <f>IF(A130="","",IF(Q130&lt;&gt;"已执行",IF(Q130="","未填执行情况",Q130),IF(N(T130)=0,"待录成交",IF(N(V130)&gt;N(T130),"卖出多于买入",IF(N(V130)&lt;N(T130),"持仓中","已平仓")))))</f>
        <v/>
      </c>
      <c r="Y130" s="51" t="str">
        <f>IF(N(T130)=0,"",SUMIFS('成交明细'!$K$5:$K$804,'成交明细'!$A$5:$A$804,A130))</f>
        <v/>
      </c>
      <c r="Z130" s="52" t="str">
        <f>IF(X130&lt;&gt;"已平仓","",SUMIFS('成交明细'!$F$5:$F$804,'成交明细'!$A$5:$A$804,A130,'成交明细'!$C$5:$C$804,"卖")-SUMIFS('成交明细'!$F$5:$F$804,'成交明细'!$A$5:$A$804,A130,'成交明细'!$C$5:$C$804,"买")-Y130)</f>
        <v/>
      </c>
      <c r="AA130" s="53" t="str">
        <f>IF(AND(X130="已平仓",ISNUMBER(N130)),(Z130+Y130)/N130,"")</f>
        <v/>
      </c>
      <c r="AB130" s="53" t="str">
        <f>IF(AND(X130="已平仓",ISNUMBER(N130)),Z130/N130,"")</f>
        <v/>
      </c>
      <c r="AC130" s="54" t="str">
        <f>IF(AND(ISNUMBER(U130),ISNUMBER(H130)),U130-H130,"")</f>
        <v/>
      </c>
      <c r="AD130" s="27" t="n"/>
      <c r="AE130" s="27" t="n"/>
      <c r="AF130" s="32" t="n"/>
      <c r="AG130" s="53" t="str">
        <f>IF(A130="","",SUM(AB$5:AB130))</f>
        <v/>
      </c>
      <c r="AH130" s="55" t="str">
        <f>IF(A130="","",MAX(0,MAX(AG$5:AG130))-AG130)</f>
        <v/>
      </c>
    </row>
    <row r="131">
      <c r="A131" s="46" t="n"/>
      <c r="B131" s="31" t="n"/>
      <c r="C131" s="32" t="n"/>
      <c r="D131" s="27" t="n"/>
      <c r="E131" s="47" t="str">
        <f>IF(D131="","",IFERROR(VLOOKUP(D131,'参数'!$B$21:$C$26,2,FALSE),""))</f>
        <v/>
      </c>
      <c r="F131" s="27" t="n"/>
      <c r="G131" s="43" t="str">
        <f>IF(NOT(ISNUMBER(B131)),"",IFERROR(IF(B131-INDEX('每日复盘'!$A$5:$A$264,MATCH(B131-1,'每日复盘'!$A$5:$A$264,1))&gt;7,"",T(INDEX('每日复盘'!$AA$5:$AA$264,MATCH(B131-1,'每日复盘'!$A$5:$A$264,1)))),""))</f>
        <v/>
      </c>
      <c r="H131" s="48" t="n"/>
      <c r="I131" s="48" t="n"/>
      <c r="J131" s="48" t="n"/>
      <c r="K131" s="49" t="str">
        <f>IF(AND(ISNUMBER(H131),ISNUMBER(I131),ISNUMBER(J131)),IF(H131&gt;I131,(J131-H131)/(H131-I131),""),"")</f>
        <v/>
      </c>
      <c r="L131" s="44" t="str">
        <f>IF(AND(ISNUMBER(H131),ISNUMBER(I131)),IF(H131&gt;I131,MIN(INT(ROUND('参数'!$C$7/(H131-I131)/100,6))*100,IF(ISNUMBER(E131),IF(H131-ROUND(ROUND(I131*(1-E131),4),2)&gt;0,INT(ROUND('参数'!$C$8/(H131-ROUND(ROUND(I131*(1-E131),4),2))/100,6))*100,0),INT(ROUND('参数'!$C$7/(H131-I131)/100,6))*100)),""),"")</f>
        <v/>
      </c>
      <c r="M131" s="17" t="n"/>
      <c r="N131" s="20" t="str">
        <f>IF(AND(ISNUMBER(H131),ISNUMBER(I131),ISNUMBER(M131)),IF(AND(H131&gt;I131,M131&gt;0),(H131-I131)*M131,""),"")</f>
        <v/>
      </c>
      <c r="O131" s="20" t="str">
        <f>IF(ISNUMBER(N131),IF(ISNUMBER(E131),(H131-ROUND(ROUND(I131*(1-E131),4),2))*M131,"不设限"),"")</f>
        <v/>
      </c>
      <c r="P131" s="32" t="n"/>
      <c r="Q131" s="27" t="n"/>
      <c r="R131" s="42" t="str">
        <f>IF(N(T131)&gt;0,SUMPRODUCT(LARGE(('成交明细'!$A$5:$A$804=A131)*('成交明细'!$C$5:$C$804="买")*'成交明细'!$B$5:$B$804,COUNTIFS('成交明细'!$A$5:$A$804,A131,'成交明细'!$C$5:$C$804,"买"))),"")</f>
        <v/>
      </c>
      <c r="S131" s="42" t="str">
        <f>IF(AND(N(T131)&gt;0,N(V131)&gt;=N(T131)),SUMPRODUCT(MAX(('成交明细'!$A$5:$A$804=A131)*('成交明细'!$C$5:$C$804="卖")*'成交明细'!$B$5:$B$804)),"")</f>
        <v/>
      </c>
      <c r="T131" s="44" t="str">
        <f>IF(A131="","",SUMIFS('成交明细'!$E$5:$E$804,'成交明细'!$A$5:$A$804,A131,'成交明细'!$C$5:$C$804,"买"))</f>
        <v/>
      </c>
      <c r="U131" s="50" t="str">
        <f>IF(N(T131)&gt;0,SUMIFS('成交明细'!$F$5:$F$804,'成交明细'!$A$5:$A$804,A131,'成交明细'!$C$5:$C$804,"买")/T131,"")</f>
        <v/>
      </c>
      <c r="V131" s="44" t="str">
        <f>IF(A131="","",SUMIFS('成交明细'!$E$5:$E$804,'成交明细'!$A$5:$A$804,A131,'成交明细'!$C$5:$C$804,"卖"))</f>
        <v/>
      </c>
      <c r="W131" s="50" t="str">
        <f>IF(N(V131)&gt;0,SUMIFS('成交明细'!$F$5:$F$804,'成交明细'!$A$5:$A$804,A131,'成交明细'!$C$5:$C$804,"卖")/V131,"")</f>
        <v/>
      </c>
      <c r="X131" s="36" t="str">
        <f>IF(A131="","",IF(Q131&lt;&gt;"已执行",IF(Q131="","未填执行情况",Q131),IF(N(T131)=0,"待录成交",IF(N(V131)&gt;N(T131),"卖出多于买入",IF(N(V131)&lt;N(T131),"持仓中","已平仓")))))</f>
        <v/>
      </c>
      <c r="Y131" s="51" t="str">
        <f>IF(N(T131)=0,"",SUMIFS('成交明细'!$K$5:$K$804,'成交明细'!$A$5:$A$804,A131))</f>
        <v/>
      </c>
      <c r="Z131" s="52" t="str">
        <f>IF(X131&lt;&gt;"已平仓","",SUMIFS('成交明细'!$F$5:$F$804,'成交明细'!$A$5:$A$804,A131,'成交明细'!$C$5:$C$804,"卖")-SUMIFS('成交明细'!$F$5:$F$804,'成交明细'!$A$5:$A$804,A131,'成交明细'!$C$5:$C$804,"买")-Y131)</f>
        <v/>
      </c>
      <c r="AA131" s="53" t="str">
        <f>IF(AND(X131="已平仓",ISNUMBER(N131)),(Z131+Y131)/N131,"")</f>
        <v/>
      </c>
      <c r="AB131" s="53" t="str">
        <f>IF(AND(X131="已平仓",ISNUMBER(N131)),Z131/N131,"")</f>
        <v/>
      </c>
      <c r="AC131" s="54" t="str">
        <f>IF(AND(ISNUMBER(U131),ISNUMBER(H131)),U131-H131,"")</f>
        <v/>
      </c>
      <c r="AD131" s="27" t="n"/>
      <c r="AE131" s="27" t="n"/>
      <c r="AF131" s="32" t="n"/>
      <c r="AG131" s="53" t="str">
        <f>IF(A131="","",SUM(AB$5:AB131))</f>
        <v/>
      </c>
      <c r="AH131" s="55" t="str">
        <f>IF(A131="","",MAX(0,MAX(AG$5:AG131))-AG131)</f>
        <v/>
      </c>
    </row>
    <row r="132">
      <c r="A132" s="46" t="n"/>
      <c r="B132" s="31" t="n"/>
      <c r="C132" s="32" t="n"/>
      <c r="D132" s="27" t="n"/>
      <c r="E132" s="47" t="str">
        <f>IF(D132="","",IFERROR(VLOOKUP(D132,'参数'!$B$21:$C$26,2,FALSE),""))</f>
        <v/>
      </c>
      <c r="F132" s="27" t="n"/>
      <c r="G132" s="43" t="str">
        <f>IF(NOT(ISNUMBER(B132)),"",IFERROR(IF(B132-INDEX('每日复盘'!$A$5:$A$264,MATCH(B132-1,'每日复盘'!$A$5:$A$264,1))&gt;7,"",T(INDEX('每日复盘'!$AA$5:$AA$264,MATCH(B132-1,'每日复盘'!$A$5:$A$264,1)))),""))</f>
        <v/>
      </c>
      <c r="H132" s="48" t="n"/>
      <c r="I132" s="48" t="n"/>
      <c r="J132" s="48" t="n"/>
      <c r="K132" s="49" t="str">
        <f>IF(AND(ISNUMBER(H132),ISNUMBER(I132),ISNUMBER(J132)),IF(H132&gt;I132,(J132-H132)/(H132-I132),""),"")</f>
        <v/>
      </c>
      <c r="L132" s="44" t="str">
        <f>IF(AND(ISNUMBER(H132),ISNUMBER(I132)),IF(H132&gt;I132,MIN(INT(ROUND('参数'!$C$7/(H132-I132)/100,6))*100,IF(ISNUMBER(E132),IF(H132-ROUND(ROUND(I132*(1-E132),4),2)&gt;0,INT(ROUND('参数'!$C$8/(H132-ROUND(ROUND(I132*(1-E132),4),2))/100,6))*100,0),INT(ROUND('参数'!$C$7/(H132-I132)/100,6))*100)),""),"")</f>
        <v/>
      </c>
      <c r="M132" s="17" t="n"/>
      <c r="N132" s="20" t="str">
        <f>IF(AND(ISNUMBER(H132),ISNUMBER(I132),ISNUMBER(M132)),IF(AND(H132&gt;I132,M132&gt;0),(H132-I132)*M132,""),"")</f>
        <v/>
      </c>
      <c r="O132" s="20" t="str">
        <f>IF(ISNUMBER(N132),IF(ISNUMBER(E132),(H132-ROUND(ROUND(I132*(1-E132),4),2))*M132,"不设限"),"")</f>
        <v/>
      </c>
      <c r="P132" s="32" t="n"/>
      <c r="Q132" s="27" t="n"/>
      <c r="R132" s="42" t="str">
        <f>IF(N(T132)&gt;0,SUMPRODUCT(LARGE(('成交明细'!$A$5:$A$804=A132)*('成交明细'!$C$5:$C$804="买")*'成交明细'!$B$5:$B$804,COUNTIFS('成交明细'!$A$5:$A$804,A132,'成交明细'!$C$5:$C$804,"买"))),"")</f>
        <v/>
      </c>
      <c r="S132" s="42" t="str">
        <f>IF(AND(N(T132)&gt;0,N(V132)&gt;=N(T132)),SUMPRODUCT(MAX(('成交明细'!$A$5:$A$804=A132)*('成交明细'!$C$5:$C$804="卖")*'成交明细'!$B$5:$B$804)),"")</f>
        <v/>
      </c>
      <c r="T132" s="44" t="str">
        <f>IF(A132="","",SUMIFS('成交明细'!$E$5:$E$804,'成交明细'!$A$5:$A$804,A132,'成交明细'!$C$5:$C$804,"买"))</f>
        <v/>
      </c>
      <c r="U132" s="50" t="str">
        <f>IF(N(T132)&gt;0,SUMIFS('成交明细'!$F$5:$F$804,'成交明细'!$A$5:$A$804,A132,'成交明细'!$C$5:$C$804,"买")/T132,"")</f>
        <v/>
      </c>
      <c r="V132" s="44" t="str">
        <f>IF(A132="","",SUMIFS('成交明细'!$E$5:$E$804,'成交明细'!$A$5:$A$804,A132,'成交明细'!$C$5:$C$804,"卖"))</f>
        <v/>
      </c>
      <c r="W132" s="50" t="str">
        <f>IF(N(V132)&gt;0,SUMIFS('成交明细'!$F$5:$F$804,'成交明细'!$A$5:$A$804,A132,'成交明细'!$C$5:$C$804,"卖")/V132,"")</f>
        <v/>
      </c>
      <c r="X132" s="36" t="str">
        <f>IF(A132="","",IF(Q132&lt;&gt;"已执行",IF(Q132="","未填执行情况",Q132),IF(N(T132)=0,"待录成交",IF(N(V132)&gt;N(T132),"卖出多于买入",IF(N(V132)&lt;N(T132),"持仓中","已平仓")))))</f>
        <v/>
      </c>
      <c r="Y132" s="51" t="str">
        <f>IF(N(T132)=0,"",SUMIFS('成交明细'!$K$5:$K$804,'成交明细'!$A$5:$A$804,A132))</f>
        <v/>
      </c>
      <c r="Z132" s="52" t="str">
        <f>IF(X132&lt;&gt;"已平仓","",SUMIFS('成交明细'!$F$5:$F$804,'成交明细'!$A$5:$A$804,A132,'成交明细'!$C$5:$C$804,"卖")-SUMIFS('成交明细'!$F$5:$F$804,'成交明细'!$A$5:$A$804,A132,'成交明细'!$C$5:$C$804,"买")-Y132)</f>
        <v/>
      </c>
      <c r="AA132" s="53" t="str">
        <f>IF(AND(X132="已平仓",ISNUMBER(N132)),(Z132+Y132)/N132,"")</f>
        <v/>
      </c>
      <c r="AB132" s="53" t="str">
        <f>IF(AND(X132="已平仓",ISNUMBER(N132)),Z132/N132,"")</f>
        <v/>
      </c>
      <c r="AC132" s="54" t="str">
        <f>IF(AND(ISNUMBER(U132),ISNUMBER(H132)),U132-H132,"")</f>
        <v/>
      </c>
      <c r="AD132" s="27" t="n"/>
      <c r="AE132" s="27" t="n"/>
      <c r="AF132" s="32" t="n"/>
      <c r="AG132" s="53" t="str">
        <f>IF(A132="","",SUM(AB$5:AB132))</f>
        <v/>
      </c>
      <c r="AH132" s="55" t="str">
        <f>IF(A132="","",MAX(0,MAX(AG$5:AG132))-AG132)</f>
        <v/>
      </c>
    </row>
    <row r="133">
      <c r="A133" s="46" t="n"/>
      <c r="B133" s="31" t="n"/>
      <c r="C133" s="32" t="n"/>
      <c r="D133" s="27" t="n"/>
      <c r="E133" s="47" t="str">
        <f>IF(D133="","",IFERROR(VLOOKUP(D133,'参数'!$B$21:$C$26,2,FALSE),""))</f>
        <v/>
      </c>
      <c r="F133" s="27" t="n"/>
      <c r="G133" s="43" t="str">
        <f>IF(NOT(ISNUMBER(B133)),"",IFERROR(IF(B133-INDEX('每日复盘'!$A$5:$A$264,MATCH(B133-1,'每日复盘'!$A$5:$A$264,1))&gt;7,"",T(INDEX('每日复盘'!$AA$5:$AA$264,MATCH(B133-1,'每日复盘'!$A$5:$A$264,1)))),""))</f>
        <v/>
      </c>
      <c r="H133" s="48" t="n"/>
      <c r="I133" s="48" t="n"/>
      <c r="J133" s="48" t="n"/>
      <c r="K133" s="49" t="str">
        <f>IF(AND(ISNUMBER(H133),ISNUMBER(I133),ISNUMBER(J133)),IF(H133&gt;I133,(J133-H133)/(H133-I133),""),"")</f>
        <v/>
      </c>
      <c r="L133" s="44" t="str">
        <f>IF(AND(ISNUMBER(H133),ISNUMBER(I133)),IF(H133&gt;I133,MIN(INT(ROUND('参数'!$C$7/(H133-I133)/100,6))*100,IF(ISNUMBER(E133),IF(H133-ROUND(ROUND(I133*(1-E133),4),2)&gt;0,INT(ROUND('参数'!$C$8/(H133-ROUND(ROUND(I133*(1-E133),4),2))/100,6))*100,0),INT(ROUND('参数'!$C$7/(H133-I133)/100,6))*100)),""),"")</f>
        <v/>
      </c>
      <c r="M133" s="17" t="n"/>
      <c r="N133" s="20" t="str">
        <f>IF(AND(ISNUMBER(H133),ISNUMBER(I133),ISNUMBER(M133)),IF(AND(H133&gt;I133,M133&gt;0),(H133-I133)*M133,""),"")</f>
        <v/>
      </c>
      <c r="O133" s="20" t="str">
        <f>IF(ISNUMBER(N133),IF(ISNUMBER(E133),(H133-ROUND(ROUND(I133*(1-E133),4),2))*M133,"不设限"),"")</f>
        <v/>
      </c>
      <c r="P133" s="32" t="n"/>
      <c r="Q133" s="27" t="n"/>
      <c r="R133" s="42" t="str">
        <f>IF(N(T133)&gt;0,SUMPRODUCT(LARGE(('成交明细'!$A$5:$A$804=A133)*('成交明细'!$C$5:$C$804="买")*'成交明细'!$B$5:$B$804,COUNTIFS('成交明细'!$A$5:$A$804,A133,'成交明细'!$C$5:$C$804,"买"))),"")</f>
        <v/>
      </c>
      <c r="S133" s="42" t="str">
        <f>IF(AND(N(T133)&gt;0,N(V133)&gt;=N(T133)),SUMPRODUCT(MAX(('成交明细'!$A$5:$A$804=A133)*('成交明细'!$C$5:$C$804="卖")*'成交明细'!$B$5:$B$804)),"")</f>
        <v/>
      </c>
      <c r="T133" s="44" t="str">
        <f>IF(A133="","",SUMIFS('成交明细'!$E$5:$E$804,'成交明细'!$A$5:$A$804,A133,'成交明细'!$C$5:$C$804,"买"))</f>
        <v/>
      </c>
      <c r="U133" s="50" t="str">
        <f>IF(N(T133)&gt;0,SUMIFS('成交明细'!$F$5:$F$804,'成交明细'!$A$5:$A$804,A133,'成交明细'!$C$5:$C$804,"买")/T133,"")</f>
        <v/>
      </c>
      <c r="V133" s="44" t="str">
        <f>IF(A133="","",SUMIFS('成交明细'!$E$5:$E$804,'成交明细'!$A$5:$A$804,A133,'成交明细'!$C$5:$C$804,"卖"))</f>
        <v/>
      </c>
      <c r="W133" s="50" t="str">
        <f>IF(N(V133)&gt;0,SUMIFS('成交明细'!$F$5:$F$804,'成交明细'!$A$5:$A$804,A133,'成交明细'!$C$5:$C$804,"卖")/V133,"")</f>
        <v/>
      </c>
      <c r="X133" s="36" t="str">
        <f>IF(A133="","",IF(Q133&lt;&gt;"已执行",IF(Q133="","未填执行情况",Q133),IF(N(T133)=0,"待录成交",IF(N(V133)&gt;N(T133),"卖出多于买入",IF(N(V133)&lt;N(T133),"持仓中","已平仓")))))</f>
        <v/>
      </c>
      <c r="Y133" s="51" t="str">
        <f>IF(N(T133)=0,"",SUMIFS('成交明细'!$K$5:$K$804,'成交明细'!$A$5:$A$804,A133))</f>
        <v/>
      </c>
      <c r="Z133" s="52" t="str">
        <f>IF(X133&lt;&gt;"已平仓","",SUMIFS('成交明细'!$F$5:$F$804,'成交明细'!$A$5:$A$804,A133,'成交明细'!$C$5:$C$804,"卖")-SUMIFS('成交明细'!$F$5:$F$804,'成交明细'!$A$5:$A$804,A133,'成交明细'!$C$5:$C$804,"买")-Y133)</f>
        <v/>
      </c>
      <c r="AA133" s="53" t="str">
        <f>IF(AND(X133="已平仓",ISNUMBER(N133)),(Z133+Y133)/N133,"")</f>
        <v/>
      </c>
      <c r="AB133" s="53" t="str">
        <f>IF(AND(X133="已平仓",ISNUMBER(N133)),Z133/N133,"")</f>
        <v/>
      </c>
      <c r="AC133" s="54" t="str">
        <f>IF(AND(ISNUMBER(U133),ISNUMBER(H133)),U133-H133,"")</f>
        <v/>
      </c>
      <c r="AD133" s="27" t="n"/>
      <c r="AE133" s="27" t="n"/>
      <c r="AF133" s="32" t="n"/>
      <c r="AG133" s="53" t="str">
        <f>IF(A133="","",SUM(AB$5:AB133))</f>
        <v/>
      </c>
      <c r="AH133" s="55" t="str">
        <f>IF(A133="","",MAX(0,MAX(AG$5:AG133))-AG133)</f>
        <v/>
      </c>
    </row>
    <row r="134">
      <c r="A134" s="46" t="n"/>
      <c r="B134" s="31" t="n"/>
      <c r="C134" s="32" t="n"/>
      <c r="D134" s="27" t="n"/>
      <c r="E134" s="47" t="str">
        <f>IF(D134="","",IFERROR(VLOOKUP(D134,'参数'!$B$21:$C$26,2,FALSE),""))</f>
        <v/>
      </c>
      <c r="F134" s="27" t="n"/>
      <c r="G134" s="43" t="str">
        <f>IF(NOT(ISNUMBER(B134)),"",IFERROR(IF(B134-INDEX('每日复盘'!$A$5:$A$264,MATCH(B134-1,'每日复盘'!$A$5:$A$264,1))&gt;7,"",T(INDEX('每日复盘'!$AA$5:$AA$264,MATCH(B134-1,'每日复盘'!$A$5:$A$264,1)))),""))</f>
        <v/>
      </c>
      <c r="H134" s="48" t="n"/>
      <c r="I134" s="48" t="n"/>
      <c r="J134" s="48" t="n"/>
      <c r="K134" s="49" t="str">
        <f>IF(AND(ISNUMBER(H134),ISNUMBER(I134),ISNUMBER(J134)),IF(H134&gt;I134,(J134-H134)/(H134-I134),""),"")</f>
        <v/>
      </c>
      <c r="L134" s="44" t="str">
        <f>IF(AND(ISNUMBER(H134),ISNUMBER(I134)),IF(H134&gt;I134,MIN(INT(ROUND('参数'!$C$7/(H134-I134)/100,6))*100,IF(ISNUMBER(E134),IF(H134-ROUND(ROUND(I134*(1-E134),4),2)&gt;0,INT(ROUND('参数'!$C$8/(H134-ROUND(ROUND(I134*(1-E134),4),2))/100,6))*100,0),INT(ROUND('参数'!$C$7/(H134-I134)/100,6))*100)),""),"")</f>
        <v/>
      </c>
      <c r="M134" s="17" t="n"/>
      <c r="N134" s="20" t="str">
        <f>IF(AND(ISNUMBER(H134),ISNUMBER(I134),ISNUMBER(M134)),IF(AND(H134&gt;I134,M134&gt;0),(H134-I134)*M134,""),"")</f>
        <v/>
      </c>
      <c r="O134" s="20" t="str">
        <f>IF(ISNUMBER(N134),IF(ISNUMBER(E134),(H134-ROUND(ROUND(I134*(1-E134),4),2))*M134,"不设限"),"")</f>
        <v/>
      </c>
      <c r="P134" s="32" t="n"/>
      <c r="Q134" s="27" t="n"/>
      <c r="R134" s="42" t="str">
        <f>IF(N(T134)&gt;0,SUMPRODUCT(LARGE(('成交明细'!$A$5:$A$804=A134)*('成交明细'!$C$5:$C$804="买")*'成交明细'!$B$5:$B$804,COUNTIFS('成交明细'!$A$5:$A$804,A134,'成交明细'!$C$5:$C$804,"买"))),"")</f>
        <v/>
      </c>
      <c r="S134" s="42" t="str">
        <f>IF(AND(N(T134)&gt;0,N(V134)&gt;=N(T134)),SUMPRODUCT(MAX(('成交明细'!$A$5:$A$804=A134)*('成交明细'!$C$5:$C$804="卖")*'成交明细'!$B$5:$B$804)),"")</f>
        <v/>
      </c>
      <c r="T134" s="44" t="str">
        <f>IF(A134="","",SUMIFS('成交明细'!$E$5:$E$804,'成交明细'!$A$5:$A$804,A134,'成交明细'!$C$5:$C$804,"买"))</f>
        <v/>
      </c>
      <c r="U134" s="50" t="str">
        <f>IF(N(T134)&gt;0,SUMIFS('成交明细'!$F$5:$F$804,'成交明细'!$A$5:$A$804,A134,'成交明细'!$C$5:$C$804,"买")/T134,"")</f>
        <v/>
      </c>
      <c r="V134" s="44" t="str">
        <f>IF(A134="","",SUMIFS('成交明细'!$E$5:$E$804,'成交明细'!$A$5:$A$804,A134,'成交明细'!$C$5:$C$804,"卖"))</f>
        <v/>
      </c>
      <c r="W134" s="50" t="str">
        <f>IF(N(V134)&gt;0,SUMIFS('成交明细'!$F$5:$F$804,'成交明细'!$A$5:$A$804,A134,'成交明细'!$C$5:$C$804,"卖")/V134,"")</f>
        <v/>
      </c>
      <c r="X134" s="36" t="str">
        <f>IF(A134="","",IF(Q134&lt;&gt;"已执行",IF(Q134="","未填执行情况",Q134),IF(N(T134)=0,"待录成交",IF(N(V134)&gt;N(T134),"卖出多于买入",IF(N(V134)&lt;N(T134),"持仓中","已平仓")))))</f>
        <v/>
      </c>
      <c r="Y134" s="51" t="str">
        <f>IF(N(T134)=0,"",SUMIFS('成交明细'!$K$5:$K$804,'成交明细'!$A$5:$A$804,A134))</f>
        <v/>
      </c>
      <c r="Z134" s="52" t="str">
        <f>IF(X134&lt;&gt;"已平仓","",SUMIFS('成交明细'!$F$5:$F$804,'成交明细'!$A$5:$A$804,A134,'成交明细'!$C$5:$C$804,"卖")-SUMIFS('成交明细'!$F$5:$F$804,'成交明细'!$A$5:$A$804,A134,'成交明细'!$C$5:$C$804,"买")-Y134)</f>
        <v/>
      </c>
      <c r="AA134" s="53" t="str">
        <f>IF(AND(X134="已平仓",ISNUMBER(N134)),(Z134+Y134)/N134,"")</f>
        <v/>
      </c>
      <c r="AB134" s="53" t="str">
        <f>IF(AND(X134="已平仓",ISNUMBER(N134)),Z134/N134,"")</f>
        <v/>
      </c>
      <c r="AC134" s="54" t="str">
        <f>IF(AND(ISNUMBER(U134),ISNUMBER(H134)),U134-H134,"")</f>
        <v/>
      </c>
      <c r="AD134" s="27" t="n"/>
      <c r="AE134" s="27" t="n"/>
      <c r="AF134" s="32" t="n"/>
      <c r="AG134" s="53" t="str">
        <f>IF(A134="","",SUM(AB$5:AB134))</f>
        <v/>
      </c>
      <c r="AH134" s="55" t="str">
        <f>IF(A134="","",MAX(0,MAX(AG$5:AG134))-AG134)</f>
        <v/>
      </c>
    </row>
    <row r="135">
      <c r="A135" s="46" t="n"/>
      <c r="B135" s="31" t="n"/>
      <c r="C135" s="32" t="n"/>
      <c r="D135" s="27" t="n"/>
      <c r="E135" s="47" t="str">
        <f>IF(D135="","",IFERROR(VLOOKUP(D135,'参数'!$B$21:$C$26,2,FALSE),""))</f>
        <v/>
      </c>
      <c r="F135" s="27" t="n"/>
      <c r="G135" s="43" t="str">
        <f>IF(NOT(ISNUMBER(B135)),"",IFERROR(IF(B135-INDEX('每日复盘'!$A$5:$A$264,MATCH(B135-1,'每日复盘'!$A$5:$A$264,1))&gt;7,"",T(INDEX('每日复盘'!$AA$5:$AA$264,MATCH(B135-1,'每日复盘'!$A$5:$A$264,1)))),""))</f>
        <v/>
      </c>
      <c r="H135" s="48" t="n"/>
      <c r="I135" s="48" t="n"/>
      <c r="J135" s="48" t="n"/>
      <c r="K135" s="49" t="str">
        <f>IF(AND(ISNUMBER(H135),ISNUMBER(I135),ISNUMBER(J135)),IF(H135&gt;I135,(J135-H135)/(H135-I135),""),"")</f>
        <v/>
      </c>
      <c r="L135" s="44" t="str">
        <f>IF(AND(ISNUMBER(H135),ISNUMBER(I135)),IF(H135&gt;I135,MIN(INT(ROUND('参数'!$C$7/(H135-I135)/100,6))*100,IF(ISNUMBER(E135),IF(H135-ROUND(ROUND(I135*(1-E135),4),2)&gt;0,INT(ROUND('参数'!$C$8/(H135-ROUND(ROUND(I135*(1-E135),4),2))/100,6))*100,0),INT(ROUND('参数'!$C$7/(H135-I135)/100,6))*100)),""),"")</f>
        <v/>
      </c>
      <c r="M135" s="17" t="n"/>
      <c r="N135" s="20" t="str">
        <f>IF(AND(ISNUMBER(H135),ISNUMBER(I135),ISNUMBER(M135)),IF(AND(H135&gt;I135,M135&gt;0),(H135-I135)*M135,""),"")</f>
        <v/>
      </c>
      <c r="O135" s="20" t="str">
        <f>IF(ISNUMBER(N135),IF(ISNUMBER(E135),(H135-ROUND(ROUND(I135*(1-E135),4),2))*M135,"不设限"),"")</f>
        <v/>
      </c>
      <c r="P135" s="32" t="n"/>
      <c r="Q135" s="27" t="n"/>
      <c r="R135" s="42" t="str">
        <f>IF(N(T135)&gt;0,SUMPRODUCT(LARGE(('成交明细'!$A$5:$A$804=A135)*('成交明细'!$C$5:$C$804="买")*'成交明细'!$B$5:$B$804,COUNTIFS('成交明细'!$A$5:$A$804,A135,'成交明细'!$C$5:$C$804,"买"))),"")</f>
        <v/>
      </c>
      <c r="S135" s="42" t="str">
        <f>IF(AND(N(T135)&gt;0,N(V135)&gt;=N(T135)),SUMPRODUCT(MAX(('成交明细'!$A$5:$A$804=A135)*('成交明细'!$C$5:$C$804="卖")*'成交明细'!$B$5:$B$804)),"")</f>
        <v/>
      </c>
      <c r="T135" s="44" t="str">
        <f>IF(A135="","",SUMIFS('成交明细'!$E$5:$E$804,'成交明细'!$A$5:$A$804,A135,'成交明细'!$C$5:$C$804,"买"))</f>
        <v/>
      </c>
      <c r="U135" s="50" t="str">
        <f>IF(N(T135)&gt;0,SUMIFS('成交明细'!$F$5:$F$804,'成交明细'!$A$5:$A$804,A135,'成交明细'!$C$5:$C$804,"买")/T135,"")</f>
        <v/>
      </c>
      <c r="V135" s="44" t="str">
        <f>IF(A135="","",SUMIFS('成交明细'!$E$5:$E$804,'成交明细'!$A$5:$A$804,A135,'成交明细'!$C$5:$C$804,"卖"))</f>
        <v/>
      </c>
      <c r="W135" s="50" t="str">
        <f>IF(N(V135)&gt;0,SUMIFS('成交明细'!$F$5:$F$804,'成交明细'!$A$5:$A$804,A135,'成交明细'!$C$5:$C$804,"卖")/V135,"")</f>
        <v/>
      </c>
      <c r="X135" s="36" t="str">
        <f>IF(A135="","",IF(Q135&lt;&gt;"已执行",IF(Q135="","未填执行情况",Q135),IF(N(T135)=0,"待录成交",IF(N(V135)&gt;N(T135),"卖出多于买入",IF(N(V135)&lt;N(T135),"持仓中","已平仓")))))</f>
        <v/>
      </c>
      <c r="Y135" s="51" t="str">
        <f>IF(N(T135)=0,"",SUMIFS('成交明细'!$K$5:$K$804,'成交明细'!$A$5:$A$804,A135))</f>
        <v/>
      </c>
      <c r="Z135" s="52" t="str">
        <f>IF(X135&lt;&gt;"已平仓","",SUMIFS('成交明细'!$F$5:$F$804,'成交明细'!$A$5:$A$804,A135,'成交明细'!$C$5:$C$804,"卖")-SUMIFS('成交明细'!$F$5:$F$804,'成交明细'!$A$5:$A$804,A135,'成交明细'!$C$5:$C$804,"买")-Y135)</f>
        <v/>
      </c>
      <c r="AA135" s="53" t="str">
        <f>IF(AND(X135="已平仓",ISNUMBER(N135)),(Z135+Y135)/N135,"")</f>
        <v/>
      </c>
      <c r="AB135" s="53" t="str">
        <f>IF(AND(X135="已平仓",ISNUMBER(N135)),Z135/N135,"")</f>
        <v/>
      </c>
      <c r="AC135" s="54" t="str">
        <f>IF(AND(ISNUMBER(U135),ISNUMBER(H135)),U135-H135,"")</f>
        <v/>
      </c>
      <c r="AD135" s="27" t="n"/>
      <c r="AE135" s="27" t="n"/>
      <c r="AF135" s="32" t="n"/>
      <c r="AG135" s="53" t="str">
        <f>IF(A135="","",SUM(AB$5:AB135))</f>
        <v/>
      </c>
      <c r="AH135" s="55" t="str">
        <f>IF(A135="","",MAX(0,MAX(AG$5:AG135))-AG135)</f>
        <v/>
      </c>
    </row>
    <row r="136">
      <c r="A136" s="46" t="n"/>
      <c r="B136" s="31" t="n"/>
      <c r="C136" s="32" t="n"/>
      <c r="D136" s="27" t="n"/>
      <c r="E136" s="47" t="str">
        <f>IF(D136="","",IFERROR(VLOOKUP(D136,'参数'!$B$21:$C$26,2,FALSE),""))</f>
        <v/>
      </c>
      <c r="F136" s="27" t="n"/>
      <c r="G136" s="43" t="str">
        <f>IF(NOT(ISNUMBER(B136)),"",IFERROR(IF(B136-INDEX('每日复盘'!$A$5:$A$264,MATCH(B136-1,'每日复盘'!$A$5:$A$264,1))&gt;7,"",T(INDEX('每日复盘'!$AA$5:$AA$264,MATCH(B136-1,'每日复盘'!$A$5:$A$264,1)))),""))</f>
        <v/>
      </c>
      <c r="H136" s="48" t="n"/>
      <c r="I136" s="48" t="n"/>
      <c r="J136" s="48" t="n"/>
      <c r="K136" s="49" t="str">
        <f>IF(AND(ISNUMBER(H136),ISNUMBER(I136),ISNUMBER(J136)),IF(H136&gt;I136,(J136-H136)/(H136-I136),""),"")</f>
        <v/>
      </c>
      <c r="L136" s="44" t="str">
        <f>IF(AND(ISNUMBER(H136),ISNUMBER(I136)),IF(H136&gt;I136,MIN(INT(ROUND('参数'!$C$7/(H136-I136)/100,6))*100,IF(ISNUMBER(E136),IF(H136-ROUND(ROUND(I136*(1-E136),4),2)&gt;0,INT(ROUND('参数'!$C$8/(H136-ROUND(ROUND(I136*(1-E136),4),2))/100,6))*100,0),INT(ROUND('参数'!$C$7/(H136-I136)/100,6))*100)),""),"")</f>
        <v/>
      </c>
      <c r="M136" s="17" t="n"/>
      <c r="N136" s="20" t="str">
        <f>IF(AND(ISNUMBER(H136),ISNUMBER(I136),ISNUMBER(M136)),IF(AND(H136&gt;I136,M136&gt;0),(H136-I136)*M136,""),"")</f>
        <v/>
      </c>
      <c r="O136" s="20" t="str">
        <f>IF(ISNUMBER(N136),IF(ISNUMBER(E136),(H136-ROUND(ROUND(I136*(1-E136),4),2))*M136,"不设限"),"")</f>
        <v/>
      </c>
      <c r="P136" s="32" t="n"/>
      <c r="Q136" s="27" t="n"/>
      <c r="R136" s="42" t="str">
        <f>IF(N(T136)&gt;0,SUMPRODUCT(LARGE(('成交明细'!$A$5:$A$804=A136)*('成交明细'!$C$5:$C$804="买")*'成交明细'!$B$5:$B$804,COUNTIFS('成交明细'!$A$5:$A$804,A136,'成交明细'!$C$5:$C$804,"买"))),"")</f>
        <v/>
      </c>
      <c r="S136" s="42" t="str">
        <f>IF(AND(N(T136)&gt;0,N(V136)&gt;=N(T136)),SUMPRODUCT(MAX(('成交明细'!$A$5:$A$804=A136)*('成交明细'!$C$5:$C$804="卖")*'成交明细'!$B$5:$B$804)),"")</f>
        <v/>
      </c>
      <c r="T136" s="44" t="str">
        <f>IF(A136="","",SUMIFS('成交明细'!$E$5:$E$804,'成交明细'!$A$5:$A$804,A136,'成交明细'!$C$5:$C$804,"买"))</f>
        <v/>
      </c>
      <c r="U136" s="50" t="str">
        <f>IF(N(T136)&gt;0,SUMIFS('成交明细'!$F$5:$F$804,'成交明细'!$A$5:$A$804,A136,'成交明细'!$C$5:$C$804,"买")/T136,"")</f>
        <v/>
      </c>
      <c r="V136" s="44" t="str">
        <f>IF(A136="","",SUMIFS('成交明细'!$E$5:$E$804,'成交明细'!$A$5:$A$804,A136,'成交明细'!$C$5:$C$804,"卖"))</f>
        <v/>
      </c>
      <c r="W136" s="50" t="str">
        <f>IF(N(V136)&gt;0,SUMIFS('成交明细'!$F$5:$F$804,'成交明细'!$A$5:$A$804,A136,'成交明细'!$C$5:$C$804,"卖")/V136,"")</f>
        <v/>
      </c>
      <c r="X136" s="36" t="str">
        <f>IF(A136="","",IF(Q136&lt;&gt;"已执行",IF(Q136="","未填执行情况",Q136),IF(N(T136)=0,"待录成交",IF(N(V136)&gt;N(T136),"卖出多于买入",IF(N(V136)&lt;N(T136),"持仓中","已平仓")))))</f>
        <v/>
      </c>
      <c r="Y136" s="51" t="str">
        <f>IF(N(T136)=0,"",SUMIFS('成交明细'!$K$5:$K$804,'成交明细'!$A$5:$A$804,A136))</f>
        <v/>
      </c>
      <c r="Z136" s="52" t="str">
        <f>IF(X136&lt;&gt;"已平仓","",SUMIFS('成交明细'!$F$5:$F$804,'成交明细'!$A$5:$A$804,A136,'成交明细'!$C$5:$C$804,"卖")-SUMIFS('成交明细'!$F$5:$F$804,'成交明细'!$A$5:$A$804,A136,'成交明细'!$C$5:$C$804,"买")-Y136)</f>
        <v/>
      </c>
      <c r="AA136" s="53" t="str">
        <f>IF(AND(X136="已平仓",ISNUMBER(N136)),(Z136+Y136)/N136,"")</f>
        <v/>
      </c>
      <c r="AB136" s="53" t="str">
        <f>IF(AND(X136="已平仓",ISNUMBER(N136)),Z136/N136,"")</f>
        <v/>
      </c>
      <c r="AC136" s="54" t="str">
        <f>IF(AND(ISNUMBER(U136),ISNUMBER(H136)),U136-H136,"")</f>
        <v/>
      </c>
      <c r="AD136" s="27" t="n"/>
      <c r="AE136" s="27" t="n"/>
      <c r="AF136" s="32" t="n"/>
      <c r="AG136" s="53" t="str">
        <f>IF(A136="","",SUM(AB$5:AB136))</f>
        <v/>
      </c>
      <c r="AH136" s="55" t="str">
        <f>IF(A136="","",MAX(0,MAX(AG$5:AG136))-AG136)</f>
        <v/>
      </c>
    </row>
    <row r="137">
      <c r="A137" s="46" t="n"/>
      <c r="B137" s="31" t="n"/>
      <c r="C137" s="32" t="n"/>
      <c r="D137" s="27" t="n"/>
      <c r="E137" s="47" t="str">
        <f>IF(D137="","",IFERROR(VLOOKUP(D137,'参数'!$B$21:$C$26,2,FALSE),""))</f>
        <v/>
      </c>
      <c r="F137" s="27" t="n"/>
      <c r="G137" s="43" t="str">
        <f>IF(NOT(ISNUMBER(B137)),"",IFERROR(IF(B137-INDEX('每日复盘'!$A$5:$A$264,MATCH(B137-1,'每日复盘'!$A$5:$A$264,1))&gt;7,"",T(INDEX('每日复盘'!$AA$5:$AA$264,MATCH(B137-1,'每日复盘'!$A$5:$A$264,1)))),""))</f>
        <v/>
      </c>
      <c r="H137" s="48" t="n"/>
      <c r="I137" s="48" t="n"/>
      <c r="J137" s="48" t="n"/>
      <c r="K137" s="49" t="str">
        <f>IF(AND(ISNUMBER(H137),ISNUMBER(I137),ISNUMBER(J137)),IF(H137&gt;I137,(J137-H137)/(H137-I137),""),"")</f>
        <v/>
      </c>
      <c r="L137" s="44" t="str">
        <f>IF(AND(ISNUMBER(H137),ISNUMBER(I137)),IF(H137&gt;I137,MIN(INT(ROUND('参数'!$C$7/(H137-I137)/100,6))*100,IF(ISNUMBER(E137),IF(H137-ROUND(ROUND(I137*(1-E137),4),2)&gt;0,INT(ROUND('参数'!$C$8/(H137-ROUND(ROUND(I137*(1-E137),4),2))/100,6))*100,0),INT(ROUND('参数'!$C$7/(H137-I137)/100,6))*100)),""),"")</f>
        <v/>
      </c>
      <c r="M137" s="17" t="n"/>
      <c r="N137" s="20" t="str">
        <f>IF(AND(ISNUMBER(H137),ISNUMBER(I137),ISNUMBER(M137)),IF(AND(H137&gt;I137,M137&gt;0),(H137-I137)*M137,""),"")</f>
        <v/>
      </c>
      <c r="O137" s="20" t="str">
        <f>IF(ISNUMBER(N137),IF(ISNUMBER(E137),(H137-ROUND(ROUND(I137*(1-E137),4),2))*M137,"不设限"),"")</f>
        <v/>
      </c>
      <c r="P137" s="32" t="n"/>
      <c r="Q137" s="27" t="n"/>
      <c r="R137" s="42" t="str">
        <f>IF(N(T137)&gt;0,SUMPRODUCT(LARGE(('成交明细'!$A$5:$A$804=A137)*('成交明细'!$C$5:$C$804="买")*'成交明细'!$B$5:$B$804,COUNTIFS('成交明细'!$A$5:$A$804,A137,'成交明细'!$C$5:$C$804,"买"))),"")</f>
        <v/>
      </c>
      <c r="S137" s="42" t="str">
        <f>IF(AND(N(T137)&gt;0,N(V137)&gt;=N(T137)),SUMPRODUCT(MAX(('成交明细'!$A$5:$A$804=A137)*('成交明细'!$C$5:$C$804="卖")*'成交明细'!$B$5:$B$804)),"")</f>
        <v/>
      </c>
      <c r="T137" s="44" t="str">
        <f>IF(A137="","",SUMIFS('成交明细'!$E$5:$E$804,'成交明细'!$A$5:$A$804,A137,'成交明细'!$C$5:$C$804,"买"))</f>
        <v/>
      </c>
      <c r="U137" s="50" t="str">
        <f>IF(N(T137)&gt;0,SUMIFS('成交明细'!$F$5:$F$804,'成交明细'!$A$5:$A$804,A137,'成交明细'!$C$5:$C$804,"买")/T137,"")</f>
        <v/>
      </c>
      <c r="V137" s="44" t="str">
        <f>IF(A137="","",SUMIFS('成交明细'!$E$5:$E$804,'成交明细'!$A$5:$A$804,A137,'成交明细'!$C$5:$C$804,"卖"))</f>
        <v/>
      </c>
      <c r="W137" s="50" t="str">
        <f>IF(N(V137)&gt;0,SUMIFS('成交明细'!$F$5:$F$804,'成交明细'!$A$5:$A$804,A137,'成交明细'!$C$5:$C$804,"卖")/V137,"")</f>
        <v/>
      </c>
      <c r="X137" s="36" t="str">
        <f>IF(A137="","",IF(Q137&lt;&gt;"已执行",IF(Q137="","未填执行情况",Q137),IF(N(T137)=0,"待录成交",IF(N(V137)&gt;N(T137),"卖出多于买入",IF(N(V137)&lt;N(T137),"持仓中","已平仓")))))</f>
        <v/>
      </c>
      <c r="Y137" s="51" t="str">
        <f>IF(N(T137)=0,"",SUMIFS('成交明细'!$K$5:$K$804,'成交明细'!$A$5:$A$804,A137))</f>
        <v/>
      </c>
      <c r="Z137" s="52" t="str">
        <f>IF(X137&lt;&gt;"已平仓","",SUMIFS('成交明细'!$F$5:$F$804,'成交明细'!$A$5:$A$804,A137,'成交明细'!$C$5:$C$804,"卖")-SUMIFS('成交明细'!$F$5:$F$804,'成交明细'!$A$5:$A$804,A137,'成交明细'!$C$5:$C$804,"买")-Y137)</f>
        <v/>
      </c>
      <c r="AA137" s="53" t="str">
        <f>IF(AND(X137="已平仓",ISNUMBER(N137)),(Z137+Y137)/N137,"")</f>
        <v/>
      </c>
      <c r="AB137" s="53" t="str">
        <f>IF(AND(X137="已平仓",ISNUMBER(N137)),Z137/N137,"")</f>
        <v/>
      </c>
      <c r="AC137" s="54" t="str">
        <f>IF(AND(ISNUMBER(U137),ISNUMBER(H137)),U137-H137,"")</f>
        <v/>
      </c>
      <c r="AD137" s="27" t="n"/>
      <c r="AE137" s="27" t="n"/>
      <c r="AF137" s="32" t="n"/>
      <c r="AG137" s="53" t="str">
        <f>IF(A137="","",SUM(AB$5:AB137))</f>
        <v/>
      </c>
      <c r="AH137" s="55" t="str">
        <f>IF(A137="","",MAX(0,MAX(AG$5:AG137))-AG137)</f>
        <v/>
      </c>
    </row>
    <row r="138">
      <c r="A138" s="46" t="n"/>
      <c r="B138" s="31" t="n"/>
      <c r="C138" s="32" t="n"/>
      <c r="D138" s="27" t="n"/>
      <c r="E138" s="47" t="str">
        <f>IF(D138="","",IFERROR(VLOOKUP(D138,'参数'!$B$21:$C$26,2,FALSE),""))</f>
        <v/>
      </c>
      <c r="F138" s="27" t="n"/>
      <c r="G138" s="43" t="str">
        <f>IF(NOT(ISNUMBER(B138)),"",IFERROR(IF(B138-INDEX('每日复盘'!$A$5:$A$264,MATCH(B138-1,'每日复盘'!$A$5:$A$264,1))&gt;7,"",T(INDEX('每日复盘'!$AA$5:$AA$264,MATCH(B138-1,'每日复盘'!$A$5:$A$264,1)))),""))</f>
        <v/>
      </c>
      <c r="H138" s="48" t="n"/>
      <c r="I138" s="48" t="n"/>
      <c r="J138" s="48" t="n"/>
      <c r="K138" s="49" t="str">
        <f>IF(AND(ISNUMBER(H138),ISNUMBER(I138),ISNUMBER(J138)),IF(H138&gt;I138,(J138-H138)/(H138-I138),""),"")</f>
        <v/>
      </c>
      <c r="L138" s="44" t="str">
        <f>IF(AND(ISNUMBER(H138),ISNUMBER(I138)),IF(H138&gt;I138,MIN(INT(ROUND('参数'!$C$7/(H138-I138)/100,6))*100,IF(ISNUMBER(E138),IF(H138-ROUND(ROUND(I138*(1-E138),4),2)&gt;0,INT(ROUND('参数'!$C$8/(H138-ROUND(ROUND(I138*(1-E138),4),2))/100,6))*100,0),INT(ROUND('参数'!$C$7/(H138-I138)/100,6))*100)),""),"")</f>
        <v/>
      </c>
      <c r="M138" s="17" t="n"/>
      <c r="N138" s="20" t="str">
        <f>IF(AND(ISNUMBER(H138),ISNUMBER(I138),ISNUMBER(M138)),IF(AND(H138&gt;I138,M138&gt;0),(H138-I138)*M138,""),"")</f>
        <v/>
      </c>
      <c r="O138" s="20" t="str">
        <f>IF(ISNUMBER(N138),IF(ISNUMBER(E138),(H138-ROUND(ROUND(I138*(1-E138),4),2))*M138,"不设限"),"")</f>
        <v/>
      </c>
      <c r="P138" s="32" t="n"/>
      <c r="Q138" s="27" t="n"/>
      <c r="R138" s="42" t="str">
        <f>IF(N(T138)&gt;0,SUMPRODUCT(LARGE(('成交明细'!$A$5:$A$804=A138)*('成交明细'!$C$5:$C$804="买")*'成交明细'!$B$5:$B$804,COUNTIFS('成交明细'!$A$5:$A$804,A138,'成交明细'!$C$5:$C$804,"买"))),"")</f>
        <v/>
      </c>
      <c r="S138" s="42" t="str">
        <f>IF(AND(N(T138)&gt;0,N(V138)&gt;=N(T138)),SUMPRODUCT(MAX(('成交明细'!$A$5:$A$804=A138)*('成交明细'!$C$5:$C$804="卖")*'成交明细'!$B$5:$B$804)),"")</f>
        <v/>
      </c>
      <c r="T138" s="44" t="str">
        <f>IF(A138="","",SUMIFS('成交明细'!$E$5:$E$804,'成交明细'!$A$5:$A$804,A138,'成交明细'!$C$5:$C$804,"买"))</f>
        <v/>
      </c>
      <c r="U138" s="50" t="str">
        <f>IF(N(T138)&gt;0,SUMIFS('成交明细'!$F$5:$F$804,'成交明细'!$A$5:$A$804,A138,'成交明细'!$C$5:$C$804,"买")/T138,"")</f>
        <v/>
      </c>
      <c r="V138" s="44" t="str">
        <f>IF(A138="","",SUMIFS('成交明细'!$E$5:$E$804,'成交明细'!$A$5:$A$804,A138,'成交明细'!$C$5:$C$804,"卖"))</f>
        <v/>
      </c>
      <c r="W138" s="50" t="str">
        <f>IF(N(V138)&gt;0,SUMIFS('成交明细'!$F$5:$F$804,'成交明细'!$A$5:$A$804,A138,'成交明细'!$C$5:$C$804,"卖")/V138,"")</f>
        <v/>
      </c>
      <c r="X138" s="36" t="str">
        <f>IF(A138="","",IF(Q138&lt;&gt;"已执行",IF(Q138="","未填执行情况",Q138),IF(N(T138)=0,"待录成交",IF(N(V138)&gt;N(T138),"卖出多于买入",IF(N(V138)&lt;N(T138),"持仓中","已平仓")))))</f>
        <v/>
      </c>
      <c r="Y138" s="51" t="str">
        <f>IF(N(T138)=0,"",SUMIFS('成交明细'!$K$5:$K$804,'成交明细'!$A$5:$A$804,A138))</f>
        <v/>
      </c>
      <c r="Z138" s="52" t="str">
        <f>IF(X138&lt;&gt;"已平仓","",SUMIFS('成交明细'!$F$5:$F$804,'成交明细'!$A$5:$A$804,A138,'成交明细'!$C$5:$C$804,"卖")-SUMIFS('成交明细'!$F$5:$F$804,'成交明细'!$A$5:$A$804,A138,'成交明细'!$C$5:$C$804,"买")-Y138)</f>
        <v/>
      </c>
      <c r="AA138" s="53" t="str">
        <f>IF(AND(X138="已平仓",ISNUMBER(N138)),(Z138+Y138)/N138,"")</f>
        <v/>
      </c>
      <c r="AB138" s="53" t="str">
        <f>IF(AND(X138="已平仓",ISNUMBER(N138)),Z138/N138,"")</f>
        <v/>
      </c>
      <c r="AC138" s="54" t="str">
        <f>IF(AND(ISNUMBER(U138),ISNUMBER(H138)),U138-H138,"")</f>
        <v/>
      </c>
      <c r="AD138" s="27" t="n"/>
      <c r="AE138" s="27" t="n"/>
      <c r="AF138" s="32" t="n"/>
      <c r="AG138" s="53" t="str">
        <f>IF(A138="","",SUM(AB$5:AB138))</f>
        <v/>
      </c>
      <c r="AH138" s="55" t="str">
        <f>IF(A138="","",MAX(0,MAX(AG$5:AG138))-AG138)</f>
        <v/>
      </c>
    </row>
    <row r="139">
      <c r="A139" s="46" t="n"/>
      <c r="B139" s="31" t="n"/>
      <c r="C139" s="32" t="n"/>
      <c r="D139" s="27" t="n"/>
      <c r="E139" s="47" t="str">
        <f>IF(D139="","",IFERROR(VLOOKUP(D139,'参数'!$B$21:$C$26,2,FALSE),""))</f>
        <v/>
      </c>
      <c r="F139" s="27" t="n"/>
      <c r="G139" s="43" t="str">
        <f>IF(NOT(ISNUMBER(B139)),"",IFERROR(IF(B139-INDEX('每日复盘'!$A$5:$A$264,MATCH(B139-1,'每日复盘'!$A$5:$A$264,1))&gt;7,"",T(INDEX('每日复盘'!$AA$5:$AA$264,MATCH(B139-1,'每日复盘'!$A$5:$A$264,1)))),""))</f>
        <v/>
      </c>
      <c r="H139" s="48" t="n"/>
      <c r="I139" s="48" t="n"/>
      <c r="J139" s="48" t="n"/>
      <c r="K139" s="49" t="str">
        <f>IF(AND(ISNUMBER(H139),ISNUMBER(I139),ISNUMBER(J139)),IF(H139&gt;I139,(J139-H139)/(H139-I139),""),"")</f>
        <v/>
      </c>
      <c r="L139" s="44" t="str">
        <f>IF(AND(ISNUMBER(H139),ISNUMBER(I139)),IF(H139&gt;I139,MIN(INT(ROUND('参数'!$C$7/(H139-I139)/100,6))*100,IF(ISNUMBER(E139),IF(H139-ROUND(ROUND(I139*(1-E139),4),2)&gt;0,INT(ROUND('参数'!$C$8/(H139-ROUND(ROUND(I139*(1-E139),4),2))/100,6))*100,0),INT(ROUND('参数'!$C$7/(H139-I139)/100,6))*100)),""),"")</f>
        <v/>
      </c>
      <c r="M139" s="17" t="n"/>
      <c r="N139" s="20" t="str">
        <f>IF(AND(ISNUMBER(H139),ISNUMBER(I139),ISNUMBER(M139)),IF(AND(H139&gt;I139,M139&gt;0),(H139-I139)*M139,""),"")</f>
        <v/>
      </c>
      <c r="O139" s="20" t="str">
        <f>IF(ISNUMBER(N139),IF(ISNUMBER(E139),(H139-ROUND(ROUND(I139*(1-E139),4),2))*M139,"不设限"),"")</f>
        <v/>
      </c>
      <c r="P139" s="32" t="n"/>
      <c r="Q139" s="27" t="n"/>
      <c r="R139" s="42" t="str">
        <f>IF(N(T139)&gt;0,SUMPRODUCT(LARGE(('成交明细'!$A$5:$A$804=A139)*('成交明细'!$C$5:$C$804="买")*'成交明细'!$B$5:$B$804,COUNTIFS('成交明细'!$A$5:$A$804,A139,'成交明细'!$C$5:$C$804,"买"))),"")</f>
        <v/>
      </c>
      <c r="S139" s="42" t="str">
        <f>IF(AND(N(T139)&gt;0,N(V139)&gt;=N(T139)),SUMPRODUCT(MAX(('成交明细'!$A$5:$A$804=A139)*('成交明细'!$C$5:$C$804="卖")*'成交明细'!$B$5:$B$804)),"")</f>
        <v/>
      </c>
      <c r="T139" s="44" t="str">
        <f>IF(A139="","",SUMIFS('成交明细'!$E$5:$E$804,'成交明细'!$A$5:$A$804,A139,'成交明细'!$C$5:$C$804,"买"))</f>
        <v/>
      </c>
      <c r="U139" s="50" t="str">
        <f>IF(N(T139)&gt;0,SUMIFS('成交明细'!$F$5:$F$804,'成交明细'!$A$5:$A$804,A139,'成交明细'!$C$5:$C$804,"买")/T139,"")</f>
        <v/>
      </c>
      <c r="V139" s="44" t="str">
        <f>IF(A139="","",SUMIFS('成交明细'!$E$5:$E$804,'成交明细'!$A$5:$A$804,A139,'成交明细'!$C$5:$C$804,"卖"))</f>
        <v/>
      </c>
      <c r="W139" s="50" t="str">
        <f>IF(N(V139)&gt;0,SUMIFS('成交明细'!$F$5:$F$804,'成交明细'!$A$5:$A$804,A139,'成交明细'!$C$5:$C$804,"卖")/V139,"")</f>
        <v/>
      </c>
      <c r="X139" s="36" t="str">
        <f>IF(A139="","",IF(Q139&lt;&gt;"已执行",IF(Q139="","未填执行情况",Q139),IF(N(T139)=0,"待录成交",IF(N(V139)&gt;N(T139),"卖出多于买入",IF(N(V139)&lt;N(T139),"持仓中","已平仓")))))</f>
        <v/>
      </c>
      <c r="Y139" s="51" t="str">
        <f>IF(N(T139)=0,"",SUMIFS('成交明细'!$K$5:$K$804,'成交明细'!$A$5:$A$804,A139))</f>
        <v/>
      </c>
      <c r="Z139" s="52" t="str">
        <f>IF(X139&lt;&gt;"已平仓","",SUMIFS('成交明细'!$F$5:$F$804,'成交明细'!$A$5:$A$804,A139,'成交明细'!$C$5:$C$804,"卖")-SUMIFS('成交明细'!$F$5:$F$804,'成交明细'!$A$5:$A$804,A139,'成交明细'!$C$5:$C$804,"买")-Y139)</f>
        <v/>
      </c>
      <c r="AA139" s="53" t="str">
        <f>IF(AND(X139="已平仓",ISNUMBER(N139)),(Z139+Y139)/N139,"")</f>
        <v/>
      </c>
      <c r="AB139" s="53" t="str">
        <f>IF(AND(X139="已平仓",ISNUMBER(N139)),Z139/N139,"")</f>
        <v/>
      </c>
      <c r="AC139" s="54" t="str">
        <f>IF(AND(ISNUMBER(U139),ISNUMBER(H139)),U139-H139,"")</f>
        <v/>
      </c>
      <c r="AD139" s="27" t="n"/>
      <c r="AE139" s="27" t="n"/>
      <c r="AF139" s="32" t="n"/>
      <c r="AG139" s="53" t="str">
        <f>IF(A139="","",SUM(AB$5:AB139))</f>
        <v/>
      </c>
      <c r="AH139" s="55" t="str">
        <f>IF(A139="","",MAX(0,MAX(AG$5:AG139))-AG139)</f>
        <v/>
      </c>
    </row>
    <row r="140">
      <c r="A140" s="46" t="n"/>
      <c r="B140" s="31" t="n"/>
      <c r="C140" s="32" t="n"/>
      <c r="D140" s="27" t="n"/>
      <c r="E140" s="47" t="str">
        <f>IF(D140="","",IFERROR(VLOOKUP(D140,'参数'!$B$21:$C$26,2,FALSE),""))</f>
        <v/>
      </c>
      <c r="F140" s="27" t="n"/>
      <c r="G140" s="43" t="str">
        <f>IF(NOT(ISNUMBER(B140)),"",IFERROR(IF(B140-INDEX('每日复盘'!$A$5:$A$264,MATCH(B140-1,'每日复盘'!$A$5:$A$264,1))&gt;7,"",T(INDEX('每日复盘'!$AA$5:$AA$264,MATCH(B140-1,'每日复盘'!$A$5:$A$264,1)))),""))</f>
        <v/>
      </c>
      <c r="H140" s="48" t="n"/>
      <c r="I140" s="48" t="n"/>
      <c r="J140" s="48" t="n"/>
      <c r="K140" s="49" t="str">
        <f>IF(AND(ISNUMBER(H140),ISNUMBER(I140),ISNUMBER(J140)),IF(H140&gt;I140,(J140-H140)/(H140-I140),""),"")</f>
        <v/>
      </c>
      <c r="L140" s="44" t="str">
        <f>IF(AND(ISNUMBER(H140),ISNUMBER(I140)),IF(H140&gt;I140,MIN(INT(ROUND('参数'!$C$7/(H140-I140)/100,6))*100,IF(ISNUMBER(E140),IF(H140-ROUND(ROUND(I140*(1-E140),4),2)&gt;0,INT(ROUND('参数'!$C$8/(H140-ROUND(ROUND(I140*(1-E140),4),2))/100,6))*100,0),INT(ROUND('参数'!$C$7/(H140-I140)/100,6))*100)),""),"")</f>
        <v/>
      </c>
      <c r="M140" s="17" t="n"/>
      <c r="N140" s="20" t="str">
        <f>IF(AND(ISNUMBER(H140),ISNUMBER(I140),ISNUMBER(M140)),IF(AND(H140&gt;I140,M140&gt;0),(H140-I140)*M140,""),"")</f>
        <v/>
      </c>
      <c r="O140" s="20" t="str">
        <f>IF(ISNUMBER(N140),IF(ISNUMBER(E140),(H140-ROUND(ROUND(I140*(1-E140),4),2))*M140,"不设限"),"")</f>
        <v/>
      </c>
      <c r="P140" s="32" t="n"/>
      <c r="Q140" s="27" t="n"/>
      <c r="R140" s="42" t="str">
        <f>IF(N(T140)&gt;0,SUMPRODUCT(LARGE(('成交明细'!$A$5:$A$804=A140)*('成交明细'!$C$5:$C$804="买")*'成交明细'!$B$5:$B$804,COUNTIFS('成交明细'!$A$5:$A$804,A140,'成交明细'!$C$5:$C$804,"买"))),"")</f>
        <v/>
      </c>
      <c r="S140" s="42" t="str">
        <f>IF(AND(N(T140)&gt;0,N(V140)&gt;=N(T140)),SUMPRODUCT(MAX(('成交明细'!$A$5:$A$804=A140)*('成交明细'!$C$5:$C$804="卖")*'成交明细'!$B$5:$B$804)),"")</f>
        <v/>
      </c>
      <c r="T140" s="44" t="str">
        <f>IF(A140="","",SUMIFS('成交明细'!$E$5:$E$804,'成交明细'!$A$5:$A$804,A140,'成交明细'!$C$5:$C$804,"买"))</f>
        <v/>
      </c>
      <c r="U140" s="50" t="str">
        <f>IF(N(T140)&gt;0,SUMIFS('成交明细'!$F$5:$F$804,'成交明细'!$A$5:$A$804,A140,'成交明细'!$C$5:$C$804,"买")/T140,"")</f>
        <v/>
      </c>
      <c r="V140" s="44" t="str">
        <f>IF(A140="","",SUMIFS('成交明细'!$E$5:$E$804,'成交明细'!$A$5:$A$804,A140,'成交明细'!$C$5:$C$804,"卖"))</f>
        <v/>
      </c>
      <c r="W140" s="50" t="str">
        <f>IF(N(V140)&gt;0,SUMIFS('成交明细'!$F$5:$F$804,'成交明细'!$A$5:$A$804,A140,'成交明细'!$C$5:$C$804,"卖")/V140,"")</f>
        <v/>
      </c>
      <c r="X140" s="36" t="str">
        <f>IF(A140="","",IF(Q140&lt;&gt;"已执行",IF(Q140="","未填执行情况",Q140),IF(N(T140)=0,"待录成交",IF(N(V140)&gt;N(T140),"卖出多于买入",IF(N(V140)&lt;N(T140),"持仓中","已平仓")))))</f>
        <v/>
      </c>
      <c r="Y140" s="51" t="str">
        <f>IF(N(T140)=0,"",SUMIFS('成交明细'!$K$5:$K$804,'成交明细'!$A$5:$A$804,A140))</f>
        <v/>
      </c>
      <c r="Z140" s="52" t="str">
        <f>IF(X140&lt;&gt;"已平仓","",SUMIFS('成交明细'!$F$5:$F$804,'成交明细'!$A$5:$A$804,A140,'成交明细'!$C$5:$C$804,"卖")-SUMIFS('成交明细'!$F$5:$F$804,'成交明细'!$A$5:$A$804,A140,'成交明细'!$C$5:$C$804,"买")-Y140)</f>
        <v/>
      </c>
      <c r="AA140" s="53" t="str">
        <f>IF(AND(X140="已平仓",ISNUMBER(N140)),(Z140+Y140)/N140,"")</f>
        <v/>
      </c>
      <c r="AB140" s="53" t="str">
        <f>IF(AND(X140="已平仓",ISNUMBER(N140)),Z140/N140,"")</f>
        <v/>
      </c>
      <c r="AC140" s="54" t="str">
        <f>IF(AND(ISNUMBER(U140),ISNUMBER(H140)),U140-H140,"")</f>
        <v/>
      </c>
      <c r="AD140" s="27" t="n"/>
      <c r="AE140" s="27" t="n"/>
      <c r="AF140" s="32" t="n"/>
      <c r="AG140" s="53" t="str">
        <f>IF(A140="","",SUM(AB$5:AB140))</f>
        <v/>
      </c>
      <c r="AH140" s="55" t="str">
        <f>IF(A140="","",MAX(0,MAX(AG$5:AG140))-AG140)</f>
        <v/>
      </c>
    </row>
    <row r="141">
      <c r="A141" s="46" t="n"/>
      <c r="B141" s="31" t="n"/>
      <c r="C141" s="32" t="n"/>
      <c r="D141" s="27" t="n"/>
      <c r="E141" s="47" t="str">
        <f>IF(D141="","",IFERROR(VLOOKUP(D141,'参数'!$B$21:$C$26,2,FALSE),""))</f>
        <v/>
      </c>
      <c r="F141" s="27" t="n"/>
      <c r="G141" s="43" t="str">
        <f>IF(NOT(ISNUMBER(B141)),"",IFERROR(IF(B141-INDEX('每日复盘'!$A$5:$A$264,MATCH(B141-1,'每日复盘'!$A$5:$A$264,1))&gt;7,"",T(INDEX('每日复盘'!$AA$5:$AA$264,MATCH(B141-1,'每日复盘'!$A$5:$A$264,1)))),""))</f>
        <v/>
      </c>
      <c r="H141" s="48" t="n"/>
      <c r="I141" s="48" t="n"/>
      <c r="J141" s="48" t="n"/>
      <c r="K141" s="49" t="str">
        <f>IF(AND(ISNUMBER(H141),ISNUMBER(I141),ISNUMBER(J141)),IF(H141&gt;I141,(J141-H141)/(H141-I141),""),"")</f>
        <v/>
      </c>
      <c r="L141" s="44" t="str">
        <f>IF(AND(ISNUMBER(H141),ISNUMBER(I141)),IF(H141&gt;I141,MIN(INT(ROUND('参数'!$C$7/(H141-I141)/100,6))*100,IF(ISNUMBER(E141),IF(H141-ROUND(ROUND(I141*(1-E141),4),2)&gt;0,INT(ROUND('参数'!$C$8/(H141-ROUND(ROUND(I141*(1-E141),4),2))/100,6))*100,0),INT(ROUND('参数'!$C$7/(H141-I141)/100,6))*100)),""),"")</f>
        <v/>
      </c>
      <c r="M141" s="17" t="n"/>
      <c r="N141" s="20" t="str">
        <f>IF(AND(ISNUMBER(H141),ISNUMBER(I141),ISNUMBER(M141)),IF(AND(H141&gt;I141,M141&gt;0),(H141-I141)*M141,""),"")</f>
        <v/>
      </c>
      <c r="O141" s="20" t="str">
        <f>IF(ISNUMBER(N141),IF(ISNUMBER(E141),(H141-ROUND(ROUND(I141*(1-E141),4),2))*M141,"不设限"),"")</f>
        <v/>
      </c>
      <c r="P141" s="32" t="n"/>
      <c r="Q141" s="27" t="n"/>
      <c r="R141" s="42" t="str">
        <f>IF(N(T141)&gt;0,SUMPRODUCT(LARGE(('成交明细'!$A$5:$A$804=A141)*('成交明细'!$C$5:$C$804="买")*'成交明细'!$B$5:$B$804,COUNTIFS('成交明细'!$A$5:$A$804,A141,'成交明细'!$C$5:$C$804,"买"))),"")</f>
        <v/>
      </c>
      <c r="S141" s="42" t="str">
        <f>IF(AND(N(T141)&gt;0,N(V141)&gt;=N(T141)),SUMPRODUCT(MAX(('成交明细'!$A$5:$A$804=A141)*('成交明细'!$C$5:$C$804="卖")*'成交明细'!$B$5:$B$804)),"")</f>
        <v/>
      </c>
      <c r="T141" s="44" t="str">
        <f>IF(A141="","",SUMIFS('成交明细'!$E$5:$E$804,'成交明细'!$A$5:$A$804,A141,'成交明细'!$C$5:$C$804,"买"))</f>
        <v/>
      </c>
      <c r="U141" s="50" t="str">
        <f>IF(N(T141)&gt;0,SUMIFS('成交明细'!$F$5:$F$804,'成交明细'!$A$5:$A$804,A141,'成交明细'!$C$5:$C$804,"买")/T141,"")</f>
        <v/>
      </c>
      <c r="V141" s="44" t="str">
        <f>IF(A141="","",SUMIFS('成交明细'!$E$5:$E$804,'成交明细'!$A$5:$A$804,A141,'成交明细'!$C$5:$C$804,"卖"))</f>
        <v/>
      </c>
      <c r="W141" s="50" t="str">
        <f>IF(N(V141)&gt;0,SUMIFS('成交明细'!$F$5:$F$804,'成交明细'!$A$5:$A$804,A141,'成交明细'!$C$5:$C$804,"卖")/V141,"")</f>
        <v/>
      </c>
      <c r="X141" s="36" t="str">
        <f>IF(A141="","",IF(Q141&lt;&gt;"已执行",IF(Q141="","未填执行情况",Q141),IF(N(T141)=0,"待录成交",IF(N(V141)&gt;N(T141),"卖出多于买入",IF(N(V141)&lt;N(T141),"持仓中","已平仓")))))</f>
        <v/>
      </c>
      <c r="Y141" s="51" t="str">
        <f>IF(N(T141)=0,"",SUMIFS('成交明细'!$K$5:$K$804,'成交明细'!$A$5:$A$804,A141))</f>
        <v/>
      </c>
      <c r="Z141" s="52" t="str">
        <f>IF(X141&lt;&gt;"已平仓","",SUMIFS('成交明细'!$F$5:$F$804,'成交明细'!$A$5:$A$804,A141,'成交明细'!$C$5:$C$804,"卖")-SUMIFS('成交明细'!$F$5:$F$804,'成交明细'!$A$5:$A$804,A141,'成交明细'!$C$5:$C$804,"买")-Y141)</f>
        <v/>
      </c>
      <c r="AA141" s="53" t="str">
        <f>IF(AND(X141="已平仓",ISNUMBER(N141)),(Z141+Y141)/N141,"")</f>
        <v/>
      </c>
      <c r="AB141" s="53" t="str">
        <f>IF(AND(X141="已平仓",ISNUMBER(N141)),Z141/N141,"")</f>
        <v/>
      </c>
      <c r="AC141" s="54" t="str">
        <f>IF(AND(ISNUMBER(U141),ISNUMBER(H141)),U141-H141,"")</f>
        <v/>
      </c>
      <c r="AD141" s="27" t="n"/>
      <c r="AE141" s="27" t="n"/>
      <c r="AF141" s="32" t="n"/>
      <c r="AG141" s="53" t="str">
        <f>IF(A141="","",SUM(AB$5:AB141))</f>
        <v/>
      </c>
      <c r="AH141" s="55" t="str">
        <f>IF(A141="","",MAX(0,MAX(AG$5:AG141))-AG141)</f>
        <v/>
      </c>
    </row>
    <row r="142">
      <c r="A142" s="46" t="n"/>
      <c r="B142" s="31" t="n"/>
      <c r="C142" s="32" t="n"/>
      <c r="D142" s="27" t="n"/>
      <c r="E142" s="47" t="str">
        <f>IF(D142="","",IFERROR(VLOOKUP(D142,'参数'!$B$21:$C$26,2,FALSE),""))</f>
        <v/>
      </c>
      <c r="F142" s="27" t="n"/>
      <c r="G142" s="43" t="str">
        <f>IF(NOT(ISNUMBER(B142)),"",IFERROR(IF(B142-INDEX('每日复盘'!$A$5:$A$264,MATCH(B142-1,'每日复盘'!$A$5:$A$264,1))&gt;7,"",T(INDEX('每日复盘'!$AA$5:$AA$264,MATCH(B142-1,'每日复盘'!$A$5:$A$264,1)))),""))</f>
        <v/>
      </c>
      <c r="H142" s="48" t="n"/>
      <c r="I142" s="48" t="n"/>
      <c r="J142" s="48" t="n"/>
      <c r="K142" s="49" t="str">
        <f>IF(AND(ISNUMBER(H142),ISNUMBER(I142),ISNUMBER(J142)),IF(H142&gt;I142,(J142-H142)/(H142-I142),""),"")</f>
        <v/>
      </c>
      <c r="L142" s="44" t="str">
        <f>IF(AND(ISNUMBER(H142),ISNUMBER(I142)),IF(H142&gt;I142,MIN(INT(ROUND('参数'!$C$7/(H142-I142)/100,6))*100,IF(ISNUMBER(E142),IF(H142-ROUND(ROUND(I142*(1-E142),4),2)&gt;0,INT(ROUND('参数'!$C$8/(H142-ROUND(ROUND(I142*(1-E142),4),2))/100,6))*100,0),INT(ROUND('参数'!$C$7/(H142-I142)/100,6))*100)),""),"")</f>
        <v/>
      </c>
      <c r="M142" s="17" t="n"/>
      <c r="N142" s="20" t="str">
        <f>IF(AND(ISNUMBER(H142),ISNUMBER(I142),ISNUMBER(M142)),IF(AND(H142&gt;I142,M142&gt;0),(H142-I142)*M142,""),"")</f>
        <v/>
      </c>
      <c r="O142" s="20" t="str">
        <f>IF(ISNUMBER(N142),IF(ISNUMBER(E142),(H142-ROUND(ROUND(I142*(1-E142),4),2))*M142,"不设限"),"")</f>
        <v/>
      </c>
      <c r="P142" s="32" t="n"/>
      <c r="Q142" s="27" t="n"/>
      <c r="R142" s="42" t="str">
        <f>IF(N(T142)&gt;0,SUMPRODUCT(LARGE(('成交明细'!$A$5:$A$804=A142)*('成交明细'!$C$5:$C$804="买")*'成交明细'!$B$5:$B$804,COUNTIFS('成交明细'!$A$5:$A$804,A142,'成交明细'!$C$5:$C$804,"买"))),"")</f>
        <v/>
      </c>
      <c r="S142" s="42" t="str">
        <f>IF(AND(N(T142)&gt;0,N(V142)&gt;=N(T142)),SUMPRODUCT(MAX(('成交明细'!$A$5:$A$804=A142)*('成交明细'!$C$5:$C$804="卖")*'成交明细'!$B$5:$B$804)),"")</f>
        <v/>
      </c>
      <c r="T142" s="44" t="str">
        <f>IF(A142="","",SUMIFS('成交明细'!$E$5:$E$804,'成交明细'!$A$5:$A$804,A142,'成交明细'!$C$5:$C$804,"买"))</f>
        <v/>
      </c>
      <c r="U142" s="50" t="str">
        <f>IF(N(T142)&gt;0,SUMIFS('成交明细'!$F$5:$F$804,'成交明细'!$A$5:$A$804,A142,'成交明细'!$C$5:$C$804,"买")/T142,"")</f>
        <v/>
      </c>
      <c r="V142" s="44" t="str">
        <f>IF(A142="","",SUMIFS('成交明细'!$E$5:$E$804,'成交明细'!$A$5:$A$804,A142,'成交明细'!$C$5:$C$804,"卖"))</f>
        <v/>
      </c>
      <c r="W142" s="50" t="str">
        <f>IF(N(V142)&gt;0,SUMIFS('成交明细'!$F$5:$F$804,'成交明细'!$A$5:$A$804,A142,'成交明细'!$C$5:$C$804,"卖")/V142,"")</f>
        <v/>
      </c>
      <c r="X142" s="36" t="str">
        <f>IF(A142="","",IF(Q142&lt;&gt;"已执行",IF(Q142="","未填执行情况",Q142),IF(N(T142)=0,"待录成交",IF(N(V142)&gt;N(T142),"卖出多于买入",IF(N(V142)&lt;N(T142),"持仓中","已平仓")))))</f>
        <v/>
      </c>
      <c r="Y142" s="51" t="str">
        <f>IF(N(T142)=0,"",SUMIFS('成交明细'!$K$5:$K$804,'成交明细'!$A$5:$A$804,A142))</f>
        <v/>
      </c>
      <c r="Z142" s="52" t="str">
        <f>IF(X142&lt;&gt;"已平仓","",SUMIFS('成交明细'!$F$5:$F$804,'成交明细'!$A$5:$A$804,A142,'成交明细'!$C$5:$C$804,"卖")-SUMIFS('成交明细'!$F$5:$F$804,'成交明细'!$A$5:$A$804,A142,'成交明细'!$C$5:$C$804,"买")-Y142)</f>
        <v/>
      </c>
      <c r="AA142" s="53" t="str">
        <f>IF(AND(X142="已平仓",ISNUMBER(N142)),(Z142+Y142)/N142,"")</f>
        <v/>
      </c>
      <c r="AB142" s="53" t="str">
        <f>IF(AND(X142="已平仓",ISNUMBER(N142)),Z142/N142,"")</f>
        <v/>
      </c>
      <c r="AC142" s="54" t="str">
        <f>IF(AND(ISNUMBER(U142),ISNUMBER(H142)),U142-H142,"")</f>
        <v/>
      </c>
      <c r="AD142" s="27" t="n"/>
      <c r="AE142" s="27" t="n"/>
      <c r="AF142" s="32" t="n"/>
      <c r="AG142" s="53" t="str">
        <f>IF(A142="","",SUM(AB$5:AB142))</f>
        <v/>
      </c>
      <c r="AH142" s="55" t="str">
        <f>IF(A142="","",MAX(0,MAX(AG$5:AG142))-AG142)</f>
        <v/>
      </c>
    </row>
    <row r="143">
      <c r="A143" s="46" t="n"/>
      <c r="B143" s="31" t="n"/>
      <c r="C143" s="32" t="n"/>
      <c r="D143" s="27" t="n"/>
      <c r="E143" s="47" t="str">
        <f>IF(D143="","",IFERROR(VLOOKUP(D143,'参数'!$B$21:$C$26,2,FALSE),""))</f>
        <v/>
      </c>
      <c r="F143" s="27" t="n"/>
      <c r="G143" s="43" t="str">
        <f>IF(NOT(ISNUMBER(B143)),"",IFERROR(IF(B143-INDEX('每日复盘'!$A$5:$A$264,MATCH(B143-1,'每日复盘'!$A$5:$A$264,1))&gt;7,"",T(INDEX('每日复盘'!$AA$5:$AA$264,MATCH(B143-1,'每日复盘'!$A$5:$A$264,1)))),""))</f>
        <v/>
      </c>
      <c r="H143" s="48" t="n"/>
      <c r="I143" s="48" t="n"/>
      <c r="J143" s="48" t="n"/>
      <c r="K143" s="49" t="str">
        <f>IF(AND(ISNUMBER(H143),ISNUMBER(I143),ISNUMBER(J143)),IF(H143&gt;I143,(J143-H143)/(H143-I143),""),"")</f>
        <v/>
      </c>
      <c r="L143" s="44" t="str">
        <f>IF(AND(ISNUMBER(H143),ISNUMBER(I143)),IF(H143&gt;I143,MIN(INT(ROUND('参数'!$C$7/(H143-I143)/100,6))*100,IF(ISNUMBER(E143),IF(H143-ROUND(ROUND(I143*(1-E143),4),2)&gt;0,INT(ROUND('参数'!$C$8/(H143-ROUND(ROUND(I143*(1-E143),4),2))/100,6))*100,0),INT(ROUND('参数'!$C$7/(H143-I143)/100,6))*100)),""),"")</f>
        <v/>
      </c>
      <c r="M143" s="17" t="n"/>
      <c r="N143" s="20" t="str">
        <f>IF(AND(ISNUMBER(H143),ISNUMBER(I143),ISNUMBER(M143)),IF(AND(H143&gt;I143,M143&gt;0),(H143-I143)*M143,""),"")</f>
        <v/>
      </c>
      <c r="O143" s="20" t="str">
        <f>IF(ISNUMBER(N143),IF(ISNUMBER(E143),(H143-ROUND(ROUND(I143*(1-E143),4),2))*M143,"不设限"),"")</f>
        <v/>
      </c>
      <c r="P143" s="32" t="n"/>
      <c r="Q143" s="27" t="n"/>
      <c r="R143" s="42" t="str">
        <f>IF(N(T143)&gt;0,SUMPRODUCT(LARGE(('成交明细'!$A$5:$A$804=A143)*('成交明细'!$C$5:$C$804="买")*'成交明细'!$B$5:$B$804,COUNTIFS('成交明细'!$A$5:$A$804,A143,'成交明细'!$C$5:$C$804,"买"))),"")</f>
        <v/>
      </c>
      <c r="S143" s="42" t="str">
        <f>IF(AND(N(T143)&gt;0,N(V143)&gt;=N(T143)),SUMPRODUCT(MAX(('成交明细'!$A$5:$A$804=A143)*('成交明细'!$C$5:$C$804="卖")*'成交明细'!$B$5:$B$804)),"")</f>
        <v/>
      </c>
      <c r="T143" s="44" t="str">
        <f>IF(A143="","",SUMIFS('成交明细'!$E$5:$E$804,'成交明细'!$A$5:$A$804,A143,'成交明细'!$C$5:$C$804,"买"))</f>
        <v/>
      </c>
      <c r="U143" s="50" t="str">
        <f>IF(N(T143)&gt;0,SUMIFS('成交明细'!$F$5:$F$804,'成交明细'!$A$5:$A$804,A143,'成交明细'!$C$5:$C$804,"买")/T143,"")</f>
        <v/>
      </c>
      <c r="V143" s="44" t="str">
        <f>IF(A143="","",SUMIFS('成交明细'!$E$5:$E$804,'成交明细'!$A$5:$A$804,A143,'成交明细'!$C$5:$C$804,"卖"))</f>
        <v/>
      </c>
      <c r="W143" s="50" t="str">
        <f>IF(N(V143)&gt;0,SUMIFS('成交明细'!$F$5:$F$804,'成交明细'!$A$5:$A$804,A143,'成交明细'!$C$5:$C$804,"卖")/V143,"")</f>
        <v/>
      </c>
      <c r="X143" s="36" t="str">
        <f>IF(A143="","",IF(Q143&lt;&gt;"已执行",IF(Q143="","未填执行情况",Q143),IF(N(T143)=0,"待录成交",IF(N(V143)&gt;N(T143),"卖出多于买入",IF(N(V143)&lt;N(T143),"持仓中","已平仓")))))</f>
        <v/>
      </c>
      <c r="Y143" s="51" t="str">
        <f>IF(N(T143)=0,"",SUMIFS('成交明细'!$K$5:$K$804,'成交明细'!$A$5:$A$804,A143))</f>
        <v/>
      </c>
      <c r="Z143" s="52" t="str">
        <f>IF(X143&lt;&gt;"已平仓","",SUMIFS('成交明细'!$F$5:$F$804,'成交明细'!$A$5:$A$804,A143,'成交明细'!$C$5:$C$804,"卖")-SUMIFS('成交明细'!$F$5:$F$804,'成交明细'!$A$5:$A$804,A143,'成交明细'!$C$5:$C$804,"买")-Y143)</f>
        <v/>
      </c>
      <c r="AA143" s="53" t="str">
        <f>IF(AND(X143="已平仓",ISNUMBER(N143)),(Z143+Y143)/N143,"")</f>
        <v/>
      </c>
      <c r="AB143" s="53" t="str">
        <f>IF(AND(X143="已平仓",ISNUMBER(N143)),Z143/N143,"")</f>
        <v/>
      </c>
      <c r="AC143" s="54" t="str">
        <f>IF(AND(ISNUMBER(U143),ISNUMBER(H143)),U143-H143,"")</f>
        <v/>
      </c>
      <c r="AD143" s="27" t="n"/>
      <c r="AE143" s="27" t="n"/>
      <c r="AF143" s="32" t="n"/>
      <c r="AG143" s="53" t="str">
        <f>IF(A143="","",SUM(AB$5:AB143))</f>
        <v/>
      </c>
      <c r="AH143" s="55" t="str">
        <f>IF(A143="","",MAX(0,MAX(AG$5:AG143))-AG143)</f>
        <v/>
      </c>
    </row>
    <row r="144">
      <c r="A144" s="46" t="n"/>
      <c r="B144" s="31" t="n"/>
      <c r="C144" s="32" t="n"/>
      <c r="D144" s="27" t="n"/>
      <c r="E144" s="47" t="str">
        <f>IF(D144="","",IFERROR(VLOOKUP(D144,'参数'!$B$21:$C$26,2,FALSE),""))</f>
        <v/>
      </c>
      <c r="F144" s="27" t="n"/>
      <c r="G144" s="43" t="str">
        <f>IF(NOT(ISNUMBER(B144)),"",IFERROR(IF(B144-INDEX('每日复盘'!$A$5:$A$264,MATCH(B144-1,'每日复盘'!$A$5:$A$264,1))&gt;7,"",T(INDEX('每日复盘'!$AA$5:$AA$264,MATCH(B144-1,'每日复盘'!$A$5:$A$264,1)))),""))</f>
        <v/>
      </c>
      <c r="H144" s="48" t="n"/>
      <c r="I144" s="48" t="n"/>
      <c r="J144" s="48" t="n"/>
      <c r="K144" s="49" t="str">
        <f>IF(AND(ISNUMBER(H144),ISNUMBER(I144),ISNUMBER(J144)),IF(H144&gt;I144,(J144-H144)/(H144-I144),""),"")</f>
        <v/>
      </c>
      <c r="L144" s="44" t="str">
        <f>IF(AND(ISNUMBER(H144),ISNUMBER(I144)),IF(H144&gt;I144,MIN(INT(ROUND('参数'!$C$7/(H144-I144)/100,6))*100,IF(ISNUMBER(E144),IF(H144-ROUND(ROUND(I144*(1-E144),4),2)&gt;0,INT(ROUND('参数'!$C$8/(H144-ROUND(ROUND(I144*(1-E144),4),2))/100,6))*100,0),INT(ROUND('参数'!$C$7/(H144-I144)/100,6))*100)),""),"")</f>
        <v/>
      </c>
      <c r="M144" s="17" t="n"/>
      <c r="N144" s="20" t="str">
        <f>IF(AND(ISNUMBER(H144),ISNUMBER(I144),ISNUMBER(M144)),IF(AND(H144&gt;I144,M144&gt;0),(H144-I144)*M144,""),"")</f>
        <v/>
      </c>
      <c r="O144" s="20" t="str">
        <f>IF(ISNUMBER(N144),IF(ISNUMBER(E144),(H144-ROUND(ROUND(I144*(1-E144),4),2))*M144,"不设限"),"")</f>
        <v/>
      </c>
      <c r="P144" s="32" t="n"/>
      <c r="Q144" s="27" t="n"/>
      <c r="R144" s="42" t="str">
        <f>IF(N(T144)&gt;0,SUMPRODUCT(LARGE(('成交明细'!$A$5:$A$804=A144)*('成交明细'!$C$5:$C$804="买")*'成交明细'!$B$5:$B$804,COUNTIFS('成交明细'!$A$5:$A$804,A144,'成交明细'!$C$5:$C$804,"买"))),"")</f>
        <v/>
      </c>
      <c r="S144" s="42" t="str">
        <f>IF(AND(N(T144)&gt;0,N(V144)&gt;=N(T144)),SUMPRODUCT(MAX(('成交明细'!$A$5:$A$804=A144)*('成交明细'!$C$5:$C$804="卖")*'成交明细'!$B$5:$B$804)),"")</f>
        <v/>
      </c>
      <c r="T144" s="44" t="str">
        <f>IF(A144="","",SUMIFS('成交明细'!$E$5:$E$804,'成交明细'!$A$5:$A$804,A144,'成交明细'!$C$5:$C$804,"买"))</f>
        <v/>
      </c>
      <c r="U144" s="50" t="str">
        <f>IF(N(T144)&gt;0,SUMIFS('成交明细'!$F$5:$F$804,'成交明细'!$A$5:$A$804,A144,'成交明细'!$C$5:$C$804,"买")/T144,"")</f>
        <v/>
      </c>
      <c r="V144" s="44" t="str">
        <f>IF(A144="","",SUMIFS('成交明细'!$E$5:$E$804,'成交明细'!$A$5:$A$804,A144,'成交明细'!$C$5:$C$804,"卖"))</f>
        <v/>
      </c>
      <c r="W144" s="50" t="str">
        <f>IF(N(V144)&gt;0,SUMIFS('成交明细'!$F$5:$F$804,'成交明细'!$A$5:$A$804,A144,'成交明细'!$C$5:$C$804,"卖")/V144,"")</f>
        <v/>
      </c>
      <c r="X144" s="36" t="str">
        <f>IF(A144="","",IF(Q144&lt;&gt;"已执行",IF(Q144="","未填执行情况",Q144),IF(N(T144)=0,"待录成交",IF(N(V144)&gt;N(T144),"卖出多于买入",IF(N(V144)&lt;N(T144),"持仓中","已平仓")))))</f>
        <v/>
      </c>
      <c r="Y144" s="51" t="str">
        <f>IF(N(T144)=0,"",SUMIFS('成交明细'!$K$5:$K$804,'成交明细'!$A$5:$A$804,A144))</f>
        <v/>
      </c>
      <c r="Z144" s="52" t="str">
        <f>IF(X144&lt;&gt;"已平仓","",SUMIFS('成交明细'!$F$5:$F$804,'成交明细'!$A$5:$A$804,A144,'成交明细'!$C$5:$C$804,"卖")-SUMIFS('成交明细'!$F$5:$F$804,'成交明细'!$A$5:$A$804,A144,'成交明细'!$C$5:$C$804,"买")-Y144)</f>
        <v/>
      </c>
      <c r="AA144" s="53" t="str">
        <f>IF(AND(X144="已平仓",ISNUMBER(N144)),(Z144+Y144)/N144,"")</f>
        <v/>
      </c>
      <c r="AB144" s="53" t="str">
        <f>IF(AND(X144="已平仓",ISNUMBER(N144)),Z144/N144,"")</f>
        <v/>
      </c>
      <c r="AC144" s="54" t="str">
        <f>IF(AND(ISNUMBER(U144),ISNUMBER(H144)),U144-H144,"")</f>
        <v/>
      </c>
      <c r="AD144" s="27" t="n"/>
      <c r="AE144" s="27" t="n"/>
      <c r="AF144" s="32" t="n"/>
      <c r="AG144" s="53" t="str">
        <f>IF(A144="","",SUM(AB$5:AB144))</f>
        <v/>
      </c>
      <c r="AH144" s="55" t="str">
        <f>IF(A144="","",MAX(0,MAX(AG$5:AG144))-AG144)</f>
        <v/>
      </c>
    </row>
    <row r="145">
      <c r="A145" s="46" t="n"/>
      <c r="B145" s="31" t="n"/>
      <c r="C145" s="32" t="n"/>
      <c r="D145" s="27" t="n"/>
      <c r="E145" s="47" t="str">
        <f>IF(D145="","",IFERROR(VLOOKUP(D145,'参数'!$B$21:$C$26,2,FALSE),""))</f>
        <v/>
      </c>
      <c r="F145" s="27" t="n"/>
      <c r="G145" s="43" t="str">
        <f>IF(NOT(ISNUMBER(B145)),"",IFERROR(IF(B145-INDEX('每日复盘'!$A$5:$A$264,MATCH(B145-1,'每日复盘'!$A$5:$A$264,1))&gt;7,"",T(INDEX('每日复盘'!$AA$5:$AA$264,MATCH(B145-1,'每日复盘'!$A$5:$A$264,1)))),""))</f>
        <v/>
      </c>
      <c r="H145" s="48" t="n"/>
      <c r="I145" s="48" t="n"/>
      <c r="J145" s="48" t="n"/>
      <c r="K145" s="49" t="str">
        <f>IF(AND(ISNUMBER(H145),ISNUMBER(I145),ISNUMBER(J145)),IF(H145&gt;I145,(J145-H145)/(H145-I145),""),"")</f>
        <v/>
      </c>
      <c r="L145" s="44" t="str">
        <f>IF(AND(ISNUMBER(H145),ISNUMBER(I145)),IF(H145&gt;I145,MIN(INT(ROUND('参数'!$C$7/(H145-I145)/100,6))*100,IF(ISNUMBER(E145),IF(H145-ROUND(ROUND(I145*(1-E145),4),2)&gt;0,INT(ROUND('参数'!$C$8/(H145-ROUND(ROUND(I145*(1-E145),4),2))/100,6))*100,0),INT(ROUND('参数'!$C$7/(H145-I145)/100,6))*100)),""),"")</f>
        <v/>
      </c>
      <c r="M145" s="17" t="n"/>
      <c r="N145" s="20" t="str">
        <f>IF(AND(ISNUMBER(H145),ISNUMBER(I145),ISNUMBER(M145)),IF(AND(H145&gt;I145,M145&gt;0),(H145-I145)*M145,""),"")</f>
        <v/>
      </c>
      <c r="O145" s="20" t="str">
        <f>IF(ISNUMBER(N145),IF(ISNUMBER(E145),(H145-ROUND(ROUND(I145*(1-E145),4),2))*M145,"不设限"),"")</f>
        <v/>
      </c>
      <c r="P145" s="32" t="n"/>
      <c r="Q145" s="27" t="n"/>
      <c r="R145" s="42" t="str">
        <f>IF(N(T145)&gt;0,SUMPRODUCT(LARGE(('成交明细'!$A$5:$A$804=A145)*('成交明细'!$C$5:$C$804="买")*'成交明细'!$B$5:$B$804,COUNTIFS('成交明细'!$A$5:$A$804,A145,'成交明细'!$C$5:$C$804,"买"))),"")</f>
        <v/>
      </c>
      <c r="S145" s="42" t="str">
        <f>IF(AND(N(T145)&gt;0,N(V145)&gt;=N(T145)),SUMPRODUCT(MAX(('成交明细'!$A$5:$A$804=A145)*('成交明细'!$C$5:$C$804="卖")*'成交明细'!$B$5:$B$804)),"")</f>
        <v/>
      </c>
      <c r="T145" s="44" t="str">
        <f>IF(A145="","",SUMIFS('成交明细'!$E$5:$E$804,'成交明细'!$A$5:$A$804,A145,'成交明细'!$C$5:$C$804,"买"))</f>
        <v/>
      </c>
      <c r="U145" s="50" t="str">
        <f>IF(N(T145)&gt;0,SUMIFS('成交明细'!$F$5:$F$804,'成交明细'!$A$5:$A$804,A145,'成交明细'!$C$5:$C$804,"买")/T145,"")</f>
        <v/>
      </c>
      <c r="V145" s="44" t="str">
        <f>IF(A145="","",SUMIFS('成交明细'!$E$5:$E$804,'成交明细'!$A$5:$A$804,A145,'成交明细'!$C$5:$C$804,"卖"))</f>
        <v/>
      </c>
      <c r="W145" s="50" t="str">
        <f>IF(N(V145)&gt;0,SUMIFS('成交明细'!$F$5:$F$804,'成交明细'!$A$5:$A$804,A145,'成交明细'!$C$5:$C$804,"卖")/V145,"")</f>
        <v/>
      </c>
      <c r="X145" s="36" t="str">
        <f>IF(A145="","",IF(Q145&lt;&gt;"已执行",IF(Q145="","未填执行情况",Q145),IF(N(T145)=0,"待录成交",IF(N(V145)&gt;N(T145),"卖出多于买入",IF(N(V145)&lt;N(T145),"持仓中","已平仓")))))</f>
        <v/>
      </c>
      <c r="Y145" s="51" t="str">
        <f>IF(N(T145)=0,"",SUMIFS('成交明细'!$K$5:$K$804,'成交明细'!$A$5:$A$804,A145))</f>
        <v/>
      </c>
      <c r="Z145" s="52" t="str">
        <f>IF(X145&lt;&gt;"已平仓","",SUMIFS('成交明细'!$F$5:$F$804,'成交明细'!$A$5:$A$804,A145,'成交明细'!$C$5:$C$804,"卖")-SUMIFS('成交明细'!$F$5:$F$804,'成交明细'!$A$5:$A$804,A145,'成交明细'!$C$5:$C$804,"买")-Y145)</f>
        <v/>
      </c>
      <c r="AA145" s="53" t="str">
        <f>IF(AND(X145="已平仓",ISNUMBER(N145)),(Z145+Y145)/N145,"")</f>
        <v/>
      </c>
      <c r="AB145" s="53" t="str">
        <f>IF(AND(X145="已平仓",ISNUMBER(N145)),Z145/N145,"")</f>
        <v/>
      </c>
      <c r="AC145" s="54" t="str">
        <f>IF(AND(ISNUMBER(U145),ISNUMBER(H145)),U145-H145,"")</f>
        <v/>
      </c>
      <c r="AD145" s="27" t="n"/>
      <c r="AE145" s="27" t="n"/>
      <c r="AF145" s="32" t="n"/>
      <c r="AG145" s="53" t="str">
        <f>IF(A145="","",SUM(AB$5:AB145))</f>
        <v/>
      </c>
      <c r="AH145" s="55" t="str">
        <f>IF(A145="","",MAX(0,MAX(AG$5:AG145))-AG145)</f>
        <v/>
      </c>
    </row>
    <row r="146">
      <c r="A146" s="46" t="n"/>
      <c r="B146" s="31" t="n"/>
      <c r="C146" s="32" t="n"/>
      <c r="D146" s="27" t="n"/>
      <c r="E146" s="47" t="str">
        <f>IF(D146="","",IFERROR(VLOOKUP(D146,'参数'!$B$21:$C$26,2,FALSE),""))</f>
        <v/>
      </c>
      <c r="F146" s="27" t="n"/>
      <c r="G146" s="43" t="str">
        <f>IF(NOT(ISNUMBER(B146)),"",IFERROR(IF(B146-INDEX('每日复盘'!$A$5:$A$264,MATCH(B146-1,'每日复盘'!$A$5:$A$264,1))&gt;7,"",T(INDEX('每日复盘'!$AA$5:$AA$264,MATCH(B146-1,'每日复盘'!$A$5:$A$264,1)))),""))</f>
        <v/>
      </c>
      <c r="H146" s="48" t="n"/>
      <c r="I146" s="48" t="n"/>
      <c r="J146" s="48" t="n"/>
      <c r="K146" s="49" t="str">
        <f>IF(AND(ISNUMBER(H146),ISNUMBER(I146),ISNUMBER(J146)),IF(H146&gt;I146,(J146-H146)/(H146-I146),""),"")</f>
        <v/>
      </c>
      <c r="L146" s="44" t="str">
        <f>IF(AND(ISNUMBER(H146),ISNUMBER(I146)),IF(H146&gt;I146,MIN(INT(ROUND('参数'!$C$7/(H146-I146)/100,6))*100,IF(ISNUMBER(E146),IF(H146-ROUND(ROUND(I146*(1-E146),4),2)&gt;0,INT(ROUND('参数'!$C$8/(H146-ROUND(ROUND(I146*(1-E146),4),2))/100,6))*100,0),INT(ROUND('参数'!$C$7/(H146-I146)/100,6))*100)),""),"")</f>
        <v/>
      </c>
      <c r="M146" s="17" t="n"/>
      <c r="N146" s="20" t="str">
        <f>IF(AND(ISNUMBER(H146),ISNUMBER(I146),ISNUMBER(M146)),IF(AND(H146&gt;I146,M146&gt;0),(H146-I146)*M146,""),"")</f>
        <v/>
      </c>
      <c r="O146" s="20" t="str">
        <f>IF(ISNUMBER(N146),IF(ISNUMBER(E146),(H146-ROUND(ROUND(I146*(1-E146),4),2))*M146,"不设限"),"")</f>
        <v/>
      </c>
      <c r="P146" s="32" t="n"/>
      <c r="Q146" s="27" t="n"/>
      <c r="R146" s="42" t="str">
        <f>IF(N(T146)&gt;0,SUMPRODUCT(LARGE(('成交明细'!$A$5:$A$804=A146)*('成交明细'!$C$5:$C$804="买")*'成交明细'!$B$5:$B$804,COUNTIFS('成交明细'!$A$5:$A$804,A146,'成交明细'!$C$5:$C$804,"买"))),"")</f>
        <v/>
      </c>
      <c r="S146" s="42" t="str">
        <f>IF(AND(N(T146)&gt;0,N(V146)&gt;=N(T146)),SUMPRODUCT(MAX(('成交明细'!$A$5:$A$804=A146)*('成交明细'!$C$5:$C$804="卖")*'成交明细'!$B$5:$B$804)),"")</f>
        <v/>
      </c>
      <c r="T146" s="44" t="str">
        <f>IF(A146="","",SUMIFS('成交明细'!$E$5:$E$804,'成交明细'!$A$5:$A$804,A146,'成交明细'!$C$5:$C$804,"买"))</f>
        <v/>
      </c>
      <c r="U146" s="50" t="str">
        <f>IF(N(T146)&gt;0,SUMIFS('成交明细'!$F$5:$F$804,'成交明细'!$A$5:$A$804,A146,'成交明细'!$C$5:$C$804,"买")/T146,"")</f>
        <v/>
      </c>
      <c r="V146" s="44" t="str">
        <f>IF(A146="","",SUMIFS('成交明细'!$E$5:$E$804,'成交明细'!$A$5:$A$804,A146,'成交明细'!$C$5:$C$804,"卖"))</f>
        <v/>
      </c>
      <c r="W146" s="50" t="str">
        <f>IF(N(V146)&gt;0,SUMIFS('成交明细'!$F$5:$F$804,'成交明细'!$A$5:$A$804,A146,'成交明细'!$C$5:$C$804,"卖")/V146,"")</f>
        <v/>
      </c>
      <c r="X146" s="36" t="str">
        <f>IF(A146="","",IF(Q146&lt;&gt;"已执行",IF(Q146="","未填执行情况",Q146),IF(N(T146)=0,"待录成交",IF(N(V146)&gt;N(T146),"卖出多于买入",IF(N(V146)&lt;N(T146),"持仓中","已平仓")))))</f>
        <v/>
      </c>
      <c r="Y146" s="51" t="str">
        <f>IF(N(T146)=0,"",SUMIFS('成交明细'!$K$5:$K$804,'成交明细'!$A$5:$A$804,A146))</f>
        <v/>
      </c>
      <c r="Z146" s="52" t="str">
        <f>IF(X146&lt;&gt;"已平仓","",SUMIFS('成交明细'!$F$5:$F$804,'成交明细'!$A$5:$A$804,A146,'成交明细'!$C$5:$C$804,"卖")-SUMIFS('成交明细'!$F$5:$F$804,'成交明细'!$A$5:$A$804,A146,'成交明细'!$C$5:$C$804,"买")-Y146)</f>
        <v/>
      </c>
      <c r="AA146" s="53" t="str">
        <f>IF(AND(X146="已平仓",ISNUMBER(N146)),(Z146+Y146)/N146,"")</f>
        <v/>
      </c>
      <c r="AB146" s="53" t="str">
        <f>IF(AND(X146="已平仓",ISNUMBER(N146)),Z146/N146,"")</f>
        <v/>
      </c>
      <c r="AC146" s="54" t="str">
        <f>IF(AND(ISNUMBER(U146),ISNUMBER(H146)),U146-H146,"")</f>
        <v/>
      </c>
      <c r="AD146" s="27" t="n"/>
      <c r="AE146" s="27" t="n"/>
      <c r="AF146" s="32" t="n"/>
      <c r="AG146" s="53" t="str">
        <f>IF(A146="","",SUM(AB$5:AB146))</f>
        <v/>
      </c>
      <c r="AH146" s="55" t="str">
        <f>IF(A146="","",MAX(0,MAX(AG$5:AG146))-AG146)</f>
        <v/>
      </c>
    </row>
    <row r="147">
      <c r="A147" s="46" t="n"/>
      <c r="B147" s="31" t="n"/>
      <c r="C147" s="32" t="n"/>
      <c r="D147" s="27" t="n"/>
      <c r="E147" s="47" t="str">
        <f>IF(D147="","",IFERROR(VLOOKUP(D147,'参数'!$B$21:$C$26,2,FALSE),""))</f>
        <v/>
      </c>
      <c r="F147" s="27" t="n"/>
      <c r="G147" s="43" t="str">
        <f>IF(NOT(ISNUMBER(B147)),"",IFERROR(IF(B147-INDEX('每日复盘'!$A$5:$A$264,MATCH(B147-1,'每日复盘'!$A$5:$A$264,1))&gt;7,"",T(INDEX('每日复盘'!$AA$5:$AA$264,MATCH(B147-1,'每日复盘'!$A$5:$A$264,1)))),""))</f>
        <v/>
      </c>
      <c r="H147" s="48" t="n"/>
      <c r="I147" s="48" t="n"/>
      <c r="J147" s="48" t="n"/>
      <c r="K147" s="49" t="str">
        <f>IF(AND(ISNUMBER(H147),ISNUMBER(I147),ISNUMBER(J147)),IF(H147&gt;I147,(J147-H147)/(H147-I147),""),"")</f>
        <v/>
      </c>
      <c r="L147" s="44" t="str">
        <f>IF(AND(ISNUMBER(H147),ISNUMBER(I147)),IF(H147&gt;I147,MIN(INT(ROUND('参数'!$C$7/(H147-I147)/100,6))*100,IF(ISNUMBER(E147),IF(H147-ROUND(ROUND(I147*(1-E147),4),2)&gt;0,INT(ROUND('参数'!$C$8/(H147-ROUND(ROUND(I147*(1-E147),4),2))/100,6))*100,0),INT(ROUND('参数'!$C$7/(H147-I147)/100,6))*100)),""),"")</f>
        <v/>
      </c>
      <c r="M147" s="17" t="n"/>
      <c r="N147" s="20" t="str">
        <f>IF(AND(ISNUMBER(H147),ISNUMBER(I147),ISNUMBER(M147)),IF(AND(H147&gt;I147,M147&gt;0),(H147-I147)*M147,""),"")</f>
        <v/>
      </c>
      <c r="O147" s="20" t="str">
        <f>IF(ISNUMBER(N147),IF(ISNUMBER(E147),(H147-ROUND(ROUND(I147*(1-E147),4),2))*M147,"不设限"),"")</f>
        <v/>
      </c>
      <c r="P147" s="32" t="n"/>
      <c r="Q147" s="27" t="n"/>
      <c r="R147" s="42" t="str">
        <f>IF(N(T147)&gt;0,SUMPRODUCT(LARGE(('成交明细'!$A$5:$A$804=A147)*('成交明细'!$C$5:$C$804="买")*'成交明细'!$B$5:$B$804,COUNTIFS('成交明细'!$A$5:$A$804,A147,'成交明细'!$C$5:$C$804,"买"))),"")</f>
        <v/>
      </c>
      <c r="S147" s="42" t="str">
        <f>IF(AND(N(T147)&gt;0,N(V147)&gt;=N(T147)),SUMPRODUCT(MAX(('成交明细'!$A$5:$A$804=A147)*('成交明细'!$C$5:$C$804="卖")*'成交明细'!$B$5:$B$804)),"")</f>
        <v/>
      </c>
      <c r="T147" s="44" t="str">
        <f>IF(A147="","",SUMIFS('成交明细'!$E$5:$E$804,'成交明细'!$A$5:$A$804,A147,'成交明细'!$C$5:$C$804,"买"))</f>
        <v/>
      </c>
      <c r="U147" s="50" t="str">
        <f>IF(N(T147)&gt;0,SUMIFS('成交明细'!$F$5:$F$804,'成交明细'!$A$5:$A$804,A147,'成交明细'!$C$5:$C$804,"买")/T147,"")</f>
        <v/>
      </c>
      <c r="V147" s="44" t="str">
        <f>IF(A147="","",SUMIFS('成交明细'!$E$5:$E$804,'成交明细'!$A$5:$A$804,A147,'成交明细'!$C$5:$C$804,"卖"))</f>
        <v/>
      </c>
      <c r="W147" s="50" t="str">
        <f>IF(N(V147)&gt;0,SUMIFS('成交明细'!$F$5:$F$804,'成交明细'!$A$5:$A$804,A147,'成交明细'!$C$5:$C$804,"卖")/V147,"")</f>
        <v/>
      </c>
      <c r="X147" s="36" t="str">
        <f>IF(A147="","",IF(Q147&lt;&gt;"已执行",IF(Q147="","未填执行情况",Q147),IF(N(T147)=0,"待录成交",IF(N(V147)&gt;N(T147),"卖出多于买入",IF(N(V147)&lt;N(T147),"持仓中","已平仓")))))</f>
        <v/>
      </c>
      <c r="Y147" s="51" t="str">
        <f>IF(N(T147)=0,"",SUMIFS('成交明细'!$K$5:$K$804,'成交明细'!$A$5:$A$804,A147))</f>
        <v/>
      </c>
      <c r="Z147" s="52" t="str">
        <f>IF(X147&lt;&gt;"已平仓","",SUMIFS('成交明细'!$F$5:$F$804,'成交明细'!$A$5:$A$804,A147,'成交明细'!$C$5:$C$804,"卖")-SUMIFS('成交明细'!$F$5:$F$804,'成交明细'!$A$5:$A$804,A147,'成交明细'!$C$5:$C$804,"买")-Y147)</f>
        <v/>
      </c>
      <c r="AA147" s="53" t="str">
        <f>IF(AND(X147="已平仓",ISNUMBER(N147)),(Z147+Y147)/N147,"")</f>
        <v/>
      </c>
      <c r="AB147" s="53" t="str">
        <f>IF(AND(X147="已平仓",ISNUMBER(N147)),Z147/N147,"")</f>
        <v/>
      </c>
      <c r="AC147" s="54" t="str">
        <f>IF(AND(ISNUMBER(U147),ISNUMBER(H147)),U147-H147,"")</f>
        <v/>
      </c>
      <c r="AD147" s="27" t="n"/>
      <c r="AE147" s="27" t="n"/>
      <c r="AF147" s="32" t="n"/>
      <c r="AG147" s="53" t="str">
        <f>IF(A147="","",SUM(AB$5:AB147))</f>
        <v/>
      </c>
      <c r="AH147" s="55" t="str">
        <f>IF(A147="","",MAX(0,MAX(AG$5:AG147))-AG147)</f>
        <v/>
      </c>
    </row>
    <row r="148">
      <c r="A148" s="46" t="n"/>
      <c r="B148" s="31" t="n"/>
      <c r="C148" s="32" t="n"/>
      <c r="D148" s="27" t="n"/>
      <c r="E148" s="47" t="str">
        <f>IF(D148="","",IFERROR(VLOOKUP(D148,'参数'!$B$21:$C$26,2,FALSE),""))</f>
        <v/>
      </c>
      <c r="F148" s="27" t="n"/>
      <c r="G148" s="43" t="str">
        <f>IF(NOT(ISNUMBER(B148)),"",IFERROR(IF(B148-INDEX('每日复盘'!$A$5:$A$264,MATCH(B148-1,'每日复盘'!$A$5:$A$264,1))&gt;7,"",T(INDEX('每日复盘'!$AA$5:$AA$264,MATCH(B148-1,'每日复盘'!$A$5:$A$264,1)))),""))</f>
        <v/>
      </c>
      <c r="H148" s="48" t="n"/>
      <c r="I148" s="48" t="n"/>
      <c r="J148" s="48" t="n"/>
      <c r="K148" s="49" t="str">
        <f>IF(AND(ISNUMBER(H148),ISNUMBER(I148),ISNUMBER(J148)),IF(H148&gt;I148,(J148-H148)/(H148-I148),""),"")</f>
        <v/>
      </c>
      <c r="L148" s="44" t="str">
        <f>IF(AND(ISNUMBER(H148),ISNUMBER(I148)),IF(H148&gt;I148,MIN(INT(ROUND('参数'!$C$7/(H148-I148)/100,6))*100,IF(ISNUMBER(E148),IF(H148-ROUND(ROUND(I148*(1-E148),4),2)&gt;0,INT(ROUND('参数'!$C$8/(H148-ROUND(ROUND(I148*(1-E148),4),2))/100,6))*100,0),INT(ROUND('参数'!$C$7/(H148-I148)/100,6))*100)),""),"")</f>
        <v/>
      </c>
      <c r="M148" s="17" t="n"/>
      <c r="N148" s="20" t="str">
        <f>IF(AND(ISNUMBER(H148),ISNUMBER(I148),ISNUMBER(M148)),IF(AND(H148&gt;I148,M148&gt;0),(H148-I148)*M148,""),"")</f>
        <v/>
      </c>
      <c r="O148" s="20" t="str">
        <f>IF(ISNUMBER(N148),IF(ISNUMBER(E148),(H148-ROUND(ROUND(I148*(1-E148),4),2))*M148,"不设限"),"")</f>
        <v/>
      </c>
      <c r="P148" s="32" t="n"/>
      <c r="Q148" s="27" t="n"/>
      <c r="R148" s="42" t="str">
        <f>IF(N(T148)&gt;0,SUMPRODUCT(LARGE(('成交明细'!$A$5:$A$804=A148)*('成交明细'!$C$5:$C$804="买")*'成交明细'!$B$5:$B$804,COUNTIFS('成交明细'!$A$5:$A$804,A148,'成交明细'!$C$5:$C$804,"买"))),"")</f>
        <v/>
      </c>
      <c r="S148" s="42" t="str">
        <f>IF(AND(N(T148)&gt;0,N(V148)&gt;=N(T148)),SUMPRODUCT(MAX(('成交明细'!$A$5:$A$804=A148)*('成交明细'!$C$5:$C$804="卖")*'成交明细'!$B$5:$B$804)),"")</f>
        <v/>
      </c>
      <c r="T148" s="44" t="str">
        <f>IF(A148="","",SUMIFS('成交明细'!$E$5:$E$804,'成交明细'!$A$5:$A$804,A148,'成交明细'!$C$5:$C$804,"买"))</f>
        <v/>
      </c>
      <c r="U148" s="50" t="str">
        <f>IF(N(T148)&gt;0,SUMIFS('成交明细'!$F$5:$F$804,'成交明细'!$A$5:$A$804,A148,'成交明细'!$C$5:$C$804,"买")/T148,"")</f>
        <v/>
      </c>
      <c r="V148" s="44" t="str">
        <f>IF(A148="","",SUMIFS('成交明细'!$E$5:$E$804,'成交明细'!$A$5:$A$804,A148,'成交明细'!$C$5:$C$804,"卖"))</f>
        <v/>
      </c>
      <c r="W148" s="50" t="str">
        <f>IF(N(V148)&gt;0,SUMIFS('成交明细'!$F$5:$F$804,'成交明细'!$A$5:$A$804,A148,'成交明细'!$C$5:$C$804,"卖")/V148,"")</f>
        <v/>
      </c>
      <c r="X148" s="36" t="str">
        <f>IF(A148="","",IF(Q148&lt;&gt;"已执行",IF(Q148="","未填执行情况",Q148),IF(N(T148)=0,"待录成交",IF(N(V148)&gt;N(T148),"卖出多于买入",IF(N(V148)&lt;N(T148),"持仓中","已平仓")))))</f>
        <v/>
      </c>
      <c r="Y148" s="51" t="str">
        <f>IF(N(T148)=0,"",SUMIFS('成交明细'!$K$5:$K$804,'成交明细'!$A$5:$A$804,A148))</f>
        <v/>
      </c>
      <c r="Z148" s="52" t="str">
        <f>IF(X148&lt;&gt;"已平仓","",SUMIFS('成交明细'!$F$5:$F$804,'成交明细'!$A$5:$A$804,A148,'成交明细'!$C$5:$C$804,"卖")-SUMIFS('成交明细'!$F$5:$F$804,'成交明细'!$A$5:$A$804,A148,'成交明细'!$C$5:$C$804,"买")-Y148)</f>
        <v/>
      </c>
      <c r="AA148" s="53" t="str">
        <f>IF(AND(X148="已平仓",ISNUMBER(N148)),(Z148+Y148)/N148,"")</f>
        <v/>
      </c>
      <c r="AB148" s="53" t="str">
        <f>IF(AND(X148="已平仓",ISNUMBER(N148)),Z148/N148,"")</f>
        <v/>
      </c>
      <c r="AC148" s="54" t="str">
        <f>IF(AND(ISNUMBER(U148),ISNUMBER(H148)),U148-H148,"")</f>
        <v/>
      </c>
      <c r="AD148" s="27" t="n"/>
      <c r="AE148" s="27" t="n"/>
      <c r="AF148" s="32" t="n"/>
      <c r="AG148" s="53" t="str">
        <f>IF(A148="","",SUM(AB$5:AB148))</f>
        <v/>
      </c>
      <c r="AH148" s="55" t="str">
        <f>IF(A148="","",MAX(0,MAX(AG$5:AG148))-AG148)</f>
        <v/>
      </c>
    </row>
    <row r="149">
      <c r="A149" s="46" t="n"/>
      <c r="B149" s="31" t="n"/>
      <c r="C149" s="32" t="n"/>
      <c r="D149" s="27" t="n"/>
      <c r="E149" s="47" t="str">
        <f>IF(D149="","",IFERROR(VLOOKUP(D149,'参数'!$B$21:$C$26,2,FALSE),""))</f>
        <v/>
      </c>
      <c r="F149" s="27" t="n"/>
      <c r="G149" s="43" t="str">
        <f>IF(NOT(ISNUMBER(B149)),"",IFERROR(IF(B149-INDEX('每日复盘'!$A$5:$A$264,MATCH(B149-1,'每日复盘'!$A$5:$A$264,1))&gt;7,"",T(INDEX('每日复盘'!$AA$5:$AA$264,MATCH(B149-1,'每日复盘'!$A$5:$A$264,1)))),""))</f>
        <v/>
      </c>
      <c r="H149" s="48" t="n"/>
      <c r="I149" s="48" t="n"/>
      <c r="J149" s="48" t="n"/>
      <c r="K149" s="49" t="str">
        <f>IF(AND(ISNUMBER(H149),ISNUMBER(I149),ISNUMBER(J149)),IF(H149&gt;I149,(J149-H149)/(H149-I149),""),"")</f>
        <v/>
      </c>
      <c r="L149" s="44" t="str">
        <f>IF(AND(ISNUMBER(H149),ISNUMBER(I149)),IF(H149&gt;I149,MIN(INT(ROUND('参数'!$C$7/(H149-I149)/100,6))*100,IF(ISNUMBER(E149),IF(H149-ROUND(ROUND(I149*(1-E149),4),2)&gt;0,INT(ROUND('参数'!$C$8/(H149-ROUND(ROUND(I149*(1-E149),4),2))/100,6))*100,0),INT(ROUND('参数'!$C$7/(H149-I149)/100,6))*100)),""),"")</f>
        <v/>
      </c>
      <c r="M149" s="17" t="n"/>
      <c r="N149" s="20" t="str">
        <f>IF(AND(ISNUMBER(H149),ISNUMBER(I149),ISNUMBER(M149)),IF(AND(H149&gt;I149,M149&gt;0),(H149-I149)*M149,""),"")</f>
        <v/>
      </c>
      <c r="O149" s="20" t="str">
        <f>IF(ISNUMBER(N149),IF(ISNUMBER(E149),(H149-ROUND(ROUND(I149*(1-E149),4),2))*M149,"不设限"),"")</f>
        <v/>
      </c>
      <c r="P149" s="32" t="n"/>
      <c r="Q149" s="27" t="n"/>
      <c r="R149" s="42" t="str">
        <f>IF(N(T149)&gt;0,SUMPRODUCT(LARGE(('成交明细'!$A$5:$A$804=A149)*('成交明细'!$C$5:$C$804="买")*'成交明细'!$B$5:$B$804,COUNTIFS('成交明细'!$A$5:$A$804,A149,'成交明细'!$C$5:$C$804,"买"))),"")</f>
        <v/>
      </c>
      <c r="S149" s="42" t="str">
        <f>IF(AND(N(T149)&gt;0,N(V149)&gt;=N(T149)),SUMPRODUCT(MAX(('成交明细'!$A$5:$A$804=A149)*('成交明细'!$C$5:$C$804="卖")*'成交明细'!$B$5:$B$804)),"")</f>
        <v/>
      </c>
      <c r="T149" s="44" t="str">
        <f>IF(A149="","",SUMIFS('成交明细'!$E$5:$E$804,'成交明细'!$A$5:$A$804,A149,'成交明细'!$C$5:$C$804,"买"))</f>
        <v/>
      </c>
      <c r="U149" s="50" t="str">
        <f>IF(N(T149)&gt;0,SUMIFS('成交明细'!$F$5:$F$804,'成交明细'!$A$5:$A$804,A149,'成交明细'!$C$5:$C$804,"买")/T149,"")</f>
        <v/>
      </c>
      <c r="V149" s="44" t="str">
        <f>IF(A149="","",SUMIFS('成交明细'!$E$5:$E$804,'成交明细'!$A$5:$A$804,A149,'成交明细'!$C$5:$C$804,"卖"))</f>
        <v/>
      </c>
      <c r="W149" s="50" t="str">
        <f>IF(N(V149)&gt;0,SUMIFS('成交明细'!$F$5:$F$804,'成交明细'!$A$5:$A$804,A149,'成交明细'!$C$5:$C$804,"卖")/V149,"")</f>
        <v/>
      </c>
      <c r="X149" s="36" t="str">
        <f>IF(A149="","",IF(Q149&lt;&gt;"已执行",IF(Q149="","未填执行情况",Q149),IF(N(T149)=0,"待录成交",IF(N(V149)&gt;N(T149),"卖出多于买入",IF(N(V149)&lt;N(T149),"持仓中","已平仓")))))</f>
        <v/>
      </c>
      <c r="Y149" s="51" t="str">
        <f>IF(N(T149)=0,"",SUMIFS('成交明细'!$K$5:$K$804,'成交明细'!$A$5:$A$804,A149))</f>
        <v/>
      </c>
      <c r="Z149" s="52" t="str">
        <f>IF(X149&lt;&gt;"已平仓","",SUMIFS('成交明细'!$F$5:$F$804,'成交明细'!$A$5:$A$804,A149,'成交明细'!$C$5:$C$804,"卖")-SUMIFS('成交明细'!$F$5:$F$804,'成交明细'!$A$5:$A$804,A149,'成交明细'!$C$5:$C$804,"买")-Y149)</f>
        <v/>
      </c>
      <c r="AA149" s="53" t="str">
        <f>IF(AND(X149="已平仓",ISNUMBER(N149)),(Z149+Y149)/N149,"")</f>
        <v/>
      </c>
      <c r="AB149" s="53" t="str">
        <f>IF(AND(X149="已平仓",ISNUMBER(N149)),Z149/N149,"")</f>
        <v/>
      </c>
      <c r="AC149" s="54" t="str">
        <f>IF(AND(ISNUMBER(U149),ISNUMBER(H149)),U149-H149,"")</f>
        <v/>
      </c>
      <c r="AD149" s="27" t="n"/>
      <c r="AE149" s="27" t="n"/>
      <c r="AF149" s="32" t="n"/>
      <c r="AG149" s="53" t="str">
        <f>IF(A149="","",SUM(AB$5:AB149))</f>
        <v/>
      </c>
      <c r="AH149" s="55" t="str">
        <f>IF(A149="","",MAX(0,MAX(AG$5:AG149))-AG149)</f>
        <v/>
      </c>
    </row>
    <row r="150">
      <c r="A150" s="46" t="n"/>
      <c r="B150" s="31" t="n"/>
      <c r="C150" s="32" t="n"/>
      <c r="D150" s="27" t="n"/>
      <c r="E150" s="47" t="str">
        <f>IF(D150="","",IFERROR(VLOOKUP(D150,'参数'!$B$21:$C$26,2,FALSE),""))</f>
        <v/>
      </c>
      <c r="F150" s="27" t="n"/>
      <c r="G150" s="43" t="str">
        <f>IF(NOT(ISNUMBER(B150)),"",IFERROR(IF(B150-INDEX('每日复盘'!$A$5:$A$264,MATCH(B150-1,'每日复盘'!$A$5:$A$264,1))&gt;7,"",T(INDEX('每日复盘'!$AA$5:$AA$264,MATCH(B150-1,'每日复盘'!$A$5:$A$264,1)))),""))</f>
        <v/>
      </c>
      <c r="H150" s="48" t="n"/>
      <c r="I150" s="48" t="n"/>
      <c r="J150" s="48" t="n"/>
      <c r="K150" s="49" t="str">
        <f>IF(AND(ISNUMBER(H150),ISNUMBER(I150),ISNUMBER(J150)),IF(H150&gt;I150,(J150-H150)/(H150-I150),""),"")</f>
        <v/>
      </c>
      <c r="L150" s="44" t="str">
        <f>IF(AND(ISNUMBER(H150),ISNUMBER(I150)),IF(H150&gt;I150,MIN(INT(ROUND('参数'!$C$7/(H150-I150)/100,6))*100,IF(ISNUMBER(E150),IF(H150-ROUND(ROUND(I150*(1-E150),4),2)&gt;0,INT(ROUND('参数'!$C$8/(H150-ROUND(ROUND(I150*(1-E150),4),2))/100,6))*100,0),INT(ROUND('参数'!$C$7/(H150-I150)/100,6))*100)),""),"")</f>
        <v/>
      </c>
      <c r="M150" s="17" t="n"/>
      <c r="N150" s="20" t="str">
        <f>IF(AND(ISNUMBER(H150),ISNUMBER(I150),ISNUMBER(M150)),IF(AND(H150&gt;I150,M150&gt;0),(H150-I150)*M150,""),"")</f>
        <v/>
      </c>
      <c r="O150" s="20" t="str">
        <f>IF(ISNUMBER(N150),IF(ISNUMBER(E150),(H150-ROUND(ROUND(I150*(1-E150),4),2))*M150,"不设限"),"")</f>
        <v/>
      </c>
      <c r="P150" s="32" t="n"/>
      <c r="Q150" s="27" t="n"/>
      <c r="R150" s="42" t="str">
        <f>IF(N(T150)&gt;0,SUMPRODUCT(LARGE(('成交明细'!$A$5:$A$804=A150)*('成交明细'!$C$5:$C$804="买")*'成交明细'!$B$5:$B$804,COUNTIFS('成交明细'!$A$5:$A$804,A150,'成交明细'!$C$5:$C$804,"买"))),"")</f>
        <v/>
      </c>
      <c r="S150" s="42" t="str">
        <f>IF(AND(N(T150)&gt;0,N(V150)&gt;=N(T150)),SUMPRODUCT(MAX(('成交明细'!$A$5:$A$804=A150)*('成交明细'!$C$5:$C$804="卖")*'成交明细'!$B$5:$B$804)),"")</f>
        <v/>
      </c>
      <c r="T150" s="44" t="str">
        <f>IF(A150="","",SUMIFS('成交明细'!$E$5:$E$804,'成交明细'!$A$5:$A$804,A150,'成交明细'!$C$5:$C$804,"买"))</f>
        <v/>
      </c>
      <c r="U150" s="50" t="str">
        <f>IF(N(T150)&gt;0,SUMIFS('成交明细'!$F$5:$F$804,'成交明细'!$A$5:$A$804,A150,'成交明细'!$C$5:$C$804,"买")/T150,"")</f>
        <v/>
      </c>
      <c r="V150" s="44" t="str">
        <f>IF(A150="","",SUMIFS('成交明细'!$E$5:$E$804,'成交明细'!$A$5:$A$804,A150,'成交明细'!$C$5:$C$804,"卖"))</f>
        <v/>
      </c>
      <c r="W150" s="50" t="str">
        <f>IF(N(V150)&gt;0,SUMIFS('成交明细'!$F$5:$F$804,'成交明细'!$A$5:$A$804,A150,'成交明细'!$C$5:$C$804,"卖")/V150,"")</f>
        <v/>
      </c>
      <c r="X150" s="36" t="str">
        <f>IF(A150="","",IF(Q150&lt;&gt;"已执行",IF(Q150="","未填执行情况",Q150),IF(N(T150)=0,"待录成交",IF(N(V150)&gt;N(T150),"卖出多于买入",IF(N(V150)&lt;N(T150),"持仓中","已平仓")))))</f>
        <v/>
      </c>
      <c r="Y150" s="51" t="str">
        <f>IF(N(T150)=0,"",SUMIFS('成交明细'!$K$5:$K$804,'成交明细'!$A$5:$A$804,A150))</f>
        <v/>
      </c>
      <c r="Z150" s="52" t="str">
        <f>IF(X150&lt;&gt;"已平仓","",SUMIFS('成交明细'!$F$5:$F$804,'成交明细'!$A$5:$A$804,A150,'成交明细'!$C$5:$C$804,"卖")-SUMIFS('成交明细'!$F$5:$F$804,'成交明细'!$A$5:$A$804,A150,'成交明细'!$C$5:$C$804,"买")-Y150)</f>
        <v/>
      </c>
      <c r="AA150" s="53" t="str">
        <f>IF(AND(X150="已平仓",ISNUMBER(N150)),(Z150+Y150)/N150,"")</f>
        <v/>
      </c>
      <c r="AB150" s="53" t="str">
        <f>IF(AND(X150="已平仓",ISNUMBER(N150)),Z150/N150,"")</f>
        <v/>
      </c>
      <c r="AC150" s="54" t="str">
        <f>IF(AND(ISNUMBER(U150),ISNUMBER(H150)),U150-H150,"")</f>
        <v/>
      </c>
      <c r="AD150" s="27" t="n"/>
      <c r="AE150" s="27" t="n"/>
      <c r="AF150" s="32" t="n"/>
      <c r="AG150" s="53" t="str">
        <f>IF(A150="","",SUM(AB$5:AB150))</f>
        <v/>
      </c>
      <c r="AH150" s="55" t="str">
        <f>IF(A150="","",MAX(0,MAX(AG$5:AG150))-AG150)</f>
        <v/>
      </c>
    </row>
    <row r="151">
      <c r="A151" s="46" t="n"/>
      <c r="B151" s="31" t="n"/>
      <c r="C151" s="32" t="n"/>
      <c r="D151" s="27" t="n"/>
      <c r="E151" s="47" t="str">
        <f>IF(D151="","",IFERROR(VLOOKUP(D151,'参数'!$B$21:$C$26,2,FALSE),""))</f>
        <v/>
      </c>
      <c r="F151" s="27" t="n"/>
      <c r="G151" s="43" t="str">
        <f>IF(NOT(ISNUMBER(B151)),"",IFERROR(IF(B151-INDEX('每日复盘'!$A$5:$A$264,MATCH(B151-1,'每日复盘'!$A$5:$A$264,1))&gt;7,"",T(INDEX('每日复盘'!$AA$5:$AA$264,MATCH(B151-1,'每日复盘'!$A$5:$A$264,1)))),""))</f>
        <v/>
      </c>
      <c r="H151" s="48" t="n"/>
      <c r="I151" s="48" t="n"/>
      <c r="J151" s="48" t="n"/>
      <c r="K151" s="49" t="str">
        <f>IF(AND(ISNUMBER(H151),ISNUMBER(I151),ISNUMBER(J151)),IF(H151&gt;I151,(J151-H151)/(H151-I151),""),"")</f>
        <v/>
      </c>
      <c r="L151" s="44" t="str">
        <f>IF(AND(ISNUMBER(H151),ISNUMBER(I151)),IF(H151&gt;I151,MIN(INT(ROUND('参数'!$C$7/(H151-I151)/100,6))*100,IF(ISNUMBER(E151),IF(H151-ROUND(ROUND(I151*(1-E151),4),2)&gt;0,INT(ROUND('参数'!$C$8/(H151-ROUND(ROUND(I151*(1-E151),4),2))/100,6))*100,0),INT(ROUND('参数'!$C$7/(H151-I151)/100,6))*100)),""),"")</f>
        <v/>
      </c>
      <c r="M151" s="17" t="n"/>
      <c r="N151" s="20" t="str">
        <f>IF(AND(ISNUMBER(H151),ISNUMBER(I151),ISNUMBER(M151)),IF(AND(H151&gt;I151,M151&gt;0),(H151-I151)*M151,""),"")</f>
        <v/>
      </c>
      <c r="O151" s="20" t="str">
        <f>IF(ISNUMBER(N151),IF(ISNUMBER(E151),(H151-ROUND(ROUND(I151*(1-E151),4),2))*M151,"不设限"),"")</f>
        <v/>
      </c>
      <c r="P151" s="32" t="n"/>
      <c r="Q151" s="27" t="n"/>
      <c r="R151" s="42" t="str">
        <f>IF(N(T151)&gt;0,SUMPRODUCT(LARGE(('成交明细'!$A$5:$A$804=A151)*('成交明细'!$C$5:$C$804="买")*'成交明细'!$B$5:$B$804,COUNTIFS('成交明细'!$A$5:$A$804,A151,'成交明细'!$C$5:$C$804,"买"))),"")</f>
        <v/>
      </c>
      <c r="S151" s="42" t="str">
        <f>IF(AND(N(T151)&gt;0,N(V151)&gt;=N(T151)),SUMPRODUCT(MAX(('成交明细'!$A$5:$A$804=A151)*('成交明细'!$C$5:$C$804="卖")*'成交明细'!$B$5:$B$804)),"")</f>
        <v/>
      </c>
      <c r="T151" s="44" t="str">
        <f>IF(A151="","",SUMIFS('成交明细'!$E$5:$E$804,'成交明细'!$A$5:$A$804,A151,'成交明细'!$C$5:$C$804,"买"))</f>
        <v/>
      </c>
      <c r="U151" s="50" t="str">
        <f>IF(N(T151)&gt;0,SUMIFS('成交明细'!$F$5:$F$804,'成交明细'!$A$5:$A$804,A151,'成交明细'!$C$5:$C$804,"买")/T151,"")</f>
        <v/>
      </c>
      <c r="V151" s="44" t="str">
        <f>IF(A151="","",SUMIFS('成交明细'!$E$5:$E$804,'成交明细'!$A$5:$A$804,A151,'成交明细'!$C$5:$C$804,"卖"))</f>
        <v/>
      </c>
      <c r="W151" s="50" t="str">
        <f>IF(N(V151)&gt;0,SUMIFS('成交明细'!$F$5:$F$804,'成交明细'!$A$5:$A$804,A151,'成交明细'!$C$5:$C$804,"卖")/V151,"")</f>
        <v/>
      </c>
      <c r="X151" s="36" t="str">
        <f>IF(A151="","",IF(Q151&lt;&gt;"已执行",IF(Q151="","未填执行情况",Q151),IF(N(T151)=0,"待录成交",IF(N(V151)&gt;N(T151),"卖出多于买入",IF(N(V151)&lt;N(T151),"持仓中","已平仓")))))</f>
        <v/>
      </c>
      <c r="Y151" s="51" t="str">
        <f>IF(N(T151)=0,"",SUMIFS('成交明细'!$K$5:$K$804,'成交明细'!$A$5:$A$804,A151))</f>
        <v/>
      </c>
      <c r="Z151" s="52" t="str">
        <f>IF(X151&lt;&gt;"已平仓","",SUMIFS('成交明细'!$F$5:$F$804,'成交明细'!$A$5:$A$804,A151,'成交明细'!$C$5:$C$804,"卖")-SUMIFS('成交明细'!$F$5:$F$804,'成交明细'!$A$5:$A$804,A151,'成交明细'!$C$5:$C$804,"买")-Y151)</f>
        <v/>
      </c>
      <c r="AA151" s="53" t="str">
        <f>IF(AND(X151="已平仓",ISNUMBER(N151)),(Z151+Y151)/N151,"")</f>
        <v/>
      </c>
      <c r="AB151" s="53" t="str">
        <f>IF(AND(X151="已平仓",ISNUMBER(N151)),Z151/N151,"")</f>
        <v/>
      </c>
      <c r="AC151" s="54" t="str">
        <f>IF(AND(ISNUMBER(U151),ISNUMBER(H151)),U151-H151,"")</f>
        <v/>
      </c>
      <c r="AD151" s="27" t="n"/>
      <c r="AE151" s="27" t="n"/>
      <c r="AF151" s="32" t="n"/>
      <c r="AG151" s="53" t="str">
        <f>IF(A151="","",SUM(AB$5:AB151))</f>
        <v/>
      </c>
      <c r="AH151" s="55" t="str">
        <f>IF(A151="","",MAX(0,MAX(AG$5:AG151))-AG151)</f>
        <v/>
      </c>
    </row>
    <row r="152">
      <c r="A152" s="46" t="n"/>
      <c r="B152" s="31" t="n"/>
      <c r="C152" s="32" t="n"/>
      <c r="D152" s="27" t="n"/>
      <c r="E152" s="47" t="str">
        <f>IF(D152="","",IFERROR(VLOOKUP(D152,'参数'!$B$21:$C$26,2,FALSE),""))</f>
        <v/>
      </c>
      <c r="F152" s="27" t="n"/>
      <c r="G152" s="43" t="str">
        <f>IF(NOT(ISNUMBER(B152)),"",IFERROR(IF(B152-INDEX('每日复盘'!$A$5:$A$264,MATCH(B152-1,'每日复盘'!$A$5:$A$264,1))&gt;7,"",T(INDEX('每日复盘'!$AA$5:$AA$264,MATCH(B152-1,'每日复盘'!$A$5:$A$264,1)))),""))</f>
        <v/>
      </c>
      <c r="H152" s="48" t="n"/>
      <c r="I152" s="48" t="n"/>
      <c r="J152" s="48" t="n"/>
      <c r="K152" s="49" t="str">
        <f>IF(AND(ISNUMBER(H152),ISNUMBER(I152),ISNUMBER(J152)),IF(H152&gt;I152,(J152-H152)/(H152-I152),""),"")</f>
        <v/>
      </c>
      <c r="L152" s="44" t="str">
        <f>IF(AND(ISNUMBER(H152),ISNUMBER(I152)),IF(H152&gt;I152,MIN(INT(ROUND('参数'!$C$7/(H152-I152)/100,6))*100,IF(ISNUMBER(E152),IF(H152-ROUND(ROUND(I152*(1-E152),4),2)&gt;0,INT(ROUND('参数'!$C$8/(H152-ROUND(ROUND(I152*(1-E152),4),2))/100,6))*100,0),INT(ROUND('参数'!$C$7/(H152-I152)/100,6))*100)),""),"")</f>
        <v/>
      </c>
      <c r="M152" s="17" t="n"/>
      <c r="N152" s="20" t="str">
        <f>IF(AND(ISNUMBER(H152),ISNUMBER(I152),ISNUMBER(M152)),IF(AND(H152&gt;I152,M152&gt;0),(H152-I152)*M152,""),"")</f>
        <v/>
      </c>
      <c r="O152" s="20" t="str">
        <f>IF(ISNUMBER(N152),IF(ISNUMBER(E152),(H152-ROUND(ROUND(I152*(1-E152),4),2))*M152,"不设限"),"")</f>
        <v/>
      </c>
      <c r="P152" s="32" t="n"/>
      <c r="Q152" s="27" t="n"/>
      <c r="R152" s="42" t="str">
        <f>IF(N(T152)&gt;0,SUMPRODUCT(LARGE(('成交明细'!$A$5:$A$804=A152)*('成交明细'!$C$5:$C$804="买")*'成交明细'!$B$5:$B$804,COUNTIFS('成交明细'!$A$5:$A$804,A152,'成交明细'!$C$5:$C$804,"买"))),"")</f>
        <v/>
      </c>
      <c r="S152" s="42" t="str">
        <f>IF(AND(N(T152)&gt;0,N(V152)&gt;=N(T152)),SUMPRODUCT(MAX(('成交明细'!$A$5:$A$804=A152)*('成交明细'!$C$5:$C$804="卖")*'成交明细'!$B$5:$B$804)),"")</f>
        <v/>
      </c>
      <c r="T152" s="44" t="str">
        <f>IF(A152="","",SUMIFS('成交明细'!$E$5:$E$804,'成交明细'!$A$5:$A$804,A152,'成交明细'!$C$5:$C$804,"买"))</f>
        <v/>
      </c>
      <c r="U152" s="50" t="str">
        <f>IF(N(T152)&gt;0,SUMIFS('成交明细'!$F$5:$F$804,'成交明细'!$A$5:$A$804,A152,'成交明细'!$C$5:$C$804,"买")/T152,"")</f>
        <v/>
      </c>
      <c r="V152" s="44" t="str">
        <f>IF(A152="","",SUMIFS('成交明细'!$E$5:$E$804,'成交明细'!$A$5:$A$804,A152,'成交明细'!$C$5:$C$804,"卖"))</f>
        <v/>
      </c>
      <c r="W152" s="50" t="str">
        <f>IF(N(V152)&gt;0,SUMIFS('成交明细'!$F$5:$F$804,'成交明细'!$A$5:$A$804,A152,'成交明细'!$C$5:$C$804,"卖")/V152,"")</f>
        <v/>
      </c>
      <c r="X152" s="36" t="str">
        <f>IF(A152="","",IF(Q152&lt;&gt;"已执行",IF(Q152="","未填执行情况",Q152),IF(N(T152)=0,"待录成交",IF(N(V152)&gt;N(T152),"卖出多于买入",IF(N(V152)&lt;N(T152),"持仓中","已平仓")))))</f>
        <v/>
      </c>
      <c r="Y152" s="51" t="str">
        <f>IF(N(T152)=0,"",SUMIFS('成交明细'!$K$5:$K$804,'成交明细'!$A$5:$A$804,A152))</f>
        <v/>
      </c>
      <c r="Z152" s="52" t="str">
        <f>IF(X152&lt;&gt;"已平仓","",SUMIFS('成交明细'!$F$5:$F$804,'成交明细'!$A$5:$A$804,A152,'成交明细'!$C$5:$C$804,"卖")-SUMIFS('成交明细'!$F$5:$F$804,'成交明细'!$A$5:$A$804,A152,'成交明细'!$C$5:$C$804,"买")-Y152)</f>
        <v/>
      </c>
      <c r="AA152" s="53" t="str">
        <f>IF(AND(X152="已平仓",ISNUMBER(N152)),(Z152+Y152)/N152,"")</f>
        <v/>
      </c>
      <c r="AB152" s="53" t="str">
        <f>IF(AND(X152="已平仓",ISNUMBER(N152)),Z152/N152,"")</f>
        <v/>
      </c>
      <c r="AC152" s="54" t="str">
        <f>IF(AND(ISNUMBER(U152),ISNUMBER(H152)),U152-H152,"")</f>
        <v/>
      </c>
      <c r="AD152" s="27" t="n"/>
      <c r="AE152" s="27" t="n"/>
      <c r="AF152" s="32" t="n"/>
      <c r="AG152" s="53" t="str">
        <f>IF(A152="","",SUM(AB$5:AB152))</f>
        <v/>
      </c>
      <c r="AH152" s="55" t="str">
        <f>IF(A152="","",MAX(0,MAX(AG$5:AG152))-AG152)</f>
        <v/>
      </c>
    </row>
    <row r="153">
      <c r="A153" s="46" t="n"/>
      <c r="B153" s="31" t="n"/>
      <c r="C153" s="32" t="n"/>
      <c r="D153" s="27" t="n"/>
      <c r="E153" s="47" t="str">
        <f>IF(D153="","",IFERROR(VLOOKUP(D153,'参数'!$B$21:$C$26,2,FALSE),""))</f>
        <v/>
      </c>
      <c r="F153" s="27" t="n"/>
      <c r="G153" s="43" t="str">
        <f>IF(NOT(ISNUMBER(B153)),"",IFERROR(IF(B153-INDEX('每日复盘'!$A$5:$A$264,MATCH(B153-1,'每日复盘'!$A$5:$A$264,1))&gt;7,"",T(INDEX('每日复盘'!$AA$5:$AA$264,MATCH(B153-1,'每日复盘'!$A$5:$A$264,1)))),""))</f>
        <v/>
      </c>
      <c r="H153" s="48" t="n"/>
      <c r="I153" s="48" t="n"/>
      <c r="J153" s="48" t="n"/>
      <c r="K153" s="49" t="str">
        <f>IF(AND(ISNUMBER(H153),ISNUMBER(I153),ISNUMBER(J153)),IF(H153&gt;I153,(J153-H153)/(H153-I153),""),"")</f>
        <v/>
      </c>
      <c r="L153" s="44" t="str">
        <f>IF(AND(ISNUMBER(H153),ISNUMBER(I153)),IF(H153&gt;I153,MIN(INT(ROUND('参数'!$C$7/(H153-I153)/100,6))*100,IF(ISNUMBER(E153),IF(H153-ROUND(ROUND(I153*(1-E153),4),2)&gt;0,INT(ROUND('参数'!$C$8/(H153-ROUND(ROUND(I153*(1-E153),4),2))/100,6))*100,0),INT(ROUND('参数'!$C$7/(H153-I153)/100,6))*100)),""),"")</f>
        <v/>
      </c>
      <c r="M153" s="17" t="n"/>
      <c r="N153" s="20" t="str">
        <f>IF(AND(ISNUMBER(H153),ISNUMBER(I153),ISNUMBER(M153)),IF(AND(H153&gt;I153,M153&gt;0),(H153-I153)*M153,""),"")</f>
        <v/>
      </c>
      <c r="O153" s="20" t="str">
        <f>IF(ISNUMBER(N153),IF(ISNUMBER(E153),(H153-ROUND(ROUND(I153*(1-E153),4),2))*M153,"不设限"),"")</f>
        <v/>
      </c>
      <c r="P153" s="32" t="n"/>
      <c r="Q153" s="27" t="n"/>
      <c r="R153" s="42" t="str">
        <f>IF(N(T153)&gt;0,SUMPRODUCT(LARGE(('成交明细'!$A$5:$A$804=A153)*('成交明细'!$C$5:$C$804="买")*'成交明细'!$B$5:$B$804,COUNTIFS('成交明细'!$A$5:$A$804,A153,'成交明细'!$C$5:$C$804,"买"))),"")</f>
        <v/>
      </c>
      <c r="S153" s="42" t="str">
        <f>IF(AND(N(T153)&gt;0,N(V153)&gt;=N(T153)),SUMPRODUCT(MAX(('成交明细'!$A$5:$A$804=A153)*('成交明细'!$C$5:$C$804="卖")*'成交明细'!$B$5:$B$804)),"")</f>
        <v/>
      </c>
      <c r="T153" s="44" t="str">
        <f>IF(A153="","",SUMIFS('成交明细'!$E$5:$E$804,'成交明细'!$A$5:$A$804,A153,'成交明细'!$C$5:$C$804,"买"))</f>
        <v/>
      </c>
      <c r="U153" s="50" t="str">
        <f>IF(N(T153)&gt;0,SUMIFS('成交明细'!$F$5:$F$804,'成交明细'!$A$5:$A$804,A153,'成交明细'!$C$5:$C$804,"买")/T153,"")</f>
        <v/>
      </c>
      <c r="V153" s="44" t="str">
        <f>IF(A153="","",SUMIFS('成交明细'!$E$5:$E$804,'成交明细'!$A$5:$A$804,A153,'成交明细'!$C$5:$C$804,"卖"))</f>
        <v/>
      </c>
      <c r="W153" s="50" t="str">
        <f>IF(N(V153)&gt;0,SUMIFS('成交明细'!$F$5:$F$804,'成交明细'!$A$5:$A$804,A153,'成交明细'!$C$5:$C$804,"卖")/V153,"")</f>
        <v/>
      </c>
      <c r="X153" s="36" t="str">
        <f>IF(A153="","",IF(Q153&lt;&gt;"已执行",IF(Q153="","未填执行情况",Q153),IF(N(T153)=0,"待录成交",IF(N(V153)&gt;N(T153),"卖出多于买入",IF(N(V153)&lt;N(T153),"持仓中","已平仓")))))</f>
        <v/>
      </c>
      <c r="Y153" s="51" t="str">
        <f>IF(N(T153)=0,"",SUMIFS('成交明细'!$K$5:$K$804,'成交明细'!$A$5:$A$804,A153))</f>
        <v/>
      </c>
      <c r="Z153" s="52" t="str">
        <f>IF(X153&lt;&gt;"已平仓","",SUMIFS('成交明细'!$F$5:$F$804,'成交明细'!$A$5:$A$804,A153,'成交明细'!$C$5:$C$804,"卖")-SUMIFS('成交明细'!$F$5:$F$804,'成交明细'!$A$5:$A$804,A153,'成交明细'!$C$5:$C$804,"买")-Y153)</f>
        <v/>
      </c>
      <c r="AA153" s="53" t="str">
        <f>IF(AND(X153="已平仓",ISNUMBER(N153)),(Z153+Y153)/N153,"")</f>
        <v/>
      </c>
      <c r="AB153" s="53" t="str">
        <f>IF(AND(X153="已平仓",ISNUMBER(N153)),Z153/N153,"")</f>
        <v/>
      </c>
      <c r="AC153" s="54" t="str">
        <f>IF(AND(ISNUMBER(U153),ISNUMBER(H153)),U153-H153,"")</f>
        <v/>
      </c>
      <c r="AD153" s="27" t="n"/>
      <c r="AE153" s="27" t="n"/>
      <c r="AF153" s="32" t="n"/>
      <c r="AG153" s="53" t="str">
        <f>IF(A153="","",SUM(AB$5:AB153))</f>
        <v/>
      </c>
      <c r="AH153" s="55" t="str">
        <f>IF(A153="","",MAX(0,MAX(AG$5:AG153))-AG153)</f>
        <v/>
      </c>
    </row>
    <row r="154">
      <c r="A154" s="46" t="n"/>
      <c r="B154" s="31" t="n"/>
      <c r="C154" s="32" t="n"/>
      <c r="D154" s="27" t="n"/>
      <c r="E154" s="47" t="str">
        <f>IF(D154="","",IFERROR(VLOOKUP(D154,'参数'!$B$21:$C$26,2,FALSE),""))</f>
        <v/>
      </c>
      <c r="F154" s="27" t="n"/>
      <c r="G154" s="43" t="str">
        <f>IF(NOT(ISNUMBER(B154)),"",IFERROR(IF(B154-INDEX('每日复盘'!$A$5:$A$264,MATCH(B154-1,'每日复盘'!$A$5:$A$264,1))&gt;7,"",T(INDEX('每日复盘'!$AA$5:$AA$264,MATCH(B154-1,'每日复盘'!$A$5:$A$264,1)))),""))</f>
        <v/>
      </c>
      <c r="H154" s="48" t="n"/>
      <c r="I154" s="48" t="n"/>
      <c r="J154" s="48" t="n"/>
      <c r="K154" s="49" t="str">
        <f>IF(AND(ISNUMBER(H154),ISNUMBER(I154),ISNUMBER(J154)),IF(H154&gt;I154,(J154-H154)/(H154-I154),""),"")</f>
        <v/>
      </c>
      <c r="L154" s="44" t="str">
        <f>IF(AND(ISNUMBER(H154),ISNUMBER(I154)),IF(H154&gt;I154,MIN(INT(ROUND('参数'!$C$7/(H154-I154)/100,6))*100,IF(ISNUMBER(E154),IF(H154-ROUND(ROUND(I154*(1-E154),4),2)&gt;0,INT(ROUND('参数'!$C$8/(H154-ROUND(ROUND(I154*(1-E154),4),2))/100,6))*100,0),INT(ROUND('参数'!$C$7/(H154-I154)/100,6))*100)),""),"")</f>
        <v/>
      </c>
      <c r="M154" s="17" t="n"/>
      <c r="N154" s="20" t="str">
        <f>IF(AND(ISNUMBER(H154),ISNUMBER(I154),ISNUMBER(M154)),IF(AND(H154&gt;I154,M154&gt;0),(H154-I154)*M154,""),"")</f>
        <v/>
      </c>
      <c r="O154" s="20" t="str">
        <f>IF(ISNUMBER(N154),IF(ISNUMBER(E154),(H154-ROUND(ROUND(I154*(1-E154),4),2))*M154,"不设限"),"")</f>
        <v/>
      </c>
      <c r="P154" s="32" t="n"/>
      <c r="Q154" s="27" t="n"/>
      <c r="R154" s="42" t="str">
        <f>IF(N(T154)&gt;0,SUMPRODUCT(LARGE(('成交明细'!$A$5:$A$804=A154)*('成交明细'!$C$5:$C$804="买")*'成交明细'!$B$5:$B$804,COUNTIFS('成交明细'!$A$5:$A$804,A154,'成交明细'!$C$5:$C$804,"买"))),"")</f>
        <v/>
      </c>
      <c r="S154" s="42" t="str">
        <f>IF(AND(N(T154)&gt;0,N(V154)&gt;=N(T154)),SUMPRODUCT(MAX(('成交明细'!$A$5:$A$804=A154)*('成交明细'!$C$5:$C$804="卖")*'成交明细'!$B$5:$B$804)),"")</f>
        <v/>
      </c>
      <c r="T154" s="44" t="str">
        <f>IF(A154="","",SUMIFS('成交明细'!$E$5:$E$804,'成交明细'!$A$5:$A$804,A154,'成交明细'!$C$5:$C$804,"买"))</f>
        <v/>
      </c>
      <c r="U154" s="50" t="str">
        <f>IF(N(T154)&gt;0,SUMIFS('成交明细'!$F$5:$F$804,'成交明细'!$A$5:$A$804,A154,'成交明细'!$C$5:$C$804,"买")/T154,"")</f>
        <v/>
      </c>
      <c r="V154" s="44" t="str">
        <f>IF(A154="","",SUMIFS('成交明细'!$E$5:$E$804,'成交明细'!$A$5:$A$804,A154,'成交明细'!$C$5:$C$804,"卖"))</f>
        <v/>
      </c>
      <c r="W154" s="50" t="str">
        <f>IF(N(V154)&gt;0,SUMIFS('成交明细'!$F$5:$F$804,'成交明细'!$A$5:$A$804,A154,'成交明细'!$C$5:$C$804,"卖")/V154,"")</f>
        <v/>
      </c>
      <c r="X154" s="36" t="str">
        <f>IF(A154="","",IF(Q154&lt;&gt;"已执行",IF(Q154="","未填执行情况",Q154),IF(N(T154)=0,"待录成交",IF(N(V154)&gt;N(T154),"卖出多于买入",IF(N(V154)&lt;N(T154),"持仓中","已平仓")))))</f>
        <v/>
      </c>
      <c r="Y154" s="51" t="str">
        <f>IF(N(T154)=0,"",SUMIFS('成交明细'!$K$5:$K$804,'成交明细'!$A$5:$A$804,A154))</f>
        <v/>
      </c>
      <c r="Z154" s="52" t="str">
        <f>IF(X154&lt;&gt;"已平仓","",SUMIFS('成交明细'!$F$5:$F$804,'成交明细'!$A$5:$A$804,A154,'成交明细'!$C$5:$C$804,"卖")-SUMIFS('成交明细'!$F$5:$F$804,'成交明细'!$A$5:$A$804,A154,'成交明细'!$C$5:$C$804,"买")-Y154)</f>
        <v/>
      </c>
      <c r="AA154" s="53" t="str">
        <f>IF(AND(X154="已平仓",ISNUMBER(N154)),(Z154+Y154)/N154,"")</f>
        <v/>
      </c>
      <c r="AB154" s="53" t="str">
        <f>IF(AND(X154="已平仓",ISNUMBER(N154)),Z154/N154,"")</f>
        <v/>
      </c>
      <c r="AC154" s="54" t="str">
        <f>IF(AND(ISNUMBER(U154),ISNUMBER(H154)),U154-H154,"")</f>
        <v/>
      </c>
      <c r="AD154" s="27" t="n"/>
      <c r="AE154" s="27" t="n"/>
      <c r="AF154" s="32" t="n"/>
      <c r="AG154" s="53" t="str">
        <f>IF(A154="","",SUM(AB$5:AB154))</f>
        <v/>
      </c>
      <c r="AH154" s="55" t="str">
        <f>IF(A154="","",MAX(0,MAX(AG$5:AG154))-AG154)</f>
        <v/>
      </c>
    </row>
    <row r="155">
      <c r="A155" s="46" t="n"/>
      <c r="B155" s="31" t="n"/>
      <c r="C155" s="32" t="n"/>
      <c r="D155" s="27" t="n"/>
      <c r="E155" s="47" t="str">
        <f>IF(D155="","",IFERROR(VLOOKUP(D155,'参数'!$B$21:$C$26,2,FALSE),""))</f>
        <v/>
      </c>
      <c r="F155" s="27" t="n"/>
      <c r="G155" s="43" t="str">
        <f>IF(NOT(ISNUMBER(B155)),"",IFERROR(IF(B155-INDEX('每日复盘'!$A$5:$A$264,MATCH(B155-1,'每日复盘'!$A$5:$A$264,1))&gt;7,"",T(INDEX('每日复盘'!$AA$5:$AA$264,MATCH(B155-1,'每日复盘'!$A$5:$A$264,1)))),""))</f>
        <v/>
      </c>
      <c r="H155" s="48" t="n"/>
      <c r="I155" s="48" t="n"/>
      <c r="J155" s="48" t="n"/>
      <c r="K155" s="49" t="str">
        <f>IF(AND(ISNUMBER(H155),ISNUMBER(I155),ISNUMBER(J155)),IF(H155&gt;I155,(J155-H155)/(H155-I155),""),"")</f>
        <v/>
      </c>
      <c r="L155" s="44" t="str">
        <f>IF(AND(ISNUMBER(H155),ISNUMBER(I155)),IF(H155&gt;I155,MIN(INT(ROUND('参数'!$C$7/(H155-I155)/100,6))*100,IF(ISNUMBER(E155),IF(H155-ROUND(ROUND(I155*(1-E155),4),2)&gt;0,INT(ROUND('参数'!$C$8/(H155-ROUND(ROUND(I155*(1-E155),4),2))/100,6))*100,0),INT(ROUND('参数'!$C$7/(H155-I155)/100,6))*100)),""),"")</f>
        <v/>
      </c>
      <c r="M155" s="17" t="n"/>
      <c r="N155" s="20" t="str">
        <f>IF(AND(ISNUMBER(H155),ISNUMBER(I155),ISNUMBER(M155)),IF(AND(H155&gt;I155,M155&gt;0),(H155-I155)*M155,""),"")</f>
        <v/>
      </c>
      <c r="O155" s="20" t="str">
        <f>IF(ISNUMBER(N155),IF(ISNUMBER(E155),(H155-ROUND(ROUND(I155*(1-E155),4),2))*M155,"不设限"),"")</f>
        <v/>
      </c>
      <c r="P155" s="32" t="n"/>
      <c r="Q155" s="27" t="n"/>
      <c r="R155" s="42" t="str">
        <f>IF(N(T155)&gt;0,SUMPRODUCT(LARGE(('成交明细'!$A$5:$A$804=A155)*('成交明细'!$C$5:$C$804="买")*'成交明细'!$B$5:$B$804,COUNTIFS('成交明细'!$A$5:$A$804,A155,'成交明细'!$C$5:$C$804,"买"))),"")</f>
        <v/>
      </c>
      <c r="S155" s="42" t="str">
        <f>IF(AND(N(T155)&gt;0,N(V155)&gt;=N(T155)),SUMPRODUCT(MAX(('成交明细'!$A$5:$A$804=A155)*('成交明细'!$C$5:$C$804="卖")*'成交明细'!$B$5:$B$804)),"")</f>
        <v/>
      </c>
      <c r="T155" s="44" t="str">
        <f>IF(A155="","",SUMIFS('成交明细'!$E$5:$E$804,'成交明细'!$A$5:$A$804,A155,'成交明细'!$C$5:$C$804,"买"))</f>
        <v/>
      </c>
      <c r="U155" s="50" t="str">
        <f>IF(N(T155)&gt;0,SUMIFS('成交明细'!$F$5:$F$804,'成交明细'!$A$5:$A$804,A155,'成交明细'!$C$5:$C$804,"买")/T155,"")</f>
        <v/>
      </c>
      <c r="V155" s="44" t="str">
        <f>IF(A155="","",SUMIFS('成交明细'!$E$5:$E$804,'成交明细'!$A$5:$A$804,A155,'成交明细'!$C$5:$C$804,"卖"))</f>
        <v/>
      </c>
      <c r="W155" s="50" t="str">
        <f>IF(N(V155)&gt;0,SUMIFS('成交明细'!$F$5:$F$804,'成交明细'!$A$5:$A$804,A155,'成交明细'!$C$5:$C$804,"卖")/V155,"")</f>
        <v/>
      </c>
      <c r="X155" s="36" t="str">
        <f>IF(A155="","",IF(Q155&lt;&gt;"已执行",IF(Q155="","未填执行情况",Q155),IF(N(T155)=0,"待录成交",IF(N(V155)&gt;N(T155),"卖出多于买入",IF(N(V155)&lt;N(T155),"持仓中","已平仓")))))</f>
        <v/>
      </c>
      <c r="Y155" s="51" t="str">
        <f>IF(N(T155)=0,"",SUMIFS('成交明细'!$K$5:$K$804,'成交明细'!$A$5:$A$804,A155))</f>
        <v/>
      </c>
      <c r="Z155" s="52" t="str">
        <f>IF(X155&lt;&gt;"已平仓","",SUMIFS('成交明细'!$F$5:$F$804,'成交明细'!$A$5:$A$804,A155,'成交明细'!$C$5:$C$804,"卖")-SUMIFS('成交明细'!$F$5:$F$804,'成交明细'!$A$5:$A$804,A155,'成交明细'!$C$5:$C$804,"买")-Y155)</f>
        <v/>
      </c>
      <c r="AA155" s="53" t="str">
        <f>IF(AND(X155="已平仓",ISNUMBER(N155)),(Z155+Y155)/N155,"")</f>
        <v/>
      </c>
      <c r="AB155" s="53" t="str">
        <f>IF(AND(X155="已平仓",ISNUMBER(N155)),Z155/N155,"")</f>
        <v/>
      </c>
      <c r="AC155" s="54" t="str">
        <f>IF(AND(ISNUMBER(U155),ISNUMBER(H155)),U155-H155,"")</f>
        <v/>
      </c>
      <c r="AD155" s="27" t="n"/>
      <c r="AE155" s="27" t="n"/>
      <c r="AF155" s="32" t="n"/>
      <c r="AG155" s="53" t="str">
        <f>IF(A155="","",SUM(AB$5:AB155))</f>
        <v/>
      </c>
      <c r="AH155" s="55" t="str">
        <f>IF(A155="","",MAX(0,MAX(AG$5:AG155))-AG155)</f>
        <v/>
      </c>
    </row>
    <row r="156">
      <c r="A156" s="46" t="n"/>
      <c r="B156" s="31" t="n"/>
      <c r="C156" s="32" t="n"/>
      <c r="D156" s="27" t="n"/>
      <c r="E156" s="47" t="str">
        <f>IF(D156="","",IFERROR(VLOOKUP(D156,'参数'!$B$21:$C$26,2,FALSE),""))</f>
        <v/>
      </c>
      <c r="F156" s="27" t="n"/>
      <c r="G156" s="43" t="str">
        <f>IF(NOT(ISNUMBER(B156)),"",IFERROR(IF(B156-INDEX('每日复盘'!$A$5:$A$264,MATCH(B156-1,'每日复盘'!$A$5:$A$264,1))&gt;7,"",T(INDEX('每日复盘'!$AA$5:$AA$264,MATCH(B156-1,'每日复盘'!$A$5:$A$264,1)))),""))</f>
        <v/>
      </c>
      <c r="H156" s="48" t="n"/>
      <c r="I156" s="48" t="n"/>
      <c r="J156" s="48" t="n"/>
      <c r="K156" s="49" t="str">
        <f>IF(AND(ISNUMBER(H156),ISNUMBER(I156),ISNUMBER(J156)),IF(H156&gt;I156,(J156-H156)/(H156-I156),""),"")</f>
        <v/>
      </c>
      <c r="L156" s="44" t="str">
        <f>IF(AND(ISNUMBER(H156),ISNUMBER(I156)),IF(H156&gt;I156,MIN(INT(ROUND('参数'!$C$7/(H156-I156)/100,6))*100,IF(ISNUMBER(E156),IF(H156-ROUND(ROUND(I156*(1-E156),4),2)&gt;0,INT(ROUND('参数'!$C$8/(H156-ROUND(ROUND(I156*(1-E156),4),2))/100,6))*100,0),INT(ROUND('参数'!$C$7/(H156-I156)/100,6))*100)),""),"")</f>
        <v/>
      </c>
      <c r="M156" s="17" t="n"/>
      <c r="N156" s="20" t="str">
        <f>IF(AND(ISNUMBER(H156),ISNUMBER(I156),ISNUMBER(M156)),IF(AND(H156&gt;I156,M156&gt;0),(H156-I156)*M156,""),"")</f>
        <v/>
      </c>
      <c r="O156" s="20" t="str">
        <f>IF(ISNUMBER(N156),IF(ISNUMBER(E156),(H156-ROUND(ROUND(I156*(1-E156),4),2))*M156,"不设限"),"")</f>
        <v/>
      </c>
      <c r="P156" s="32" t="n"/>
      <c r="Q156" s="27" t="n"/>
      <c r="R156" s="42" t="str">
        <f>IF(N(T156)&gt;0,SUMPRODUCT(LARGE(('成交明细'!$A$5:$A$804=A156)*('成交明细'!$C$5:$C$804="买")*'成交明细'!$B$5:$B$804,COUNTIFS('成交明细'!$A$5:$A$804,A156,'成交明细'!$C$5:$C$804,"买"))),"")</f>
        <v/>
      </c>
      <c r="S156" s="42" t="str">
        <f>IF(AND(N(T156)&gt;0,N(V156)&gt;=N(T156)),SUMPRODUCT(MAX(('成交明细'!$A$5:$A$804=A156)*('成交明细'!$C$5:$C$804="卖")*'成交明细'!$B$5:$B$804)),"")</f>
        <v/>
      </c>
      <c r="T156" s="44" t="str">
        <f>IF(A156="","",SUMIFS('成交明细'!$E$5:$E$804,'成交明细'!$A$5:$A$804,A156,'成交明细'!$C$5:$C$804,"买"))</f>
        <v/>
      </c>
      <c r="U156" s="50" t="str">
        <f>IF(N(T156)&gt;0,SUMIFS('成交明细'!$F$5:$F$804,'成交明细'!$A$5:$A$804,A156,'成交明细'!$C$5:$C$804,"买")/T156,"")</f>
        <v/>
      </c>
      <c r="V156" s="44" t="str">
        <f>IF(A156="","",SUMIFS('成交明细'!$E$5:$E$804,'成交明细'!$A$5:$A$804,A156,'成交明细'!$C$5:$C$804,"卖"))</f>
        <v/>
      </c>
      <c r="W156" s="50" t="str">
        <f>IF(N(V156)&gt;0,SUMIFS('成交明细'!$F$5:$F$804,'成交明细'!$A$5:$A$804,A156,'成交明细'!$C$5:$C$804,"卖")/V156,"")</f>
        <v/>
      </c>
      <c r="X156" s="36" t="str">
        <f>IF(A156="","",IF(Q156&lt;&gt;"已执行",IF(Q156="","未填执行情况",Q156),IF(N(T156)=0,"待录成交",IF(N(V156)&gt;N(T156),"卖出多于买入",IF(N(V156)&lt;N(T156),"持仓中","已平仓")))))</f>
        <v/>
      </c>
      <c r="Y156" s="51" t="str">
        <f>IF(N(T156)=0,"",SUMIFS('成交明细'!$K$5:$K$804,'成交明细'!$A$5:$A$804,A156))</f>
        <v/>
      </c>
      <c r="Z156" s="52" t="str">
        <f>IF(X156&lt;&gt;"已平仓","",SUMIFS('成交明细'!$F$5:$F$804,'成交明细'!$A$5:$A$804,A156,'成交明细'!$C$5:$C$804,"卖")-SUMIFS('成交明细'!$F$5:$F$804,'成交明细'!$A$5:$A$804,A156,'成交明细'!$C$5:$C$804,"买")-Y156)</f>
        <v/>
      </c>
      <c r="AA156" s="53" t="str">
        <f>IF(AND(X156="已平仓",ISNUMBER(N156)),(Z156+Y156)/N156,"")</f>
        <v/>
      </c>
      <c r="AB156" s="53" t="str">
        <f>IF(AND(X156="已平仓",ISNUMBER(N156)),Z156/N156,"")</f>
        <v/>
      </c>
      <c r="AC156" s="54" t="str">
        <f>IF(AND(ISNUMBER(U156),ISNUMBER(H156)),U156-H156,"")</f>
        <v/>
      </c>
      <c r="AD156" s="27" t="n"/>
      <c r="AE156" s="27" t="n"/>
      <c r="AF156" s="32" t="n"/>
      <c r="AG156" s="53" t="str">
        <f>IF(A156="","",SUM(AB$5:AB156))</f>
        <v/>
      </c>
      <c r="AH156" s="55" t="str">
        <f>IF(A156="","",MAX(0,MAX(AG$5:AG156))-AG156)</f>
        <v/>
      </c>
    </row>
    <row r="157">
      <c r="A157" s="46" t="n"/>
      <c r="B157" s="31" t="n"/>
      <c r="C157" s="32" t="n"/>
      <c r="D157" s="27" t="n"/>
      <c r="E157" s="47" t="str">
        <f>IF(D157="","",IFERROR(VLOOKUP(D157,'参数'!$B$21:$C$26,2,FALSE),""))</f>
        <v/>
      </c>
      <c r="F157" s="27" t="n"/>
      <c r="G157" s="43" t="str">
        <f>IF(NOT(ISNUMBER(B157)),"",IFERROR(IF(B157-INDEX('每日复盘'!$A$5:$A$264,MATCH(B157-1,'每日复盘'!$A$5:$A$264,1))&gt;7,"",T(INDEX('每日复盘'!$AA$5:$AA$264,MATCH(B157-1,'每日复盘'!$A$5:$A$264,1)))),""))</f>
        <v/>
      </c>
      <c r="H157" s="48" t="n"/>
      <c r="I157" s="48" t="n"/>
      <c r="J157" s="48" t="n"/>
      <c r="K157" s="49" t="str">
        <f>IF(AND(ISNUMBER(H157),ISNUMBER(I157),ISNUMBER(J157)),IF(H157&gt;I157,(J157-H157)/(H157-I157),""),"")</f>
        <v/>
      </c>
      <c r="L157" s="44" t="str">
        <f>IF(AND(ISNUMBER(H157),ISNUMBER(I157)),IF(H157&gt;I157,MIN(INT(ROUND('参数'!$C$7/(H157-I157)/100,6))*100,IF(ISNUMBER(E157),IF(H157-ROUND(ROUND(I157*(1-E157),4),2)&gt;0,INT(ROUND('参数'!$C$8/(H157-ROUND(ROUND(I157*(1-E157),4),2))/100,6))*100,0),INT(ROUND('参数'!$C$7/(H157-I157)/100,6))*100)),""),"")</f>
        <v/>
      </c>
      <c r="M157" s="17" t="n"/>
      <c r="N157" s="20" t="str">
        <f>IF(AND(ISNUMBER(H157),ISNUMBER(I157),ISNUMBER(M157)),IF(AND(H157&gt;I157,M157&gt;0),(H157-I157)*M157,""),"")</f>
        <v/>
      </c>
      <c r="O157" s="20" t="str">
        <f>IF(ISNUMBER(N157),IF(ISNUMBER(E157),(H157-ROUND(ROUND(I157*(1-E157),4),2))*M157,"不设限"),"")</f>
        <v/>
      </c>
      <c r="P157" s="32" t="n"/>
      <c r="Q157" s="27" t="n"/>
      <c r="R157" s="42" t="str">
        <f>IF(N(T157)&gt;0,SUMPRODUCT(LARGE(('成交明细'!$A$5:$A$804=A157)*('成交明细'!$C$5:$C$804="买")*'成交明细'!$B$5:$B$804,COUNTIFS('成交明细'!$A$5:$A$804,A157,'成交明细'!$C$5:$C$804,"买"))),"")</f>
        <v/>
      </c>
      <c r="S157" s="42" t="str">
        <f>IF(AND(N(T157)&gt;0,N(V157)&gt;=N(T157)),SUMPRODUCT(MAX(('成交明细'!$A$5:$A$804=A157)*('成交明细'!$C$5:$C$804="卖")*'成交明细'!$B$5:$B$804)),"")</f>
        <v/>
      </c>
      <c r="T157" s="44" t="str">
        <f>IF(A157="","",SUMIFS('成交明细'!$E$5:$E$804,'成交明细'!$A$5:$A$804,A157,'成交明细'!$C$5:$C$804,"买"))</f>
        <v/>
      </c>
      <c r="U157" s="50" t="str">
        <f>IF(N(T157)&gt;0,SUMIFS('成交明细'!$F$5:$F$804,'成交明细'!$A$5:$A$804,A157,'成交明细'!$C$5:$C$804,"买")/T157,"")</f>
        <v/>
      </c>
      <c r="V157" s="44" t="str">
        <f>IF(A157="","",SUMIFS('成交明细'!$E$5:$E$804,'成交明细'!$A$5:$A$804,A157,'成交明细'!$C$5:$C$804,"卖"))</f>
        <v/>
      </c>
      <c r="W157" s="50" t="str">
        <f>IF(N(V157)&gt;0,SUMIFS('成交明细'!$F$5:$F$804,'成交明细'!$A$5:$A$804,A157,'成交明细'!$C$5:$C$804,"卖")/V157,"")</f>
        <v/>
      </c>
      <c r="X157" s="36" t="str">
        <f>IF(A157="","",IF(Q157&lt;&gt;"已执行",IF(Q157="","未填执行情况",Q157),IF(N(T157)=0,"待录成交",IF(N(V157)&gt;N(T157),"卖出多于买入",IF(N(V157)&lt;N(T157),"持仓中","已平仓")))))</f>
        <v/>
      </c>
      <c r="Y157" s="51" t="str">
        <f>IF(N(T157)=0,"",SUMIFS('成交明细'!$K$5:$K$804,'成交明细'!$A$5:$A$804,A157))</f>
        <v/>
      </c>
      <c r="Z157" s="52" t="str">
        <f>IF(X157&lt;&gt;"已平仓","",SUMIFS('成交明细'!$F$5:$F$804,'成交明细'!$A$5:$A$804,A157,'成交明细'!$C$5:$C$804,"卖")-SUMIFS('成交明细'!$F$5:$F$804,'成交明细'!$A$5:$A$804,A157,'成交明细'!$C$5:$C$804,"买")-Y157)</f>
        <v/>
      </c>
      <c r="AA157" s="53" t="str">
        <f>IF(AND(X157="已平仓",ISNUMBER(N157)),(Z157+Y157)/N157,"")</f>
        <v/>
      </c>
      <c r="AB157" s="53" t="str">
        <f>IF(AND(X157="已平仓",ISNUMBER(N157)),Z157/N157,"")</f>
        <v/>
      </c>
      <c r="AC157" s="54" t="str">
        <f>IF(AND(ISNUMBER(U157),ISNUMBER(H157)),U157-H157,"")</f>
        <v/>
      </c>
      <c r="AD157" s="27" t="n"/>
      <c r="AE157" s="27" t="n"/>
      <c r="AF157" s="32" t="n"/>
      <c r="AG157" s="53" t="str">
        <f>IF(A157="","",SUM(AB$5:AB157))</f>
        <v/>
      </c>
      <c r="AH157" s="55" t="str">
        <f>IF(A157="","",MAX(0,MAX(AG$5:AG157))-AG157)</f>
        <v/>
      </c>
    </row>
    <row r="158">
      <c r="A158" s="46" t="n"/>
      <c r="B158" s="31" t="n"/>
      <c r="C158" s="32" t="n"/>
      <c r="D158" s="27" t="n"/>
      <c r="E158" s="47" t="str">
        <f>IF(D158="","",IFERROR(VLOOKUP(D158,'参数'!$B$21:$C$26,2,FALSE),""))</f>
        <v/>
      </c>
      <c r="F158" s="27" t="n"/>
      <c r="G158" s="43" t="str">
        <f>IF(NOT(ISNUMBER(B158)),"",IFERROR(IF(B158-INDEX('每日复盘'!$A$5:$A$264,MATCH(B158-1,'每日复盘'!$A$5:$A$264,1))&gt;7,"",T(INDEX('每日复盘'!$AA$5:$AA$264,MATCH(B158-1,'每日复盘'!$A$5:$A$264,1)))),""))</f>
        <v/>
      </c>
      <c r="H158" s="48" t="n"/>
      <c r="I158" s="48" t="n"/>
      <c r="J158" s="48" t="n"/>
      <c r="K158" s="49" t="str">
        <f>IF(AND(ISNUMBER(H158),ISNUMBER(I158),ISNUMBER(J158)),IF(H158&gt;I158,(J158-H158)/(H158-I158),""),"")</f>
        <v/>
      </c>
      <c r="L158" s="44" t="str">
        <f>IF(AND(ISNUMBER(H158),ISNUMBER(I158)),IF(H158&gt;I158,MIN(INT(ROUND('参数'!$C$7/(H158-I158)/100,6))*100,IF(ISNUMBER(E158),IF(H158-ROUND(ROUND(I158*(1-E158),4),2)&gt;0,INT(ROUND('参数'!$C$8/(H158-ROUND(ROUND(I158*(1-E158),4),2))/100,6))*100,0),INT(ROUND('参数'!$C$7/(H158-I158)/100,6))*100)),""),"")</f>
        <v/>
      </c>
      <c r="M158" s="17" t="n"/>
      <c r="N158" s="20" t="str">
        <f>IF(AND(ISNUMBER(H158),ISNUMBER(I158),ISNUMBER(M158)),IF(AND(H158&gt;I158,M158&gt;0),(H158-I158)*M158,""),"")</f>
        <v/>
      </c>
      <c r="O158" s="20" t="str">
        <f>IF(ISNUMBER(N158),IF(ISNUMBER(E158),(H158-ROUND(ROUND(I158*(1-E158),4),2))*M158,"不设限"),"")</f>
        <v/>
      </c>
      <c r="P158" s="32" t="n"/>
      <c r="Q158" s="27" t="n"/>
      <c r="R158" s="42" t="str">
        <f>IF(N(T158)&gt;0,SUMPRODUCT(LARGE(('成交明细'!$A$5:$A$804=A158)*('成交明细'!$C$5:$C$804="买")*'成交明细'!$B$5:$B$804,COUNTIFS('成交明细'!$A$5:$A$804,A158,'成交明细'!$C$5:$C$804,"买"))),"")</f>
        <v/>
      </c>
      <c r="S158" s="42" t="str">
        <f>IF(AND(N(T158)&gt;0,N(V158)&gt;=N(T158)),SUMPRODUCT(MAX(('成交明细'!$A$5:$A$804=A158)*('成交明细'!$C$5:$C$804="卖")*'成交明细'!$B$5:$B$804)),"")</f>
        <v/>
      </c>
      <c r="T158" s="44" t="str">
        <f>IF(A158="","",SUMIFS('成交明细'!$E$5:$E$804,'成交明细'!$A$5:$A$804,A158,'成交明细'!$C$5:$C$804,"买"))</f>
        <v/>
      </c>
      <c r="U158" s="50" t="str">
        <f>IF(N(T158)&gt;0,SUMIFS('成交明细'!$F$5:$F$804,'成交明细'!$A$5:$A$804,A158,'成交明细'!$C$5:$C$804,"买")/T158,"")</f>
        <v/>
      </c>
      <c r="V158" s="44" t="str">
        <f>IF(A158="","",SUMIFS('成交明细'!$E$5:$E$804,'成交明细'!$A$5:$A$804,A158,'成交明细'!$C$5:$C$804,"卖"))</f>
        <v/>
      </c>
      <c r="W158" s="50" t="str">
        <f>IF(N(V158)&gt;0,SUMIFS('成交明细'!$F$5:$F$804,'成交明细'!$A$5:$A$804,A158,'成交明细'!$C$5:$C$804,"卖")/V158,"")</f>
        <v/>
      </c>
      <c r="X158" s="36" t="str">
        <f>IF(A158="","",IF(Q158&lt;&gt;"已执行",IF(Q158="","未填执行情况",Q158),IF(N(T158)=0,"待录成交",IF(N(V158)&gt;N(T158),"卖出多于买入",IF(N(V158)&lt;N(T158),"持仓中","已平仓")))))</f>
        <v/>
      </c>
      <c r="Y158" s="51" t="str">
        <f>IF(N(T158)=0,"",SUMIFS('成交明细'!$K$5:$K$804,'成交明细'!$A$5:$A$804,A158))</f>
        <v/>
      </c>
      <c r="Z158" s="52" t="str">
        <f>IF(X158&lt;&gt;"已平仓","",SUMIFS('成交明细'!$F$5:$F$804,'成交明细'!$A$5:$A$804,A158,'成交明细'!$C$5:$C$804,"卖")-SUMIFS('成交明细'!$F$5:$F$804,'成交明细'!$A$5:$A$804,A158,'成交明细'!$C$5:$C$804,"买")-Y158)</f>
        <v/>
      </c>
      <c r="AA158" s="53" t="str">
        <f>IF(AND(X158="已平仓",ISNUMBER(N158)),(Z158+Y158)/N158,"")</f>
        <v/>
      </c>
      <c r="AB158" s="53" t="str">
        <f>IF(AND(X158="已平仓",ISNUMBER(N158)),Z158/N158,"")</f>
        <v/>
      </c>
      <c r="AC158" s="54" t="str">
        <f>IF(AND(ISNUMBER(U158),ISNUMBER(H158)),U158-H158,"")</f>
        <v/>
      </c>
      <c r="AD158" s="27" t="n"/>
      <c r="AE158" s="27" t="n"/>
      <c r="AF158" s="32" t="n"/>
      <c r="AG158" s="53" t="str">
        <f>IF(A158="","",SUM(AB$5:AB158))</f>
        <v/>
      </c>
      <c r="AH158" s="55" t="str">
        <f>IF(A158="","",MAX(0,MAX(AG$5:AG158))-AG158)</f>
        <v/>
      </c>
    </row>
    <row r="159">
      <c r="A159" s="46" t="n"/>
      <c r="B159" s="31" t="n"/>
      <c r="C159" s="32" t="n"/>
      <c r="D159" s="27" t="n"/>
      <c r="E159" s="47" t="str">
        <f>IF(D159="","",IFERROR(VLOOKUP(D159,'参数'!$B$21:$C$26,2,FALSE),""))</f>
        <v/>
      </c>
      <c r="F159" s="27" t="n"/>
      <c r="G159" s="43" t="str">
        <f>IF(NOT(ISNUMBER(B159)),"",IFERROR(IF(B159-INDEX('每日复盘'!$A$5:$A$264,MATCH(B159-1,'每日复盘'!$A$5:$A$264,1))&gt;7,"",T(INDEX('每日复盘'!$AA$5:$AA$264,MATCH(B159-1,'每日复盘'!$A$5:$A$264,1)))),""))</f>
        <v/>
      </c>
      <c r="H159" s="48" t="n"/>
      <c r="I159" s="48" t="n"/>
      <c r="J159" s="48" t="n"/>
      <c r="K159" s="49" t="str">
        <f>IF(AND(ISNUMBER(H159),ISNUMBER(I159),ISNUMBER(J159)),IF(H159&gt;I159,(J159-H159)/(H159-I159),""),"")</f>
        <v/>
      </c>
      <c r="L159" s="44" t="str">
        <f>IF(AND(ISNUMBER(H159),ISNUMBER(I159)),IF(H159&gt;I159,MIN(INT(ROUND('参数'!$C$7/(H159-I159)/100,6))*100,IF(ISNUMBER(E159),IF(H159-ROUND(ROUND(I159*(1-E159),4),2)&gt;0,INT(ROUND('参数'!$C$8/(H159-ROUND(ROUND(I159*(1-E159),4),2))/100,6))*100,0),INT(ROUND('参数'!$C$7/(H159-I159)/100,6))*100)),""),"")</f>
        <v/>
      </c>
      <c r="M159" s="17" t="n"/>
      <c r="N159" s="20" t="str">
        <f>IF(AND(ISNUMBER(H159),ISNUMBER(I159),ISNUMBER(M159)),IF(AND(H159&gt;I159,M159&gt;0),(H159-I159)*M159,""),"")</f>
        <v/>
      </c>
      <c r="O159" s="20" t="str">
        <f>IF(ISNUMBER(N159),IF(ISNUMBER(E159),(H159-ROUND(ROUND(I159*(1-E159),4),2))*M159,"不设限"),"")</f>
        <v/>
      </c>
      <c r="P159" s="32" t="n"/>
      <c r="Q159" s="27" t="n"/>
      <c r="R159" s="42" t="str">
        <f>IF(N(T159)&gt;0,SUMPRODUCT(LARGE(('成交明细'!$A$5:$A$804=A159)*('成交明细'!$C$5:$C$804="买")*'成交明细'!$B$5:$B$804,COUNTIFS('成交明细'!$A$5:$A$804,A159,'成交明细'!$C$5:$C$804,"买"))),"")</f>
        <v/>
      </c>
      <c r="S159" s="42" t="str">
        <f>IF(AND(N(T159)&gt;0,N(V159)&gt;=N(T159)),SUMPRODUCT(MAX(('成交明细'!$A$5:$A$804=A159)*('成交明细'!$C$5:$C$804="卖")*'成交明细'!$B$5:$B$804)),"")</f>
        <v/>
      </c>
      <c r="T159" s="44" t="str">
        <f>IF(A159="","",SUMIFS('成交明细'!$E$5:$E$804,'成交明细'!$A$5:$A$804,A159,'成交明细'!$C$5:$C$804,"买"))</f>
        <v/>
      </c>
      <c r="U159" s="50" t="str">
        <f>IF(N(T159)&gt;0,SUMIFS('成交明细'!$F$5:$F$804,'成交明细'!$A$5:$A$804,A159,'成交明细'!$C$5:$C$804,"买")/T159,"")</f>
        <v/>
      </c>
      <c r="V159" s="44" t="str">
        <f>IF(A159="","",SUMIFS('成交明细'!$E$5:$E$804,'成交明细'!$A$5:$A$804,A159,'成交明细'!$C$5:$C$804,"卖"))</f>
        <v/>
      </c>
      <c r="W159" s="50" t="str">
        <f>IF(N(V159)&gt;0,SUMIFS('成交明细'!$F$5:$F$804,'成交明细'!$A$5:$A$804,A159,'成交明细'!$C$5:$C$804,"卖")/V159,"")</f>
        <v/>
      </c>
      <c r="X159" s="36" t="str">
        <f>IF(A159="","",IF(Q159&lt;&gt;"已执行",IF(Q159="","未填执行情况",Q159),IF(N(T159)=0,"待录成交",IF(N(V159)&gt;N(T159),"卖出多于买入",IF(N(V159)&lt;N(T159),"持仓中","已平仓")))))</f>
        <v/>
      </c>
      <c r="Y159" s="51" t="str">
        <f>IF(N(T159)=0,"",SUMIFS('成交明细'!$K$5:$K$804,'成交明细'!$A$5:$A$804,A159))</f>
        <v/>
      </c>
      <c r="Z159" s="52" t="str">
        <f>IF(X159&lt;&gt;"已平仓","",SUMIFS('成交明细'!$F$5:$F$804,'成交明细'!$A$5:$A$804,A159,'成交明细'!$C$5:$C$804,"卖")-SUMIFS('成交明细'!$F$5:$F$804,'成交明细'!$A$5:$A$804,A159,'成交明细'!$C$5:$C$804,"买")-Y159)</f>
        <v/>
      </c>
      <c r="AA159" s="53" t="str">
        <f>IF(AND(X159="已平仓",ISNUMBER(N159)),(Z159+Y159)/N159,"")</f>
        <v/>
      </c>
      <c r="AB159" s="53" t="str">
        <f>IF(AND(X159="已平仓",ISNUMBER(N159)),Z159/N159,"")</f>
        <v/>
      </c>
      <c r="AC159" s="54" t="str">
        <f>IF(AND(ISNUMBER(U159),ISNUMBER(H159)),U159-H159,"")</f>
        <v/>
      </c>
      <c r="AD159" s="27" t="n"/>
      <c r="AE159" s="27" t="n"/>
      <c r="AF159" s="32" t="n"/>
      <c r="AG159" s="53" t="str">
        <f>IF(A159="","",SUM(AB$5:AB159))</f>
        <v/>
      </c>
      <c r="AH159" s="55" t="str">
        <f>IF(A159="","",MAX(0,MAX(AG$5:AG159))-AG159)</f>
        <v/>
      </c>
    </row>
    <row r="160">
      <c r="A160" s="46" t="n"/>
      <c r="B160" s="31" t="n"/>
      <c r="C160" s="32" t="n"/>
      <c r="D160" s="27" t="n"/>
      <c r="E160" s="47" t="str">
        <f>IF(D160="","",IFERROR(VLOOKUP(D160,'参数'!$B$21:$C$26,2,FALSE),""))</f>
        <v/>
      </c>
      <c r="F160" s="27" t="n"/>
      <c r="G160" s="43" t="str">
        <f>IF(NOT(ISNUMBER(B160)),"",IFERROR(IF(B160-INDEX('每日复盘'!$A$5:$A$264,MATCH(B160-1,'每日复盘'!$A$5:$A$264,1))&gt;7,"",T(INDEX('每日复盘'!$AA$5:$AA$264,MATCH(B160-1,'每日复盘'!$A$5:$A$264,1)))),""))</f>
        <v/>
      </c>
      <c r="H160" s="48" t="n"/>
      <c r="I160" s="48" t="n"/>
      <c r="J160" s="48" t="n"/>
      <c r="K160" s="49" t="str">
        <f>IF(AND(ISNUMBER(H160),ISNUMBER(I160),ISNUMBER(J160)),IF(H160&gt;I160,(J160-H160)/(H160-I160),""),"")</f>
        <v/>
      </c>
      <c r="L160" s="44" t="str">
        <f>IF(AND(ISNUMBER(H160),ISNUMBER(I160)),IF(H160&gt;I160,MIN(INT(ROUND('参数'!$C$7/(H160-I160)/100,6))*100,IF(ISNUMBER(E160),IF(H160-ROUND(ROUND(I160*(1-E160),4),2)&gt;0,INT(ROUND('参数'!$C$8/(H160-ROUND(ROUND(I160*(1-E160),4),2))/100,6))*100,0),INT(ROUND('参数'!$C$7/(H160-I160)/100,6))*100)),""),"")</f>
        <v/>
      </c>
      <c r="M160" s="17" t="n"/>
      <c r="N160" s="20" t="str">
        <f>IF(AND(ISNUMBER(H160),ISNUMBER(I160),ISNUMBER(M160)),IF(AND(H160&gt;I160,M160&gt;0),(H160-I160)*M160,""),"")</f>
        <v/>
      </c>
      <c r="O160" s="20" t="str">
        <f>IF(ISNUMBER(N160),IF(ISNUMBER(E160),(H160-ROUND(ROUND(I160*(1-E160),4),2))*M160,"不设限"),"")</f>
        <v/>
      </c>
      <c r="P160" s="32" t="n"/>
      <c r="Q160" s="27" t="n"/>
      <c r="R160" s="42" t="str">
        <f>IF(N(T160)&gt;0,SUMPRODUCT(LARGE(('成交明细'!$A$5:$A$804=A160)*('成交明细'!$C$5:$C$804="买")*'成交明细'!$B$5:$B$804,COUNTIFS('成交明细'!$A$5:$A$804,A160,'成交明细'!$C$5:$C$804,"买"))),"")</f>
        <v/>
      </c>
      <c r="S160" s="42" t="str">
        <f>IF(AND(N(T160)&gt;0,N(V160)&gt;=N(T160)),SUMPRODUCT(MAX(('成交明细'!$A$5:$A$804=A160)*('成交明细'!$C$5:$C$804="卖")*'成交明细'!$B$5:$B$804)),"")</f>
        <v/>
      </c>
      <c r="T160" s="44" t="str">
        <f>IF(A160="","",SUMIFS('成交明细'!$E$5:$E$804,'成交明细'!$A$5:$A$804,A160,'成交明细'!$C$5:$C$804,"买"))</f>
        <v/>
      </c>
      <c r="U160" s="50" t="str">
        <f>IF(N(T160)&gt;0,SUMIFS('成交明细'!$F$5:$F$804,'成交明细'!$A$5:$A$804,A160,'成交明细'!$C$5:$C$804,"买")/T160,"")</f>
        <v/>
      </c>
      <c r="V160" s="44" t="str">
        <f>IF(A160="","",SUMIFS('成交明细'!$E$5:$E$804,'成交明细'!$A$5:$A$804,A160,'成交明细'!$C$5:$C$804,"卖"))</f>
        <v/>
      </c>
      <c r="W160" s="50" t="str">
        <f>IF(N(V160)&gt;0,SUMIFS('成交明细'!$F$5:$F$804,'成交明细'!$A$5:$A$804,A160,'成交明细'!$C$5:$C$804,"卖")/V160,"")</f>
        <v/>
      </c>
      <c r="X160" s="36" t="str">
        <f>IF(A160="","",IF(Q160&lt;&gt;"已执行",IF(Q160="","未填执行情况",Q160),IF(N(T160)=0,"待录成交",IF(N(V160)&gt;N(T160),"卖出多于买入",IF(N(V160)&lt;N(T160),"持仓中","已平仓")))))</f>
        <v/>
      </c>
      <c r="Y160" s="51" t="str">
        <f>IF(N(T160)=0,"",SUMIFS('成交明细'!$K$5:$K$804,'成交明细'!$A$5:$A$804,A160))</f>
        <v/>
      </c>
      <c r="Z160" s="52" t="str">
        <f>IF(X160&lt;&gt;"已平仓","",SUMIFS('成交明细'!$F$5:$F$804,'成交明细'!$A$5:$A$804,A160,'成交明细'!$C$5:$C$804,"卖")-SUMIFS('成交明细'!$F$5:$F$804,'成交明细'!$A$5:$A$804,A160,'成交明细'!$C$5:$C$804,"买")-Y160)</f>
        <v/>
      </c>
      <c r="AA160" s="53" t="str">
        <f>IF(AND(X160="已平仓",ISNUMBER(N160)),(Z160+Y160)/N160,"")</f>
        <v/>
      </c>
      <c r="AB160" s="53" t="str">
        <f>IF(AND(X160="已平仓",ISNUMBER(N160)),Z160/N160,"")</f>
        <v/>
      </c>
      <c r="AC160" s="54" t="str">
        <f>IF(AND(ISNUMBER(U160),ISNUMBER(H160)),U160-H160,"")</f>
        <v/>
      </c>
      <c r="AD160" s="27" t="n"/>
      <c r="AE160" s="27" t="n"/>
      <c r="AF160" s="32" t="n"/>
      <c r="AG160" s="53" t="str">
        <f>IF(A160="","",SUM(AB$5:AB160))</f>
        <v/>
      </c>
      <c r="AH160" s="55" t="str">
        <f>IF(A160="","",MAX(0,MAX(AG$5:AG160))-AG160)</f>
        <v/>
      </c>
    </row>
    <row r="161">
      <c r="A161" s="46" t="n"/>
      <c r="B161" s="31" t="n"/>
      <c r="C161" s="32" t="n"/>
      <c r="D161" s="27" t="n"/>
      <c r="E161" s="47" t="str">
        <f>IF(D161="","",IFERROR(VLOOKUP(D161,'参数'!$B$21:$C$26,2,FALSE),""))</f>
        <v/>
      </c>
      <c r="F161" s="27" t="n"/>
      <c r="G161" s="43" t="str">
        <f>IF(NOT(ISNUMBER(B161)),"",IFERROR(IF(B161-INDEX('每日复盘'!$A$5:$A$264,MATCH(B161-1,'每日复盘'!$A$5:$A$264,1))&gt;7,"",T(INDEX('每日复盘'!$AA$5:$AA$264,MATCH(B161-1,'每日复盘'!$A$5:$A$264,1)))),""))</f>
        <v/>
      </c>
      <c r="H161" s="48" t="n"/>
      <c r="I161" s="48" t="n"/>
      <c r="J161" s="48" t="n"/>
      <c r="K161" s="49" t="str">
        <f>IF(AND(ISNUMBER(H161),ISNUMBER(I161),ISNUMBER(J161)),IF(H161&gt;I161,(J161-H161)/(H161-I161),""),"")</f>
        <v/>
      </c>
      <c r="L161" s="44" t="str">
        <f>IF(AND(ISNUMBER(H161),ISNUMBER(I161)),IF(H161&gt;I161,MIN(INT(ROUND('参数'!$C$7/(H161-I161)/100,6))*100,IF(ISNUMBER(E161),IF(H161-ROUND(ROUND(I161*(1-E161),4),2)&gt;0,INT(ROUND('参数'!$C$8/(H161-ROUND(ROUND(I161*(1-E161),4),2))/100,6))*100,0),INT(ROUND('参数'!$C$7/(H161-I161)/100,6))*100)),""),"")</f>
        <v/>
      </c>
      <c r="M161" s="17" t="n"/>
      <c r="N161" s="20" t="str">
        <f>IF(AND(ISNUMBER(H161),ISNUMBER(I161),ISNUMBER(M161)),IF(AND(H161&gt;I161,M161&gt;0),(H161-I161)*M161,""),"")</f>
        <v/>
      </c>
      <c r="O161" s="20" t="str">
        <f>IF(ISNUMBER(N161),IF(ISNUMBER(E161),(H161-ROUND(ROUND(I161*(1-E161),4),2))*M161,"不设限"),"")</f>
        <v/>
      </c>
      <c r="P161" s="32" t="n"/>
      <c r="Q161" s="27" t="n"/>
      <c r="R161" s="42" t="str">
        <f>IF(N(T161)&gt;0,SUMPRODUCT(LARGE(('成交明细'!$A$5:$A$804=A161)*('成交明细'!$C$5:$C$804="买")*'成交明细'!$B$5:$B$804,COUNTIFS('成交明细'!$A$5:$A$804,A161,'成交明细'!$C$5:$C$804,"买"))),"")</f>
        <v/>
      </c>
      <c r="S161" s="42" t="str">
        <f>IF(AND(N(T161)&gt;0,N(V161)&gt;=N(T161)),SUMPRODUCT(MAX(('成交明细'!$A$5:$A$804=A161)*('成交明细'!$C$5:$C$804="卖")*'成交明细'!$B$5:$B$804)),"")</f>
        <v/>
      </c>
      <c r="T161" s="44" t="str">
        <f>IF(A161="","",SUMIFS('成交明细'!$E$5:$E$804,'成交明细'!$A$5:$A$804,A161,'成交明细'!$C$5:$C$804,"买"))</f>
        <v/>
      </c>
      <c r="U161" s="50" t="str">
        <f>IF(N(T161)&gt;0,SUMIFS('成交明细'!$F$5:$F$804,'成交明细'!$A$5:$A$804,A161,'成交明细'!$C$5:$C$804,"买")/T161,"")</f>
        <v/>
      </c>
      <c r="V161" s="44" t="str">
        <f>IF(A161="","",SUMIFS('成交明细'!$E$5:$E$804,'成交明细'!$A$5:$A$804,A161,'成交明细'!$C$5:$C$804,"卖"))</f>
        <v/>
      </c>
      <c r="W161" s="50" t="str">
        <f>IF(N(V161)&gt;0,SUMIFS('成交明细'!$F$5:$F$804,'成交明细'!$A$5:$A$804,A161,'成交明细'!$C$5:$C$804,"卖")/V161,"")</f>
        <v/>
      </c>
      <c r="X161" s="36" t="str">
        <f>IF(A161="","",IF(Q161&lt;&gt;"已执行",IF(Q161="","未填执行情况",Q161),IF(N(T161)=0,"待录成交",IF(N(V161)&gt;N(T161),"卖出多于买入",IF(N(V161)&lt;N(T161),"持仓中","已平仓")))))</f>
        <v/>
      </c>
      <c r="Y161" s="51" t="str">
        <f>IF(N(T161)=0,"",SUMIFS('成交明细'!$K$5:$K$804,'成交明细'!$A$5:$A$804,A161))</f>
        <v/>
      </c>
      <c r="Z161" s="52" t="str">
        <f>IF(X161&lt;&gt;"已平仓","",SUMIFS('成交明细'!$F$5:$F$804,'成交明细'!$A$5:$A$804,A161,'成交明细'!$C$5:$C$804,"卖")-SUMIFS('成交明细'!$F$5:$F$804,'成交明细'!$A$5:$A$804,A161,'成交明细'!$C$5:$C$804,"买")-Y161)</f>
        <v/>
      </c>
      <c r="AA161" s="53" t="str">
        <f>IF(AND(X161="已平仓",ISNUMBER(N161)),(Z161+Y161)/N161,"")</f>
        <v/>
      </c>
      <c r="AB161" s="53" t="str">
        <f>IF(AND(X161="已平仓",ISNUMBER(N161)),Z161/N161,"")</f>
        <v/>
      </c>
      <c r="AC161" s="54" t="str">
        <f>IF(AND(ISNUMBER(U161),ISNUMBER(H161)),U161-H161,"")</f>
        <v/>
      </c>
      <c r="AD161" s="27" t="n"/>
      <c r="AE161" s="27" t="n"/>
      <c r="AF161" s="32" t="n"/>
      <c r="AG161" s="53" t="str">
        <f>IF(A161="","",SUM(AB$5:AB161))</f>
        <v/>
      </c>
      <c r="AH161" s="55" t="str">
        <f>IF(A161="","",MAX(0,MAX(AG$5:AG161))-AG161)</f>
        <v/>
      </c>
    </row>
    <row r="162">
      <c r="A162" s="46" t="n"/>
      <c r="B162" s="31" t="n"/>
      <c r="C162" s="32" t="n"/>
      <c r="D162" s="27" t="n"/>
      <c r="E162" s="47" t="str">
        <f>IF(D162="","",IFERROR(VLOOKUP(D162,'参数'!$B$21:$C$26,2,FALSE),""))</f>
        <v/>
      </c>
      <c r="F162" s="27" t="n"/>
      <c r="G162" s="43" t="str">
        <f>IF(NOT(ISNUMBER(B162)),"",IFERROR(IF(B162-INDEX('每日复盘'!$A$5:$A$264,MATCH(B162-1,'每日复盘'!$A$5:$A$264,1))&gt;7,"",T(INDEX('每日复盘'!$AA$5:$AA$264,MATCH(B162-1,'每日复盘'!$A$5:$A$264,1)))),""))</f>
        <v/>
      </c>
      <c r="H162" s="48" t="n"/>
      <c r="I162" s="48" t="n"/>
      <c r="J162" s="48" t="n"/>
      <c r="K162" s="49" t="str">
        <f>IF(AND(ISNUMBER(H162),ISNUMBER(I162),ISNUMBER(J162)),IF(H162&gt;I162,(J162-H162)/(H162-I162),""),"")</f>
        <v/>
      </c>
      <c r="L162" s="44" t="str">
        <f>IF(AND(ISNUMBER(H162),ISNUMBER(I162)),IF(H162&gt;I162,MIN(INT(ROUND('参数'!$C$7/(H162-I162)/100,6))*100,IF(ISNUMBER(E162),IF(H162-ROUND(ROUND(I162*(1-E162),4),2)&gt;0,INT(ROUND('参数'!$C$8/(H162-ROUND(ROUND(I162*(1-E162),4),2))/100,6))*100,0),INT(ROUND('参数'!$C$7/(H162-I162)/100,6))*100)),""),"")</f>
        <v/>
      </c>
      <c r="M162" s="17" t="n"/>
      <c r="N162" s="20" t="str">
        <f>IF(AND(ISNUMBER(H162),ISNUMBER(I162),ISNUMBER(M162)),IF(AND(H162&gt;I162,M162&gt;0),(H162-I162)*M162,""),"")</f>
        <v/>
      </c>
      <c r="O162" s="20" t="str">
        <f>IF(ISNUMBER(N162),IF(ISNUMBER(E162),(H162-ROUND(ROUND(I162*(1-E162),4),2))*M162,"不设限"),"")</f>
        <v/>
      </c>
      <c r="P162" s="32" t="n"/>
      <c r="Q162" s="27" t="n"/>
      <c r="R162" s="42" t="str">
        <f>IF(N(T162)&gt;0,SUMPRODUCT(LARGE(('成交明细'!$A$5:$A$804=A162)*('成交明细'!$C$5:$C$804="买")*'成交明细'!$B$5:$B$804,COUNTIFS('成交明细'!$A$5:$A$804,A162,'成交明细'!$C$5:$C$804,"买"))),"")</f>
        <v/>
      </c>
      <c r="S162" s="42" t="str">
        <f>IF(AND(N(T162)&gt;0,N(V162)&gt;=N(T162)),SUMPRODUCT(MAX(('成交明细'!$A$5:$A$804=A162)*('成交明细'!$C$5:$C$804="卖")*'成交明细'!$B$5:$B$804)),"")</f>
        <v/>
      </c>
      <c r="T162" s="44" t="str">
        <f>IF(A162="","",SUMIFS('成交明细'!$E$5:$E$804,'成交明细'!$A$5:$A$804,A162,'成交明细'!$C$5:$C$804,"买"))</f>
        <v/>
      </c>
      <c r="U162" s="50" t="str">
        <f>IF(N(T162)&gt;0,SUMIFS('成交明细'!$F$5:$F$804,'成交明细'!$A$5:$A$804,A162,'成交明细'!$C$5:$C$804,"买")/T162,"")</f>
        <v/>
      </c>
      <c r="V162" s="44" t="str">
        <f>IF(A162="","",SUMIFS('成交明细'!$E$5:$E$804,'成交明细'!$A$5:$A$804,A162,'成交明细'!$C$5:$C$804,"卖"))</f>
        <v/>
      </c>
      <c r="W162" s="50" t="str">
        <f>IF(N(V162)&gt;0,SUMIFS('成交明细'!$F$5:$F$804,'成交明细'!$A$5:$A$804,A162,'成交明细'!$C$5:$C$804,"卖")/V162,"")</f>
        <v/>
      </c>
      <c r="X162" s="36" t="str">
        <f>IF(A162="","",IF(Q162&lt;&gt;"已执行",IF(Q162="","未填执行情况",Q162),IF(N(T162)=0,"待录成交",IF(N(V162)&gt;N(T162),"卖出多于买入",IF(N(V162)&lt;N(T162),"持仓中","已平仓")))))</f>
        <v/>
      </c>
      <c r="Y162" s="51" t="str">
        <f>IF(N(T162)=0,"",SUMIFS('成交明细'!$K$5:$K$804,'成交明细'!$A$5:$A$804,A162))</f>
        <v/>
      </c>
      <c r="Z162" s="52" t="str">
        <f>IF(X162&lt;&gt;"已平仓","",SUMIFS('成交明细'!$F$5:$F$804,'成交明细'!$A$5:$A$804,A162,'成交明细'!$C$5:$C$804,"卖")-SUMIFS('成交明细'!$F$5:$F$804,'成交明细'!$A$5:$A$804,A162,'成交明细'!$C$5:$C$804,"买")-Y162)</f>
        <v/>
      </c>
      <c r="AA162" s="53" t="str">
        <f>IF(AND(X162="已平仓",ISNUMBER(N162)),(Z162+Y162)/N162,"")</f>
        <v/>
      </c>
      <c r="AB162" s="53" t="str">
        <f>IF(AND(X162="已平仓",ISNUMBER(N162)),Z162/N162,"")</f>
        <v/>
      </c>
      <c r="AC162" s="54" t="str">
        <f>IF(AND(ISNUMBER(U162),ISNUMBER(H162)),U162-H162,"")</f>
        <v/>
      </c>
      <c r="AD162" s="27" t="n"/>
      <c r="AE162" s="27" t="n"/>
      <c r="AF162" s="32" t="n"/>
      <c r="AG162" s="53" t="str">
        <f>IF(A162="","",SUM(AB$5:AB162))</f>
        <v/>
      </c>
      <c r="AH162" s="55" t="str">
        <f>IF(A162="","",MAX(0,MAX(AG$5:AG162))-AG162)</f>
        <v/>
      </c>
    </row>
    <row r="163">
      <c r="A163" s="46" t="n"/>
      <c r="B163" s="31" t="n"/>
      <c r="C163" s="32" t="n"/>
      <c r="D163" s="27" t="n"/>
      <c r="E163" s="47" t="str">
        <f>IF(D163="","",IFERROR(VLOOKUP(D163,'参数'!$B$21:$C$26,2,FALSE),""))</f>
        <v/>
      </c>
      <c r="F163" s="27" t="n"/>
      <c r="G163" s="43" t="str">
        <f>IF(NOT(ISNUMBER(B163)),"",IFERROR(IF(B163-INDEX('每日复盘'!$A$5:$A$264,MATCH(B163-1,'每日复盘'!$A$5:$A$264,1))&gt;7,"",T(INDEX('每日复盘'!$AA$5:$AA$264,MATCH(B163-1,'每日复盘'!$A$5:$A$264,1)))),""))</f>
        <v/>
      </c>
      <c r="H163" s="48" t="n"/>
      <c r="I163" s="48" t="n"/>
      <c r="J163" s="48" t="n"/>
      <c r="K163" s="49" t="str">
        <f>IF(AND(ISNUMBER(H163),ISNUMBER(I163),ISNUMBER(J163)),IF(H163&gt;I163,(J163-H163)/(H163-I163),""),"")</f>
        <v/>
      </c>
      <c r="L163" s="44" t="str">
        <f>IF(AND(ISNUMBER(H163),ISNUMBER(I163)),IF(H163&gt;I163,MIN(INT(ROUND('参数'!$C$7/(H163-I163)/100,6))*100,IF(ISNUMBER(E163),IF(H163-ROUND(ROUND(I163*(1-E163),4),2)&gt;0,INT(ROUND('参数'!$C$8/(H163-ROUND(ROUND(I163*(1-E163),4),2))/100,6))*100,0),INT(ROUND('参数'!$C$7/(H163-I163)/100,6))*100)),""),"")</f>
        <v/>
      </c>
      <c r="M163" s="17" t="n"/>
      <c r="N163" s="20" t="str">
        <f>IF(AND(ISNUMBER(H163),ISNUMBER(I163),ISNUMBER(M163)),IF(AND(H163&gt;I163,M163&gt;0),(H163-I163)*M163,""),"")</f>
        <v/>
      </c>
      <c r="O163" s="20" t="str">
        <f>IF(ISNUMBER(N163),IF(ISNUMBER(E163),(H163-ROUND(ROUND(I163*(1-E163),4),2))*M163,"不设限"),"")</f>
        <v/>
      </c>
      <c r="P163" s="32" t="n"/>
      <c r="Q163" s="27" t="n"/>
      <c r="R163" s="42" t="str">
        <f>IF(N(T163)&gt;0,SUMPRODUCT(LARGE(('成交明细'!$A$5:$A$804=A163)*('成交明细'!$C$5:$C$804="买")*'成交明细'!$B$5:$B$804,COUNTIFS('成交明细'!$A$5:$A$804,A163,'成交明细'!$C$5:$C$804,"买"))),"")</f>
        <v/>
      </c>
      <c r="S163" s="42" t="str">
        <f>IF(AND(N(T163)&gt;0,N(V163)&gt;=N(T163)),SUMPRODUCT(MAX(('成交明细'!$A$5:$A$804=A163)*('成交明细'!$C$5:$C$804="卖")*'成交明细'!$B$5:$B$804)),"")</f>
        <v/>
      </c>
      <c r="T163" s="44" t="str">
        <f>IF(A163="","",SUMIFS('成交明细'!$E$5:$E$804,'成交明细'!$A$5:$A$804,A163,'成交明细'!$C$5:$C$804,"买"))</f>
        <v/>
      </c>
      <c r="U163" s="50" t="str">
        <f>IF(N(T163)&gt;0,SUMIFS('成交明细'!$F$5:$F$804,'成交明细'!$A$5:$A$804,A163,'成交明细'!$C$5:$C$804,"买")/T163,"")</f>
        <v/>
      </c>
      <c r="V163" s="44" t="str">
        <f>IF(A163="","",SUMIFS('成交明细'!$E$5:$E$804,'成交明细'!$A$5:$A$804,A163,'成交明细'!$C$5:$C$804,"卖"))</f>
        <v/>
      </c>
      <c r="W163" s="50" t="str">
        <f>IF(N(V163)&gt;0,SUMIFS('成交明细'!$F$5:$F$804,'成交明细'!$A$5:$A$804,A163,'成交明细'!$C$5:$C$804,"卖")/V163,"")</f>
        <v/>
      </c>
      <c r="X163" s="36" t="str">
        <f>IF(A163="","",IF(Q163&lt;&gt;"已执行",IF(Q163="","未填执行情况",Q163),IF(N(T163)=0,"待录成交",IF(N(V163)&gt;N(T163),"卖出多于买入",IF(N(V163)&lt;N(T163),"持仓中","已平仓")))))</f>
        <v/>
      </c>
      <c r="Y163" s="51" t="str">
        <f>IF(N(T163)=0,"",SUMIFS('成交明细'!$K$5:$K$804,'成交明细'!$A$5:$A$804,A163))</f>
        <v/>
      </c>
      <c r="Z163" s="52" t="str">
        <f>IF(X163&lt;&gt;"已平仓","",SUMIFS('成交明细'!$F$5:$F$804,'成交明细'!$A$5:$A$804,A163,'成交明细'!$C$5:$C$804,"卖")-SUMIFS('成交明细'!$F$5:$F$804,'成交明细'!$A$5:$A$804,A163,'成交明细'!$C$5:$C$804,"买")-Y163)</f>
        <v/>
      </c>
      <c r="AA163" s="53" t="str">
        <f>IF(AND(X163="已平仓",ISNUMBER(N163)),(Z163+Y163)/N163,"")</f>
        <v/>
      </c>
      <c r="AB163" s="53" t="str">
        <f>IF(AND(X163="已平仓",ISNUMBER(N163)),Z163/N163,"")</f>
        <v/>
      </c>
      <c r="AC163" s="54" t="str">
        <f>IF(AND(ISNUMBER(U163),ISNUMBER(H163)),U163-H163,"")</f>
        <v/>
      </c>
      <c r="AD163" s="27" t="n"/>
      <c r="AE163" s="27" t="n"/>
      <c r="AF163" s="32" t="n"/>
      <c r="AG163" s="53" t="str">
        <f>IF(A163="","",SUM(AB$5:AB163))</f>
        <v/>
      </c>
      <c r="AH163" s="55" t="str">
        <f>IF(A163="","",MAX(0,MAX(AG$5:AG163))-AG163)</f>
        <v/>
      </c>
    </row>
    <row r="164">
      <c r="A164" s="46" t="n"/>
      <c r="B164" s="31" t="n"/>
      <c r="C164" s="32" t="n"/>
      <c r="D164" s="27" t="n"/>
      <c r="E164" s="47" t="str">
        <f>IF(D164="","",IFERROR(VLOOKUP(D164,'参数'!$B$21:$C$26,2,FALSE),""))</f>
        <v/>
      </c>
      <c r="F164" s="27" t="n"/>
      <c r="G164" s="43" t="str">
        <f>IF(NOT(ISNUMBER(B164)),"",IFERROR(IF(B164-INDEX('每日复盘'!$A$5:$A$264,MATCH(B164-1,'每日复盘'!$A$5:$A$264,1))&gt;7,"",T(INDEX('每日复盘'!$AA$5:$AA$264,MATCH(B164-1,'每日复盘'!$A$5:$A$264,1)))),""))</f>
        <v/>
      </c>
      <c r="H164" s="48" t="n"/>
      <c r="I164" s="48" t="n"/>
      <c r="J164" s="48" t="n"/>
      <c r="K164" s="49" t="str">
        <f>IF(AND(ISNUMBER(H164),ISNUMBER(I164),ISNUMBER(J164)),IF(H164&gt;I164,(J164-H164)/(H164-I164),""),"")</f>
        <v/>
      </c>
      <c r="L164" s="44" t="str">
        <f>IF(AND(ISNUMBER(H164),ISNUMBER(I164)),IF(H164&gt;I164,MIN(INT(ROUND('参数'!$C$7/(H164-I164)/100,6))*100,IF(ISNUMBER(E164),IF(H164-ROUND(ROUND(I164*(1-E164),4),2)&gt;0,INT(ROUND('参数'!$C$8/(H164-ROUND(ROUND(I164*(1-E164),4),2))/100,6))*100,0),INT(ROUND('参数'!$C$7/(H164-I164)/100,6))*100)),""),"")</f>
        <v/>
      </c>
      <c r="M164" s="17" t="n"/>
      <c r="N164" s="20" t="str">
        <f>IF(AND(ISNUMBER(H164),ISNUMBER(I164),ISNUMBER(M164)),IF(AND(H164&gt;I164,M164&gt;0),(H164-I164)*M164,""),"")</f>
        <v/>
      </c>
      <c r="O164" s="20" t="str">
        <f>IF(ISNUMBER(N164),IF(ISNUMBER(E164),(H164-ROUND(ROUND(I164*(1-E164),4),2))*M164,"不设限"),"")</f>
        <v/>
      </c>
      <c r="P164" s="32" t="n"/>
      <c r="Q164" s="27" t="n"/>
      <c r="R164" s="42" t="str">
        <f>IF(N(T164)&gt;0,SUMPRODUCT(LARGE(('成交明细'!$A$5:$A$804=A164)*('成交明细'!$C$5:$C$804="买")*'成交明细'!$B$5:$B$804,COUNTIFS('成交明细'!$A$5:$A$804,A164,'成交明细'!$C$5:$C$804,"买"))),"")</f>
        <v/>
      </c>
      <c r="S164" s="42" t="str">
        <f>IF(AND(N(T164)&gt;0,N(V164)&gt;=N(T164)),SUMPRODUCT(MAX(('成交明细'!$A$5:$A$804=A164)*('成交明细'!$C$5:$C$804="卖")*'成交明细'!$B$5:$B$804)),"")</f>
        <v/>
      </c>
      <c r="T164" s="44" t="str">
        <f>IF(A164="","",SUMIFS('成交明细'!$E$5:$E$804,'成交明细'!$A$5:$A$804,A164,'成交明细'!$C$5:$C$804,"买"))</f>
        <v/>
      </c>
      <c r="U164" s="50" t="str">
        <f>IF(N(T164)&gt;0,SUMIFS('成交明细'!$F$5:$F$804,'成交明细'!$A$5:$A$804,A164,'成交明细'!$C$5:$C$804,"买")/T164,"")</f>
        <v/>
      </c>
      <c r="V164" s="44" t="str">
        <f>IF(A164="","",SUMIFS('成交明细'!$E$5:$E$804,'成交明细'!$A$5:$A$804,A164,'成交明细'!$C$5:$C$804,"卖"))</f>
        <v/>
      </c>
      <c r="W164" s="50" t="str">
        <f>IF(N(V164)&gt;0,SUMIFS('成交明细'!$F$5:$F$804,'成交明细'!$A$5:$A$804,A164,'成交明细'!$C$5:$C$804,"卖")/V164,"")</f>
        <v/>
      </c>
      <c r="X164" s="36" t="str">
        <f>IF(A164="","",IF(Q164&lt;&gt;"已执行",IF(Q164="","未填执行情况",Q164),IF(N(T164)=0,"待录成交",IF(N(V164)&gt;N(T164),"卖出多于买入",IF(N(V164)&lt;N(T164),"持仓中","已平仓")))))</f>
        <v/>
      </c>
      <c r="Y164" s="51" t="str">
        <f>IF(N(T164)=0,"",SUMIFS('成交明细'!$K$5:$K$804,'成交明细'!$A$5:$A$804,A164))</f>
        <v/>
      </c>
      <c r="Z164" s="52" t="str">
        <f>IF(X164&lt;&gt;"已平仓","",SUMIFS('成交明细'!$F$5:$F$804,'成交明细'!$A$5:$A$804,A164,'成交明细'!$C$5:$C$804,"卖")-SUMIFS('成交明细'!$F$5:$F$804,'成交明细'!$A$5:$A$804,A164,'成交明细'!$C$5:$C$804,"买")-Y164)</f>
        <v/>
      </c>
      <c r="AA164" s="53" t="str">
        <f>IF(AND(X164="已平仓",ISNUMBER(N164)),(Z164+Y164)/N164,"")</f>
        <v/>
      </c>
      <c r="AB164" s="53" t="str">
        <f>IF(AND(X164="已平仓",ISNUMBER(N164)),Z164/N164,"")</f>
        <v/>
      </c>
      <c r="AC164" s="54" t="str">
        <f>IF(AND(ISNUMBER(U164),ISNUMBER(H164)),U164-H164,"")</f>
        <v/>
      </c>
      <c r="AD164" s="27" t="n"/>
      <c r="AE164" s="27" t="n"/>
      <c r="AF164" s="32" t="n"/>
      <c r="AG164" s="53" t="str">
        <f>IF(A164="","",SUM(AB$5:AB164))</f>
        <v/>
      </c>
      <c r="AH164" s="55" t="str">
        <f>IF(A164="","",MAX(0,MAX(AG$5:AG164))-AG164)</f>
        <v/>
      </c>
    </row>
    <row r="165">
      <c r="A165" s="46" t="n"/>
      <c r="B165" s="31" t="n"/>
      <c r="C165" s="32" t="n"/>
      <c r="D165" s="27" t="n"/>
      <c r="E165" s="47" t="str">
        <f>IF(D165="","",IFERROR(VLOOKUP(D165,'参数'!$B$21:$C$26,2,FALSE),""))</f>
        <v/>
      </c>
      <c r="F165" s="27" t="n"/>
      <c r="G165" s="43" t="str">
        <f>IF(NOT(ISNUMBER(B165)),"",IFERROR(IF(B165-INDEX('每日复盘'!$A$5:$A$264,MATCH(B165-1,'每日复盘'!$A$5:$A$264,1))&gt;7,"",T(INDEX('每日复盘'!$AA$5:$AA$264,MATCH(B165-1,'每日复盘'!$A$5:$A$264,1)))),""))</f>
        <v/>
      </c>
      <c r="H165" s="48" t="n"/>
      <c r="I165" s="48" t="n"/>
      <c r="J165" s="48" t="n"/>
      <c r="K165" s="49" t="str">
        <f>IF(AND(ISNUMBER(H165),ISNUMBER(I165),ISNUMBER(J165)),IF(H165&gt;I165,(J165-H165)/(H165-I165),""),"")</f>
        <v/>
      </c>
      <c r="L165" s="44" t="str">
        <f>IF(AND(ISNUMBER(H165),ISNUMBER(I165)),IF(H165&gt;I165,MIN(INT(ROUND('参数'!$C$7/(H165-I165)/100,6))*100,IF(ISNUMBER(E165),IF(H165-ROUND(ROUND(I165*(1-E165),4),2)&gt;0,INT(ROUND('参数'!$C$8/(H165-ROUND(ROUND(I165*(1-E165),4),2))/100,6))*100,0),INT(ROUND('参数'!$C$7/(H165-I165)/100,6))*100)),""),"")</f>
        <v/>
      </c>
      <c r="M165" s="17" t="n"/>
      <c r="N165" s="20" t="str">
        <f>IF(AND(ISNUMBER(H165),ISNUMBER(I165),ISNUMBER(M165)),IF(AND(H165&gt;I165,M165&gt;0),(H165-I165)*M165,""),"")</f>
        <v/>
      </c>
      <c r="O165" s="20" t="str">
        <f>IF(ISNUMBER(N165),IF(ISNUMBER(E165),(H165-ROUND(ROUND(I165*(1-E165),4),2))*M165,"不设限"),"")</f>
        <v/>
      </c>
      <c r="P165" s="32" t="n"/>
      <c r="Q165" s="27" t="n"/>
      <c r="R165" s="42" t="str">
        <f>IF(N(T165)&gt;0,SUMPRODUCT(LARGE(('成交明细'!$A$5:$A$804=A165)*('成交明细'!$C$5:$C$804="买")*'成交明细'!$B$5:$B$804,COUNTIFS('成交明细'!$A$5:$A$804,A165,'成交明细'!$C$5:$C$804,"买"))),"")</f>
        <v/>
      </c>
      <c r="S165" s="42" t="str">
        <f>IF(AND(N(T165)&gt;0,N(V165)&gt;=N(T165)),SUMPRODUCT(MAX(('成交明细'!$A$5:$A$804=A165)*('成交明细'!$C$5:$C$804="卖")*'成交明细'!$B$5:$B$804)),"")</f>
        <v/>
      </c>
      <c r="T165" s="44" t="str">
        <f>IF(A165="","",SUMIFS('成交明细'!$E$5:$E$804,'成交明细'!$A$5:$A$804,A165,'成交明细'!$C$5:$C$804,"买"))</f>
        <v/>
      </c>
      <c r="U165" s="50" t="str">
        <f>IF(N(T165)&gt;0,SUMIFS('成交明细'!$F$5:$F$804,'成交明细'!$A$5:$A$804,A165,'成交明细'!$C$5:$C$804,"买")/T165,"")</f>
        <v/>
      </c>
      <c r="V165" s="44" t="str">
        <f>IF(A165="","",SUMIFS('成交明细'!$E$5:$E$804,'成交明细'!$A$5:$A$804,A165,'成交明细'!$C$5:$C$804,"卖"))</f>
        <v/>
      </c>
      <c r="W165" s="50" t="str">
        <f>IF(N(V165)&gt;0,SUMIFS('成交明细'!$F$5:$F$804,'成交明细'!$A$5:$A$804,A165,'成交明细'!$C$5:$C$804,"卖")/V165,"")</f>
        <v/>
      </c>
      <c r="X165" s="36" t="str">
        <f>IF(A165="","",IF(Q165&lt;&gt;"已执行",IF(Q165="","未填执行情况",Q165),IF(N(T165)=0,"待录成交",IF(N(V165)&gt;N(T165),"卖出多于买入",IF(N(V165)&lt;N(T165),"持仓中","已平仓")))))</f>
        <v/>
      </c>
      <c r="Y165" s="51" t="str">
        <f>IF(N(T165)=0,"",SUMIFS('成交明细'!$K$5:$K$804,'成交明细'!$A$5:$A$804,A165))</f>
        <v/>
      </c>
      <c r="Z165" s="52" t="str">
        <f>IF(X165&lt;&gt;"已平仓","",SUMIFS('成交明细'!$F$5:$F$804,'成交明细'!$A$5:$A$804,A165,'成交明细'!$C$5:$C$804,"卖")-SUMIFS('成交明细'!$F$5:$F$804,'成交明细'!$A$5:$A$804,A165,'成交明细'!$C$5:$C$804,"买")-Y165)</f>
        <v/>
      </c>
      <c r="AA165" s="53" t="str">
        <f>IF(AND(X165="已平仓",ISNUMBER(N165)),(Z165+Y165)/N165,"")</f>
        <v/>
      </c>
      <c r="AB165" s="53" t="str">
        <f>IF(AND(X165="已平仓",ISNUMBER(N165)),Z165/N165,"")</f>
        <v/>
      </c>
      <c r="AC165" s="54" t="str">
        <f>IF(AND(ISNUMBER(U165),ISNUMBER(H165)),U165-H165,"")</f>
        <v/>
      </c>
      <c r="AD165" s="27" t="n"/>
      <c r="AE165" s="27" t="n"/>
      <c r="AF165" s="32" t="n"/>
      <c r="AG165" s="53" t="str">
        <f>IF(A165="","",SUM(AB$5:AB165))</f>
        <v/>
      </c>
      <c r="AH165" s="55" t="str">
        <f>IF(A165="","",MAX(0,MAX(AG$5:AG165))-AG165)</f>
        <v/>
      </c>
    </row>
    <row r="166">
      <c r="A166" s="46" t="n"/>
      <c r="B166" s="31" t="n"/>
      <c r="C166" s="32" t="n"/>
      <c r="D166" s="27" t="n"/>
      <c r="E166" s="47" t="str">
        <f>IF(D166="","",IFERROR(VLOOKUP(D166,'参数'!$B$21:$C$26,2,FALSE),""))</f>
        <v/>
      </c>
      <c r="F166" s="27" t="n"/>
      <c r="G166" s="43" t="str">
        <f>IF(NOT(ISNUMBER(B166)),"",IFERROR(IF(B166-INDEX('每日复盘'!$A$5:$A$264,MATCH(B166-1,'每日复盘'!$A$5:$A$264,1))&gt;7,"",T(INDEX('每日复盘'!$AA$5:$AA$264,MATCH(B166-1,'每日复盘'!$A$5:$A$264,1)))),""))</f>
        <v/>
      </c>
      <c r="H166" s="48" t="n"/>
      <c r="I166" s="48" t="n"/>
      <c r="J166" s="48" t="n"/>
      <c r="K166" s="49" t="str">
        <f>IF(AND(ISNUMBER(H166),ISNUMBER(I166),ISNUMBER(J166)),IF(H166&gt;I166,(J166-H166)/(H166-I166),""),"")</f>
        <v/>
      </c>
      <c r="L166" s="44" t="str">
        <f>IF(AND(ISNUMBER(H166),ISNUMBER(I166)),IF(H166&gt;I166,MIN(INT(ROUND('参数'!$C$7/(H166-I166)/100,6))*100,IF(ISNUMBER(E166),IF(H166-ROUND(ROUND(I166*(1-E166),4),2)&gt;0,INT(ROUND('参数'!$C$8/(H166-ROUND(ROUND(I166*(1-E166),4),2))/100,6))*100,0),INT(ROUND('参数'!$C$7/(H166-I166)/100,6))*100)),""),"")</f>
        <v/>
      </c>
      <c r="M166" s="17" t="n"/>
      <c r="N166" s="20" t="str">
        <f>IF(AND(ISNUMBER(H166),ISNUMBER(I166),ISNUMBER(M166)),IF(AND(H166&gt;I166,M166&gt;0),(H166-I166)*M166,""),"")</f>
        <v/>
      </c>
      <c r="O166" s="20" t="str">
        <f>IF(ISNUMBER(N166),IF(ISNUMBER(E166),(H166-ROUND(ROUND(I166*(1-E166),4),2))*M166,"不设限"),"")</f>
        <v/>
      </c>
      <c r="P166" s="32" t="n"/>
      <c r="Q166" s="27" t="n"/>
      <c r="R166" s="42" t="str">
        <f>IF(N(T166)&gt;0,SUMPRODUCT(LARGE(('成交明细'!$A$5:$A$804=A166)*('成交明细'!$C$5:$C$804="买")*'成交明细'!$B$5:$B$804,COUNTIFS('成交明细'!$A$5:$A$804,A166,'成交明细'!$C$5:$C$804,"买"))),"")</f>
        <v/>
      </c>
      <c r="S166" s="42" t="str">
        <f>IF(AND(N(T166)&gt;0,N(V166)&gt;=N(T166)),SUMPRODUCT(MAX(('成交明细'!$A$5:$A$804=A166)*('成交明细'!$C$5:$C$804="卖")*'成交明细'!$B$5:$B$804)),"")</f>
        <v/>
      </c>
      <c r="T166" s="44" t="str">
        <f>IF(A166="","",SUMIFS('成交明细'!$E$5:$E$804,'成交明细'!$A$5:$A$804,A166,'成交明细'!$C$5:$C$804,"买"))</f>
        <v/>
      </c>
      <c r="U166" s="50" t="str">
        <f>IF(N(T166)&gt;0,SUMIFS('成交明细'!$F$5:$F$804,'成交明细'!$A$5:$A$804,A166,'成交明细'!$C$5:$C$804,"买")/T166,"")</f>
        <v/>
      </c>
      <c r="V166" s="44" t="str">
        <f>IF(A166="","",SUMIFS('成交明细'!$E$5:$E$804,'成交明细'!$A$5:$A$804,A166,'成交明细'!$C$5:$C$804,"卖"))</f>
        <v/>
      </c>
      <c r="W166" s="50" t="str">
        <f>IF(N(V166)&gt;0,SUMIFS('成交明细'!$F$5:$F$804,'成交明细'!$A$5:$A$804,A166,'成交明细'!$C$5:$C$804,"卖")/V166,"")</f>
        <v/>
      </c>
      <c r="X166" s="36" t="str">
        <f>IF(A166="","",IF(Q166&lt;&gt;"已执行",IF(Q166="","未填执行情况",Q166),IF(N(T166)=0,"待录成交",IF(N(V166)&gt;N(T166),"卖出多于买入",IF(N(V166)&lt;N(T166),"持仓中","已平仓")))))</f>
        <v/>
      </c>
      <c r="Y166" s="51" t="str">
        <f>IF(N(T166)=0,"",SUMIFS('成交明细'!$K$5:$K$804,'成交明细'!$A$5:$A$804,A166))</f>
        <v/>
      </c>
      <c r="Z166" s="52" t="str">
        <f>IF(X166&lt;&gt;"已平仓","",SUMIFS('成交明细'!$F$5:$F$804,'成交明细'!$A$5:$A$804,A166,'成交明细'!$C$5:$C$804,"卖")-SUMIFS('成交明细'!$F$5:$F$804,'成交明细'!$A$5:$A$804,A166,'成交明细'!$C$5:$C$804,"买")-Y166)</f>
        <v/>
      </c>
      <c r="AA166" s="53" t="str">
        <f>IF(AND(X166="已平仓",ISNUMBER(N166)),(Z166+Y166)/N166,"")</f>
        <v/>
      </c>
      <c r="AB166" s="53" t="str">
        <f>IF(AND(X166="已平仓",ISNUMBER(N166)),Z166/N166,"")</f>
        <v/>
      </c>
      <c r="AC166" s="54" t="str">
        <f>IF(AND(ISNUMBER(U166),ISNUMBER(H166)),U166-H166,"")</f>
        <v/>
      </c>
      <c r="AD166" s="27" t="n"/>
      <c r="AE166" s="27" t="n"/>
      <c r="AF166" s="32" t="n"/>
      <c r="AG166" s="53" t="str">
        <f>IF(A166="","",SUM(AB$5:AB166))</f>
        <v/>
      </c>
      <c r="AH166" s="55" t="str">
        <f>IF(A166="","",MAX(0,MAX(AG$5:AG166))-AG166)</f>
        <v/>
      </c>
    </row>
    <row r="167">
      <c r="A167" s="46" t="n"/>
      <c r="B167" s="31" t="n"/>
      <c r="C167" s="32" t="n"/>
      <c r="D167" s="27" t="n"/>
      <c r="E167" s="47" t="str">
        <f>IF(D167="","",IFERROR(VLOOKUP(D167,'参数'!$B$21:$C$26,2,FALSE),""))</f>
        <v/>
      </c>
      <c r="F167" s="27" t="n"/>
      <c r="G167" s="43" t="str">
        <f>IF(NOT(ISNUMBER(B167)),"",IFERROR(IF(B167-INDEX('每日复盘'!$A$5:$A$264,MATCH(B167-1,'每日复盘'!$A$5:$A$264,1))&gt;7,"",T(INDEX('每日复盘'!$AA$5:$AA$264,MATCH(B167-1,'每日复盘'!$A$5:$A$264,1)))),""))</f>
        <v/>
      </c>
      <c r="H167" s="48" t="n"/>
      <c r="I167" s="48" t="n"/>
      <c r="J167" s="48" t="n"/>
      <c r="K167" s="49" t="str">
        <f>IF(AND(ISNUMBER(H167),ISNUMBER(I167),ISNUMBER(J167)),IF(H167&gt;I167,(J167-H167)/(H167-I167),""),"")</f>
        <v/>
      </c>
      <c r="L167" s="44" t="str">
        <f>IF(AND(ISNUMBER(H167),ISNUMBER(I167)),IF(H167&gt;I167,MIN(INT(ROUND('参数'!$C$7/(H167-I167)/100,6))*100,IF(ISNUMBER(E167),IF(H167-ROUND(ROUND(I167*(1-E167),4),2)&gt;0,INT(ROUND('参数'!$C$8/(H167-ROUND(ROUND(I167*(1-E167),4),2))/100,6))*100,0),INT(ROUND('参数'!$C$7/(H167-I167)/100,6))*100)),""),"")</f>
        <v/>
      </c>
      <c r="M167" s="17" t="n"/>
      <c r="N167" s="20" t="str">
        <f>IF(AND(ISNUMBER(H167),ISNUMBER(I167),ISNUMBER(M167)),IF(AND(H167&gt;I167,M167&gt;0),(H167-I167)*M167,""),"")</f>
        <v/>
      </c>
      <c r="O167" s="20" t="str">
        <f>IF(ISNUMBER(N167),IF(ISNUMBER(E167),(H167-ROUND(ROUND(I167*(1-E167),4),2))*M167,"不设限"),"")</f>
        <v/>
      </c>
      <c r="P167" s="32" t="n"/>
      <c r="Q167" s="27" t="n"/>
      <c r="R167" s="42" t="str">
        <f>IF(N(T167)&gt;0,SUMPRODUCT(LARGE(('成交明细'!$A$5:$A$804=A167)*('成交明细'!$C$5:$C$804="买")*'成交明细'!$B$5:$B$804,COUNTIFS('成交明细'!$A$5:$A$804,A167,'成交明细'!$C$5:$C$804,"买"))),"")</f>
        <v/>
      </c>
      <c r="S167" s="42" t="str">
        <f>IF(AND(N(T167)&gt;0,N(V167)&gt;=N(T167)),SUMPRODUCT(MAX(('成交明细'!$A$5:$A$804=A167)*('成交明细'!$C$5:$C$804="卖")*'成交明细'!$B$5:$B$804)),"")</f>
        <v/>
      </c>
      <c r="T167" s="44" t="str">
        <f>IF(A167="","",SUMIFS('成交明细'!$E$5:$E$804,'成交明细'!$A$5:$A$804,A167,'成交明细'!$C$5:$C$804,"买"))</f>
        <v/>
      </c>
      <c r="U167" s="50" t="str">
        <f>IF(N(T167)&gt;0,SUMIFS('成交明细'!$F$5:$F$804,'成交明细'!$A$5:$A$804,A167,'成交明细'!$C$5:$C$804,"买")/T167,"")</f>
        <v/>
      </c>
      <c r="V167" s="44" t="str">
        <f>IF(A167="","",SUMIFS('成交明细'!$E$5:$E$804,'成交明细'!$A$5:$A$804,A167,'成交明细'!$C$5:$C$804,"卖"))</f>
        <v/>
      </c>
      <c r="W167" s="50" t="str">
        <f>IF(N(V167)&gt;0,SUMIFS('成交明细'!$F$5:$F$804,'成交明细'!$A$5:$A$804,A167,'成交明细'!$C$5:$C$804,"卖")/V167,"")</f>
        <v/>
      </c>
      <c r="X167" s="36" t="str">
        <f>IF(A167="","",IF(Q167&lt;&gt;"已执行",IF(Q167="","未填执行情况",Q167),IF(N(T167)=0,"待录成交",IF(N(V167)&gt;N(T167),"卖出多于买入",IF(N(V167)&lt;N(T167),"持仓中","已平仓")))))</f>
        <v/>
      </c>
      <c r="Y167" s="51" t="str">
        <f>IF(N(T167)=0,"",SUMIFS('成交明细'!$K$5:$K$804,'成交明细'!$A$5:$A$804,A167))</f>
        <v/>
      </c>
      <c r="Z167" s="52" t="str">
        <f>IF(X167&lt;&gt;"已平仓","",SUMIFS('成交明细'!$F$5:$F$804,'成交明细'!$A$5:$A$804,A167,'成交明细'!$C$5:$C$804,"卖")-SUMIFS('成交明细'!$F$5:$F$804,'成交明细'!$A$5:$A$804,A167,'成交明细'!$C$5:$C$804,"买")-Y167)</f>
        <v/>
      </c>
      <c r="AA167" s="53" t="str">
        <f>IF(AND(X167="已平仓",ISNUMBER(N167)),(Z167+Y167)/N167,"")</f>
        <v/>
      </c>
      <c r="AB167" s="53" t="str">
        <f>IF(AND(X167="已平仓",ISNUMBER(N167)),Z167/N167,"")</f>
        <v/>
      </c>
      <c r="AC167" s="54" t="str">
        <f>IF(AND(ISNUMBER(U167),ISNUMBER(H167)),U167-H167,"")</f>
        <v/>
      </c>
      <c r="AD167" s="27" t="n"/>
      <c r="AE167" s="27" t="n"/>
      <c r="AF167" s="32" t="n"/>
      <c r="AG167" s="53" t="str">
        <f>IF(A167="","",SUM(AB$5:AB167))</f>
        <v/>
      </c>
      <c r="AH167" s="55" t="str">
        <f>IF(A167="","",MAX(0,MAX(AG$5:AG167))-AG167)</f>
        <v/>
      </c>
    </row>
    <row r="168">
      <c r="A168" s="46" t="n"/>
      <c r="B168" s="31" t="n"/>
      <c r="C168" s="32" t="n"/>
      <c r="D168" s="27" t="n"/>
      <c r="E168" s="47" t="str">
        <f>IF(D168="","",IFERROR(VLOOKUP(D168,'参数'!$B$21:$C$26,2,FALSE),""))</f>
        <v/>
      </c>
      <c r="F168" s="27" t="n"/>
      <c r="G168" s="43" t="str">
        <f>IF(NOT(ISNUMBER(B168)),"",IFERROR(IF(B168-INDEX('每日复盘'!$A$5:$A$264,MATCH(B168-1,'每日复盘'!$A$5:$A$264,1))&gt;7,"",T(INDEX('每日复盘'!$AA$5:$AA$264,MATCH(B168-1,'每日复盘'!$A$5:$A$264,1)))),""))</f>
        <v/>
      </c>
      <c r="H168" s="48" t="n"/>
      <c r="I168" s="48" t="n"/>
      <c r="J168" s="48" t="n"/>
      <c r="K168" s="49" t="str">
        <f>IF(AND(ISNUMBER(H168),ISNUMBER(I168),ISNUMBER(J168)),IF(H168&gt;I168,(J168-H168)/(H168-I168),""),"")</f>
        <v/>
      </c>
      <c r="L168" s="44" t="str">
        <f>IF(AND(ISNUMBER(H168),ISNUMBER(I168)),IF(H168&gt;I168,MIN(INT(ROUND('参数'!$C$7/(H168-I168)/100,6))*100,IF(ISNUMBER(E168),IF(H168-ROUND(ROUND(I168*(1-E168),4),2)&gt;0,INT(ROUND('参数'!$C$8/(H168-ROUND(ROUND(I168*(1-E168),4),2))/100,6))*100,0),INT(ROUND('参数'!$C$7/(H168-I168)/100,6))*100)),""),"")</f>
        <v/>
      </c>
      <c r="M168" s="17" t="n"/>
      <c r="N168" s="20" t="str">
        <f>IF(AND(ISNUMBER(H168),ISNUMBER(I168),ISNUMBER(M168)),IF(AND(H168&gt;I168,M168&gt;0),(H168-I168)*M168,""),"")</f>
        <v/>
      </c>
      <c r="O168" s="20" t="str">
        <f>IF(ISNUMBER(N168),IF(ISNUMBER(E168),(H168-ROUND(ROUND(I168*(1-E168),4),2))*M168,"不设限"),"")</f>
        <v/>
      </c>
      <c r="P168" s="32" t="n"/>
      <c r="Q168" s="27" t="n"/>
      <c r="R168" s="42" t="str">
        <f>IF(N(T168)&gt;0,SUMPRODUCT(LARGE(('成交明细'!$A$5:$A$804=A168)*('成交明细'!$C$5:$C$804="买")*'成交明细'!$B$5:$B$804,COUNTIFS('成交明细'!$A$5:$A$804,A168,'成交明细'!$C$5:$C$804,"买"))),"")</f>
        <v/>
      </c>
      <c r="S168" s="42" t="str">
        <f>IF(AND(N(T168)&gt;0,N(V168)&gt;=N(T168)),SUMPRODUCT(MAX(('成交明细'!$A$5:$A$804=A168)*('成交明细'!$C$5:$C$804="卖")*'成交明细'!$B$5:$B$804)),"")</f>
        <v/>
      </c>
      <c r="T168" s="44" t="str">
        <f>IF(A168="","",SUMIFS('成交明细'!$E$5:$E$804,'成交明细'!$A$5:$A$804,A168,'成交明细'!$C$5:$C$804,"买"))</f>
        <v/>
      </c>
      <c r="U168" s="50" t="str">
        <f>IF(N(T168)&gt;0,SUMIFS('成交明细'!$F$5:$F$804,'成交明细'!$A$5:$A$804,A168,'成交明细'!$C$5:$C$804,"买")/T168,"")</f>
        <v/>
      </c>
      <c r="V168" s="44" t="str">
        <f>IF(A168="","",SUMIFS('成交明细'!$E$5:$E$804,'成交明细'!$A$5:$A$804,A168,'成交明细'!$C$5:$C$804,"卖"))</f>
        <v/>
      </c>
      <c r="W168" s="50" t="str">
        <f>IF(N(V168)&gt;0,SUMIFS('成交明细'!$F$5:$F$804,'成交明细'!$A$5:$A$804,A168,'成交明细'!$C$5:$C$804,"卖")/V168,"")</f>
        <v/>
      </c>
      <c r="X168" s="36" t="str">
        <f>IF(A168="","",IF(Q168&lt;&gt;"已执行",IF(Q168="","未填执行情况",Q168),IF(N(T168)=0,"待录成交",IF(N(V168)&gt;N(T168),"卖出多于买入",IF(N(V168)&lt;N(T168),"持仓中","已平仓")))))</f>
        <v/>
      </c>
      <c r="Y168" s="51" t="str">
        <f>IF(N(T168)=0,"",SUMIFS('成交明细'!$K$5:$K$804,'成交明细'!$A$5:$A$804,A168))</f>
        <v/>
      </c>
      <c r="Z168" s="52" t="str">
        <f>IF(X168&lt;&gt;"已平仓","",SUMIFS('成交明细'!$F$5:$F$804,'成交明细'!$A$5:$A$804,A168,'成交明细'!$C$5:$C$804,"卖")-SUMIFS('成交明细'!$F$5:$F$804,'成交明细'!$A$5:$A$804,A168,'成交明细'!$C$5:$C$804,"买")-Y168)</f>
        <v/>
      </c>
      <c r="AA168" s="53" t="str">
        <f>IF(AND(X168="已平仓",ISNUMBER(N168)),(Z168+Y168)/N168,"")</f>
        <v/>
      </c>
      <c r="AB168" s="53" t="str">
        <f>IF(AND(X168="已平仓",ISNUMBER(N168)),Z168/N168,"")</f>
        <v/>
      </c>
      <c r="AC168" s="54" t="str">
        <f>IF(AND(ISNUMBER(U168),ISNUMBER(H168)),U168-H168,"")</f>
        <v/>
      </c>
      <c r="AD168" s="27" t="n"/>
      <c r="AE168" s="27" t="n"/>
      <c r="AF168" s="32" t="n"/>
      <c r="AG168" s="53" t="str">
        <f>IF(A168="","",SUM(AB$5:AB168))</f>
        <v/>
      </c>
      <c r="AH168" s="55" t="str">
        <f>IF(A168="","",MAX(0,MAX(AG$5:AG168))-AG168)</f>
        <v/>
      </c>
    </row>
    <row r="169">
      <c r="A169" s="46" t="n"/>
      <c r="B169" s="31" t="n"/>
      <c r="C169" s="32" t="n"/>
      <c r="D169" s="27" t="n"/>
      <c r="E169" s="47" t="str">
        <f>IF(D169="","",IFERROR(VLOOKUP(D169,'参数'!$B$21:$C$26,2,FALSE),""))</f>
        <v/>
      </c>
      <c r="F169" s="27" t="n"/>
      <c r="G169" s="43" t="str">
        <f>IF(NOT(ISNUMBER(B169)),"",IFERROR(IF(B169-INDEX('每日复盘'!$A$5:$A$264,MATCH(B169-1,'每日复盘'!$A$5:$A$264,1))&gt;7,"",T(INDEX('每日复盘'!$AA$5:$AA$264,MATCH(B169-1,'每日复盘'!$A$5:$A$264,1)))),""))</f>
        <v/>
      </c>
      <c r="H169" s="48" t="n"/>
      <c r="I169" s="48" t="n"/>
      <c r="J169" s="48" t="n"/>
      <c r="K169" s="49" t="str">
        <f>IF(AND(ISNUMBER(H169),ISNUMBER(I169),ISNUMBER(J169)),IF(H169&gt;I169,(J169-H169)/(H169-I169),""),"")</f>
        <v/>
      </c>
      <c r="L169" s="44" t="str">
        <f>IF(AND(ISNUMBER(H169),ISNUMBER(I169)),IF(H169&gt;I169,MIN(INT(ROUND('参数'!$C$7/(H169-I169)/100,6))*100,IF(ISNUMBER(E169),IF(H169-ROUND(ROUND(I169*(1-E169),4),2)&gt;0,INT(ROUND('参数'!$C$8/(H169-ROUND(ROUND(I169*(1-E169),4),2))/100,6))*100,0),INT(ROUND('参数'!$C$7/(H169-I169)/100,6))*100)),""),"")</f>
        <v/>
      </c>
      <c r="M169" s="17" t="n"/>
      <c r="N169" s="20" t="str">
        <f>IF(AND(ISNUMBER(H169),ISNUMBER(I169),ISNUMBER(M169)),IF(AND(H169&gt;I169,M169&gt;0),(H169-I169)*M169,""),"")</f>
        <v/>
      </c>
      <c r="O169" s="20" t="str">
        <f>IF(ISNUMBER(N169),IF(ISNUMBER(E169),(H169-ROUND(ROUND(I169*(1-E169),4),2))*M169,"不设限"),"")</f>
        <v/>
      </c>
      <c r="P169" s="32" t="n"/>
      <c r="Q169" s="27" t="n"/>
      <c r="R169" s="42" t="str">
        <f>IF(N(T169)&gt;0,SUMPRODUCT(LARGE(('成交明细'!$A$5:$A$804=A169)*('成交明细'!$C$5:$C$804="买")*'成交明细'!$B$5:$B$804,COUNTIFS('成交明细'!$A$5:$A$804,A169,'成交明细'!$C$5:$C$804,"买"))),"")</f>
        <v/>
      </c>
      <c r="S169" s="42" t="str">
        <f>IF(AND(N(T169)&gt;0,N(V169)&gt;=N(T169)),SUMPRODUCT(MAX(('成交明细'!$A$5:$A$804=A169)*('成交明细'!$C$5:$C$804="卖")*'成交明细'!$B$5:$B$804)),"")</f>
        <v/>
      </c>
      <c r="T169" s="44" t="str">
        <f>IF(A169="","",SUMIFS('成交明细'!$E$5:$E$804,'成交明细'!$A$5:$A$804,A169,'成交明细'!$C$5:$C$804,"买"))</f>
        <v/>
      </c>
      <c r="U169" s="50" t="str">
        <f>IF(N(T169)&gt;0,SUMIFS('成交明细'!$F$5:$F$804,'成交明细'!$A$5:$A$804,A169,'成交明细'!$C$5:$C$804,"买")/T169,"")</f>
        <v/>
      </c>
      <c r="V169" s="44" t="str">
        <f>IF(A169="","",SUMIFS('成交明细'!$E$5:$E$804,'成交明细'!$A$5:$A$804,A169,'成交明细'!$C$5:$C$804,"卖"))</f>
        <v/>
      </c>
      <c r="W169" s="50" t="str">
        <f>IF(N(V169)&gt;0,SUMIFS('成交明细'!$F$5:$F$804,'成交明细'!$A$5:$A$804,A169,'成交明细'!$C$5:$C$804,"卖")/V169,"")</f>
        <v/>
      </c>
      <c r="X169" s="36" t="str">
        <f>IF(A169="","",IF(Q169&lt;&gt;"已执行",IF(Q169="","未填执行情况",Q169),IF(N(T169)=0,"待录成交",IF(N(V169)&gt;N(T169),"卖出多于买入",IF(N(V169)&lt;N(T169),"持仓中","已平仓")))))</f>
        <v/>
      </c>
      <c r="Y169" s="51" t="str">
        <f>IF(N(T169)=0,"",SUMIFS('成交明细'!$K$5:$K$804,'成交明细'!$A$5:$A$804,A169))</f>
        <v/>
      </c>
      <c r="Z169" s="52" t="str">
        <f>IF(X169&lt;&gt;"已平仓","",SUMIFS('成交明细'!$F$5:$F$804,'成交明细'!$A$5:$A$804,A169,'成交明细'!$C$5:$C$804,"卖")-SUMIFS('成交明细'!$F$5:$F$804,'成交明细'!$A$5:$A$804,A169,'成交明细'!$C$5:$C$804,"买")-Y169)</f>
        <v/>
      </c>
      <c r="AA169" s="53" t="str">
        <f>IF(AND(X169="已平仓",ISNUMBER(N169)),(Z169+Y169)/N169,"")</f>
        <v/>
      </c>
      <c r="AB169" s="53" t="str">
        <f>IF(AND(X169="已平仓",ISNUMBER(N169)),Z169/N169,"")</f>
        <v/>
      </c>
      <c r="AC169" s="54" t="str">
        <f>IF(AND(ISNUMBER(U169),ISNUMBER(H169)),U169-H169,"")</f>
        <v/>
      </c>
      <c r="AD169" s="27" t="n"/>
      <c r="AE169" s="27" t="n"/>
      <c r="AF169" s="32" t="n"/>
      <c r="AG169" s="53" t="str">
        <f>IF(A169="","",SUM(AB$5:AB169))</f>
        <v/>
      </c>
      <c r="AH169" s="55" t="str">
        <f>IF(A169="","",MAX(0,MAX(AG$5:AG169))-AG169)</f>
        <v/>
      </c>
    </row>
    <row r="170">
      <c r="A170" s="46" t="n"/>
      <c r="B170" s="31" t="n"/>
      <c r="C170" s="32" t="n"/>
      <c r="D170" s="27" t="n"/>
      <c r="E170" s="47" t="str">
        <f>IF(D170="","",IFERROR(VLOOKUP(D170,'参数'!$B$21:$C$26,2,FALSE),""))</f>
        <v/>
      </c>
      <c r="F170" s="27" t="n"/>
      <c r="G170" s="43" t="str">
        <f>IF(NOT(ISNUMBER(B170)),"",IFERROR(IF(B170-INDEX('每日复盘'!$A$5:$A$264,MATCH(B170-1,'每日复盘'!$A$5:$A$264,1))&gt;7,"",T(INDEX('每日复盘'!$AA$5:$AA$264,MATCH(B170-1,'每日复盘'!$A$5:$A$264,1)))),""))</f>
        <v/>
      </c>
      <c r="H170" s="48" t="n"/>
      <c r="I170" s="48" t="n"/>
      <c r="J170" s="48" t="n"/>
      <c r="K170" s="49" t="str">
        <f>IF(AND(ISNUMBER(H170),ISNUMBER(I170),ISNUMBER(J170)),IF(H170&gt;I170,(J170-H170)/(H170-I170),""),"")</f>
        <v/>
      </c>
      <c r="L170" s="44" t="str">
        <f>IF(AND(ISNUMBER(H170),ISNUMBER(I170)),IF(H170&gt;I170,MIN(INT(ROUND('参数'!$C$7/(H170-I170)/100,6))*100,IF(ISNUMBER(E170),IF(H170-ROUND(ROUND(I170*(1-E170),4),2)&gt;0,INT(ROUND('参数'!$C$8/(H170-ROUND(ROUND(I170*(1-E170),4),2))/100,6))*100,0),INT(ROUND('参数'!$C$7/(H170-I170)/100,6))*100)),""),"")</f>
        <v/>
      </c>
      <c r="M170" s="17" t="n"/>
      <c r="N170" s="20" t="str">
        <f>IF(AND(ISNUMBER(H170),ISNUMBER(I170),ISNUMBER(M170)),IF(AND(H170&gt;I170,M170&gt;0),(H170-I170)*M170,""),"")</f>
        <v/>
      </c>
      <c r="O170" s="20" t="str">
        <f>IF(ISNUMBER(N170),IF(ISNUMBER(E170),(H170-ROUND(ROUND(I170*(1-E170),4),2))*M170,"不设限"),"")</f>
        <v/>
      </c>
      <c r="P170" s="32" t="n"/>
      <c r="Q170" s="27" t="n"/>
      <c r="R170" s="42" t="str">
        <f>IF(N(T170)&gt;0,SUMPRODUCT(LARGE(('成交明细'!$A$5:$A$804=A170)*('成交明细'!$C$5:$C$804="买")*'成交明细'!$B$5:$B$804,COUNTIFS('成交明细'!$A$5:$A$804,A170,'成交明细'!$C$5:$C$804,"买"))),"")</f>
        <v/>
      </c>
      <c r="S170" s="42" t="str">
        <f>IF(AND(N(T170)&gt;0,N(V170)&gt;=N(T170)),SUMPRODUCT(MAX(('成交明细'!$A$5:$A$804=A170)*('成交明细'!$C$5:$C$804="卖")*'成交明细'!$B$5:$B$804)),"")</f>
        <v/>
      </c>
      <c r="T170" s="44" t="str">
        <f>IF(A170="","",SUMIFS('成交明细'!$E$5:$E$804,'成交明细'!$A$5:$A$804,A170,'成交明细'!$C$5:$C$804,"买"))</f>
        <v/>
      </c>
      <c r="U170" s="50" t="str">
        <f>IF(N(T170)&gt;0,SUMIFS('成交明细'!$F$5:$F$804,'成交明细'!$A$5:$A$804,A170,'成交明细'!$C$5:$C$804,"买")/T170,"")</f>
        <v/>
      </c>
      <c r="V170" s="44" t="str">
        <f>IF(A170="","",SUMIFS('成交明细'!$E$5:$E$804,'成交明细'!$A$5:$A$804,A170,'成交明细'!$C$5:$C$804,"卖"))</f>
        <v/>
      </c>
      <c r="W170" s="50" t="str">
        <f>IF(N(V170)&gt;0,SUMIFS('成交明细'!$F$5:$F$804,'成交明细'!$A$5:$A$804,A170,'成交明细'!$C$5:$C$804,"卖")/V170,"")</f>
        <v/>
      </c>
      <c r="X170" s="36" t="str">
        <f>IF(A170="","",IF(Q170&lt;&gt;"已执行",IF(Q170="","未填执行情况",Q170),IF(N(T170)=0,"待录成交",IF(N(V170)&gt;N(T170),"卖出多于买入",IF(N(V170)&lt;N(T170),"持仓中","已平仓")))))</f>
        <v/>
      </c>
      <c r="Y170" s="51" t="str">
        <f>IF(N(T170)=0,"",SUMIFS('成交明细'!$K$5:$K$804,'成交明细'!$A$5:$A$804,A170))</f>
        <v/>
      </c>
      <c r="Z170" s="52" t="str">
        <f>IF(X170&lt;&gt;"已平仓","",SUMIFS('成交明细'!$F$5:$F$804,'成交明细'!$A$5:$A$804,A170,'成交明细'!$C$5:$C$804,"卖")-SUMIFS('成交明细'!$F$5:$F$804,'成交明细'!$A$5:$A$804,A170,'成交明细'!$C$5:$C$804,"买")-Y170)</f>
        <v/>
      </c>
      <c r="AA170" s="53" t="str">
        <f>IF(AND(X170="已平仓",ISNUMBER(N170)),(Z170+Y170)/N170,"")</f>
        <v/>
      </c>
      <c r="AB170" s="53" t="str">
        <f>IF(AND(X170="已平仓",ISNUMBER(N170)),Z170/N170,"")</f>
        <v/>
      </c>
      <c r="AC170" s="54" t="str">
        <f>IF(AND(ISNUMBER(U170),ISNUMBER(H170)),U170-H170,"")</f>
        <v/>
      </c>
      <c r="AD170" s="27" t="n"/>
      <c r="AE170" s="27" t="n"/>
      <c r="AF170" s="32" t="n"/>
      <c r="AG170" s="53" t="str">
        <f>IF(A170="","",SUM(AB$5:AB170))</f>
        <v/>
      </c>
      <c r="AH170" s="55" t="str">
        <f>IF(A170="","",MAX(0,MAX(AG$5:AG170))-AG170)</f>
        <v/>
      </c>
    </row>
    <row r="171">
      <c r="A171" s="46" t="n"/>
      <c r="B171" s="31" t="n"/>
      <c r="C171" s="32" t="n"/>
      <c r="D171" s="27" t="n"/>
      <c r="E171" s="47" t="str">
        <f>IF(D171="","",IFERROR(VLOOKUP(D171,'参数'!$B$21:$C$26,2,FALSE),""))</f>
        <v/>
      </c>
      <c r="F171" s="27" t="n"/>
      <c r="G171" s="43" t="str">
        <f>IF(NOT(ISNUMBER(B171)),"",IFERROR(IF(B171-INDEX('每日复盘'!$A$5:$A$264,MATCH(B171-1,'每日复盘'!$A$5:$A$264,1))&gt;7,"",T(INDEX('每日复盘'!$AA$5:$AA$264,MATCH(B171-1,'每日复盘'!$A$5:$A$264,1)))),""))</f>
        <v/>
      </c>
      <c r="H171" s="48" t="n"/>
      <c r="I171" s="48" t="n"/>
      <c r="J171" s="48" t="n"/>
      <c r="K171" s="49" t="str">
        <f>IF(AND(ISNUMBER(H171),ISNUMBER(I171),ISNUMBER(J171)),IF(H171&gt;I171,(J171-H171)/(H171-I171),""),"")</f>
        <v/>
      </c>
      <c r="L171" s="44" t="str">
        <f>IF(AND(ISNUMBER(H171),ISNUMBER(I171)),IF(H171&gt;I171,MIN(INT(ROUND('参数'!$C$7/(H171-I171)/100,6))*100,IF(ISNUMBER(E171),IF(H171-ROUND(ROUND(I171*(1-E171),4),2)&gt;0,INT(ROUND('参数'!$C$8/(H171-ROUND(ROUND(I171*(1-E171),4),2))/100,6))*100,0),INT(ROUND('参数'!$C$7/(H171-I171)/100,6))*100)),""),"")</f>
        <v/>
      </c>
      <c r="M171" s="17" t="n"/>
      <c r="N171" s="20" t="str">
        <f>IF(AND(ISNUMBER(H171),ISNUMBER(I171),ISNUMBER(M171)),IF(AND(H171&gt;I171,M171&gt;0),(H171-I171)*M171,""),"")</f>
        <v/>
      </c>
      <c r="O171" s="20" t="str">
        <f>IF(ISNUMBER(N171),IF(ISNUMBER(E171),(H171-ROUND(ROUND(I171*(1-E171),4),2))*M171,"不设限"),"")</f>
        <v/>
      </c>
      <c r="P171" s="32" t="n"/>
      <c r="Q171" s="27" t="n"/>
      <c r="R171" s="42" t="str">
        <f>IF(N(T171)&gt;0,SUMPRODUCT(LARGE(('成交明细'!$A$5:$A$804=A171)*('成交明细'!$C$5:$C$804="买")*'成交明细'!$B$5:$B$804,COUNTIFS('成交明细'!$A$5:$A$804,A171,'成交明细'!$C$5:$C$804,"买"))),"")</f>
        <v/>
      </c>
      <c r="S171" s="42" t="str">
        <f>IF(AND(N(T171)&gt;0,N(V171)&gt;=N(T171)),SUMPRODUCT(MAX(('成交明细'!$A$5:$A$804=A171)*('成交明细'!$C$5:$C$804="卖")*'成交明细'!$B$5:$B$804)),"")</f>
        <v/>
      </c>
      <c r="T171" s="44" t="str">
        <f>IF(A171="","",SUMIFS('成交明细'!$E$5:$E$804,'成交明细'!$A$5:$A$804,A171,'成交明细'!$C$5:$C$804,"买"))</f>
        <v/>
      </c>
      <c r="U171" s="50" t="str">
        <f>IF(N(T171)&gt;0,SUMIFS('成交明细'!$F$5:$F$804,'成交明细'!$A$5:$A$804,A171,'成交明细'!$C$5:$C$804,"买")/T171,"")</f>
        <v/>
      </c>
      <c r="V171" s="44" t="str">
        <f>IF(A171="","",SUMIFS('成交明细'!$E$5:$E$804,'成交明细'!$A$5:$A$804,A171,'成交明细'!$C$5:$C$804,"卖"))</f>
        <v/>
      </c>
      <c r="W171" s="50" t="str">
        <f>IF(N(V171)&gt;0,SUMIFS('成交明细'!$F$5:$F$804,'成交明细'!$A$5:$A$804,A171,'成交明细'!$C$5:$C$804,"卖")/V171,"")</f>
        <v/>
      </c>
      <c r="X171" s="36" t="str">
        <f>IF(A171="","",IF(Q171&lt;&gt;"已执行",IF(Q171="","未填执行情况",Q171),IF(N(T171)=0,"待录成交",IF(N(V171)&gt;N(T171),"卖出多于买入",IF(N(V171)&lt;N(T171),"持仓中","已平仓")))))</f>
        <v/>
      </c>
      <c r="Y171" s="51" t="str">
        <f>IF(N(T171)=0,"",SUMIFS('成交明细'!$K$5:$K$804,'成交明细'!$A$5:$A$804,A171))</f>
        <v/>
      </c>
      <c r="Z171" s="52" t="str">
        <f>IF(X171&lt;&gt;"已平仓","",SUMIFS('成交明细'!$F$5:$F$804,'成交明细'!$A$5:$A$804,A171,'成交明细'!$C$5:$C$804,"卖")-SUMIFS('成交明细'!$F$5:$F$804,'成交明细'!$A$5:$A$804,A171,'成交明细'!$C$5:$C$804,"买")-Y171)</f>
        <v/>
      </c>
      <c r="AA171" s="53" t="str">
        <f>IF(AND(X171="已平仓",ISNUMBER(N171)),(Z171+Y171)/N171,"")</f>
        <v/>
      </c>
      <c r="AB171" s="53" t="str">
        <f>IF(AND(X171="已平仓",ISNUMBER(N171)),Z171/N171,"")</f>
        <v/>
      </c>
      <c r="AC171" s="54" t="str">
        <f>IF(AND(ISNUMBER(U171),ISNUMBER(H171)),U171-H171,"")</f>
        <v/>
      </c>
      <c r="AD171" s="27" t="n"/>
      <c r="AE171" s="27" t="n"/>
      <c r="AF171" s="32" t="n"/>
      <c r="AG171" s="53" t="str">
        <f>IF(A171="","",SUM(AB$5:AB171))</f>
        <v/>
      </c>
      <c r="AH171" s="55" t="str">
        <f>IF(A171="","",MAX(0,MAX(AG$5:AG171))-AG171)</f>
        <v/>
      </c>
    </row>
    <row r="172">
      <c r="A172" s="46" t="n"/>
      <c r="B172" s="31" t="n"/>
      <c r="C172" s="32" t="n"/>
      <c r="D172" s="27" t="n"/>
      <c r="E172" s="47" t="str">
        <f>IF(D172="","",IFERROR(VLOOKUP(D172,'参数'!$B$21:$C$26,2,FALSE),""))</f>
        <v/>
      </c>
      <c r="F172" s="27" t="n"/>
      <c r="G172" s="43" t="str">
        <f>IF(NOT(ISNUMBER(B172)),"",IFERROR(IF(B172-INDEX('每日复盘'!$A$5:$A$264,MATCH(B172-1,'每日复盘'!$A$5:$A$264,1))&gt;7,"",T(INDEX('每日复盘'!$AA$5:$AA$264,MATCH(B172-1,'每日复盘'!$A$5:$A$264,1)))),""))</f>
        <v/>
      </c>
      <c r="H172" s="48" t="n"/>
      <c r="I172" s="48" t="n"/>
      <c r="J172" s="48" t="n"/>
      <c r="K172" s="49" t="str">
        <f>IF(AND(ISNUMBER(H172),ISNUMBER(I172),ISNUMBER(J172)),IF(H172&gt;I172,(J172-H172)/(H172-I172),""),"")</f>
        <v/>
      </c>
      <c r="L172" s="44" t="str">
        <f>IF(AND(ISNUMBER(H172),ISNUMBER(I172)),IF(H172&gt;I172,MIN(INT(ROUND('参数'!$C$7/(H172-I172)/100,6))*100,IF(ISNUMBER(E172),IF(H172-ROUND(ROUND(I172*(1-E172),4),2)&gt;0,INT(ROUND('参数'!$C$8/(H172-ROUND(ROUND(I172*(1-E172),4),2))/100,6))*100,0),INT(ROUND('参数'!$C$7/(H172-I172)/100,6))*100)),""),"")</f>
        <v/>
      </c>
      <c r="M172" s="17" t="n"/>
      <c r="N172" s="20" t="str">
        <f>IF(AND(ISNUMBER(H172),ISNUMBER(I172),ISNUMBER(M172)),IF(AND(H172&gt;I172,M172&gt;0),(H172-I172)*M172,""),"")</f>
        <v/>
      </c>
      <c r="O172" s="20" t="str">
        <f>IF(ISNUMBER(N172),IF(ISNUMBER(E172),(H172-ROUND(ROUND(I172*(1-E172),4),2))*M172,"不设限"),"")</f>
        <v/>
      </c>
      <c r="P172" s="32" t="n"/>
      <c r="Q172" s="27" t="n"/>
      <c r="R172" s="42" t="str">
        <f>IF(N(T172)&gt;0,SUMPRODUCT(LARGE(('成交明细'!$A$5:$A$804=A172)*('成交明细'!$C$5:$C$804="买")*'成交明细'!$B$5:$B$804,COUNTIFS('成交明细'!$A$5:$A$804,A172,'成交明细'!$C$5:$C$804,"买"))),"")</f>
        <v/>
      </c>
      <c r="S172" s="42" t="str">
        <f>IF(AND(N(T172)&gt;0,N(V172)&gt;=N(T172)),SUMPRODUCT(MAX(('成交明细'!$A$5:$A$804=A172)*('成交明细'!$C$5:$C$804="卖")*'成交明细'!$B$5:$B$804)),"")</f>
        <v/>
      </c>
      <c r="T172" s="44" t="str">
        <f>IF(A172="","",SUMIFS('成交明细'!$E$5:$E$804,'成交明细'!$A$5:$A$804,A172,'成交明细'!$C$5:$C$804,"买"))</f>
        <v/>
      </c>
      <c r="U172" s="50" t="str">
        <f>IF(N(T172)&gt;0,SUMIFS('成交明细'!$F$5:$F$804,'成交明细'!$A$5:$A$804,A172,'成交明细'!$C$5:$C$804,"买")/T172,"")</f>
        <v/>
      </c>
      <c r="V172" s="44" t="str">
        <f>IF(A172="","",SUMIFS('成交明细'!$E$5:$E$804,'成交明细'!$A$5:$A$804,A172,'成交明细'!$C$5:$C$804,"卖"))</f>
        <v/>
      </c>
      <c r="W172" s="50" t="str">
        <f>IF(N(V172)&gt;0,SUMIFS('成交明细'!$F$5:$F$804,'成交明细'!$A$5:$A$804,A172,'成交明细'!$C$5:$C$804,"卖")/V172,"")</f>
        <v/>
      </c>
      <c r="X172" s="36" t="str">
        <f>IF(A172="","",IF(Q172&lt;&gt;"已执行",IF(Q172="","未填执行情况",Q172),IF(N(T172)=0,"待录成交",IF(N(V172)&gt;N(T172),"卖出多于买入",IF(N(V172)&lt;N(T172),"持仓中","已平仓")))))</f>
        <v/>
      </c>
      <c r="Y172" s="51" t="str">
        <f>IF(N(T172)=0,"",SUMIFS('成交明细'!$K$5:$K$804,'成交明细'!$A$5:$A$804,A172))</f>
        <v/>
      </c>
      <c r="Z172" s="52" t="str">
        <f>IF(X172&lt;&gt;"已平仓","",SUMIFS('成交明细'!$F$5:$F$804,'成交明细'!$A$5:$A$804,A172,'成交明细'!$C$5:$C$804,"卖")-SUMIFS('成交明细'!$F$5:$F$804,'成交明细'!$A$5:$A$804,A172,'成交明细'!$C$5:$C$804,"买")-Y172)</f>
        <v/>
      </c>
      <c r="AA172" s="53" t="str">
        <f>IF(AND(X172="已平仓",ISNUMBER(N172)),(Z172+Y172)/N172,"")</f>
        <v/>
      </c>
      <c r="AB172" s="53" t="str">
        <f>IF(AND(X172="已平仓",ISNUMBER(N172)),Z172/N172,"")</f>
        <v/>
      </c>
      <c r="AC172" s="54" t="str">
        <f>IF(AND(ISNUMBER(U172),ISNUMBER(H172)),U172-H172,"")</f>
        <v/>
      </c>
      <c r="AD172" s="27" t="n"/>
      <c r="AE172" s="27" t="n"/>
      <c r="AF172" s="32" t="n"/>
      <c r="AG172" s="53" t="str">
        <f>IF(A172="","",SUM(AB$5:AB172))</f>
        <v/>
      </c>
      <c r="AH172" s="55" t="str">
        <f>IF(A172="","",MAX(0,MAX(AG$5:AG172))-AG172)</f>
        <v/>
      </c>
    </row>
    <row r="173">
      <c r="A173" s="46" t="n"/>
      <c r="B173" s="31" t="n"/>
      <c r="C173" s="32" t="n"/>
      <c r="D173" s="27" t="n"/>
      <c r="E173" s="47" t="str">
        <f>IF(D173="","",IFERROR(VLOOKUP(D173,'参数'!$B$21:$C$26,2,FALSE),""))</f>
        <v/>
      </c>
      <c r="F173" s="27" t="n"/>
      <c r="G173" s="43" t="str">
        <f>IF(NOT(ISNUMBER(B173)),"",IFERROR(IF(B173-INDEX('每日复盘'!$A$5:$A$264,MATCH(B173-1,'每日复盘'!$A$5:$A$264,1))&gt;7,"",T(INDEX('每日复盘'!$AA$5:$AA$264,MATCH(B173-1,'每日复盘'!$A$5:$A$264,1)))),""))</f>
        <v/>
      </c>
      <c r="H173" s="48" t="n"/>
      <c r="I173" s="48" t="n"/>
      <c r="J173" s="48" t="n"/>
      <c r="K173" s="49" t="str">
        <f>IF(AND(ISNUMBER(H173),ISNUMBER(I173),ISNUMBER(J173)),IF(H173&gt;I173,(J173-H173)/(H173-I173),""),"")</f>
        <v/>
      </c>
      <c r="L173" s="44" t="str">
        <f>IF(AND(ISNUMBER(H173),ISNUMBER(I173)),IF(H173&gt;I173,MIN(INT(ROUND('参数'!$C$7/(H173-I173)/100,6))*100,IF(ISNUMBER(E173),IF(H173-ROUND(ROUND(I173*(1-E173),4),2)&gt;0,INT(ROUND('参数'!$C$8/(H173-ROUND(ROUND(I173*(1-E173),4),2))/100,6))*100,0),INT(ROUND('参数'!$C$7/(H173-I173)/100,6))*100)),""),"")</f>
        <v/>
      </c>
      <c r="M173" s="17" t="n"/>
      <c r="N173" s="20" t="str">
        <f>IF(AND(ISNUMBER(H173),ISNUMBER(I173),ISNUMBER(M173)),IF(AND(H173&gt;I173,M173&gt;0),(H173-I173)*M173,""),"")</f>
        <v/>
      </c>
      <c r="O173" s="20" t="str">
        <f>IF(ISNUMBER(N173),IF(ISNUMBER(E173),(H173-ROUND(ROUND(I173*(1-E173),4),2))*M173,"不设限"),"")</f>
        <v/>
      </c>
      <c r="P173" s="32" t="n"/>
      <c r="Q173" s="27" t="n"/>
      <c r="R173" s="42" t="str">
        <f>IF(N(T173)&gt;0,SUMPRODUCT(LARGE(('成交明细'!$A$5:$A$804=A173)*('成交明细'!$C$5:$C$804="买")*'成交明细'!$B$5:$B$804,COUNTIFS('成交明细'!$A$5:$A$804,A173,'成交明细'!$C$5:$C$804,"买"))),"")</f>
        <v/>
      </c>
      <c r="S173" s="42" t="str">
        <f>IF(AND(N(T173)&gt;0,N(V173)&gt;=N(T173)),SUMPRODUCT(MAX(('成交明细'!$A$5:$A$804=A173)*('成交明细'!$C$5:$C$804="卖")*'成交明细'!$B$5:$B$804)),"")</f>
        <v/>
      </c>
      <c r="T173" s="44" t="str">
        <f>IF(A173="","",SUMIFS('成交明细'!$E$5:$E$804,'成交明细'!$A$5:$A$804,A173,'成交明细'!$C$5:$C$804,"买"))</f>
        <v/>
      </c>
      <c r="U173" s="50" t="str">
        <f>IF(N(T173)&gt;0,SUMIFS('成交明细'!$F$5:$F$804,'成交明细'!$A$5:$A$804,A173,'成交明细'!$C$5:$C$804,"买")/T173,"")</f>
        <v/>
      </c>
      <c r="V173" s="44" t="str">
        <f>IF(A173="","",SUMIFS('成交明细'!$E$5:$E$804,'成交明细'!$A$5:$A$804,A173,'成交明细'!$C$5:$C$804,"卖"))</f>
        <v/>
      </c>
      <c r="W173" s="50" t="str">
        <f>IF(N(V173)&gt;0,SUMIFS('成交明细'!$F$5:$F$804,'成交明细'!$A$5:$A$804,A173,'成交明细'!$C$5:$C$804,"卖")/V173,"")</f>
        <v/>
      </c>
      <c r="X173" s="36" t="str">
        <f>IF(A173="","",IF(Q173&lt;&gt;"已执行",IF(Q173="","未填执行情况",Q173),IF(N(T173)=0,"待录成交",IF(N(V173)&gt;N(T173),"卖出多于买入",IF(N(V173)&lt;N(T173),"持仓中","已平仓")))))</f>
        <v/>
      </c>
      <c r="Y173" s="51" t="str">
        <f>IF(N(T173)=0,"",SUMIFS('成交明细'!$K$5:$K$804,'成交明细'!$A$5:$A$804,A173))</f>
        <v/>
      </c>
      <c r="Z173" s="52" t="str">
        <f>IF(X173&lt;&gt;"已平仓","",SUMIFS('成交明细'!$F$5:$F$804,'成交明细'!$A$5:$A$804,A173,'成交明细'!$C$5:$C$804,"卖")-SUMIFS('成交明细'!$F$5:$F$804,'成交明细'!$A$5:$A$804,A173,'成交明细'!$C$5:$C$804,"买")-Y173)</f>
        <v/>
      </c>
      <c r="AA173" s="53" t="str">
        <f>IF(AND(X173="已平仓",ISNUMBER(N173)),(Z173+Y173)/N173,"")</f>
        <v/>
      </c>
      <c r="AB173" s="53" t="str">
        <f>IF(AND(X173="已平仓",ISNUMBER(N173)),Z173/N173,"")</f>
        <v/>
      </c>
      <c r="AC173" s="54" t="str">
        <f>IF(AND(ISNUMBER(U173),ISNUMBER(H173)),U173-H173,"")</f>
        <v/>
      </c>
      <c r="AD173" s="27" t="n"/>
      <c r="AE173" s="27" t="n"/>
      <c r="AF173" s="32" t="n"/>
      <c r="AG173" s="53" t="str">
        <f>IF(A173="","",SUM(AB$5:AB173))</f>
        <v/>
      </c>
      <c r="AH173" s="55" t="str">
        <f>IF(A173="","",MAX(0,MAX(AG$5:AG173))-AG173)</f>
        <v/>
      </c>
    </row>
    <row r="174">
      <c r="A174" s="46" t="n"/>
      <c r="B174" s="31" t="n"/>
      <c r="C174" s="32" t="n"/>
      <c r="D174" s="27" t="n"/>
      <c r="E174" s="47" t="str">
        <f>IF(D174="","",IFERROR(VLOOKUP(D174,'参数'!$B$21:$C$26,2,FALSE),""))</f>
        <v/>
      </c>
      <c r="F174" s="27" t="n"/>
      <c r="G174" s="43" t="str">
        <f>IF(NOT(ISNUMBER(B174)),"",IFERROR(IF(B174-INDEX('每日复盘'!$A$5:$A$264,MATCH(B174-1,'每日复盘'!$A$5:$A$264,1))&gt;7,"",T(INDEX('每日复盘'!$AA$5:$AA$264,MATCH(B174-1,'每日复盘'!$A$5:$A$264,1)))),""))</f>
        <v/>
      </c>
      <c r="H174" s="48" t="n"/>
      <c r="I174" s="48" t="n"/>
      <c r="J174" s="48" t="n"/>
      <c r="K174" s="49" t="str">
        <f>IF(AND(ISNUMBER(H174),ISNUMBER(I174),ISNUMBER(J174)),IF(H174&gt;I174,(J174-H174)/(H174-I174),""),"")</f>
        <v/>
      </c>
      <c r="L174" s="44" t="str">
        <f>IF(AND(ISNUMBER(H174),ISNUMBER(I174)),IF(H174&gt;I174,MIN(INT(ROUND('参数'!$C$7/(H174-I174)/100,6))*100,IF(ISNUMBER(E174),IF(H174-ROUND(ROUND(I174*(1-E174),4),2)&gt;0,INT(ROUND('参数'!$C$8/(H174-ROUND(ROUND(I174*(1-E174),4),2))/100,6))*100,0),INT(ROUND('参数'!$C$7/(H174-I174)/100,6))*100)),""),"")</f>
        <v/>
      </c>
      <c r="M174" s="17" t="n"/>
      <c r="N174" s="20" t="str">
        <f>IF(AND(ISNUMBER(H174),ISNUMBER(I174),ISNUMBER(M174)),IF(AND(H174&gt;I174,M174&gt;0),(H174-I174)*M174,""),"")</f>
        <v/>
      </c>
      <c r="O174" s="20" t="str">
        <f>IF(ISNUMBER(N174),IF(ISNUMBER(E174),(H174-ROUND(ROUND(I174*(1-E174),4),2))*M174,"不设限"),"")</f>
        <v/>
      </c>
      <c r="P174" s="32" t="n"/>
      <c r="Q174" s="27" t="n"/>
      <c r="R174" s="42" t="str">
        <f>IF(N(T174)&gt;0,SUMPRODUCT(LARGE(('成交明细'!$A$5:$A$804=A174)*('成交明细'!$C$5:$C$804="买")*'成交明细'!$B$5:$B$804,COUNTIFS('成交明细'!$A$5:$A$804,A174,'成交明细'!$C$5:$C$804,"买"))),"")</f>
        <v/>
      </c>
      <c r="S174" s="42" t="str">
        <f>IF(AND(N(T174)&gt;0,N(V174)&gt;=N(T174)),SUMPRODUCT(MAX(('成交明细'!$A$5:$A$804=A174)*('成交明细'!$C$5:$C$804="卖")*'成交明细'!$B$5:$B$804)),"")</f>
        <v/>
      </c>
      <c r="T174" s="44" t="str">
        <f>IF(A174="","",SUMIFS('成交明细'!$E$5:$E$804,'成交明细'!$A$5:$A$804,A174,'成交明细'!$C$5:$C$804,"买"))</f>
        <v/>
      </c>
      <c r="U174" s="50" t="str">
        <f>IF(N(T174)&gt;0,SUMIFS('成交明细'!$F$5:$F$804,'成交明细'!$A$5:$A$804,A174,'成交明细'!$C$5:$C$804,"买")/T174,"")</f>
        <v/>
      </c>
      <c r="V174" s="44" t="str">
        <f>IF(A174="","",SUMIFS('成交明细'!$E$5:$E$804,'成交明细'!$A$5:$A$804,A174,'成交明细'!$C$5:$C$804,"卖"))</f>
        <v/>
      </c>
      <c r="W174" s="50" t="str">
        <f>IF(N(V174)&gt;0,SUMIFS('成交明细'!$F$5:$F$804,'成交明细'!$A$5:$A$804,A174,'成交明细'!$C$5:$C$804,"卖")/V174,"")</f>
        <v/>
      </c>
      <c r="X174" s="36" t="str">
        <f>IF(A174="","",IF(Q174&lt;&gt;"已执行",IF(Q174="","未填执行情况",Q174),IF(N(T174)=0,"待录成交",IF(N(V174)&gt;N(T174),"卖出多于买入",IF(N(V174)&lt;N(T174),"持仓中","已平仓")))))</f>
        <v/>
      </c>
      <c r="Y174" s="51" t="str">
        <f>IF(N(T174)=0,"",SUMIFS('成交明细'!$K$5:$K$804,'成交明细'!$A$5:$A$804,A174))</f>
        <v/>
      </c>
      <c r="Z174" s="52" t="str">
        <f>IF(X174&lt;&gt;"已平仓","",SUMIFS('成交明细'!$F$5:$F$804,'成交明细'!$A$5:$A$804,A174,'成交明细'!$C$5:$C$804,"卖")-SUMIFS('成交明细'!$F$5:$F$804,'成交明细'!$A$5:$A$804,A174,'成交明细'!$C$5:$C$804,"买")-Y174)</f>
        <v/>
      </c>
      <c r="AA174" s="53" t="str">
        <f>IF(AND(X174="已平仓",ISNUMBER(N174)),(Z174+Y174)/N174,"")</f>
        <v/>
      </c>
      <c r="AB174" s="53" t="str">
        <f>IF(AND(X174="已平仓",ISNUMBER(N174)),Z174/N174,"")</f>
        <v/>
      </c>
      <c r="AC174" s="54" t="str">
        <f>IF(AND(ISNUMBER(U174),ISNUMBER(H174)),U174-H174,"")</f>
        <v/>
      </c>
      <c r="AD174" s="27" t="n"/>
      <c r="AE174" s="27" t="n"/>
      <c r="AF174" s="32" t="n"/>
      <c r="AG174" s="53" t="str">
        <f>IF(A174="","",SUM(AB$5:AB174))</f>
        <v/>
      </c>
      <c r="AH174" s="55" t="str">
        <f>IF(A174="","",MAX(0,MAX(AG$5:AG174))-AG174)</f>
        <v/>
      </c>
    </row>
    <row r="175">
      <c r="A175" s="46" t="n"/>
      <c r="B175" s="31" t="n"/>
      <c r="C175" s="32" t="n"/>
      <c r="D175" s="27" t="n"/>
      <c r="E175" s="47" t="str">
        <f>IF(D175="","",IFERROR(VLOOKUP(D175,'参数'!$B$21:$C$26,2,FALSE),""))</f>
        <v/>
      </c>
      <c r="F175" s="27" t="n"/>
      <c r="G175" s="43" t="str">
        <f>IF(NOT(ISNUMBER(B175)),"",IFERROR(IF(B175-INDEX('每日复盘'!$A$5:$A$264,MATCH(B175-1,'每日复盘'!$A$5:$A$264,1))&gt;7,"",T(INDEX('每日复盘'!$AA$5:$AA$264,MATCH(B175-1,'每日复盘'!$A$5:$A$264,1)))),""))</f>
        <v/>
      </c>
      <c r="H175" s="48" t="n"/>
      <c r="I175" s="48" t="n"/>
      <c r="J175" s="48" t="n"/>
      <c r="K175" s="49" t="str">
        <f>IF(AND(ISNUMBER(H175),ISNUMBER(I175),ISNUMBER(J175)),IF(H175&gt;I175,(J175-H175)/(H175-I175),""),"")</f>
        <v/>
      </c>
      <c r="L175" s="44" t="str">
        <f>IF(AND(ISNUMBER(H175),ISNUMBER(I175)),IF(H175&gt;I175,MIN(INT(ROUND('参数'!$C$7/(H175-I175)/100,6))*100,IF(ISNUMBER(E175),IF(H175-ROUND(ROUND(I175*(1-E175),4),2)&gt;0,INT(ROUND('参数'!$C$8/(H175-ROUND(ROUND(I175*(1-E175),4),2))/100,6))*100,0),INT(ROUND('参数'!$C$7/(H175-I175)/100,6))*100)),""),"")</f>
        <v/>
      </c>
      <c r="M175" s="17" t="n"/>
      <c r="N175" s="20" t="str">
        <f>IF(AND(ISNUMBER(H175),ISNUMBER(I175),ISNUMBER(M175)),IF(AND(H175&gt;I175,M175&gt;0),(H175-I175)*M175,""),"")</f>
        <v/>
      </c>
      <c r="O175" s="20" t="str">
        <f>IF(ISNUMBER(N175),IF(ISNUMBER(E175),(H175-ROUND(ROUND(I175*(1-E175),4),2))*M175,"不设限"),"")</f>
        <v/>
      </c>
      <c r="P175" s="32" t="n"/>
      <c r="Q175" s="27" t="n"/>
      <c r="R175" s="42" t="str">
        <f>IF(N(T175)&gt;0,SUMPRODUCT(LARGE(('成交明细'!$A$5:$A$804=A175)*('成交明细'!$C$5:$C$804="买")*'成交明细'!$B$5:$B$804,COUNTIFS('成交明细'!$A$5:$A$804,A175,'成交明细'!$C$5:$C$804,"买"))),"")</f>
        <v/>
      </c>
      <c r="S175" s="42" t="str">
        <f>IF(AND(N(T175)&gt;0,N(V175)&gt;=N(T175)),SUMPRODUCT(MAX(('成交明细'!$A$5:$A$804=A175)*('成交明细'!$C$5:$C$804="卖")*'成交明细'!$B$5:$B$804)),"")</f>
        <v/>
      </c>
      <c r="T175" s="44" t="str">
        <f>IF(A175="","",SUMIFS('成交明细'!$E$5:$E$804,'成交明细'!$A$5:$A$804,A175,'成交明细'!$C$5:$C$804,"买"))</f>
        <v/>
      </c>
      <c r="U175" s="50" t="str">
        <f>IF(N(T175)&gt;0,SUMIFS('成交明细'!$F$5:$F$804,'成交明细'!$A$5:$A$804,A175,'成交明细'!$C$5:$C$804,"买")/T175,"")</f>
        <v/>
      </c>
      <c r="V175" s="44" t="str">
        <f>IF(A175="","",SUMIFS('成交明细'!$E$5:$E$804,'成交明细'!$A$5:$A$804,A175,'成交明细'!$C$5:$C$804,"卖"))</f>
        <v/>
      </c>
      <c r="W175" s="50" t="str">
        <f>IF(N(V175)&gt;0,SUMIFS('成交明细'!$F$5:$F$804,'成交明细'!$A$5:$A$804,A175,'成交明细'!$C$5:$C$804,"卖")/V175,"")</f>
        <v/>
      </c>
      <c r="X175" s="36" t="str">
        <f>IF(A175="","",IF(Q175&lt;&gt;"已执行",IF(Q175="","未填执行情况",Q175),IF(N(T175)=0,"待录成交",IF(N(V175)&gt;N(T175),"卖出多于买入",IF(N(V175)&lt;N(T175),"持仓中","已平仓")))))</f>
        <v/>
      </c>
      <c r="Y175" s="51" t="str">
        <f>IF(N(T175)=0,"",SUMIFS('成交明细'!$K$5:$K$804,'成交明细'!$A$5:$A$804,A175))</f>
        <v/>
      </c>
      <c r="Z175" s="52" t="str">
        <f>IF(X175&lt;&gt;"已平仓","",SUMIFS('成交明细'!$F$5:$F$804,'成交明细'!$A$5:$A$804,A175,'成交明细'!$C$5:$C$804,"卖")-SUMIFS('成交明细'!$F$5:$F$804,'成交明细'!$A$5:$A$804,A175,'成交明细'!$C$5:$C$804,"买")-Y175)</f>
        <v/>
      </c>
      <c r="AA175" s="53" t="str">
        <f>IF(AND(X175="已平仓",ISNUMBER(N175)),(Z175+Y175)/N175,"")</f>
        <v/>
      </c>
      <c r="AB175" s="53" t="str">
        <f>IF(AND(X175="已平仓",ISNUMBER(N175)),Z175/N175,"")</f>
        <v/>
      </c>
      <c r="AC175" s="54" t="str">
        <f>IF(AND(ISNUMBER(U175),ISNUMBER(H175)),U175-H175,"")</f>
        <v/>
      </c>
      <c r="AD175" s="27" t="n"/>
      <c r="AE175" s="27" t="n"/>
      <c r="AF175" s="32" t="n"/>
      <c r="AG175" s="53" t="str">
        <f>IF(A175="","",SUM(AB$5:AB175))</f>
        <v/>
      </c>
      <c r="AH175" s="55" t="str">
        <f>IF(A175="","",MAX(0,MAX(AG$5:AG175))-AG175)</f>
        <v/>
      </c>
    </row>
    <row r="176">
      <c r="A176" s="46" t="n"/>
      <c r="B176" s="31" t="n"/>
      <c r="C176" s="32" t="n"/>
      <c r="D176" s="27" t="n"/>
      <c r="E176" s="47" t="str">
        <f>IF(D176="","",IFERROR(VLOOKUP(D176,'参数'!$B$21:$C$26,2,FALSE),""))</f>
        <v/>
      </c>
      <c r="F176" s="27" t="n"/>
      <c r="G176" s="43" t="str">
        <f>IF(NOT(ISNUMBER(B176)),"",IFERROR(IF(B176-INDEX('每日复盘'!$A$5:$A$264,MATCH(B176-1,'每日复盘'!$A$5:$A$264,1))&gt;7,"",T(INDEX('每日复盘'!$AA$5:$AA$264,MATCH(B176-1,'每日复盘'!$A$5:$A$264,1)))),""))</f>
        <v/>
      </c>
      <c r="H176" s="48" t="n"/>
      <c r="I176" s="48" t="n"/>
      <c r="J176" s="48" t="n"/>
      <c r="K176" s="49" t="str">
        <f>IF(AND(ISNUMBER(H176),ISNUMBER(I176),ISNUMBER(J176)),IF(H176&gt;I176,(J176-H176)/(H176-I176),""),"")</f>
        <v/>
      </c>
      <c r="L176" s="44" t="str">
        <f>IF(AND(ISNUMBER(H176),ISNUMBER(I176)),IF(H176&gt;I176,MIN(INT(ROUND('参数'!$C$7/(H176-I176)/100,6))*100,IF(ISNUMBER(E176),IF(H176-ROUND(ROUND(I176*(1-E176),4),2)&gt;0,INT(ROUND('参数'!$C$8/(H176-ROUND(ROUND(I176*(1-E176),4),2))/100,6))*100,0),INT(ROUND('参数'!$C$7/(H176-I176)/100,6))*100)),""),"")</f>
        <v/>
      </c>
      <c r="M176" s="17" t="n"/>
      <c r="N176" s="20" t="str">
        <f>IF(AND(ISNUMBER(H176),ISNUMBER(I176),ISNUMBER(M176)),IF(AND(H176&gt;I176,M176&gt;0),(H176-I176)*M176,""),"")</f>
        <v/>
      </c>
      <c r="O176" s="20" t="str">
        <f>IF(ISNUMBER(N176),IF(ISNUMBER(E176),(H176-ROUND(ROUND(I176*(1-E176),4),2))*M176,"不设限"),"")</f>
        <v/>
      </c>
      <c r="P176" s="32" t="n"/>
      <c r="Q176" s="27" t="n"/>
      <c r="R176" s="42" t="str">
        <f>IF(N(T176)&gt;0,SUMPRODUCT(LARGE(('成交明细'!$A$5:$A$804=A176)*('成交明细'!$C$5:$C$804="买")*'成交明细'!$B$5:$B$804,COUNTIFS('成交明细'!$A$5:$A$804,A176,'成交明细'!$C$5:$C$804,"买"))),"")</f>
        <v/>
      </c>
      <c r="S176" s="42" t="str">
        <f>IF(AND(N(T176)&gt;0,N(V176)&gt;=N(T176)),SUMPRODUCT(MAX(('成交明细'!$A$5:$A$804=A176)*('成交明细'!$C$5:$C$804="卖")*'成交明细'!$B$5:$B$804)),"")</f>
        <v/>
      </c>
      <c r="T176" s="44" t="str">
        <f>IF(A176="","",SUMIFS('成交明细'!$E$5:$E$804,'成交明细'!$A$5:$A$804,A176,'成交明细'!$C$5:$C$804,"买"))</f>
        <v/>
      </c>
      <c r="U176" s="50" t="str">
        <f>IF(N(T176)&gt;0,SUMIFS('成交明细'!$F$5:$F$804,'成交明细'!$A$5:$A$804,A176,'成交明细'!$C$5:$C$804,"买")/T176,"")</f>
        <v/>
      </c>
      <c r="V176" s="44" t="str">
        <f>IF(A176="","",SUMIFS('成交明细'!$E$5:$E$804,'成交明细'!$A$5:$A$804,A176,'成交明细'!$C$5:$C$804,"卖"))</f>
        <v/>
      </c>
      <c r="W176" s="50" t="str">
        <f>IF(N(V176)&gt;0,SUMIFS('成交明细'!$F$5:$F$804,'成交明细'!$A$5:$A$804,A176,'成交明细'!$C$5:$C$804,"卖")/V176,"")</f>
        <v/>
      </c>
      <c r="X176" s="36" t="str">
        <f>IF(A176="","",IF(Q176&lt;&gt;"已执行",IF(Q176="","未填执行情况",Q176),IF(N(T176)=0,"待录成交",IF(N(V176)&gt;N(T176),"卖出多于买入",IF(N(V176)&lt;N(T176),"持仓中","已平仓")))))</f>
        <v/>
      </c>
      <c r="Y176" s="51" t="str">
        <f>IF(N(T176)=0,"",SUMIFS('成交明细'!$K$5:$K$804,'成交明细'!$A$5:$A$804,A176))</f>
        <v/>
      </c>
      <c r="Z176" s="52" t="str">
        <f>IF(X176&lt;&gt;"已平仓","",SUMIFS('成交明细'!$F$5:$F$804,'成交明细'!$A$5:$A$804,A176,'成交明细'!$C$5:$C$804,"卖")-SUMIFS('成交明细'!$F$5:$F$804,'成交明细'!$A$5:$A$804,A176,'成交明细'!$C$5:$C$804,"买")-Y176)</f>
        <v/>
      </c>
      <c r="AA176" s="53" t="str">
        <f>IF(AND(X176="已平仓",ISNUMBER(N176)),(Z176+Y176)/N176,"")</f>
        <v/>
      </c>
      <c r="AB176" s="53" t="str">
        <f>IF(AND(X176="已平仓",ISNUMBER(N176)),Z176/N176,"")</f>
        <v/>
      </c>
      <c r="AC176" s="54" t="str">
        <f>IF(AND(ISNUMBER(U176),ISNUMBER(H176)),U176-H176,"")</f>
        <v/>
      </c>
      <c r="AD176" s="27" t="n"/>
      <c r="AE176" s="27" t="n"/>
      <c r="AF176" s="32" t="n"/>
      <c r="AG176" s="53" t="str">
        <f>IF(A176="","",SUM(AB$5:AB176))</f>
        <v/>
      </c>
      <c r="AH176" s="55" t="str">
        <f>IF(A176="","",MAX(0,MAX(AG$5:AG176))-AG176)</f>
        <v/>
      </c>
    </row>
    <row r="177">
      <c r="A177" s="46" t="n"/>
      <c r="B177" s="31" t="n"/>
      <c r="C177" s="32" t="n"/>
      <c r="D177" s="27" t="n"/>
      <c r="E177" s="47" t="str">
        <f>IF(D177="","",IFERROR(VLOOKUP(D177,'参数'!$B$21:$C$26,2,FALSE),""))</f>
        <v/>
      </c>
      <c r="F177" s="27" t="n"/>
      <c r="G177" s="43" t="str">
        <f>IF(NOT(ISNUMBER(B177)),"",IFERROR(IF(B177-INDEX('每日复盘'!$A$5:$A$264,MATCH(B177-1,'每日复盘'!$A$5:$A$264,1))&gt;7,"",T(INDEX('每日复盘'!$AA$5:$AA$264,MATCH(B177-1,'每日复盘'!$A$5:$A$264,1)))),""))</f>
        <v/>
      </c>
      <c r="H177" s="48" t="n"/>
      <c r="I177" s="48" t="n"/>
      <c r="J177" s="48" t="n"/>
      <c r="K177" s="49" t="str">
        <f>IF(AND(ISNUMBER(H177),ISNUMBER(I177),ISNUMBER(J177)),IF(H177&gt;I177,(J177-H177)/(H177-I177),""),"")</f>
        <v/>
      </c>
      <c r="L177" s="44" t="str">
        <f>IF(AND(ISNUMBER(H177),ISNUMBER(I177)),IF(H177&gt;I177,MIN(INT(ROUND('参数'!$C$7/(H177-I177)/100,6))*100,IF(ISNUMBER(E177),IF(H177-ROUND(ROUND(I177*(1-E177),4),2)&gt;0,INT(ROUND('参数'!$C$8/(H177-ROUND(ROUND(I177*(1-E177),4),2))/100,6))*100,0),INT(ROUND('参数'!$C$7/(H177-I177)/100,6))*100)),""),"")</f>
        <v/>
      </c>
      <c r="M177" s="17" t="n"/>
      <c r="N177" s="20" t="str">
        <f>IF(AND(ISNUMBER(H177),ISNUMBER(I177),ISNUMBER(M177)),IF(AND(H177&gt;I177,M177&gt;0),(H177-I177)*M177,""),"")</f>
        <v/>
      </c>
      <c r="O177" s="20" t="str">
        <f>IF(ISNUMBER(N177),IF(ISNUMBER(E177),(H177-ROUND(ROUND(I177*(1-E177),4),2))*M177,"不设限"),"")</f>
        <v/>
      </c>
      <c r="P177" s="32" t="n"/>
      <c r="Q177" s="27" t="n"/>
      <c r="R177" s="42" t="str">
        <f>IF(N(T177)&gt;0,SUMPRODUCT(LARGE(('成交明细'!$A$5:$A$804=A177)*('成交明细'!$C$5:$C$804="买")*'成交明细'!$B$5:$B$804,COUNTIFS('成交明细'!$A$5:$A$804,A177,'成交明细'!$C$5:$C$804,"买"))),"")</f>
        <v/>
      </c>
      <c r="S177" s="42" t="str">
        <f>IF(AND(N(T177)&gt;0,N(V177)&gt;=N(T177)),SUMPRODUCT(MAX(('成交明细'!$A$5:$A$804=A177)*('成交明细'!$C$5:$C$804="卖")*'成交明细'!$B$5:$B$804)),"")</f>
        <v/>
      </c>
      <c r="T177" s="44" t="str">
        <f>IF(A177="","",SUMIFS('成交明细'!$E$5:$E$804,'成交明细'!$A$5:$A$804,A177,'成交明细'!$C$5:$C$804,"买"))</f>
        <v/>
      </c>
      <c r="U177" s="50" t="str">
        <f>IF(N(T177)&gt;0,SUMIFS('成交明细'!$F$5:$F$804,'成交明细'!$A$5:$A$804,A177,'成交明细'!$C$5:$C$804,"买")/T177,"")</f>
        <v/>
      </c>
      <c r="V177" s="44" t="str">
        <f>IF(A177="","",SUMIFS('成交明细'!$E$5:$E$804,'成交明细'!$A$5:$A$804,A177,'成交明细'!$C$5:$C$804,"卖"))</f>
        <v/>
      </c>
      <c r="W177" s="50" t="str">
        <f>IF(N(V177)&gt;0,SUMIFS('成交明细'!$F$5:$F$804,'成交明细'!$A$5:$A$804,A177,'成交明细'!$C$5:$C$804,"卖")/V177,"")</f>
        <v/>
      </c>
      <c r="X177" s="36" t="str">
        <f>IF(A177="","",IF(Q177&lt;&gt;"已执行",IF(Q177="","未填执行情况",Q177),IF(N(T177)=0,"待录成交",IF(N(V177)&gt;N(T177),"卖出多于买入",IF(N(V177)&lt;N(T177),"持仓中","已平仓")))))</f>
        <v/>
      </c>
      <c r="Y177" s="51" t="str">
        <f>IF(N(T177)=0,"",SUMIFS('成交明细'!$K$5:$K$804,'成交明细'!$A$5:$A$804,A177))</f>
        <v/>
      </c>
      <c r="Z177" s="52" t="str">
        <f>IF(X177&lt;&gt;"已平仓","",SUMIFS('成交明细'!$F$5:$F$804,'成交明细'!$A$5:$A$804,A177,'成交明细'!$C$5:$C$804,"卖")-SUMIFS('成交明细'!$F$5:$F$804,'成交明细'!$A$5:$A$804,A177,'成交明细'!$C$5:$C$804,"买")-Y177)</f>
        <v/>
      </c>
      <c r="AA177" s="53" t="str">
        <f>IF(AND(X177="已平仓",ISNUMBER(N177)),(Z177+Y177)/N177,"")</f>
        <v/>
      </c>
      <c r="AB177" s="53" t="str">
        <f>IF(AND(X177="已平仓",ISNUMBER(N177)),Z177/N177,"")</f>
        <v/>
      </c>
      <c r="AC177" s="54" t="str">
        <f>IF(AND(ISNUMBER(U177),ISNUMBER(H177)),U177-H177,"")</f>
        <v/>
      </c>
      <c r="AD177" s="27" t="n"/>
      <c r="AE177" s="27" t="n"/>
      <c r="AF177" s="32" t="n"/>
      <c r="AG177" s="53" t="str">
        <f>IF(A177="","",SUM(AB$5:AB177))</f>
        <v/>
      </c>
      <c r="AH177" s="55" t="str">
        <f>IF(A177="","",MAX(0,MAX(AG$5:AG177))-AG177)</f>
        <v/>
      </c>
    </row>
    <row r="178">
      <c r="A178" s="46" t="n"/>
      <c r="B178" s="31" t="n"/>
      <c r="C178" s="32" t="n"/>
      <c r="D178" s="27" t="n"/>
      <c r="E178" s="47" t="str">
        <f>IF(D178="","",IFERROR(VLOOKUP(D178,'参数'!$B$21:$C$26,2,FALSE),""))</f>
        <v/>
      </c>
      <c r="F178" s="27" t="n"/>
      <c r="G178" s="43" t="str">
        <f>IF(NOT(ISNUMBER(B178)),"",IFERROR(IF(B178-INDEX('每日复盘'!$A$5:$A$264,MATCH(B178-1,'每日复盘'!$A$5:$A$264,1))&gt;7,"",T(INDEX('每日复盘'!$AA$5:$AA$264,MATCH(B178-1,'每日复盘'!$A$5:$A$264,1)))),""))</f>
        <v/>
      </c>
      <c r="H178" s="48" t="n"/>
      <c r="I178" s="48" t="n"/>
      <c r="J178" s="48" t="n"/>
      <c r="K178" s="49" t="str">
        <f>IF(AND(ISNUMBER(H178),ISNUMBER(I178),ISNUMBER(J178)),IF(H178&gt;I178,(J178-H178)/(H178-I178),""),"")</f>
        <v/>
      </c>
      <c r="L178" s="44" t="str">
        <f>IF(AND(ISNUMBER(H178),ISNUMBER(I178)),IF(H178&gt;I178,MIN(INT(ROUND('参数'!$C$7/(H178-I178)/100,6))*100,IF(ISNUMBER(E178),IF(H178-ROUND(ROUND(I178*(1-E178),4),2)&gt;0,INT(ROUND('参数'!$C$8/(H178-ROUND(ROUND(I178*(1-E178),4),2))/100,6))*100,0),INT(ROUND('参数'!$C$7/(H178-I178)/100,6))*100)),""),"")</f>
        <v/>
      </c>
      <c r="M178" s="17" t="n"/>
      <c r="N178" s="20" t="str">
        <f>IF(AND(ISNUMBER(H178),ISNUMBER(I178),ISNUMBER(M178)),IF(AND(H178&gt;I178,M178&gt;0),(H178-I178)*M178,""),"")</f>
        <v/>
      </c>
      <c r="O178" s="20" t="str">
        <f>IF(ISNUMBER(N178),IF(ISNUMBER(E178),(H178-ROUND(ROUND(I178*(1-E178),4),2))*M178,"不设限"),"")</f>
        <v/>
      </c>
      <c r="P178" s="32" t="n"/>
      <c r="Q178" s="27" t="n"/>
      <c r="R178" s="42" t="str">
        <f>IF(N(T178)&gt;0,SUMPRODUCT(LARGE(('成交明细'!$A$5:$A$804=A178)*('成交明细'!$C$5:$C$804="买")*'成交明细'!$B$5:$B$804,COUNTIFS('成交明细'!$A$5:$A$804,A178,'成交明细'!$C$5:$C$804,"买"))),"")</f>
        <v/>
      </c>
      <c r="S178" s="42" t="str">
        <f>IF(AND(N(T178)&gt;0,N(V178)&gt;=N(T178)),SUMPRODUCT(MAX(('成交明细'!$A$5:$A$804=A178)*('成交明细'!$C$5:$C$804="卖")*'成交明细'!$B$5:$B$804)),"")</f>
        <v/>
      </c>
      <c r="T178" s="44" t="str">
        <f>IF(A178="","",SUMIFS('成交明细'!$E$5:$E$804,'成交明细'!$A$5:$A$804,A178,'成交明细'!$C$5:$C$804,"买"))</f>
        <v/>
      </c>
      <c r="U178" s="50" t="str">
        <f>IF(N(T178)&gt;0,SUMIFS('成交明细'!$F$5:$F$804,'成交明细'!$A$5:$A$804,A178,'成交明细'!$C$5:$C$804,"买")/T178,"")</f>
        <v/>
      </c>
      <c r="V178" s="44" t="str">
        <f>IF(A178="","",SUMIFS('成交明细'!$E$5:$E$804,'成交明细'!$A$5:$A$804,A178,'成交明细'!$C$5:$C$804,"卖"))</f>
        <v/>
      </c>
      <c r="W178" s="50" t="str">
        <f>IF(N(V178)&gt;0,SUMIFS('成交明细'!$F$5:$F$804,'成交明细'!$A$5:$A$804,A178,'成交明细'!$C$5:$C$804,"卖")/V178,"")</f>
        <v/>
      </c>
      <c r="X178" s="36" t="str">
        <f>IF(A178="","",IF(Q178&lt;&gt;"已执行",IF(Q178="","未填执行情况",Q178),IF(N(T178)=0,"待录成交",IF(N(V178)&gt;N(T178),"卖出多于买入",IF(N(V178)&lt;N(T178),"持仓中","已平仓")))))</f>
        <v/>
      </c>
      <c r="Y178" s="51" t="str">
        <f>IF(N(T178)=0,"",SUMIFS('成交明细'!$K$5:$K$804,'成交明细'!$A$5:$A$804,A178))</f>
        <v/>
      </c>
      <c r="Z178" s="52" t="str">
        <f>IF(X178&lt;&gt;"已平仓","",SUMIFS('成交明细'!$F$5:$F$804,'成交明细'!$A$5:$A$804,A178,'成交明细'!$C$5:$C$804,"卖")-SUMIFS('成交明细'!$F$5:$F$804,'成交明细'!$A$5:$A$804,A178,'成交明细'!$C$5:$C$804,"买")-Y178)</f>
        <v/>
      </c>
      <c r="AA178" s="53" t="str">
        <f>IF(AND(X178="已平仓",ISNUMBER(N178)),(Z178+Y178)/N178,"")</f>
        <v/>
      </c>
      <c r="AB178" s="53" t="str">
        <f>IF(AND(X178="已平仓",ISNUMBER(N178)),Z178/N178,"")</f>
        <v/>
      </c>
      <c r="AC178" s="54" t="str">
        <f>IF(AND(ISNUMBER(U178),ISNUMBER(H178)),U178-H178,"")</f>
        <v/>
      </c>
      <c r="AD178" s="27" t="n"/>
      <c r="AE178" s="27" t="n"/>
      <c r="AF178" s="32" t="n"/>
      <c r="AG178" s="53" t="str">
        <f>IF(A178="","",SUM(AB$5:AB178))</f>
        <v/>
      </c>
      <c r="AH178" s="55" t="str">
        <f>IF(A178="","",MAX(0,MAX(AG$5:AG178))-AG178)</f>
        <v/>
      </c>
    </row>
    <row r="179">
      <c r="A179" s="46" t="n"/>
      <c r="B179" s="31" t="n"/>
      <c r="C179" s="32" t="n"/>
      <c r="D179" s="27" t="n"/>
      <c r="E179" s="47" t="str">
        <f>IF(D179="","",IFERROR(VLOOKUP(D179,'参数'!$B$21:$C$26,2,FALSE),""))</f>
        <v/>
      </c>
      <c r="F179" s="27" t="n"/>
      <c r="G179" s="43" t="str">
        <f>IF(NOT(ISNUMBER(B179)),"",IFERROR(IF(B179-INDEX('每日复盘'!$A$5:$A$264,MATCH(B179-1,'每日复盘'!$A$5:$A$264,1))&gt;7,"",T(INDEX('每日复盘'!$AA$5:$AA$264,MATCH(B179-1,'每日复盘'!$A$5:$A$264,1)))),""))</f>
        <v/>
      </c>
      <c r="H179" s="48" t="n"/>
      <c r="I179" s="48" t="n"/>
      <c r="J179" s="48" t="n"/>
      <c r="K179" s="49" t="str">
        <f>IF(AND(ISNUMBER(H179),ISNUMBER(I179),ISNUMBER(J179)),IF(H179&gt;I179,(J179-H179)/(H179-I179),""),"")</f>
        <v/>
      </c>
      <c r="L179" s="44" t="str">
        <f>IF(AND(ISNUMBER(H179),ISNUMBER(I179)),IF(H179&gt;I179,MIN(INT(ROUND('参数'!$C$7/(H179-I179)/100,6))*100,IF(ISNUMBER(E179),IF(H179-ROUND(ROUND(I179*(1-E179),4),2)&gt;0,INT(ROUND('参数'!$C$8/(H179-ROUND(ROUND(I179*(1-E179),4),2))/100,6))*100,0),INT(ROUND('参数'!$C$7/(H179-I179)/100,6))*100)),""),"")</f>
        <v/>
      </c>
      <c r="M179" s="17" t="n"/>
      <c r="N179" s="20" t="str">
        <f>IF(AND(ISNUMBER(H179),ISNUMBER(I179),ISNUMBER(M179)),IF(AND(H179&gt;I179,M179&gt;0),(H179-I179)*M179,""),"")</f>
        <v/>
      </c>
      <c r="O179" s="20" t="str">
        <f>IF(ISNUMBER(N179),IF(ISNUMBER(E179),(H179-ROUND(ROUND(I179*(1-E179),4),2))*M179,"不设限"),"")</f>
        <v/>
      </c>
      <c r="P179" s="32" t="n"/>
      <c r="Q179" s="27" t="n"/>
      <c r="R179" s="42" t="str">
        <f>IF(N(T179)&gt;0,SUMPRODUCT(LARGE(('成交明细'!$A$5:$A$804=A179)*('成交明细'!$C$5:$C$804="买")*'成交明细'!$B$5:$B$804,COUNTIFS('成交明细'!$A$5:$A$804,A179,'成交明细'!$C$5:$C$804,"买"))),"")</f>
        <v/>
      </c>
      <c r="S179" s="42" t="str">
        <f>IF(AND(N(T179)&gt;0,N(V179)&gt;=N(T179)),SUMPRODUCT(MAX(('成交明细'!$A$5:$A$804=A179)*('成交明细'!$C$5:$C$804="卖")*'成交明细'!$B$5:$B$804)),"")</f>
        <v/>
      </c>
      <c r="T179" s="44" t="str">
        <f>IF(A179="","",SUMIFS('成交明细'!$E$5:$E$804,'成交明细'!$A$5:$A$804,A179,'成交明细'!$C$5:$C$804,"买"))</f>
        <v/>
      </c>
      <c r="U179" s="50" t="str">
        <f>IF(N(T179)&gt;0,SUMIFS('成交明细'!$F$5:$F$804,'成交明细'!$A$5:$A$804,A179,'成交明细'!$C$5:$C$804,"买")/T179,"")</f>
        <v/>
      </c>
      <c r="V179" s="44" t="str">
        <f>IF(A179="","",SUMIFS('成交明细'!$E$5:$E$804,'成交明细'!$A$5:$A$804,A179,'成交明细'!$C$5:$C$804,"卖"))</f>
        <v/>
      </c>
      <c r="W179" s="50" t="str">
        <f>IF(N(V179)&gt;0,SUMIFS('成交明细'!$F$5:$F$804,'成交明细'!$A$5:$A$804,A179,'成交明细'!$C$5:$C$804,"卖")/V179,"")</f>
        <v/>
      </c>
      <c r="X179" s="36" t="str">
        <f>IF(A179="","",IF(Q179&lt;&gt;"已执行",IF(Q179="","未填执行情况",Q179),IF(N(T179)=0,"待录成交",IF(N(V179)&gt;N(T179),"卖出多于买入",IF(N(V179)&lt;N(T179),"持仓中","已平仓")))))</f>
        <v/>
      </c>
      <c r="Y179" s="51" t="str">
        <f>IF(N(T179)=0,"",SUMIFS('成交明细'!$K$5:$K$804,'成交明细'!$A$5:$A$804,A179))</f>
        <v/>
      </c>
      <c r="Z179" s="52" t="str">
        <f>IF(X179&lt;&gt;"已平仓","",SUMIFS('成交明细'!$F$5:$F$804,'成交明细'!$A$5:$A$804,A179,'成交明细'!$C$5:$C$804,"卖")-SUMIFS('成交明细'!$F$5:$F$804,'成交明细'!$A$5:$A$804,A179,'成交明细'!$C$5:$C$804,"买")-Y179)</f>
        <v/>
      </c>
      <c r="AA179" s="53" t="str">
        <f>IF(AND(X179="已平仓",ISNUMBER(N179)),(Z179+Y179)/N179,"")</f>
        <v/>
      </c>
      <c r="AB179" s="53" t="str">
        <f>IF(AND(X179="已平仓",ISNUMBER(N179)),Z179/N179,"")</f>
        <v/>
      </c>
      <c r="AC179" s="54" t="str">
        <f>IF(AND(ISNUMBER(U179),ISNUMBER(H179)),U179-H179,"")</f>
        <v/>
      </c>
      <c r="AD179" s="27" t="n"/>
      <c r="AE179" s="27" t="n"/>
      <c r="AF179" s="32" t="n"/>
      <c r="AG179" s="53" t="str">
        <f>IF(A179="","",SUM(AB$5:AB179))</f>
        <v/>
      </c>
      <c r="AH179" s="55" t="str">
        <f>IF(A179="","",MAX(0,MAX(AG$5:AG179))-AG179)</f>
        <v/>
      </c>
    </row>
    <row r="180">
      <c r="A180" s="46" t="n"/>
      <c r="B180" s="31" t="n"/>
      <c r="C180" s="32" t="n"/>
      <c r="D180" s="27" t="n"/>
      <c r="E180" s="47" t="str">
        <f>IF(D180="","",IFERROR(VLOOKUP(D180,'参数'!$B$21:$C$26,2,FALSE),""))</f>
        <v/>
      </c>
      <c r="F180" s="27" t="n"/>
      <c r="G180" s="43" t="str">
        <f>IF(NOT(ISNUMBER(B180)),"",IFERROR(IF(B180-INDEX('每日复盘'!$A$5:$A$264,MATCH(B180-1,'每日复盘'!$A$5:$A$264,1))&gt;7,"",T(INDEX('每日复盘'!$AA$5:$AA$264,MATCH(B180-1,'每日复盘'!$A$5:$A$264,1)))),""))</f>
        <v/>
      </c>
      <c r="H180" s="48" t="n"/>
      <c r="I180" s="48" t="n"/>
      <c r="J180" s="48" t="n"/>
      <c r="K180" s="49" t="str">
        <f>IF(AND(ISNUMBER(H180),ISNUMBER(I180),ISNUMBER(J180)),IF(H180&gt;I180,(J180-H180)/(H180-I180),""),"")</f>
        <v/>
      </c>
      <c r="L180" s="44" t="str">
        <f>IF(AND(ISNUMBER(H180),ISNUMBER(I180)),IF(H180&gt;I180,MIN(INT(ROUND('参数'!$C$7/(H180-I180)/100,6))*100,IF(ISNUMBER(E180),IF(H180-ROUND(ROUND(I180*(1-E180),4),2)&gt;0,INT(ROUND('参数'!$C$8/(H180-ROUND(ROUND(I180*(1-E180),4),2))/100,6))*100,0),INT(ROUND('参数'!$C$7/(H180-I180)/100,6))*100)),""),"")</f>
        <v/>
      </c>
      <c r="M180" s="17" t="n"/>
      <c r="N180" s="20" t="str">
        <f>IF(AND(ISNUMBER(H180),ISNUMBER(I180),ISNUMBER(M180)),IF(AND(H180&gt;I180,M180&gt;0),(H180-I180)*M180,""),"")</f>
        <v/>
      </c>
      <c r="O180" s="20" t="str">
        <f>IF(ISNUMBER(N180),IF(ISNUMBER(E180),(H180-ROUND(ROUND(I180*(1-E180),4),2))*M180,"不设限"),"")</f>
        <v/>
      </c>
      <c r="P180" s="32" t="n"/>
      <c r="Q180" s="27" t="n"/>
      <c r="R180" s="42" t="str">
        <f>IF(N(T180)&gt;0,SUMPRODUCT(LARGE(('成交明细'!$A$5:$A$804=A180)*('成交明细'!$C$5:$C$804="买")*'成交明细'!$B$5:$B$804,COUNTIFS('成交明细'!$A$5:$A$804,A180,'成交明细'!$C$5:$C$804,"买"))),"")</f>
        <v/>
      </c>
      <c r="S180" s="42" t="str">
        <f>IF(AND(N(T180)&gt;0,N(V180)&gt;=N(T180)),SUMPRODUCT(MAX(('成交明细'!$A$5:$A$804=A180)*('成交明细'!$C$5:$C$804="卖")*'成交明细'!$B$5:$B$804)),"")</f>
        <v/>
      </c>
      <c r="T180" s="44" t="str">
        <f>IF(A180="","",SUMIFS('成交明细'!$E$5:$E$804,'成交明细'!$A$5:$A$804,A180,'成交明细'!$C$5:$C$804,"买"))</f>
        <v/>
      </c>
      <c r="U180" s="50" t="str">
        <f>IF(N(T180)&gt;0,SUMIFS('成交明细'!$F$5:$F$804,'成交明细'!$A$5:$A$804,A180,'成交明细'!$C$5:$C$804,"买")/T180,"")</f>
        <v/>
      </c>
      <c r="V180" s="44" t="str">
        <f>IF(A180="","",SUMIFS('成交明细'!$E$5:$E$804,'成交明细'!$A$5:$A$804,A180,'成交明细'!$C$5:$C$804,"卖"))</f>
        <v/>
      </c>
      <c r="W180" s="50" t="str">
        <f>IF(N(V180)&gt;0,SUMIFS('成交明细'!$F$5:$F$804,'成交明细'!$A$5:$A$804,A180,'成交明细'!$C$5:$C$804,"卖")/V180,"")</f>
        <v/>
      </c>
      <c r="X180" s="36" t="str">
        <f>IF(A180="","",IF(Q180&lt;&gt;"已执行",IF(Q180="","未填执行情况",Q180),IF(N(T180)=0,"待录成交",IF(N(V180)&gt;N(T180),"卖出多于买入",IF(N(V180)&lt;N(T180),"持仓中","已平仓")))))</f>
        <v/>
      </c>
      <c r="Y180" s="51" t="str">
        <f>IF(N(T180)=0,"",SUMIFS('成交明细'!$K$5:$K$804,'成交明细'!$A$5:$A$804,A180))</f>
        <v/>
      </c>
      <c r="Z180" s="52" t="str">
        <f>IF(X180&lt;&gt;"已平仓","",SUMIFS('成交明细'!$F$5:$F$804,'成交明细'!$A$5:$A$804,A180,'成交明细'!$C$5:$C$804,"卖")-SUMIFS('成交明细'!$F$5:$F$804,'成交明细'!$A$5:$A$804,A180,'成交明细'!$C$5:$C$804,"买")-Y180)</f>
        <v/>
      </c>
      <c r="AA180" s="53" t="str">
        <f>IF(AND(X180="已平仓",ISNUMBER(N180)),(Z180+Y180)/N180,"")</f>
        <v/>
      </c>
      <c r="AB180" s="53" t="str">
        <f>IF(AND(X180="已平仓",ISNUMBER(N180)),Z180/N180,"")</f>
        <v/>
      </c>
      <c r="AC180" s="54" t="str">
        <f>IF(AND(ISNUMBER(U180),ISNUMBER(H180)),U180-H180,"")</f>
        <v/>
      </c>
      <c r="AD180" s="27" t="n"/>
      <c r="AE180" s="27" t="n"/>
      <c r="AF180" s="32" t="n"/>
      <c r="AG180" s="53" t="str">
        <f>IF(A180="","",SUM(AB$5:AB180))</f>
        <v/>
      </c>
      <c r="AH180" s="55" t="str">
        <f>IF(A180="","",MAX(0,MAX(AG$5:AG180))-AG180)</f>
        <v/>
      </c>
    </row>
    <row r="181">
      <c r="A181" s="46" t="n"/>
      <c r="B181" s="31" t="n"/>
      <c r="C181" s="32" t="n"/>
      <c r="D181" s="27" t="n"/>
      <c r="E181" s="47" t="str">
        <f>IF(D181="","",IFERROR(VLOOKUP(D181,'参数'!$B$21:$C$26,2,FALSE),""))</f>
        <v/>
      </c>
      <c r="F181" s="27" t="n"/>
      <c r="G181" s="43" t="str">
        <f>IF(NOT(ISNUMBER(B181)),"",IFERROR(IF(B181-INDEX('每日复盘'!$A$5:$A$264,MATCH(B181-1,'每日复盘'!$A$5:$A$264,1))&gt;7,"",T(INDEX('每日复盘'!$AA$5:$AA$264,MATCH(B181-1,'每日复盘'!$A$5:$A$264,1)))),""))</f>
        <v/>
      </c>
      <c r="H181" s="48" t="n"/>
      <c r="I181" s="48" t="n"/>
      <c r="J181" s="48" t="n"/>
      <c r="K181" s="49" t="str">
        <f>IF(AND(ISNUMBER(H181),ISNUMBER(I181),ISNUMBER(J181)),IF(H181&gt;I181,(J181-H181)/(H181-I181),""),"")</f>
        <v/>
      </c>
      <c r="L181" s="44" t="str">
        <f>IF(AND(ISNUMBER(H181),ISNUMBER(I181)),IF(H181&gt;I181,MIN(INT(ROUND('参数'!$C$7/(H181-I181)/100,6))*100,IF(ISNUMBER(E181),IF(H181-ROUND(ROUND(I181*(1-E181),4),2)&gt;0,INT(ROUND('参数'!$C$8/(H181-ROUND(ROUND(I181*(1-E181),4),2))/100,6))*100,0),INT(ROUND('参数'!$C$7/(H181-I181)/100,6))*100)),""),"")</f>
        <v/>
      </c>
      <c r="M181" s="17" t="n"/>
      <c r="N181" s="20" t="str">
        <f>IF(AND(ISNUMBER(H181),ISNUMBER(I181),ISNUMBER(M181)),IF(AND(H181&gt;I181,M181&gt;0),(H181-I181)*M181,""),"")</f>
        <v/>
      </c>
      <c r="O181" s="20" t="str">
        <f>IF(ISNUMBER(N181),IF(ISNUMBER(E181),(H181-ROUND(ROUND(I181*(1-E181),4),2))*M181,"不设限"),"")</f>
        <v/>
      </c>
      <c r="P181" s="32" t="n"/>
      <c r="Q181" s="27" t="n"/>
      <c r="R181" s="42" t="str">
        <f>IF(N(T181)&gt;0,SUMPRODUCT(LARGE(('成交明细'!$A$5:$A$804=A181)*('成交明细'!$C$5:$C$804="买")*'成交明细'!$B$5:$B$804,COUNTIFS('成交明细'!$A$5:$A$804,A181,'成交明细'!$C$5:$C$804,"买"))),"")</f>
        <v/>
      </c>
      <c r="S181" s="42" t="str">
        <f>IF(AND(N(T181)&gt;0,N(V181)&gt;=N(T181)),SUMPRODUCT(MAX(('成交明细'!$A$5:$A$804=A181)*('成交明细'!$C$5:$C$804="卖")*'成交明细'!$B$5:$B$804)),"")</f>
        <v/>
      </c>
      <c r="T181" s="44" t="str">
        <f>IF(A181="","",SUMIFS('成交明细'!$E$5:$E$804,'成交明细'!$A$5:$A$804,A181,'成交明细'!$C$5:$C$804,"买"))</f>
        <v/>
      </c>
      <c r="U181" s="50" t="str">
        <f>IF(N(T181)&gt;0,SUMIFS('成交明细'!$F$5:$F$804,'成交明细'!$A$5:$A$804,A181,'成交明细'!$C$5:$C$804,"买")/T181,"")</f>
        <v/>
      </c>
      <c r="V181" s="44" t="str">
        <f>IF(A181="","",SUMIFS('成交明细'!$E$5:$E$804,'成交明细'!$A$5:$A$804,A181,'成交明细'!$C$5:$C$804,"卖"))</f>
        <v/>
      </c>
      <c r="W181" s="50" t="str">
        <f>IF(N(V181)&gt;0,SUMIFS('成交明细'!$F$5:$F$804,'成交明细'!$A$5:$A$804,A181,'成交明细'!$C$5:$C$804,"卖")/V181,"")</f>
        <v/>
      </c>
      <c r="X181" s="36" t="str">
        <f>IF(A181="","",IF(Q181&lt;&gt;"已执行",IF(Q181="","未填执行情况",Q181),IF(N(T181)=0,"待录成交",IF(N(V181)&gt;N(T181),"卖出多于买入",IF(N(V181)&lt;N(T181),"持仓中","已平仓")))))</f>
        <v/>
      </c>
      <c r="Y181" s="51" t="str">
        <f>IF(N(T181)=0,"",SUMIFS('成交明细'!$K$5:$K$804,'成交明细'!$A$5:$A$804,A181))</f>
        <v/>
      </c>
      <c r="Z181" s="52" t="str">
        <f>IF(X181&lt;&gt;"已平仓","",SUMIFS('成交明细'!$F$5:$F$804,'成交明细'!$A$5:$A$804,A181,'成交明细'!$C$5:$C$804,"卖")-SUMIFS('成交明细'!$F$5:$F$804,'成交明细'!$A$5:$A$804,A181,'成交明细'!$C$5:$C$804,"买")-Y181)</f>
        <v/>
      </c>
      <c r="AA181" s="53" t="str">
        <f>IF(AND(X181="已平仓",ISNUMBER(N181)),(Z181+Y181)/N181,"")</f>
        <v/>
      </c>
      <c r="AB181" s="53" t="str">
        <f>IF(AND(X181="已平仓",ISNUMBER(N181)),Z181/N181,"")</f>
        <v/>
      </c>
      <c r="AC181" s="54" t="str">
        <f>IF(AND(ISNUMBER(U181),ISNUMBER(H181)),U181-H181,"")</f>
        <v/>
      </c>
      <c r="AD181" s="27" t="n"/>
      <c r="AE181" s="27" t="n"/>
      <c r="AF181" s="32" t="n"/>
      <c r="AG181" s="53" t="str">
        <f>IF(A181="","",SUM(AB$5:AB181))</f>
        <v/>
      </c>
      <c r="AH181" s="55" t="str">
        <f>IF(A181="","",MAX(0,MAX(AG$5:AG181))-AG181)</f>
        <v/>
      </c>
    </row>
    <row r="182">
      <c r="A182" s="46" t="n"/>
      <c r="B182" s="31" t="n"/>
      <c r="C182" s="32" t="n"/>
      <c r="D182" s="27" t="n"/>
      <c r="E182" s="47" t="str">
        <f>IF(D182="","",IFERROR(VLOOKUP(D182,'参数'!$B$21:$C$26,2,FALSE),""))</f>
        <v/>
      </c>
      <c r="F182" s="27" t="n"/>
      <c r="G182" s="43" t="str">
        <f>IF(NOT(ISNUMBER(B182)),"",IFERROR(IF(B182-INDEX('每日复盘'!$A$5:$A$264,MATCH(B182-1,'每日复盘'!$A$5:$A$264,1))&gt;7,"",T(INDEX('每日复盘'!$AA$5:$AA$264,MATCH(B182-1,'每日复盘'!$A$5:$A$264,1)))),""))</f>
        <v/>
      </c>
      <c r="H182" s="48" t="n"/>
      <c r="I182" s="48" t="n"/>
      <c r="J182" s="48" t="n"/>
      <c r="K182" s="49" t="str">
        <f>IF(AND(ISNUMBER(H182),ISNUMBER(I182),ISNUMBER(J182)),IF(H182&gt;I182,(J182-H182)/(H182-I182),""),"")</f>
        <v/>
      </c>
      <c r="L182" s="44" t="str">
        <f>IF(AND(ISNUMBER(H182),ISNUMBER(I182)),IF(H182&gt;I182,MIN(INT(ROUND('参数'!$C$7/(H182-I182)/100,6))*100,IF(ISNUMBER(E182),IF(H182-ROUND(ROUND(I182*(1-E182),4),2)&gt;0,INT(ROUND('参数'!$C$8/(H182-ROUND(ROUND(I182*(1-E182),4),2))/100,6))*100,0),INT(ROUND('参数'!$C$7/(H182-I182)/100,6))*100)),""),"")</f>
        <v/>
      </c>
      <c r="M182" s="17" t="n"/>
      <c r="N182" s="20" t="str">
        <f>IF(AND(ISNUMBER(H182),ISNUMBER(I182),ISNUMBER(M182)),IF(AND(H182&gt;I182,M182&gt;0),(H182-I182)*M182,""),"")</f>
        <v/>
      </c>
      <c r="O182" s="20" t="str">
        <f>IF(ISNUMBER(N182),IF(ISNUMBER(E182),(H182-ROUND(ROUND(I182*(1-E182),4),2))*M182,"不设限"),"")</f>
        <v/>
      </c>
      <c r="P182" s="32" t="n"/>
      <c r="Q182" s="27" t="n"/>
      <c r="R182" s="42" t="str">
        <f>IF(N(T182)&gt;0,SUMPRODUCT(LARGE(('成交明细'!$A$5:$A$804=A182)*('成交明细'!$C$5:$C$804="买")*'成交明细'!$B$5:$B$804,COUNTIFS('成交明细'!$A$5:$A$804,A182,'成交明细'!$C$5:$C$804,"买"))),"")</f>
        <v/>
      </c>
      <c r="S182" s="42" t="str">
        <f>IF(AND(N(T182)&gt;0,N(V182)&gt;=N(T182)),SUMPRODUCT(MAX(('成交明细'!$A$5:$A$804=A182)*('成交明细'!$C$5:$C$804="卖")*'成交明细'!$B$5:$B$804)),"")</f>
        <v/>
      </c>
      <c r="T182" s="44" t="str">
        <f>IF(A182="","",SUMIFS('成交明细'!$E$5:$E$804,'成交明细'!$A$5:$A$804,A182,'成交明细'!$C$5:$C$804,"买"))</f>
        <v/>
      </c>
      <c r="U182" s="50" t="str">
        <f>IF(N(T182)&gt;0,SUMIFS('成交明细'!$F$5:$F$804,'成交明细'!$A$5:$A$804,A182,'成交明细'!$C$5:$C$804,"买")/T182,"")</f>
        <v/>
      </c>
      <c r="V182" s="44" t="str">
        <f>IF(A182="","",SUMIFS('成交明细'!$E$5:$E$804,'成交明细'!$A$5:$A$804,A182,'成交明细'!$C$5:$C$804,"卖"))</f>
        <v/>
      </c>
      <c r="W182" s="50" t="str">
        <f>IF(N(V182)&gt;0,SUMIFS('成交明细'!$F$5:$F$804,'成交明细'!$A$5:$A$804,A182,'成交明细'!$C$5:$C$804,"卖")/V182,"")</f>
        <v/>
      </c>
      <c r="X182" s="36" t="str">
        <f>IF(A182="","",IF(Q182&lt;&gt;"已执行",IF(Q182="","未填执行情况",Q182),IF(N(T182)=0,"待录成交",IF(N(V182)&gt;N(T182),"卖出多于买入",IF(N(V182)&lt;N(T182),"持仓中","已平仓")))))</f>
        <v/>
      </c>
      <c r="Y182" s="51" t="str">
        <f>IF(N(T182)=0,"",SUMIFS('成交明细'!$K$5:$K$804,'成交明细'!$A$5:$A$804,A182))</f>
        <v/>
      </c>
      <c r="Z182" s="52" t="str">
        <f>IF(X182&lt;&gt;"已平仓","",SUMIFS('成交明细'!$F$5:$F$804,'成交明细'!$A$5:$A$804,A182,'成交明细'!$C$5:$C$804,"卖")-SUMIFS('成交明细'!$F$5:$F$804,'成交明细'!$A$5:$A$804,A182,'成交明细'!$C$5:$C$804,"买")-Y182)</f>
        <v/>
      </c>
      <c r="AA182" s="53" t="str">
        <f>IF(AND(X182="已平仓",ISNUMBER(N182)),(Z182+Y182)/N182,"")</f>
        <v/>
      </c>
      <c r="AB182" s="53" t="str">
        <f>IF(AND(X182="已平仓",ISNUMBER(N182)),Z182/N182,"")</f>
        <v/>
      </c>
      <c r="AC182" s="54" t="str">
        <f>IF(AND(ISNUMBER(U182),ISNUMBER(H182)),U182-H182,"")</f>
        <v/>
      </c>
      <c r="AD182" s="27" t="n"/>
      <c r="AE182" s="27" t="n"/>
      <c r="AF182" s="32" t="n"/>
      <c r="AG182" s="53" t="str">
        <f>IF(A182="","",SUM(AB$5:AB182))</f>
        <v/>
      </c>
      <c r="AH182" s="55" t="str">
        <f>IF(A182="","",MAX(0,MAX(AG$5:AG182))-AG182)</f>
        <v/>
      </c>
    </row>
    <row r="183">
      <c r="A183" s="46" t="n"/>
      <c r="B183" s="31" t="n"/>
      <c r="C183" s="32" t="n"/>
      <c r="D183" s="27" t="n"/>
      <c r="E183" s="47" t="str">
        <f>IF(D183="","",IFERROR(VLOOKUP(D183,'参数'!$B$21:$C$26,2,FALSE),""))</f>
        <v/>
      </c>
      <c r="F183" s="27" t="n"/>
      <c r="G183" s="43" t="str">
        <f>IF(NOT(ISNUMBER(B183)),"",IFERROR(IF(B183-INDEX('每日复盘'!$A$5:$A$264,MATCH(B183-1,'每日复盘'!$A$5:$A$264,1))&gt;7,"",T(INDEX('每日复盘'!$AA$5:$AA$264,MATCH(B183-1,'每日复盘'!$A$5:$A$264,1)))),""))</f>
        <v/>
      </c>
      <c r="H183" s="48" t="n"/>
      <c r="I183" s="48" t="n"/>
      <c r="J183" s="48" t="n"/>
      <c r="K183" s="49" t="str">
        <f>IF(AND(ISNUMBER(H183),ISNUMBER(I183),ISNUMBER(J183)),IF(H183&gt;I183,(J183-H183)/(H183-I183),""),"")</f>
        <v/>
      </c>
      <c r="L183" s="44" t="str">
        <f>IF(AND(ISNUMBER(H183),ISNUMBER(I183)),IF(H183&gt;I183,MIN(INT(ROUND('参数'!$C$7/(H183-I183)/100,6))*100,IF(ISNUMBER(E183),IF(H183-ROUND(ROUND(I183*(1-E183),4),2)&gt;0,INT(ROUND('参数'!$C$8/(H183-ROUND(ROUND(I183*(1-E183),4),2))/100,6))*100,0),INT(ROUND('参数'!$C$7/(H183-I183)/100,6))*100)),""),"")</f>
        <v/>
      </c>
      <c r="M183" s="17" t="n"/>
      <c r="N183" s="20" t="str">
        <f>IF(AND(ISNUMBER(H183),ISNUMBER(I183),ISNUMBER(M183)),IF(AND(H183&gt;I183,M183&gt;0),(H183-I183)*M183,""),"")</f>
        <v/>
      </c>
      <c r="O183" s="20" t="str">
        <f>IF(ISNUMBER(N183),IF(ISNUMBER(E183),(H183-ROUND(ROUND(I183*(1-E183),4),2))*M183,"不设限"),"")</f>
        <v/>
      </c>
      <c r="P183" s="32" t="n"/>
      <c r="Q183" s="27" t="n"/>
      <c r="R183" s="42" t="str">
        <f>IF(N(T183)&gt;0,SUMPRODUCT(LARGE(('成交明细'!$A$5:$A$804=A183)*('成交明细'!$C$5:$C$804="买")*'成交明细'!$B$5:$B$804,COUNTIFS('成交明细'!$A$5:$A$804,A183,'成交明细'!$C$5:$C$804,"买"))),"")</f>
        <v/>
      </c>
      <c r="S183" s="42" t="str">
        <f>IF(AND(N(T183)&gt;0,N(V183)&gt;=N(T183)),SUMPRODUCT(MAX(('成交明细'!$A$5:$A$804=A183)*('成交明细'!$C$5:$C$804="卖")*'成交明细'!$B$5:$B$804)),"")</f>
        <v/>
      </c>
      <c r="T183" s="44" t="str">
        <f>IF(A183="","",SUMIFS('成交明细'!$E$5:$E$804,'成交明细'!$A$5:$A$804,A183,'成交明细'!$C$5:$C$804,"买"))</f>
        <v/>
      </c>
      <c r="U183" s="50" t="str">
        <f>IF(N(T183)&gt;0,SUMIFS('成交明细'!$F$5:$F$804,'成交明细'!$A$5:$A$804,A183,'成交明细'!$C$5:$C$804,"买")/T183,"")</f>
        <v/>
      </c>
      <c r="V183" s="44" t="str">
        <f>IF(A183="","",SUMIFS('成交明细'!$E$5:$E$804,'成交明细'!$A$5:$A$804,A183,'成交明细'!$C$5:$C$804,"卖"))</f>
        <v/>
      </c>
      <c r="W183" s="50" t="str">
        <f>IF(N(V183)&gt;0,SUMIFS('成交明细'!$F$5:$F$804,'成交明细'!$A$5:$A$804,A183,'成交明细'!$C$5:$C$804,"卖")/V183,"")</f>
        <v/>
      </c>
      <c r="X183" s="36" t="str">
        <f>IF(A183="","",IF(Q183&lt;&gt;"已执行",IF(Q183="","未填执行情况",Q183),IF(N(T183)=0,"待录成交",IF(N(V183)&gt;N(T183),"卖出多于买入",IF(N(V183)&lt;N(T183),"持仓中","已平仓")))))</f>
        <v/>
      </c>
      <c r="Y183" s="51" t="str">
        <f>IF(N(T183)=0,"",SUMIFS('成交明细'!$K$5:$K$804,'成交明细'!$A$5:$A$804,A183))</f>
        <v/>
      </c>
      <c r="Z183" s="52" t="str">
        <f>IF(X183&lt;&gt;"已平仓","",SUMIFS('成交明细'!$F$5:$F$804,'成交明细'!$A$5:$A$804,A183,'成交明细'!$C$5:$C$804,"卖")-SUMIFS('成交明细'!$F$5:$F$804,'成交明细'!$A$5:$A$804,A183,'成交明细'!$C$5:$C$804,"买")-Y183)</f>
        <v/>
      </c>
      <c r="AA183" s="53" t="str">
        <f>IF(AND(X183="已平仓",ISNUMBER(N183)),(Z183+Y183)/N183,"")</f>
        <v/>
      </c>
      <c r="AB183" s="53" t="str">
        <f>IF(AND(X183="已平仓",ISNUMBER(N183)),Z183/N183,"")</f>
        <v/>
      </c>
      <c r="AC183" s="54" t="str">
        <f>IF(AND(ISNUMBER(U183),ISNUMBER(H183)),U183-H183,"")</f>
        <v/>
      </c>
      <c r="AD183" s="27" t="n"/>
      <c r="AE183" s="27" t="n"/>
      <c r="AF183" s="32" t="n"/>
      <c r="AG183" s="53" t="str">
        <f>IF(A183="","",SUM(AB$5:AB183))</f>
        <v/>
      </c>
      <c r="AH183" s="55" t="str">
        <f>IF(A183="","",MAX(0,MAX(AG$5:AG183))-AG183)</f>
        <v/>
      </c>
    </row>
    <row r="184">
      <c r="A184" s="46" t="n"/>
      <c r="B184" s="31" t="n"/>
      <c r="C184" s="32" t="n"/>
      <c r="D184" s="27" t="n"/>
      <c r="E184" s="47" t="str">
        <f>IF(D184="","",IFERROR(VLOOKUP(D184,'参数'!$B$21:$C$26,2,FALSE),""))</f>
        <v/>
      </c>
      <c r="F184" s="27" t="n"/>
      <c r="G184" s="43" t="str">
        <f>IF(NOT(ISNUMBER(B184)),"",IFERROR(IF(B184-INDEX('每日复盘'!$A$5:$A$264,MATCH(B184-1,'每日复盘'!$A$5:$A$264,1))&gt;7,"",T(INDEX('每日复盘'!$AA$5:$AA$264,MATCH(B184-1,'每日复盘'!$A$5:$A$264,1)))),""))</f>
        <v/>
      </c>
      <c r="H184" s="48" t="n"/>
      <c r="I184" s="48" t="n"/>
      <c r="J184" s="48" t="n"/>
      <c r="K184" s="49" t="str">
        <f>IF(AND(ISNUMBER(H184),ISNUMBER(I184),ISNUMBER(J184)),IF(H184&gt;I184,(J184-H184)/(H184-I184),""),"")</f>
        <v/>
      </c>
      <c r="L184" s="44" t="str">
        <f>IF(AND(ISNUMBER(H184),ISNUMBER(I184)),IF(H184&gt;I184,MIN(INT(ROUND('参数'!$C$7/(H184-I184)/100,6))*100,IF(ISNUMBER(E184),IF(H184-ROUND(ROUND(I184*(1-E184),4),2)&gt;0,INT(ROUND('参数'!$C$8/(H184-ROUND(ROUND(I184*(1-E184),4),2))/100,6))*100,0),INT(ROUND('参数'!$C$7/(H184-I184)/100,6))*100)),""),"")</f>
        <v/>
      </c>
      <c r="M184" s="17" t="n"/>
      <c r="N184" s="20" t="str">
        <f>IF(AND(ISNUMBER(H184),ISNUMBER(I184),ISNUMBER(M184)),IF(AND(H184&gt;I184,M184&gt;0),(H184-I184)*M184,""),"")</f>
        <v/>
      </c>
      <c r="O184" s="20" t="str">
        <f>IF(ISNUMBER(N184),IF(ISNUMBER(E184),(H184-ROUND(ROUND(I184*(1-E184),4),2))*M184,"不设限"),"")</f>
        <v/>
      </c>
      <c r="P184" s="32" t="n"/>
      <c r="Q184" s="27" t="n"/>
      <c r="R184" s="42" t="str">
        <f>IF(N(T184)&gt;0,SUMPRODUCT(LARGE(('成交明细'!$A$5:$A$804=A184)*('成交明细'!$C$5:$C$804="买")*'成交明细'!$B$5:$B$804,COUNTIFS('成交明细'!$A$5:$A$804,A184,'成交明细'!$C$5:$C$804,"买"))),"")</f>
        <v/>
      </c>
      <c r="S184" s="42" t="str">
        <f>IF(AND(N(T184)&gt;0,N(V184)&gt;=N(T184)),SUMPRODUCT(MAX(('成交明细'!$A$5:$A$804=A184)*('成交明细'!$C$5:$C$804="卖")*'成交明细'!$B$5:$B$804)),"")</f>
        <v/>
      </c>
      <c r="T184" s="44" t="str">
        <f>IF(A184="","",SUMIFS('成交明细'!$E$5:$E$804,'成交明细'!$A$5:$A$804,A184,'成交明细'!$C$5:$C$804,"买"))</f>
        <v/>
      </c>
      <c r="U184" s="50" t="str">
        <f>IF(N(T184)&gt;0,SUMIFS('成交明细'!$F$5:$F$804,'成交明细'!$A$5:$A$804,A184,'成交明细'!$C$5:$C$804,"买")/T184,"")</f>
        <v/>
      </c>
      <c r="V184" s="44" t="str">
        <f>IF(A184="","",SUMIFS('成交明细'!$E$5:$E$804,'成交明细'!$A$5:$A$804,A184,'成交明细'!$C$5:$C$804,"卖"))</f>
        <v/>
      </c>
      <c r="W184" s="50" t="str">
        <f>IF(N(V184)&gt;0,SUMIFS('成交明细'!$F$5:$F$804,'成交明细'!$A$5:$A$804,A184,'成交明细'!$C$5:$C$804,"卖")/V184,"")</f>
        <v/>
      </c>
      <c r="X184" s="36" t="str">
        <f>IF(A184="","",IF(Q184&lt;&gt;"已执行",IF(Q184="","未填执行情况",Q184),IF(N(T184)=0,"待录成交",IF(N(V184)&gt;N(T184),"卖出多于买入",IF(N(V184)&lt;N(T184),"持仓中","已平仓")))))</f>
        <v/>
      </c>
      <c r="Y184" s="51" t="str">
        <f>IF(N(T184)=0,"",SUMIFS('成交明细'!$K$5:$K$804,'成交明细'!$A$5:$A$804,A184))</f>
        <v/>
      </c>
      <c r="Z184" s="52" t="str">
        <f>IF(X184&lt;&gt;"已平仓","",SUMIFS('成交明细'!$F$5:$F$804,'成交明细'!$A$5:$A$804,A184,'成交明细'!$C$5:$C$804,"卖")-SUMIFS('成交明细'!$F$5:$F$804,'成交明细'!$A$5:$A$804,A184,'成交明细'!$C$5:$C$804,"买")-Y184)</f>
        <v/>
      </c>
      <c r="AA184" s="53" t="str">
        <f>IF(AND(X184="已平仓",ISNUMBER(N184)),(Z184+Y184)/N184,"")</f>
        <v/>
      </c>
      <c r="AB184" s="53" t="str">
        <f>IF(AND(X184="已平仓",ISNUMBER(N184)),Z184/N184,"")</f>
        <v/>
      </c>
      <c r="AC184" s="54" t="str">
        <f>IF(AND(ISNUMBER(U184),ISNUMBER(H184)),U184-H184,"")</f>
        <v/>
      </c>
      <c r="AD184" s="27" t="n"/>
      <c r="AE184" s="27" t="n"/>
      <c r="AF184" s="32" t="n"/>
      <c r="AG184" s="53" t="str">
        <f>IF(A184="","",SUM(AB$5:AB184))</f>
        <v/>
      </c>
      <c r="AH184" s="55" t="str">
        <f>IF(A184="","",MAX(0,MAX(AG$5:AG184))-AG184)</f>
        <v/>
      </c>
    </row>
    <row r="185">
      <c r="A185" s="46" t="n"/>
      <c r="B185" s="31" t="n"/>
      <c r="C185" s="32" t="n"/>
      <c r="D185" s="27" t="n"/>
      <c r="E185" s="47" t="str">
        <f>IF(D185="","",IFERROR(VLOOKUP(D185,'参数'!$B$21:$C$26,2,FALSE),""))</f>
        <v/>
      </c>
      <c r="F185" s="27" t="n"/>
      <c r="G185" s="43" t="str">
        <f>IF(NOT(ISNUMBER(B185)),"",IFERROR(IF(B185-INDEX('每日复盘'!$A$5:$A$264,MATCH(B185-1,'每日复盘'!$A$5:$A$264,1))&gt;7,"",T(INDEX('每日复盘'!$AA$5:$AA$264,MATCH(B185-1,'每日复盘'!$A$5:$A$264,1)))),""))</f>
        <v/>
      </c>
      <c r="H185" s="48" t="n"/>
      <c r="I185" s="48" t="n"/>
      <c r="J185" s="48" t="n"/>
      <c r="K185" s="49" t="str">
        <f>IF(AND(ISNUMBER(H185),ISNUMBER(I185),ISNUMBER(J185)),IF(H185&gt;I185,(J185-H185)/(H185-I185),""),"")</f>
        <v/>
      </c>
      <c r="L185" s="44" t="str">
        <f>IF(AND(ISNUMBER(H185),ISNUMBER(I185)),IF(H185&gt;I185,MIN(INT(ROUND('参数'!$C$7/(H185-I185)/100,6))*100,IF(ISNUMBER(E185),IF(H185-ROUND(ROUND(I185*(1-E185),4),2)&gt;0,INT(ROUND('参数'!$C$8/(H185-ROUND(ROUND(I185*(1-E185),4),2))/100,6))*100,0),INT(ROUND('参数'!$C$7/(H185-I185)/100,6))*100)),""),"")</f>
        <v/>
      </c>
      <c r="M185" s="17" t="n"/>
      <c r="N185" s="20" t="str">
        <f>IF(AND(ISNUMBER(H185),ISNUMBER(I185),ISNUMBER(M185)),IF(AND(H185&gt;I185,M185&gt;0),(H185-I185)*M185,""),"")</f>
        <v/>
      </c>
      <c r="O185" s="20" t="str">
        <f>IF(ISNUMBER(N185),IF(ISNUMBER(E185),(H185-ROUND(ROUND(I185*(1-E185),4),2))*M185,"不设限"),"")</f>
        <v/>
      </c>
      <c r="P185" s="32" t="n"/>
      <c r="Q185" s="27" t="n"/>
      <c r="R185" s="42" t="str">
        <f>IF(N(T185)&gt;0,SUMPRODUCT(LARGE(('成交明细'!$A$5:$A$804=A185)*('成交明细'!$C$5:$C$804="买")*'成交明细'!$B$5:$B$804,COUNTIFS('成交明细'!$A$5:$A$804,A185,'成交明细'!$C$5:$C$804,"买"))),"")</f>
        <v/>
      </c>
      <c r="S185" s="42" t="str">
        <f>IF(AND(N(T185)&gt;0,N(V185)&gt;=N(T185)),SUMPRODUCT(MAX(('成交明细'!$A$5:$A$804=A185)*('成交明细'!$C$5:$C$804="卖")*'成交明细'!$B$5:$B$804)),"")</f>
        <v/>
      </c>
      <c r="T185" s="44" t="str">
        <f>IF(A185="","",SUMIFS('成交明细'!$E$5:$E$804,'成交明细'!$A$5:$A$804,A185,'成交明细'!$C$5:$C$804,"买"))</f>
        <v/>
      </c>
      <c r="U185" s="50" t="str">
        <f>IF(N(T185)&gt;0,SUMIFS('成交明细'!$F$5:$F$804,'成交明细'!$A$5:$A$804,A185,'成交明细'!$C$5:$C$804,"买")/T185,"")</f>
        <v/>
      </c>
      <c r="V185" s="44" t="str">
        <f>IF(A185="","",SUMIFS('成交明细'!$E$5:$E$804,'成交明细'!$A$5:$A$804,A185,'成交明细'!$C$5:$C$804,"卖"))</f>
        <v/>
      </c>
      <c r="W185" s="50" t="str">
        <f>IF(N(V185)&gt;0,SUMIFS('成交明细'!$F$5:$F$804,'成交明细'!$A$5:$A$804,A185,'成交明细'!$C$5:$C$804,"卖")/V185,"")</f>
        <v/>
      </c>
      <c r="X185" s="36" t="str">
        <f>IF(A185="","",IF(Q185&lt;&gt;"已执行",IF(Q185="","未填执行情况",Q185),IF(N(T185)=0,"待录成交",IF(N(V185)&gt;N(T185),"卖出多于买入",IF(N(V185)&lt;N(T185),"持仓中","已平仓")))))</f>
        <v/>
      </c>
      <c r="Y185" s="51" t="str">
        <f>IF(N(T185)=0,"",SUMIFS('成交明细'!$K$5:$K$804,'成交明细'!$A$5:$A$804,A185))</f>
        <v/>
      </c>
      <c r="Z185" s="52" t="str">
        <f>IF(X185&lt;&gt;"已平仓","",SUMIFS('成交明细'!$F$5:$F$804,'成交明细'!$A$5:$A$804,A185,'成交明细'!$C$5:$C$804,"卖")-SUMIFS('成交明细'!$F$5:$F$804,'成交明细'!$A$5:$A$804,A185,'成交明细'!$C$5:$C$804,"买")-Y185)</f>
        <v/>
      </c>
      <c r="AA185" s="53" t="str">
        <f>IF(AND(X185="已平仓",ISNUMBER(N185)),(Z185+Y185)/N185,"")</f>
        <v/>
      </c>
      <c r="AB185" s="53" t="str">
        <f>IF(AND(X185="已平仓",ISNUMBER(N185)),Z185/N185,"")</f>
        <v/>
      </c>
      <c r="AC185" s="54" t="str">
        <f>IF(AND(ISNUMBER(U185),ISNUMBER(H185)),U185-H185,"")</f>
        <v/>
      </c>
      <c r="AD185" s="27" t="n"/>
      <c r="AE185" s="27" t="n"/>
      <c r="AF185" s="32" t="n"/>
      <c r="AG185" s="53" t="str">
        <f>IF(A185="","",SUM(AB$5:AB185))</f>
        <v/>
      </c>
      <c r="AH185" s="55" t="str">
        <f>IF(A185="","",MAX(0,MAX(AG$5:AG185))-AG185)</f>
        <v/>
      </c>
    </row>
    <row r="186">
      <c r="A186" s="46" t="n"/>
      <c r="B186" s="31" t="n"/>
      <c r="C186" s="32" t="n"/>
      <c r="D186" s="27" t="n"/>
      <c r="E186" s="47" t="str">
        <f>IF(D186="","",IFERROR(VLOOKUP(D186,'参数'!$B$21:$C$26,2,FALSE),""))</f>
        <v/>
      </c>
      <c r="F186" s="27" t="n"/>
      <c r="G186" s="43" t="str">
        <f>IF(NOT(ISNUMBER(B186)),"",IFERROR(IF(B186-INDEX('每日复盘'!$A$5:$A$264,MATCH(B186-1,'每日复盘'!$A$5:$A$264,1))&gt;7,"",T(INDEX('每日复盘'!$AA$5:$AA$264,MATCH(B186-1,'每日复盘'!$A$5:$A$264,1)))),""))</f>
        <v/>
      </c>
      <c r="H186" s="48" t="n"/>
      <c r="I186" s="48" t="n"/>
      <c r="J186" s="48" t="n"/>
      <c r="K186" s="49" t="str">
        <f>IF(AND(ISNUMBER(H186),ISNUMBER(I186),ISNUMBER(J186)),IF(H186&gt;I186,(J186-H186)/(H186-I186),""),"")</f>
        <v/>
      </c>
      <c r="L186" s="44" t="str">
        <f>IF(AND(ISNUMBER(H186),ISNUMBER(I186)),IF(H186&gt;I186,MIN(INT(ROUND('参数'!$C$7/(H186-I186)/100,6))*100,IF(ISNUMBER(E186),IF(H186-ROUND(ROUND(I186*(1-E186),4),2)&gt;0,INT(ROUND('参数'!$C$8/(H186-ROUND(ROUND(I186*(1-E186),4),2))/100,6))*100,0),INT(ROUND('参数'!$C$7/(H186-I186)/100,6))*100)),""),"")</f>
        <v/>
      </c>
      <c r="M186" s="17" t="n"/>
      <c r="N186" s="20" t="str">
        <f>IF(AND(ISNUMBER(H186),ISNUMBER(I186),ISNUMBER(M186)),IF(AND(H186&gt;I186,M186&gt;0),(H186-I186)*M186,""),"")</f>
        <v/>
      </c>
      <c r="O186" s="20" t="str">
        <f>IF(ISNUMBER(N186),IF(ISNUMBER(E186),(H186-ROUND(ROUND(I186*(1-E186),4),2))*M186,"不设限"),"")</f>
        <v/>
      </c>
      <c r="P186" s="32" t="n"/>
      <c r="Q186" s="27" t="n"/>
      <c r="R186" s="42" t="str">
        <f>IF(N(T186)&gt;0,SUMPRODUCT(LARGE(('成交明细'!$A$5:$A$804=A186)*('成交明细'!$C$5:$C$804="买")*'成交明细'!$B$5:$B$804,COUNTIFS('成交明细'!$A$5:$A$804,A186,'成交明细'!$C$5:$C$804,"买"))),"")</f>
        <v/>
      </c>
      <c r="S186" s="42" t="str">
        <f>IF(AND(N(T186)&gt;0,N(V186)&gt;=N(T186)),SUMPRODUCT(MAX(('成交明细'!$A$5:$A$804=A186)*('成交明细'!$C$5:$C$804="卖")*'成交明细'!$B$5:$B$804)),"")</f>
        <v/>
      </c>
      <c r="T186" s="44" t="str">
        <f>IF(A186="","",SUMIFS('成交明细'!$E$5:$E$804,'成交明细'!$A$5:$A$804,A186,'成交明细'!$C$5:$C$804,"买"))</f>
        <v/>
      </c>
      <c r="U186" s="50" t="str">
        <f>IF(N(T186)&gt;0,SUMIFS('成交明细'!$F$5:$F$804,'成交明细'!$A$5:$A$804,A186,'成交明细'!$C$5:$C$804,"买")/T186,"")</f>
        <v/>
      </c>
      <c r="V186" s="44" t="str">
        <f>IF(A186="","",SUMIFS('成交明细'!$E$5:$E$804,'成交明细'!$A$5:$A$804,A186,'成交明细'!$C$5:$C$804,"卖"))</f>
        <v/>
      </c>
      <c r="W186" s="50" t="str">
        <f>IF(N(V186)&gt;0,SUMIFS('成交明细'!$F$5:$F$804,'成交明细'!$A$5:$A$804,A186,'成交明细'!$C$5:$C$804,"卖")/V186,"")</f>
        <v/>
      </c>
      <c r="X186" s="36" t="str">
        <f>IF(A186="","",IF(Q186&lt;&gt;"已执行",IF(Q186="","未填执行情况",Q186),IF(N(T186)=0,"待录成交",IF(N(V186)&gt;N(T186),"卖出多于买入",IF(N(V186)&lt;N(T186),"持仓中","已平仓")))))</f>
        <v/>
      </c>
      <c r="Y186" s="51" t="str">
        <f>IF(N(T186)=0,"",SUMIFS('成交明细'!$K$5:$K$804,'成交明细'!$A$5:$A$804,A186))</f>
        <v/>
      </c>
      <c r="Z186" s="52" t="str">
        <f>IF(X186&lt;&gt;"已平仓","",SUMIFS('成交明细'!$F$5:$F$804,'成交明细'!$A$5:$A$804,A186,'成交明细'!$C$5:$C$804,"卖")-SUMIFS('成交明细'!$F$5:$F$804,'成交明细'!$A$5:$A$804,A186,'成交明细'!$C$5:$C$804,"买")-Y186)</f>
        <v/>
      </c>
      <c r="AA186" s="53" t="str">
        <f>IF(AND(X186="已平仓",ISNUMBER(N186)),(Z186+Y186)/N186,"")</f>
        <v/>
      </c>
      <c r="AB186" s="53" t="str">
        <f>IF(AND(X186="已平仓",ISNUMBER(N186)),Z186/N186,"")</f>
        <v/>
      </c>
      <c r="AC186" s="54" t="str">
        <f>IF(AND(ISNUMBER(U186),ISNUMBER(H186)),U186-H186,"")</f>
        <v/>
      </c>
      <c r="AD186" s="27" t="n"/>
      <c r="AE186" s="27" t="n"/>
      <c r="AF186" s="32" t="n"/>
      <c r="AG186" s="53" t="str">
        <f>IF(A186="","",SUM(AB$5:AB186))</f>
        <v/>
      </c>
      <c r="AH186" s="55" t="str">
        <f>IF(A186="","",MAX(0,MAX(AG$5:AG186))-AG186)</f>
        <v/>
      </c>
    </row>
    <row r="187">
      <c r="A187" s="46" t="n"/>
      <c r="B187" s="31" t="n"/>
      <c r="C187" s="32" t="n"/>
      <c r="D187" s="27" t="n"/>
      <c r="E187" s="47" t="str">
        <f>IF(D187="","",IFERROR(VLOOKUP(D187,'参数'!$B$21:$C$26,2,FALSE),""))</f>
        <v/>
      </c>
      <c r="F187" s="27" t="n"/>
      <c r="G187" s="43" t="str">
        <f>IF(NOT(ISNUMBER(B187)),"",IFERROR(IF(B187-INDEX('每日复盘'!$A$5:$A$264,MATCH(B187-1,'每日复盘'!$A$5:$A$264,1))&gt;7,"",T(INDEX('每日复盘'!$AA$5:$AA$264,MATCH(B187-1,'每日复盘'!$A$5:$A$264,1)))),""))</f>
        <v/>
      </c>
      <c r="H187" s="48" t="n"/>
      <c r="I187" s="48" t="n"/>
      <c r="J187" s="48" t="n"/>
      <c r="K187" s="49" t="str">
        <f>IF(AND(ISNUMBER(H187),ISNUMBER(I187),ISNUMBER(J187)),IF(H187&gt;I187,(J187-H187)/(H187-I187),""),"")</f>
        <v/>
      </c>
      <c r="L187" s="44" t="str">
        <f>IF(AND(ISNUMBER(H187),ISNUMBER(I187)),IF(H187&gt;I187,MIN(INT(ROUND('参数'!$C$7/(H187-I187)/100,6))*100,IF(ISNUMBER(E187),IF(H187-ROUND(ROUND(I187*(1-E187),4),2)&gt;0,INT(ROUND('参数'!$C$8/(H187-ROUND(ROUND(I187*(1-E187),4),2))/100,6))*100,0),INT(ROUND('参数'!$C$7/(H187-I187)/100,6))*100)),""),"")</f>
        <v/>
      </c>
      <c r="M187" s="17" t="n"/>
      <c r="N187" s="20" t="str">
        <f>IF(AND(ISNUMBER(H187),ISNUMBER(I187),ISNUMBER(M187)),IF(AND(H187&gt;I187,M187&gt;0),(H187-I187)*M187,""),"")</f>
        <v/>
      </c>
      <c r="O187" s="20" t="str">
        <f>IF(ISNUMBER(N187),IF(ISNUMBER(E187),(H187-ROUND(ROUND(I187*(1-E187),4),2))*M187,"不设限"),"")</f>
        <v/>
      </c>
      <c r="P187" s="32" t="n"/>
      <c r="Q187" s="27" t="n"/>
      <c r="R187" s="42" t="str">
        <f>IF(N(T187)&gt;0,SUMPRODUCT(LARGE(('成交明细'!$A$5:$A$804=A187)*('成交明细'!$C$5:$C$804="买")*'成交明细'!$B$5:$B$804,COUNTIFS('成交明细'!$A$5:$A$804,A187,'成交明细'!$C$5:$C$804,"买"))),"")</f>
        <v/>
      </c>
      <c r="S187" s="42" t="str">
        <f>IF(AND(N(T187)&gt;0,N(V187)&gt;=N(T187)),SUMPRODUCT(MAX(('成交明细'!$A$5:$A$804=A187)*('成交明细'!$C$5:$C$804="卖")*'成交明细'!$B$5:$B$804)),"")</f>
        <v/>
      </c>
      <c r="T187" s="44" t="str">
        <f>IF(A187="","",SUMIFS('成交明细'!$E$5:$E$804,'成交明细'!$A$5:$A$804,A187,'成交明细'!$C$5:$C$804,"买"))</f>
        <v/>
      </c>
      <c r="U187" s="50" t="str">
        <f>IF(N(T187)&gt;0,SUMIFS('成交明细'!$F$5:$F$804,'成交明细'!$A$5:$A$804,A187,'成交明细'!$C$5:$C$804,"买")/T187,"")</f>
        <v/>
      </c>
      <c r="V187" s="44" t="str">
        <f>IF(A187="","",SUMIFS('成交明细'!$E$5:$E$804,'成交明细'!$A$5:$A$804,A187,'成交明细'!$C$5:$C$804,"卖"))</f>
        <v/>
      </c>
      <c r="W187" s="50" t="str">
        <f>IF(N(V187)&gt;0,SUMIFS('成交明细'!$F$5:$F$804,'成交明细'!$A$5:$A$804,A187,'成交明细'!$C$5:$C$804,"卖")/V187,"")</f>
        <v/>
      </c>
      <c r="X187" s="36" t="str">
        <f>IF(A187="","",IF(Q187&lt;&gt;"已执行",IF(Q187="","未填执行情况",Q187),IF(N(T187)=0,"待录成交",IF(N(V187)&gt;N(T187),"卖出多于买入",IF(N(V187)&lt;N(T187),"持仓中","已平仓")))))</f>
        <v/>
      </c>
      <c r="Y187" s="51" t="str">
        <f>IF(N(T187)=0,"",SUMIFS('成交明细'!$K$5:$K$804,'成交明细'!$A$5:$A$804,A187))</f>
        <v/>
      </c>
      <c r="Z187" s="52" t="str">
        <f>IF(X187&lt;&gt;"已平仓","",SUMIFS('成交明细'!$F$5:$F$804,'成交明细'!$A$5:$A$804,A187,'成交明细'!$C$5:$C$804,"卖")-SUMIFS('成交明细'!$F$5:$F$804,'成交明细'!$A$5:$A$804,A187,'成交明细'!$C$5:$C$804,"买")-Y187)</f>
        <v/>
      </c>
      <c r="AA187" s="53" t="str">
        <f>IF(AND(X187="已平仓",ISNUMBER(N187)),(Z187+Y187)/N187,"")</f>
        <v/>
      </c>
      <c r="AB187" s="53" t="str">
        <f>IF(AND(X187="已平仓",ISNUMBER(N187)),Z187/N187,"")</f>
        <v/>
      </c>
      <c r="AC187" s="54" t="str">
        <f>IF(AND(ISNUMBER(U187),ISNUMBER(H187)),U187-H187,"")</f>
        <v/>
      </c>
      <c r="AD187" s="27" t="n"/>
      <c r="AE187" s="27" t="n"/>
      <c r="AF187" s="32" t="n"/>
      <c r="AG187" s="53" t="str">
        <f>IF(A187="","",SUM(AB$5:AB187))</f>
        <v/>
      </c>
      <c r="AH187" s="55" t="str">
        <f>IF(A187="","",MAX(0,MAX(AG$5:AG187))-AG187)</f>
        <v/>
      </c>
    </row>
    <row r="188">
      <c r="A188" s="46" t="n"/>
      <c r="B188" s="31" t="n"/>
      <c r="C188" s="32" t="n"/>
      <c r="D188" s="27" t="n"/>
      <c r="E188" s="47" t="str">
        <f>IF(D188="","",IFERROR(VLOOKUP(D188,'参数'!$B$21:$C$26,2,FALSE),""))</f>
        <v/>
      </c>
      <c r="F188" s="27" t="n"/>
      <c r="G188" s="43" t="str">
        <f>IF(NOT(ISNUMBER(B188)),"",IFERROR(IF(B188-INDEX('每日复盘'!$A$5:$A$264,MATCH(B188-1,'每日复盘'!$A$5:$A$264,1))&gt;7,"",T(INDEX('每日复盘'!$AA$5:$AA$264,MATCH(B188-1,'每日复盘'!$A$5:$A$264,1)))),""))</f>
        <v/>
      </c>
      <c r="H188" s="48" t="n"/>
      <c r="I188" s="48" t="n"/>
      <c r="J188" s="48" t="n"/>
      <c r="K188" s="49" t="str">
        <f>IF(AND(ISNUMBER(H188),ISNUMBER(I188),ISNUMBER(J188)),IF(H188&gt;I188,(J188-H188)/(H188-I188),""),"")</f>
        <v/>
      </c>
      <c r="L188" s="44" t="str">
        <f>IF(AND(ISNUMBER(H188),ISNUMBER(I188)),IF(H188&gt;I188,MIN(INT(ROUND('参数'!$C$7/(H188-I188)/100,6))*100,IF(ISNUMBER(E188),IF(H188-ROUND(ROUND(I188*(1-E188),4),2)&gt;0,INT(ROUND('参数'!$C$8/(H188-ROUND(ROUND(I188*(1-E188),4),2))/100,6))*100,0),INT(ROUND('参数'!$C$7/(H188-I188)/100,6))*100)),""),"")</f>
        <v/>
      </c>
      <c r="M188" s="17" t="n"/>
      <c r="N188" s="20" t="str">
        <f>IF(AND(ISNUMBER(H188),ISNUMBER(I188),ISNUMBER(M188)),IF(AND(H188&gt;I188,M188&gt;0),(H188-I188)*M188,""),"")</f>
        <v/>
      </c>
      <c r="O188" s="20" t="str">
        <f>IF(ISNUMBER(N188),IF(ISNUMBER(E188),(H188-ROUND(ROUND(I188*(1-E188),4),2))*M188,"不设限"),"")</f>
        <v/>
      </c>
      <c r="P188" s="32" t="n"/>
      <c r="Q188" s="27" t="n"/>
      <c r="R188" s="42" t="str">
        <f>IF(N(T188)&gt;0,SUMPRODUCT(LARGE(('成交明细'!$A$5:$A$804=A188)*('成交明细'!$C$5:$C$804="买")*'成交明细'!$B$5:$B$804,COUNTIFS('成交明细'!$A$5:$A$804,A188,'成交明细'!$C$5:$C$804,"买"))),"")</f>
        <v/>
      </c>
      <c r="S188" s="42" t="str">
        <f>IF(AND(N(T188)&gt;0,N(V188)&gt;=N(T188)),SUMPRODUCT(MAX(('成交明细'!$A$5:$A$804=A188)*('成交明细'!$C$5:$C$804="卖")*'成交明细'!$B$5:$B$804)),"")</f>
        <v/>
      </c>
      <c r="T188" s="44" t="str">
        <f>IF(A188="","",SUMIFS('成交明细'!$E$5:$E$804,'成交明细'!$A$5:$A$804,A188,'成交明细'!$C$5:$C$804,"买"))</f>
        <v/>
      </c>
      <c r="U188" s="50" t="str">
        <f>IF(N(T188)&gt;0,SUMIFS('成交明细'!$F$5:$F$804,'成交明细'!$A$5:$A$804,A188,'成交明细'!$C$5:$C$804,"买")/T188,"")</f>
        <v/>
      </c>
      <c r="V188" s="44" t="str">
        <f>IF(A188="","",SUMIFS('成交明细'!$E$5:$E$804,'成交明细'!$A$5:$A$804,A188,'成交明细'!$C$5:$C$804,"卖"))</f>
        <v/>
      </c>
      <c r="W188" s="50" t="str">
        <f>IF(N(V188)&gt;0,SUMIFS('成交明细'!$F$5:$F$804,'成交明细'!$A$5:$A$804,A188,'成交明细'!$C$5:$C$804,"卖")/V188,"")</f>
        <v/>
      </c>
      <c r="X188" s="36" t="str">
        <f>IF(A188="","",IF(Q188&lt;&gt;"已执行",IF(Q188="","未填执行情况",Q188),IF(N(T188)=0,"待录成交",IF(N(V188)&gt;N(T188),"卖出多于买入",IF(N(V188)&lt;N(T188),"持仓中","已平仓")))))</f>
        <v/>
      </c>
      <c r="Y188" s="51" t="str">
        <f>IF(N(T188)=0,"",SUMIFS('成交明细'!$K$5:$K$804,'成交明细'!$A$5:$A$804,A188))</f>
        <v/>
      </c>
      <c r="Z188" s="52" t="str">
        <f>IF(X188&lt;&gt;"已平仓","",SUMIFS('成交明细'!$F$5:$F$804,'成交明细'!$A$5:$A$804,A188,'成交明细'!$C$5:$C$804,"卖")-SUMIFS('成交明细'!$F$5:$F$804,'成交明细'!$A$5:$A$804,A188,'成交明细'!$C$5:$C$804,"买")-Y188)</f>
        <v/>
      </c>
      <c r="AA188" s="53" t="str">
        <f>IF(AND(X188="已平仓",ISNUMBER(N188)),(Z188+Y188)/N188,"")</f>
        <v/>
      </c>
      <c r="AB188" s="53" t="str">
        <f>IF(AND(X188="已平仓",ISNUMBER(N188)),Z188/N188,"")</f>
        <v/>
      </c>
      <c r="AC188" s="54" t="str">
        <f>IF(AND(ISNUMBER(U188),ISNUMBER(H188)),U188-H188,"")</f>
        <v/>
      </c>
      <c r="AD188" s="27" t="n"/>
      <c r="AE188" s="27" t="n"/>
      <c r="AF188" s="32" t="n"/>
      <c r="AG188" s="53" t="str">
        <f>IF(A188="","",SUM(AB$5:AB188))</f>
        <v/>
      </c>
      <c r="AH188" s="55" t="str">
        <f>IF(A188="","",MAX(0,MAX(AG$5:AG188))-AG188)</f>
        <v/>
      </c>
    </row>
    <row r="189">
      <c r="A189" s="46" t="n"/>
      <c r="B189" s="31" t="n"/>
      <c r="C189" s="32" t="n"/>
      <c r="D189" s="27" t="n"/>
      <c r="E189" s="47" t="str">
        <f>IF(D189="","",IFERROR(VLOOKUP(D189,'参数'!$B$21:$C$26,2,FALSE),""))</f>
        <v/>
      </c>
      <c r="F189" s="27" t="n"/>
      <c r="G189" s="43" t="str">
        <f>IF(NOT(ISNUMBER(B189)),"",IFERROR(IF(B189-INDEX('每日复盘'!$A$5:$A$264,MATCH(B189-1,'每日复盘'!$A$5:$A$264,1))&gt;7,"",T(INDEX('每日复盘'!$AA$5:$AA$264,MATCH(B189-1,'每日复盘'!$A$5:$A$264,1)))),""))</f>
        <v/>
      </c>
      <c r="H189" s="48" t="n"/>
      <c r="I189" s="48" t="n"/>
      <c r="J189" s="48" t="n"/>
      <c r="K189" s="49" t="str">
        <f>IF(AND(ISNUMBER(H189),ISNUMBER(I189),ISNUMBER(J189)),IF(H189&gt;I189,(J189-H189)/(H189-I189),""),"")</f>
        <v/>
      </c>
      <c r="L189" s="44" t="str">
        <f>IF(AND(ISNUMBER(H189),ISNUMBER(I189)),IF(H189&gt;I189,MIN(INT(ROUND('参数'!$C$7/(H189-I189)/100,6))*100,IF(ISNUMBER(E189),IF(H189-ROUND(ROUND(I189*(1-E189),4),2)&gt;0,INT(ROUND('参数'!$C$8/(H189-ROUND(ROUND(I189*(1-E189),4),2))/100,6))*100,0),INT(ROUND('参数'!$C$7/(H189-I189)/100,6))*100)),""),"")</f>
        <v/>
      </c>
      <c r="M189" s="17" t="n"/>
      <c r="N189" s="20" t="str">
        <f>IF(AND(ISNUMBER(H189),ISNUMBER(I189),ISNUMBER(M189)),IF(AND(H189&gt;I189,M189&gt;0),(H189-I189)*M189,""),"")</f>
        <v/>
      </c>
      <c r="O189" s="20" t="str">
        <f>IF(ISNUMBER(N189),IF(ISNUMBER(E189),(H189-ROUND(ROUND(I189*(1-E189),4),2))*M189,"不设限"),"")</f>
        <v/>
      </c>
      <c r="P189" s="32" t="n"/>
      <c r="Q189" s="27" t="n"/>
      <c r="R189" s="42" t="str">
        <f>IF(N(T189)&gt;0,SUMPRODUCT(LARGE(('成交明细'!$A$5:$A$804=A189)*('成交明细'!$C$5:$C$804="买")*'成交明细'!$B$5:$B$804,COUNTIFS('成交明细'!$A$5:$A$804,A189,'成交明细'!$C$5:$C$804,"买"))),"")</f>
        <v/>
      </c>
      <c r="S189" s="42" t="str">
        <f>IF(AND(N(T189)&gt;0,N(V189)&gt;=N(T189)),SUMPRODUCT(MAX(('成交明细'!$A$5:$A$804=A189)*('成交明细'!$C$5:$C$804="卖")*'成交明细'!$B$5:$B$804)),"")</f>
        <v/>
      </c>
      <c r="T189" s="44" t="str">
        <f>IF(A189="","",SUMIFS('成交明细'!$E$5:$E$804,'成交明细'!$A$5:$A$804,A189,'成交明细'!$C$5:$C$804,"买"))</f>
        <v/>
      </c>
      <c r="U189" s="50" t="str">
        <f>IF(N(T189)&gt;0,SUMIFS('成交明细'!$F$5:$F$804,'成交明细'!$A$5:$A$804,A189,'成交明细'!$C$5:$C$804,"买")/T189,"")</f>
        <v/>
      </c>
      <c r="V189" s="44" t="str">
        <f>IF(A189="","",SUMIFS('成交明细'!$E$5:$E$804,'成交明细'!$A$5:$A$804,A189,'成交明细'!$C$5:$C$804,"卖"))</f>
        <v/>
      </c>
      <c r="W189" s="50" t="str">
        <f>IF(N(V189)&gt;0,SUMIFS('成交明细'!$F$5:$F$804,'成交明细'!$A$5:$A$804,A189,'成交明细'!$C$5:$C$804,"卖")/V189,"")</f>
        <v/>
      </c>
      <c r="X189" s="36" t="str">
        <f>IF(A189="","",IF(Q189&lt;&gt;"已执行",IF(Q189="","未填执行情况",Q189),IF(N(T189)=0,"待录成交",IF(N(V189)&gt;N(T189),"卖出多于买入",IF(N(V189)&lt;N(T189),"持仓中","已平仓")))))</f>
        <v/>
      </c>
      <c r="Y189" s="51" t="str">
        <f>IF(N(T189)=0,"",SUMIFS('成交明细'!$K$5:$K$804,'成交明细'!$A$5:$A$804,A189))</f>
        <v/>
      </c>
      <c r="Z189" s="52" t="str">
        <f>IF(X189&lt;&gt;"已平仓","",SUMIFS('成交明细'!$F$5:$F$804,'成交明细'!$A$5:$A$804,A189,'成交明细'!$C$5:$C$804,"卖")-SUMIFS('成交明细'!$F$5:$F$804,'成交明细'!$A$5:$A$804,A189,'成交明细'!$C$5:$C$804,"买")-Y189)</f>
        <v/>
      </c>
      <c r="AA189" s="53" t="str">
        <f>IF(AND(X189="已平仓",ISNUMBER(N189)),(Z189+Y189)/N189,"")</f>
        <v/>
      </c>
      <c r="AB189" s="53" t="str">
        <f>IF(AND(X189="已平仓",ISNUMBER(N189)),Z189/N189,"")</f>
        <v/>
      </c>
      <c r="AC189" s="54" t="str">
        <f>IF(AND(ISNUMBER(U189),ISNUMBER(H189)),U189-H189,"")</f>
        <v/>
      </c>
      <c r="AD189" s="27" t="n"/>
      <c r="AE189" s="27" t="n"/>
      <c r="AF189" s="32" t="n"/>
      <c r="AG189" s="53" t="str">
        <f>IF(A189="","",SUM(AB$5:AB189))</f>
        <v/>
      </c>
      <c r="AH189" s="55" t="str">
        <f>IF(A189="","",MAX(0,MAX(AG$5:AG189))-AG189)</f>
        <v/>
      </c>
    </row>
    <row r="190">
      <c r="A190" s="46" t="n"/>
      <c r="B190" s="31" t="n"/>
      <c r="C190" s="32" t="n"/>
      <c r="D190" s="27" t="n"/>
      <c r="E190" s="47" t="str">
        <f>IF(D190="","",IFERROR(VLOOKUP(D190,'参数'!$B$21:$C$26,2,FALSE),""))</f>
        <v/>
      </c>
      <c r="F190" s="27" t="n"/>
      <c r="G190" s="43" t="str">
        <f>IF(NOT(ISNUMBER(B190)),"",IFERROR(IF(B190-INDEX('每日复盘'!$A$5:$A$264,MATCH(B190-1,'每日复盘'!$A$5:$A$264,1))&gt;7,"",T(INDEX('每日复盘'!$AA$5:$AA$264,MATCH(B190-1,'每日复盘'!$A$5:$A$264,1)))),""))</f>
        <v/>
      </c>
      <c r="H190" s="48" t="n"/>
      <c r="I190" s="48" t="n"/>
      <c r="J190" s="48" t="n"/>
      <c r="K190" s="49" t="str">
        <f>IF(AND(ISNUMBER(H190),ISNUMBER(I190),ISNUMBER(J190)),IF(H190&gt;I190,(J190-H190)/(H190-I190),""),"")</f>
        <v/>
      </c>
      <c r="L190" s="44" t="str">
        <f>IF(AND(ISNUMBER(H190),ISNUMBER(I190)),IF(H190&gt;I190,MIN(INT(ROUND('参数'!$C$7/(H190-I190)/100,6))*100,IF(ISNUMBER(E190),IF(H190-ROUND(ROUND(I190*(1-E190),4),2)&gt;0,INT(ROUND('参数'!$C$8/(H190-ROUND(ROUND(I190*(1-E190),4),2))/100,6))*100,0),INT(ROUND('参数'!$C$7/(H190-I190)/100,6))*100)),""),"")</f>
        <v/>
      </c>
      <c r="M190" s="17" t="n"/>
      <c r="N190" s="20" t="str">
        <f>IF(AND(ISNUMBER(H190),ISNUMBER(I190),ISNUMBER(M190)),IF(AND(H190&gt;I190,M190&gt;0),(H190-I190)*M190,""),"")</f>
        <v/>
      </c>
      <c r="O190" s="20" t="str">
        <f>IF(ISNUMBER(N190),IF(ISNUMBER(E190),(H190-ROUND(ROUND(I190*(1-E190),4),2))*M190,"不设限"),"")</f>
        <v/>
      </c>
      <c r="P190" s="32" t="n"/>
      <c r="Q190" s="27" t="n"/>
      <c r="R190" s="42" t="str">
        <f>IF(N(T190)&gt;0,SUMPRODUCT(LARGE(('成交明细'!$A$5:$A$804=A190)*('成交明细'!$C$5:$C$804="买")*'成交明细'!$B$5:$B$804,COUNTIFS('成交明细'!$A$5:$A$804,A190,'成交明细'!$C$5:$C$804,"买"))),"")</f>
        <v/>
      </c>
      <c r="S190" s="42" t="str">
        <f>IF(AND(N(T190)&gt;0,N(V190)&gt;=N(T190)),SUMPRODUCT(MAX(('成交明细'!$A$5:$A$804=A190)*('成交明细'!$C$5:$C$804="卖")*'成交明细'!$B$5:$B$804)),"")</f>
        <v/>
      </c>
      <c r="T190" s="44" t="str">
        <f>IF(A190="","",SUMIFS('成交明细'!$E$5:$E$804,'成交明细'!$A$5:$A$804,A190,'成交明细'!$C$5:$C$804,"买"))</f>
        <v/>
      </c>
      <c r="U190" s="50" t="str">
        <f>IF(N(T190)&gt;0,SUMIFS('成交明细'!$F$5:$F$804,'成交明细'!$A$5:$A$804,A190,'成交明细'!$C$5:$C$804,"买")/T190,"")</f>
        <v/>
      </c>
      <c r="V190" s="44" t="str">
        <f>IF(A190="","",SUMIFS('成交明细'!$E$5:$E$804,'成交明细'!$A$5:$A$804,A190,'成交明细'!$C$5:$C$804,"卖"))</f>
        <v/>
      </c>
      <c r="W190" s="50" t="str">
        <f>IF(N(V190)&gt;0,SUMIFS('成交明细'!$F$5:$F$804,'成交明细'!$A$5:$A$804,A190,'成交明细'!$C$5:$C$804,"卖")/V190,"")</f>
        <v/>
      </c>
      <c r="X190" s="36" t="str">
        <f>IF(A190="","",IF(Q190&lt;&gt;"已执行",IF(Q190="","未填执行情况",Q190),IF(N(T190)=0,"待录成交",IF(N(V190)&gt;N(T190),"卖出多于买入",IF(N(V190)&lt;N(T190),"持仓中","已平仓")))))</f>
        <v/>
      </c>
      <c r="Y190" s="51" t="str">
        <f>IF(N(T190)=0,"",SUMIFS('成交明细'!$K$5:$K$804,'成交明细'!$A$5:$A$804,A190))</f>
        <v/>
      </c>
      <c r="Z190" s="52" t="str">
        <f>IF(X190&lt;&gt;"已平仓","",SUMIFS('成交明细'!$F$5:$F$804,'成交明细'!$A$5:$A$804,A190,'成交明细'!$C$5:$C$804,"卖")-SUMIFS('成交明细'!$F$5:$F$804,'成交明细'!$A$5:$A$804,A190,'成交明细'!$C$5:$C$804,"买")-Y190)</f>
        <v/>
      </c>
      <c r="AA190" s="53" t="str">
        <f>IF(AND(X190="已平仓",ISNUMBER(N190)),(Z190+Y190)/N190,"")</f>
        <v/>
      </c>
      <c r="AB190" s="53" t="str">
        <f>IF(AND(X190="已平仓",ISNUMBER(N190)),Z190/N190,"")</f>
        <v/>
      </c>
      <c r="AC190" s="54" t="str">
        <f>IF(AND(ISNUMBER(U190),ISNUMBER(H190)),U190-H190,"")</f>
        <v/>
      </c>
      <c r="AD190" s="27" t="n"/>
      <c r="AE190" s="27" t="n"/>
      <c r="AF190" s="32" t="n"/>
      <c r="AG190" s="53" t="str">
        <f>IF(A190="","",SUM(AB$5:AB190))</f>
        <v/>
      </c>
      <c r="AH190" s="55" t="str">
        <f>IF(A190="","",MAX(0,MAX(AG$5:AG190))-AG190)</f>
        <v/>
      </c>
    </row>
    <row r="191">
      <c r="A191" s="46" t="n"/>
      <c r="B191" s="31" t="n"/>
      <c r="C191" s="32" t="n"/>
      <c r="D191" s="27" t="n"/>
      <c r="E191" s="47" t="str">
        <f>IF(D191="","",IFERROR(VLOOKUP(D191,'参数'!$B$21:$C$26,2,FALSE),""))</f>
        <v/>
      </c>
      <c r="F191" s="27" t="n"/>
      <c r="G191" s="43" t="str">
        <f>IF(NOT(ISNUMBER(B191)),"",IFERROR(IF(B191-INDEX('每日复盘'!$A$5:$A$264,MATCH(B191-1,'每日复盘'!$A$5:$A$264,1))&gt;7,"",T(INDEX('每日复盘'!$AA$5:$AA$264,MATCH(B191-1,'每日复盘'!$A$5:$A$264,1)))),""))</f>
        <v/>
      </c>
      <c r="H191" s="48" t="n"/>
      <c r="I191" s="48" t="n"/>
      <c r="J191" s="48" t="n"/>
      <c r="K191" s="49" t="str">
        <f>IF(AND(ISNUMBER(H191),ISNUMBER(I191),ISNUMBER(J191)),IF(H191&gt;I191,(J191-H191)/(H191-I191),""),"")</f>
        <v/>
      </c>
      <c r="L191" s="44" t="str">
        <f>IF(AND(ISNUMBER(H191),ISNUMBER(I191)),IF(H191&gt;I191,MIN(INT(ROUND('参数'!$C$7/(H191-I191)/100,6))*100,IF(ISNUMBER(E191),IF(H191-ROUND(ROUND(I191*(1-E191),4),2)&gt;0,INT(ROUND('参数'!$C$8/(H191-ROUND(ROUND(I191*(1-E191),4),2))/100,6))*100,0),INT(ROUND('参数'!$C$7/(H191-I191)/100,6))*100)),""),"")</f>
        <v/>
      </c>
      <c r="M191" s="17" t="n"/>
      <c r="N191" s="20" t="str">
        <f>IF(AND(ISNUMBER(H191),ISNUMBER(I191),ISNUMBER(M191)),IF(AND(H191&gt;I191,M191&gt;0),(H191-I191)*M191,""),"")</f>
        <v/>
      </c>
      <c r="O191" s="20" t="str">
        <f>IF(ISNUMBER(N191),IF(ISNUMBER(E191),(H191-ROUND(ROUND(I191*(1-E191),4),2))*M191,"不设限"),"")</f>
        <v/>
      </c>
      <c r="P191" s="32" t="n"/>
      <c r="Q191" s="27" t="n"/>
      <c r="R191" s="42" t="str">
        <f>IF(N(T191)&gt;0,SUMPRODUCT(LARGE(('成交明细'!$A$5:$A$804=A191)*('成交明细'!$C$5:$C$804="买")*'成交明细'!$B$5:$B$804,COUNTIFS('成交明细'!$A$5:$A$804,A191,'成交明细'!$C$5:$C$804,"买"))),"")</f>
        <v/>
      </c>
      <c r="S191" s="42" t="str">
        <f>IF(AND(N(T191)&gt;0,N(V191)&gt;=N(T191)),SUMPRODUCT(MAX(('成交明细'!$A$5:$A$804=A191)*('成交明细'!$C$5:$C$804="卖")*'成交明细'!$B$5:$B$804)),"")</f>
        <v/>
      </c>
      <c r="T191" s="44" t="str">
        <f>IF(A191="","",SUMIFS('成交明细'!$E$5:$E$804,'成交明细'!$A$5:$A$804,A191,'成交明细'!$C$5:$C$804,"买"))</f>
        <v/>
      </c>
      <c r="U191" s="50" t="str">
        <f>IF(N(T191)&gt;0,SUMIFS('成交明细'!$F$5:$F$804,'成交明细'!$A$5:$A$804,A191,'成交明细'!$C$5:$C$804,"买")/T191,"")</f>
        <v/>
      </c>
      <c r="V191" s="44" t="str">
        <f>IF(A191="","",SUMIFS('成交明细'!$E$5:$E$804,'成交明细'!$A$5:$A$804,A191,'成交明细'!$C$5:$C$804,"卖"))</f>
        <v/>
      </c>
      <c r="W191" s="50" t="str">
        <f>IF(N(V191)&gt;0,SUMIFS('成交明细'!$F$5:$F$804,'成交明细'!$A$5:$A$804,A191,'成交明细'!$C$5:$C$804,"卖")/V191,"")</f>
        <v/>
      </c>
      <c r="X191" s="36" t="str">
        <f>IF(A191="","",IF(Q191&lt;&gt;"已执行",IF(Q191="","未填执行情况",Q191),IF(N(T191)=0,"待录成交",IF(N(V191)&gt;N(T191),"卖出多于买入",IF(N(V191)&lt;N(T191),"持仓中","已平仓")))))</f>
        <v/>
      </c>
      <c r="Y191" s="51" t="str">
        <f>IF(N(T191)=0,"",SUMIFS('成交明细'!$K$5:$K$804,'成交明细'!$A$5:$A$804,A191))</f>
        <v/>
      </c>
      <c r="Z191" s="52" t="str">
        <f>IF(X191&lt;&gt;"已平仓","",SUMIFS('成交明细'!$F$5:$F$804,'成交明细'!$A$5:$A$804,A191,'成交明细'!$C$5:$C$804,"卖")-SUMIFS('成交明细'!$F$5:$F$804,'成交明细'!$A$5:$A$804,A191,'成交明细'!$C$5:$C$804,"买")-Y191)</f>
        <v/>
      </c>
      <c r="AA191" s="53" t="str">
        <f>IF(AND(X191="已平仓",ISNUMBER(N191)),(Z191+Y191)/N191,"")</f>
        <v/>
      </c>
      <c r="AB191" s="53" t="str">
        <f>IF(AND(X191="已平仓",ISNUMBER(N191)),Z191/N191,"")</f>
        <v/>
      </c>
      <c r="AC191" s="54" t="str">
        <f>IF(AND(ISNUMBER(U191),ISNUMBER(H191)),U191-H191,"")</f>
        <v/>
      </c>
      <c r="AD191" s="27" t="n"/>
      <c r="AE191" s="27" t="n"/>
      <c r="AF191" s="32" t="n"/>
      <c r="AG191" s="53" t="str">
        <f>IF(A191="","",SUM(AB$5:AB191))</f>
        <v/>
      </c>
      <c r="AH191" s="55" t="str">
        <f>IF(A191="","",MAX(0,MAX(AG$5:AG191))-AG191)</f>
        <v/>
      </c>
    </row>
    <row r="192">
      <c r="A192" s="46" t="n"/>
      <c r="B192" s="31" t="n"/>
      <c r="C192" s="32" t="n"/>
      <c r="D192" s="27" t="n"/>
      <c r="E192" s="47" t="str">
        <f>IF(D192="","",IFERROR(VLOOKUP(D192,'参数'!$B$21:$C$26,2,FALSE),""))</f>
        <v/>
      </c>
      <c r="F192" s="27" t="n"/>
      <c r="G192" s="43" t="str">
        <f>IF(NOT(ISNUMBER(B192)),"",IFERROR(IF(B192-INDEX('每日复盘'!$A$5:$A$264,MATCH(B192-1,'每日复盘'!$A$5:$A$264,1))&gt;7,"",T(INDEX('每日复盘'!$AA$5:$AA$264,MATCH(B192-1,'每日复盘'!$A$5:$A$264,1)))),""))</f>
        <v/>
      </c>
      <c r="H192" s="48" t="n"/>
      <c r="I192" s="48" t="n"/>
      <c r="J192" s="48" t="n"/>
      <c r="K192" s="49" t="str">
        <f>IF(AND(ISNUMBER(H192),ISNUMBER(I192),ISNUMBER(J192)),IF(H192&gt;I192,(J192-H192)/(H192-I192),""),"")</f>
        <v/>
      </c>
      <c r="L192" s="44" t="str">
        <f>IF(AND(ISNUMBER(H192),ISNUMBER(I192)),IF(H192&gt;I192,MIN(INT(ROUND('参数'!$C$7/(H192-I192)/100,6))*100,IF(ISNUMBER(E192),IF(H192-ROUND(ROUND(I192*(1-E192),4),2)&gt;0,INT(ROUND('参数'!$C$8/(H192-ROUND(ROUND(I192*(1-E192),4),2))/100,6))*100,0),INT(ROUND('参数'!$C$7/(H192-I192)/100,6))*100)),""),"")</f>
        <v/>
      </c>
      <c r="M192" s="17" t="n"/>
      <c r="N192" s="20" t="str">
        <f>IF(AND(ISNUMBER(H192),ISNUMBER(I192),ISNUMBER(M192)),IF(AND(H192&gt;I192,M192&gt;0),(H192-I192)*M192,""),"")</f>
        <v/>
      </c>
      <c r="O192" s="20" t="str">
        <f>IF(ISNUMBER(N192),IF(ISNUMBER(E192),(H192-ROUND(ROUND(I192*(1-E192),4),2))*M192,"不设限"),"")</f>
        <v/>
      </c>
      <c r="P192" s="32" t="n"/>
      <c r="Q192" s="27" t="n"/>
      <c r="R192" s="42" t="str">
        <f>IF(N(T192)&gt;0,SUMPRODUCT(LARGE(('成交明细'!$A$5:$A$804=A192)*('成交明细'!$C$5:$C$804="买")*'成交明细'!$B$5:$B$804,COUNTIFS('成交明细'!$A$5:$A$804,A192,'成交明细'!$C$5:$C$804,"买"))),"")</f>
        <v/>
      </c>
      <c r="S192" s="42" t="str">
        <f>IF(AND(N(T192)&gt;0,N(V192)&gt;=N(T192)),SUMPRODUCT(MAX(('成交明细'!$A$5:$A$804=A192)*('成交明细'!$C$5:$C$804="卖")*'成交明细'!$B$5:$B$804)),"")</f>
        <v/>
      </c>
      <c r="T192" s="44" t="str">
        <f>IF(A192="","",SUMIFS('成交明细'!$E$5:$E$804,'成交明细'!$A$5:$A$804,A192,'成交明细'!$C$5:$C$804,"买"))</f>
        <v/>
      </c>
      <c r="U192" s="50" t="str">
        <f>IF(N(T192)&gt;0,SUMIFS('成交明细'!$F$5:$F$804,'成交明细'!$A$5:$A$804,A192,'成交明细'!$C$5:$C$804,"买")/T192,"")</f>
        <v/>
      </c>
      <c r="V192" s="44" t="str">
        <f>IF(A192="","",SUMIFS('成交明细'!$E$5:$E$804,'成交明细'!$A$5:$A$804,A192,'成交明细'!$C$5:$C$804,"卖"))</f>
        <v/>
      </c>
      <c r="W192" s="50" t="str">
        <f>IF(N(V192)&gt;0,SUMIFS('成交明细'!$F$5:$F$804,'成交明细'!$A$5:$A$804,A192,'成交明细'!$C$5:$C$804,"卖")/V192,"")</f>
        <v/>
      </c>
      <c r="X192" s="36" t="str">
        <f>IF(A192="","",IF(Q192&lt;&gt;"已执行",IF(Q192="","未填执行情况",Q192),IF(N(T192)=0,"待录成交",IF(N(V192)&gt;N(T192),"卖出多于买入",IF(N(V192)&lt;N(T192),"持仓中","已平仓")))))</f>
        <v/>
      </c>
      <c r="Y192" s="51" t="str">
        <f>IF(N(T192)=0,"",SUMIFS('成交明细'!$K$5:$K$804,'成交明细'!$A$5:$A$804,A192))</f>
        <v/>
      </c>
      <c r="Z192" s="52" t="str">
        <f>IF(X192&lt;&gt;"已平仓","",SUMIFS('成交明细'!$F$5:$F$804,'成交明细'!$A$5:$A$804,A192,'成交明细'!$C$5:$C$804,"卖")-SUMIFS('成交明细'!$F$5:$F$804,'成交明细'!$A$5:$A$804,A192,'成交明细'!$C$5:$C$804,"买")-Y192)</f>
        <v/>
      </c>
      <c r="AA192" s="53" t="str">
        <f>IF(AND(X192="已平仓",ISNUMBER(N192)),(Z192+Y192)/N192,"")</f>
        <v/>
      </c>
      <c r="AB192" s="53" t="str">
        <f>IF(AND(X192="已平仓",ISNUMBER(N192)),Z192/N192,"")</f>
        <v/>
      </c>
      <c r="AC192" s="54" t="str">
        <f>IF(AND(ISNUMBER(U192),ISNUMBER(H192)),U192-H192,"")</f>
        <v/>
      </c>
      <c r="AD192" s="27" t="n"/>
      <c r="AE192" s="27" t="n"/>
      <c r="AF192" s="32" t="n"/>
      <c r="AG192" s="53" t="str">
        <f>IF(A192="","",SUM(AB$5:AB192))</f>
        <v/>
      </c>
      <c r="AH192" s="55" t="str">
        <f>IF(A192="","",MAX(0,MAX(AG$5:AG192))-AG192)</f>
        <v/>
      </c>
    </row>
    <row r="193">
      <c r="A193" s="46" t="n"/>
      <c r="B193" s="31" t="n"/>
      <c r="C193" s="32" t="n"/>
      <c r="D193" s="27" t="n"/>
      <c r="E193" s="47" t="str">
        <f>IF(D193="","",IFERROR(VLOOKUP(D193,'参数'!$B$21:$C$26,2,FALSE),""))</f>
        <v/>
      </c>
      <c r="F193" s="27" t="n"/>
      <c r="G193" s="43" t="str">
        <f>IF(NOT(ISNUMBER(B193)),"",IFERROR(IF(B193-INDEX('每日复盘'!$A$5:$A$264,MATCH(B193-1,'每日复盘'!$A$5:$A$264,1))&gt;7,"",T(INDEX('每日复盘'!$AA$5:$AA$264,MATCH(B193-1,'每日复盘'!$A$5:$A$264,1)))),""))</f>
        <v/>
      </c>
      <c r="H193" s="48" t="n"/>
      <c r="I193" s="48" t="n"/>
      <c r="J193" s="48" t="n"/>
      <c r="K193" s="49" t="str">
        <f>IF(AND(ISNUMBER(H193),ISNUMBER(I193),ISNUMBER(J193)),IF(H193&gt;I193,(J193-H193)/(H193-I193),""),"")</f>
        <v/>
      </c>
      <c r="L193" s="44" t="str">
        <f>IF(AND(ISNUMBER(H193),ISNUMBER(I193)),IF(H193&gt;I193,MIN(INT(ROUND('参数'!$C$7/(H193-I193)/100,6))*100,IF(ISNUMBER(E193),IF(H193-ROUND(ROUND(I193*(1-E193),4),2)&gt;0,INT(ROUND('参数'!$C$8/(H193-ROUND(ROUND(I193*(1-E193),4),2))/100,6))*100,0),INT(ROUND('参数'!$C$7/(H193-I193)/100,6))*100)),""),"")</f>
        <v/>
      </c>
      <c r="M193" s="17" t="n"/>
      <c r="N193" s="20" t="str">
        <f>IF(AND(ISNUMBER(H193),ISNUMBER(I193),ISNUMBER(M193)),IF(AND(H193&gt;I193,M193&gt;0),(H193-I193)*M193,""),"")</f>
        <v/>
      </c>
      <c r="O193" s="20" t="str">
        <f>IF(ISNUMBER(N193),IF(ISNUMBER(E193),(H193-ROUND(ROUND(I193*(1-E193),4),2))*M193,"不设限"),"")</f>
        <v/>
      </c>
      <c r="P193" s="32" t="n"/>
      <c r="Q193" s="27" t="n"/>
      <c r="R193" s="42" t="str">
        <f>IF(N(T193)&gt;0,SUMPRODUCT(LARGE(('成交明细'!$A$5:$A$804=A193)*('成交明细'!$C$5:$C$804="买")*'成交明细'!$B$5:$B$804,COUNTIFS('成交明细'!$A$5:$A$804,A193,'成交明细'!$C$5:$C$804,"买"))),"")</f>
        <v/>
      </c>
      <c r="S193" s="42" t="str">
        <f>IF(AND(N(T193)&gt;0,N(V193)&gt;=N(T193)),SUMPRODUCT(MAX(('成交明细'!$A$5:$A$804=A193)*('成交明细'!$C$5:$C$804="卖")*'成交明细'!$B$5:$B$804)),"")</f>
        <v/>
      </c>
      <c r="T193" s="44" t="str">
        <f>IF(A193="","",SUMIFS('成交明细'!$E$5:$E$804,'成交明细'!$A$5:$A$804,A193,'成交明细'!$C$5:$C$804,"买"))</f>
        <v/>
      </c>
      <c r="U193" s="50" t="str">
        <f>IF(N(T193)&gt;0,SUMIFS('成交明细'!$F$5:$F$804,'成交明细'!$A$5:$A$804,A193,'成交明细'!$C$5:$C$804,"买")/T193,"")</f>
        <v/>
      </c>
      <c r="V193" s="44" t="str">
        <f>IF(A193="","",SUMIFS('成交明细'!$E$5:$E$804,'成交明细'!$A$5:$A$804,A193,'成交明细'!$C$5:$C$804,"卖"))</f>
        <v/>
      </c>
      <c r="W193" s="50" t="str">
        <f>IF(N(V193)&gt;0,SUMIFS('成交明细'!$F$5:$F$804,'成交明细'!$A$5:$A$804,A193,'成交明细'!$C$5:$C$804,"卖")/V193,"")</f>
        <v/>
      </c>
      <c r="X193" s="36" t="str">
        <f>IF(A193="","",IF(Q193&lt;&gt;"已执行",IF(Q193="","未填执行情况",Q193),IF(N(T193)=0,"待录成交",IF(N(V193)&gt;N(T193),"卖出多于买入",IF(N(V193)&lt;N(T193),"持仓中","已平仓")))))</f>
        <v/>
      </c>
      <c r="Y193" s="51" t="str">
        <f>IF(N(T193)=0,"",SUMIFS('成交明细'!$K$5:$K$804,'成交明细'!$A$5:$A$804,A193))</f>
        <v/>
      </c>
      <c r="Z193" s="52" t="str">
        <f>IF(X193&lt;&gt;"已平仓","",SUMIFS('成交明细'!$F$5:$F$804,'成交明细'!$A$5:$A$804,A193,'成交明细'!$C$5:$C$804,"卖")-SUMIFS('成交明细'!$F$5:$F$804,'成交明细'!$A$5:$A$804,A193,'成交明细'!$C$5:$C$804,"买")-Y193)</f>
        <v/>
      </c>
      <c r="AA193" s="53" t="str">
        <f>IF(AND(X193="已平仓",ISNUMBER(N193)),(Z193+Y193)/N193,"")</f>
        <v/>
      </c>
      <c r="AB193" s="53" t="str">
        <f>IF(AND(X193="已平仓",ISNUMBER(N193)),Z193/N193,"")</f>
        <v/>
      </c>
      <c r="AC193" s="54" t="str">
        <f>IF(AND(ISNUMBER(U193),ISNUMBER(H193)),U193-H193,"")</f>
        <v/>
      </c>
      <c r="AD193" s="27" t="n"/>
      <c r="AE193" s="27" t="n"/>
      <c r="AF193" s="32" t="n"/>
      <c r="AG193" s="53" t="str">
        <f>IF(A193="","",SUM(AB$5:AB193))</f>
        <v/>
      </c>
      <c r="AH193" s="55" t="str">
        <f>IF(A193="","",MAX(0,MAX(AG$5:AG193))-AG193)</f>
        <v/>
      </c>
    </row>
    <row r="194">
      <c r="A194" s="46" t="n"/>
      <c r="B194" s="31" t="n"/>
      <c r="C194" s="32" t="n"/>
      <c r="D194" s="27" t="n"/>
      <c r="E194" s="47" t="str">
        <f>IF(D194="","",IFERROR(VLOOKUP(D194,'参数'!$B$21:$C$26,2,FALSE),""))</f>
        <v/>
      </c>
      <c r="F194" s="27" t="n"/>
      <c r="G194" s="43" t="str">
        <f>IF(NOT(ISNUMBER(B194)),"",IFERROR(IF(B194-INDEX('每日复盘'!$A$5:$A$264,MATCH(B194-1,'每日复盘'!$A$5:$A$264,1))&gt;7,"",T(INDEX('每日复盘'!$AA$5:$AA$264,MATCH(B194-1,'每日复盘'!$A$5:$A$264,1)))),""))</f>
        <v/>
      </c>
      <c r="H194" s="48" t="n"/>
      <c r="I194" s="48" t="n"/>
      <c r="J194" s="48" t="n"/>
      <c r="K194" s="49" t="str">
        <f>IF(AND(ISNUMBER(H194),ISNUMBER(I194),ISNUMBER(J194)),IF(H194&gt;I194,(J194-H194)/(H194-I194),""),"")</f>
        <v/>
      </c>
      <c r="L194" s="44" t="str">
        <f>IF(AND(ISNUMBER(H194),ISNUMBER(I194)),IF(H194&gt;I194,MIN(INT(ROUND('参数'!$C$7/(H194-I194)/100,6))*100,IF(ISNUMBER(E194),IF(H194-ROUND(ROUND(I194*(1-E194),4),2)&gt;0,INT(ROUND('参数'!$C$8/(H194-ROUND(ROUND(I194*(1-E194),4),2))/100,6))*100,0),INT(ROUND('参数'!$C$7/(H194-I194)/100,6))*100)),""),"")</f>
        <v/>
      </c>
      <c r="M194" s="17" t="n"/>
      <c r="N194" s="20" t="str">
        <f>IF(AND(ISNUMBER(H194),ISNUMBER(I194),ISNUMBER(M194)),IF(AND(H194&gt;I194,M194&gt;0),(H194-I194)*M194,""),"")</f>
        <v/>
      </c>
      <c r="O194" s="20" t="str">
        <f>IF(ISNUMBER(N194),IF(ISNUMBER(E194),(H194-ROUND(ROUND(I194*(1-E194),4),2))*M194,"不设限"),"")</f>
        <v/>
      </c>
      <c r="P194" s="32" t="n"/>
      <c r="Q194" s="27" t="n"/>
      <c r="R194" s="42" t="str">
        <f>IF(N(T194)&gt;0,SUMPRODUCT(LARGE(('成交明细'!$A$5:$A$804=A194)*('成交明细'!$C$5:$C$804="买")*'成交明细'!$B$5:$B$804,COUNTIFS('成交明细'!$A$5:$A$804,A194,'成交明细'!$C$5:$C$804,"买"))),"")</f>
        <v/>
      </c>
      <c r="S194" s="42" t="str">
        <f>IF(AND(N(T194)&gt;0,N(V194)&gt;=N(T194)),SUMPRODUCT(MAX(('成交明细'!$A$5:$A$804=A194)*('成交明细'!$C$5:$C$804="卖")*'成交明细'!$B$5:$B$804)),"")</f>
        <v/>
      </c>
      <c r="T194" s="44" t="str">
        <f>IF(A194="","",SUMIFS('成交明细'!$E$5:$E$804,'成交明细'!$A$5:$A$804,A194,'成交明细'!$C$5:$C$804,"买"))</f>
        <v/>
      </c>
      <c r="U194" s="50" t="str">
        <f>IF(N(T194)&gt;0,SUMIFS('成交明细'!$F$5:$F$804,'成交明细'!$A$5:$A$804,A194,'成交明细'!$C$5:$C$804,"买")/T194,"")</f>
        <v/>
      </c>
      <c r="V194" s="44" t="str">
        <f>IF(A194="","",SUMIFS('成交明细'!$E$5:$E$804,'成交明细'!$A$5:$A$804,A194,'成交明细'!$C$5:$C$804,"卖"))</f>
        <v/>
      </c>
      <c r="W194" s="50" t="str">
        <f>IF(N(V194)&gt;0,SUMIFS('成交明细'!$F$5:$F$804,'成交明细'!$A$5:$A$804,A194,'成交明细'!$C$5:$C$804,"卖")/V194,"")</f>
        <v/>
      </c>
      <c r="X194" s="36" t="str">
        <f>IF(A194="","",IF(Q194&lt;&gt;"已执行",IF(Q194="","未填执行情况",Q194),IF(N(T194)=0,"待录成交",IF(N(V194)&gt;N(T194),"卖出多于买入",IF(N(V194)&lt;N(T194),"持仓中","已平仓")))))</f>
        <v/>
      </c>
      <c r="Y194" s="51" t="str">
        <f>IF(N(T194)=0,"",SUMIFS('成交明细'!$K$5:$K$804,'成交明细'!$A$5:$A$804,A194))</f>
        <v/>
      </c>
      <c r="Z194" s="52" t="str">
        <f>IF(X194&lt;&gt;"已平仓","",SUMIFS('成交明细'!$F$5:$F$804,'成交明细'!$A$5:$A$804,A194,'成交明细'!$C$5:$C$804,"卖")-SUMIFS('成交明细'!$F$5:$F$804,'成交明细'!$A$5:$A$804,A194,'成交明细'!$C$5:$C$804,"买")-Y194)</f>
        <v/>
      </c>
      <c r="AA194" s="53" t="str">
        <f>IF(AND(X194="已平仓",ISNUMBER(N194)),(Z194+Y194)/N194,"")</f>
        <v/>
      </c>
      <c r="AB194" s="53" t="str">
        <f>IF(AND(X194="已平仓",ISNUMBER(N194)),Z194/N194,"")</f>
        <v/>
      </c>
      <c r="AC194" s="54" t="str">
        <f>IF(AND(ISNUMBER(U194),ISNUMBER(H194)),U194-H194,"")</f>
        <v/>
      </c>
      <c r="AD194" s="27" t="n"/>
      <c r="AE194" s="27" t="n"/>
      <c r="AF194" s="32" t="n"/>
      <c r="AG194" s="53" t="str">
        <f>IF(A194="","",SUM(AB$5:AB194))</f>
        <v/>
      </c>
      <c r="AH194" s="55" t="str">
        <f>IF(A194="","",MAX(0,MAX(AG$5:AG194))-AG194)</f>
        <v/>
      </c>
    </row>
    <row r="195">
      <c r="A195" s="46" t="n"/>
      <c r="B195" s="31" t="n"/>
      <c r="C195" s="32" t="n"/>
      <c r="D195" s="27" t="n"/>
      <c r="E195" s="47" t="str">
        <f>IF(D195="","",IFERROR(VLOOKUP(D195,'参数'!$B$21:$C$26,2,FALSE),""))</f>
        <v/>
      </c>
      <c r="F195" s="27" t="n"/>
      <c r="G195" s="43" t="str">
        <f>IF(NOT(ISNUMBER(B195)),"",IFERROR(IF(B195-INDEX('每日复盘'!$A$5:$A$264,MATCH(B195-1,'每日复盘'!$A$5:$A$264,1))&gt;7,"",T(INDEX('每日复盘'!$AA$5:$AA$264,MATCH(B195-1,'每日复盘'!$A$5:$A$264,1)))),""))</f>
        <v/>
      </c>
      <c r="H195" s="48" t="n"/>
      <c r="I195" s="48" t="n"/>
      <c r="J195" s="48" t="n"/>
      <c r="K195" s="49" t="str">
        <f>IF(AND(ISNUMBER(H195),ISNUMBER(I195),ISNUMBER(J195)),IF(H195&gt;I195,(J195-H195)/(H195-I195),""),"")</f>
        <v/>
      </c>
      <c r="L195" s="44" t="str">
        <f>IF(AND(ISNUMBER(H195),ISNUMBER(I195)),IF(H195&gt;I195,MIN(INT(ROUND('参数'!$C$7/(H195-I195)/100,6))*100,IF(ISNUMBER(E195),IF(H195-ROUND(ROUND(I195*(1-E195),4),2)&gt;0,INT(ROUND('参数'!$C$8/(H195-ROUND(ROUND(I195*(1-E195),4),2))/100,6))*100,0),INT(ROUND('参数'!$C$7/(H195-I195)/100,6))*100)),""),"")</f>
        <v/>
      </c>
      <c r="M195" s="17" t="n"/>
      <c r="N195" s="20" t="str">
        <f>IF(AND(ISNUMBER(H195),ISNUMBER(I195),ISNUMBER(M195)),IF(AND(H195&gt;I195,M195&gt;0),(H195-I195)*M195,""),"")</f>
        <v/>
      </c>
      <c r="O195" s="20" t="str">
        <f>IF(ISNUMBER(N195),IF(ISNUMBER(E195),(H195-ROUND(ROUND(I195*(1-E195),4),2))*M195,"不设限"),"")</f>
        <v/>
      </c>
      <c r="P195" s="32" t="n"/>
      <c r="Q195" s="27" t="n"/>
      <c r="R195" s="42" t="str">
        <f>IF(N(T195)&gt;0,SUMPRODUCT(LARGE(('成交明细'!$A$5:$A$804=A195)*('成交明细'!$C$5:$C$804="买")*'成交明细'!$B$5:$B$804,COUNTIFS('成交明细'!$A$5:$A$804,A195,'成交明细'!$C$5:$C$804,"买"))),"")</f>
        <v/>
      </c>
      <c r="S195" s="42" t="str">
        <f>IF(AND(N(T195)&gt;0,N(V195)&gt;=N(T195)),SUMPRODUCT(MAX(('成交明细'!$A$5:$A$804=A195)*('成交明细'!$C$5:$C$804="卖")*'成交明细'!$B$5:$B$804)),"")</f>
        <v/>
      </c>
      <c r="T195" s="44" t="str">
        <f>IF(A195="","",SUMIFS('成交明细'!$E$5:$E$804,'成交明细'!$A$5:$A$804,A195,'成交明细'!$C$5:$C$804,"买"))</f>
        <v/>
      </c>
      <c r="U195" s="50" t="str">
        <f>IF(N(T195)&gt;0,SUMIFS('成交明细'!$F$5:$F$804,'成交明细'!$A$5:$A$804,A195,'成交明细'!$C$5:$C$804,"买")/T195,"")</f>
        <v/>
      </c>
      <c r="V195" s="44" t="str">
        <f>IF(A195="","",SUMIFS('成交明细'!$E$5:$E$804,'成交明细'!$A$5:$A$804,A195,'成交明细'!$C$5:$C$804,"卖"))</f>
        <v/>
      </c>
      <c r="W195" s="50" t="str">
        <f>IF(N(V195)&gt;0,SUMIFS('成交明细'!$F$5:$F$804,'成交明细'!$A$5:$A$804,A195,'成交明细'!$C$5:$C$804,"卖")/V195,"")</f>
        <v/>
      </c>
      <c r="X195" s="36" t="str">
        <f>IF(A195="","",IF(Q195&lt;&gt;"已执行",IF(Q195="","未填执行情况",Q195),IF(N(T195)=0,"待录成交",IF(N(V195)&gt;N(T195),"卖出多于买入",IF(N(V195)&lt;N(T195),"持仓中","已平仓")))))</f>
        <v/>
      </c>
      <c r="Y195" s="51" t="str">
        <f>IF(N(T195)=0,"",SUMIFS('成交明细'!$K$5:$K$804,'成交明细'!$A$5:$A$804,A195))</f>
        <v/>
      </c>
      <c r="Z195" s="52" t="str">
        <f>IF(X195&lt;&gt;"已平仓","",SUMIFS('成交明细'!$F$5:$F$804,'成交明细'!$A$5:$A$804,A195,'成交明细'!$C$5:$C$804,"卖")-SUMIFS('成交明细'!$F$5:$F$804,'成交明细'!$A$5:$A$804,A195,'成交明细'!$C$5:$C$804,"买")-Y195)</f>
        <v/>
      </c>
      <c r="AA195" s="53" t="str">
        <f>IF(AND(X195="已平仓",ISNUMBER(N195)),(Z195+Y195)/N195,"")</f>
        <v/>
      </c>
      <c r="AB195" s="53" t="str">
        <f>IF(AND(X195="已平仓",ISNUMBER(N195)),Z195/N195,"")</f>
        <v/>
      </c>
      <c r="AC195" s="54" t="str">
        <f>IF(AND(ISNUMBER(U195),ISNUMBER(H195)),U195-H195,"")</f>
        <v/>
      </c>
      <c r="AD195" s="27" t="n"/>
      <c r="AE195" s="27" t="n"/>
      <c r="AF195" s="32" t="n"/>
      <c r="AG195" s="53" t="str">
        <f>IF(A195="","",SUM(AB$5:AB195))</f>
        <v/>
      </c>
      <c r="AH195" s="55" t="str">
        <f>IF(A195="","",MAX(0,MAX(AG$5:AG195))-AG195)</f>
        <v/>
      </c>
    </row>
    <row r="196">
      <c r="A196" s="46" t="n"/>
      <c r="B196" s="31" t="n"/>
      <c r="C196" s="32" t="n"/>
      <c r="D196" s="27" t="n"/>
      <c r="E196" s="47" t="str">
        <f>IF(D196="","",IFERROR(VLOOKUP(D196,'参数'!$B$21:$C$26,2,FALSE),""))</f>
        <v/>
      </c>
      <c r="F196" s="27" t="n"/>
      <c r="G196" s="43" t="str">
        <f>IF(NOT(ISNUMBER(B196)),"",IFERROR(IF(B196-INDEX('每日复盘'!$A$5:$A$264,MATCH(B196-1,'每日复盘'!$A$5:$A$264,1))&gt;7,"",T(INDEX('每日复盘'!$AA$5:$AA$264,MATCH(B196-1,'每日复盘'!$A$5:$A$264,1)))),""))</f>
        <v/>
      </c>
      <c r="H196" s="48" t="n"/>
      <c r="I196" s="48" t="n"/>
      <c r="J196" s="48" t="n"/>
      <c r="K196" s="49" t="str">
        <f>IF(AND(ISNUMBER(H196),ISNUMBER(I196),ISNUMBER(J196)),IF(H196&gt;I196,(J196-H196)/(H196-I196),""),"")</f>
        <v/>
      </c>
      <c r="L196" s="44" t="str">
        <f>IF(AND(ISNUMBER(H196),ISNUMBER(I196)),IF(H196&gt;I196,MIN(INT(ROUND('参数'!$C$7/(H196-I196)/100,6))*100,IF(ISNUMBER(E196),IF(H196-ROUND(ROUND(I196*(1-E196),4),2)&gt;0,INT(ROUND('参数'!$C$8/(H196-ROUND(ROUND(I196*(1-E196),4),2))/100,6))*100,0),INT(ROUND('参数'!$C$7/(H196-I196)/100,6))*100)),""),"")</f>
        <v/>
      </c>
      <c r="M196" s="17" t="n"/>
      <c r="N196" s="20" t="str">
        <f>IF(AND(ISNUMBER(H196),ISNUMBER(I196),ISNUMBER(M196)),IF(AND(H196&gt;I196,M196&gt;0),(H196-I196)*M196,""),"")</f>
        <v/>
      </c>
      <c r="O196" s="20" t="str">
        <f>IF(ISNUMBER(N196),IF(ISNUMBER(E196),(H196-ROUND(ROUND(I196*(1-E196),4),2))*M196,"不设限"),"")</f>
        <v/>
      </c>
      <c r="P196" s="32" t="n"/>
      <c r="Q196" s="27" t="n"/>
      <c r="R196" s="42" t="str">
        <f>IF(N(T196)&gt;0,SUMPRODUCT(LARGE(('成交明细'!$A$5:$A$804=A196)*('成交明细'!$C$5:$C$804="买")*'成交明细'!$B$5:$B$804,COUNTIFS('成交明细'!$A$5:$A$804,A196,'成交明细'!$C$5:$C$804,"买"))),"")</f>
        <v/>
      </c>
      <c r="S196" s="42" t="str">
        <f>IF(AND(N(T196)&gt;0,N(V196)&gt;=N(T196)),SUMPRODUCT(MAX(('成交明细'!$A$5:$A$804=A196)*('成交明细'!$C$5:$C$804="卖")*'成交明细'!$B$5:$B$804)),"")</f>
        <v/>
      </c>
      <c r="T196" s="44" t="str">
        <f>IF(A196="","",SUMIFS('成交明细'!$E$5:$E$804,'成交明细'!$A$5:$A$804,A196,'成交明细'!$C$5:$C$804,"买"))</f>
        <v/>
      </c>
      <c r="U196" s="50" t="str">
        <f>IF(N(T196)&gt;0,SUMIFS('成交明细'!$F$5:$F$804,'成交明细'!$A$5:$A$804,A196,'成交明细'!$C$5:$C$804,"买")/T196,"")</f>
        <v/>
      </c>
      <c r="V196" s="44" t="str">
        <f>IF(A196="","",SUMIFS('成交明细'!$E$5:$E$804,'成交明细'!$A$5:$A$804,A196,'成交明细'!$C$5:$C$804,"卖"))</f>
        <v/>
      </c>
      <c r="W196" s="50" t="str">
        <f>IF(N(V196)&gt;0,SUMIFS('成交明细'!$F$5:$F$804,'成交明细'!$A$5:$A$804,A196,'成交明细'!$C$5:$C$804,"卖")/V196,"")</f>
        <v/>
      </c>
      <c r="X196" s="36" t="str">
        <f>IF(A196="","",IF(Q196&lt;&gt;"已执行",IF(Q196="","未填执行情况",Q196),IF(N(T196)=0,"待录成交",IF(N(V196)&gt;N(T196),"卖出多于买入",IF(N(V196)&lt;N(T196),"持仓中","已平仓")))))</f>
        <v/>
      </c>
      <c r="Y196" s="51" t="str">
        <f>IF(N(T196)=0,"",SUMIFS('成交明细'!$K$5:$K$804,'成交明细'!$A$5:$A$804,A196))</f>
        <v/>
      </c>
      <c r="Z196" s="52" t="str">
        <f>IF(X196&lt;&gt;"已平仓","",SUMIFS('成交明细'!$F$5:$F$804,'成交明细'!$A$5:$A$804,A196,'成交明细'!$C$5:$C$804,"卖")-SUMIFS('成交明细'!$F$5:$F$804,'成交明细'!$A$5:$A$804,A196,'成交明细'!$C$5:$C$804,"买")-Y196)</f>
        <v/>
      </c>
      <c r="AA196" s="53" t="str">
        <f>IF(AND(X196="已平仓",ISNUMBER(N196)),(Z196+Y196)/N196,"")</f>
        <v/>
      </c>
      <c r="AB196" s="53" t="str">
        <f>IF(AND(X196="已平仓",ISNUMBER(N196)),Z196/N196,"")</f>
        <v/>
      </c>
      <c r="AC196" s="54" t="str">
        <f>IF(AND(ISNUMBER(U196),ISNUMBER(H196)),U196-H196,"")</f>
        <v/>
      </c>
      <c r="AD196" s="27" t="n"/>
      <c r="AE196" s="27" t="n"/>
      <c r="AF196" s="32" t="n"/>
      <c r="AG196" s="53" t="str">
        <f>IF(A196="","",SUM(AB$5:AB196))</f>
        <v/>
      </c>
      <c r="AH196" s="55" t="str">
        <f>IF(A196="","",MAX(0,MAX(AG$5:AG196))-AG196)</f>
        <v/>
      </c>
    </row>
    <row r="197">
      <c r="A197" s="46" t="n"/>
      <c r="B197" s="31" t="n"/>
      <c r="C197" s="32" t="n"/>
      <c r="D197" s="27" t="n"/>
      <c r="E197" s="47" t="str">
        <f>IF(D197="","",IFERROR(VLOOKUP(D197,'参数'!$B$21:$C$26,2,FALSE),""))</f>
        <v/>
      </c>
      <c r="F197" s="27" t="n"/>
      <c r="G197" s="43" t="str">
        <f>IF(NOT(ISNUMBER(B197)),"",IFERROR(IF(B197-INDEX('每日复盘'!$A$5:$A$264,MATCH(B197-1,'每日复盘'!$A$5:$A$264,1))&gt;7,"",T(INDEX('每日复盘'!$AA$5:$AA$264,MATCH(B197-1,'每日复盘'!$A$5:$A$264,1)))),""))</f>
        <v/>
      </c>
      <c r="H197" s="48" t="n"/>
      <c r="I197" s="48" t="n"/>
      <c r="J197" s="48" t="n"/>
      <c r="K197" s="49" t="str">
        <f>IF(AND(ISNUMBER(H197),ISNUMBER(I197),ISNUMBER(J197)),IF(H197&gt;I197,(J197-H197)/(H197-I197),""),"")</f>
        <v/>
      </c>
      <c r="L197" s="44" t="str">
        <f>IF(AND(ISNUMBER(H197),ISNUMBER(I197)),IF(H197&gt;I197,MIN(INT(ROUND('参数'!$C$7/(H197-I197)/100,6))*100,IF(ISNUMBER(E197),IF(H197-ROUND(ROUND(I197*(1-E197),4),2)&gt;0,INT(ROUND('参数'!$C$8/(H197-ROUND(ROUND(I197*(1-E197),4),2))/100,6))*100,0),INT(ROUND('参数'!$C$7/(H197-I197)/100,6))*100)),""),"")</f>
        <v/>
      </c>
      <c r="M197" s="17" t="n"/>
      <c r="N197" s="20" t="str">
        <f>IF(AND(ISNUMBER(H197),ISNUMBER(I197),ISNUMBER(M197)),IF(AND(H197&gt;I197,M197&gt;0),(H197-I197)*M197,""),"")</f>
        <v/>
      </c>
      <c r="O197" s="20" t="str">
        <f>IF(ISNUMBER(N197),IF(ISNUMBER(E197),(H197-ROUND(ROUND(I197*(1-E197),4),2))*M197,"不设限"),"")</f>
        <v/>
      </c>
      <c r="P197" s="32" t="n"/>
      <c r="Q197" s="27" t="n"/>
      <c r="R197" s="42" t="str">
        <f>IF(N(T197)&gt;0,SUMPRODUCT(LARGE(('成交明细'!$A$5:$A$804=A197)*('成交明细'!$C$5:$C$804="买")*'成交明细'!$B$5:$B$804,COUNTIFS('成交明细'!$A$5:$A$804,A197,'成交明细'!$C$5:$C$804,"买"))),"")</f>
        <v/>
      </c>
      <c r="S197" s="42" t="str">
        <f>IF(AND(N(T197)&gt;0,N(V197)&gt;=N(T197)),SUMPRODUCT(MAX(('成交明细'!$A$5:$A$804=A197)*('成交明细'!$C$5:$C$804="卖")*'成交明细'!$B$5:$B$804)),"")</f>
        <v/>
      </c>
      <c r="T197" s="44" t="str">
        <f>IF(A197="","",SUMIFS('成交明细'!$E$5:$E$804,'成交明细'!$A$5:$A$804,A197,'成交明细'!$C$5:$C$804,"买"))</f>
        <v/>
      </c>
      <c r="U197" s="50" t="str">
        <f>IF(N(T197)&gt;0,SUMIFS('成交明细'!$F$5:$F$804,'成交明细'!$A$5:$A$804,A197,'成交明细'!$C$5:$C$804,"买")/T197,"")</f>
        <v/>
      </c>
      <c r="V197" s="44" t="str">
        <f>IF(A197="","",SUMIFS('成交明细'!$E$5:$E$804,'成交明细'!$A$5:$A$804,A197,'成交明细'!$C$5:$C$804,"卖"))</f>
        <v/>
      </c>
      <c r="W197" s="50" t="str">
        <f>IF(N(V197)&gt;0,SUMIFS('成交明细'!$F$5:$F$804,'成交明细'!$A$5:$A$804,A197,'成交明细'!$C$5:$C$804,"卖")/V197,"")</f>
        <v/>
      </c>
      <c r="X197" s="36" t="str">
        <f>IF(A197="","",IF(Q197&lt;&gt;"已执行",IF(Q197="","未填执行情况",Q197),IF(N(T197)=0,"待录成交",IF(N(V197)&gt;N(T197),"卖出多于买入",IF(N(V197)&lt;N(T197),"持仓中","已平仓")))))</f>
        <v/>
      </c>
      <c r="Y197" s="51" t="str">
        <f>IF(N(T197)=0,"",SUMIFS('成交明细'!$K$5:$K$804,'成交明细'!$A$5:$A$804,A197))</f>
        <v/>
      </c>
      <c r="Z197" s="52" t="str">
        <f>IF(X197&lt;&gt;"已平仓","",SUMIFS('成交明细'!$F$5:$F$804,'成交明细'!$A$5:$A$804,A197,'成交明细'!$C$5:$C$804,"卖")-SUMIFS('成交明细'!$F$5:$F$804,'成交明细'!$A$5:$A$804,A197,'成交明细'!$C$5:$C$804,"买")-Y197)</f>
        <v/>
      </c>
      <c r="AA197" s="53" t="str">
        <f>IF(AND(X197="已平仓",ISNUMBER(N197)),(Z197+Y197)/N197,"")</f>
        <v/>
      </c>
      <c r="AB197" s="53" t="str">
        <f>IF(AND(X197="已平仓",ISNUMBER(N197)),Z197/N197,"")</f>
        <v/>
      </c>
      <c r="AC197" s="54" t="str">
        <f>IF(AND(ISNUMBER(U197),ISNUMBER(H197)),U197-H197,"")</f>
        <v/>
      </c>
      <c r="AD197" s="27" t="n"/>
      <c r="AE197" s="27" t="n"/>
      <c r="AF197" s="32" t="n"/>
      <c r="AG197" s="53" t="str">
        <f>IF(A197="","",SUM(AB$5:AB197))</f>
        <v/>
      </c>
      <c r="AH197" s="55" t="str">
        <f>IF(A197="","",MAX(0,MAX(AG$5:AG197))-AG197)</f>
        <v/>
      </c>
    </row>
    <row r="198">
      <c r="A198" s="46" t="n"/>
      <c r="B198" s="31" t="n"/>
      <c r="C198" s="32" t="n"/>
      <c r="D198" s="27" t="n"/>
      <c r="E198" s="47" t="str">
        <f>IF(D198="","",IFERROR(VLOOKUP(D198,'参数'!$B$21:$C$26,2,FALSE),""))</f>
        <v/>
      </c>
      <c r="F198" s="27" t="n"/>
      <c r="G198" s="43" t="str">
        <f>IF(NOT(ISNUMBER(B198)),"",IFERROR(IF(B198-INDEX('每日复盘'!$A$5:$A$264,MATCH(B198-1,'每日复盘'!$A$5:$A$264,1))&gt;7,"",T(INDEX('每日复盘'!$AA$5:$AA$264,MATCH(B198-1,'每日复盘'!$A$5:$A$264,1)))),""))</f>
        <v/>
      </c>
      <c r="H198" s="48" t="n"/>
      <c r="I198" s="48" t="n"/>
      <c r="J198" s="48" t="n"/>
      <c r="K198" s="49" t="str">
        <f>IF(AND(ISNUMBER(H198),ISNUMBER(I198),ISNUMBER(J198)),IF(H198&gt;I198,(J198-H198)/(H198-I198),""),"")</f>
        <v/>
      </c>
      <c r="L198" s="44" t="str">
        <f>IF(AND(ISNUMBER(H198),ISNUMBER(I198)),IF(H198&gt;I198,MIN(INT(ROUND('参数'!$C$7/(H198-I198)/100,6))*100,IF(ISNUMBER(E198),IF(H198-ROUND(ROUND(I198*(1-E198),4),2)&gt;0,INT(ROUND('参数'!$C$8/(H198-ROUND(ROUND(I198*(1-E198),4),2))/100,6))*100,0),INT(ROUND('参数'!$C$7/(H198-I198)/100,6))*100)),""),"")</f>
        <v/>
      </c>
      <c r="M198" s="17" t="n"/>
      <c r="N198" s="20" t="str">
        <f>IF(AND(ISNUMBER(H198),ISNUMBER(I198),ISNUMBER(M198)),IF(AND(H198&gt;I198,M198&gt;0),(H198-I198)*M198,""),"")</f>
        <v/>
      </c>
      <c r="O198" s="20" t="str">
        <f>IF(ISNUMBER(N198),IF(ISNUMBER(E198),(H198-ROUND(ROUND(I198*(1-E198),4),2))*M198,"不设限"),"")</f>
        <v/>
      </c>
      <c r="P198" s="32" t="n"/>
      <c r="Q198" s="27" t="n"/>
      <c r="R198" s="42" t="str">
        <f>IF(N(T198)&gt;0,SUMPRODUCT(LARGE(('成交明细'!$A$5:$A$804=A198)*('成交明细'!$C$5:$C$804="买")*'成交明细'!$B$5:$B$804,COUNTIFS('成交明细'!$A$5:$A$804,A198,'成交明细'!$C$5:$C$804,"买"))),"")</f>
        <v/>
      </c>
      <c r="S198" s="42" t="str">
        <f>IF(AND(N(T198)&gt;0,N(V198)&gt;=N(T198)),SUMPRODUCT(MAX(('成交明细'!$A$5:$A$804=A198)*('成交明细'!$C$5:$C$804="卖")*'成交明细'!$B$5:$B$804)),"")</f>
        <v/>
      </c>
      <c r="T198" s="44" t="str">
        <f>IF(A198="","",SUMIFS('成交明细'!$E$5:$E$804,'成交明细'!$A$5:$A$804,A198,'成交明细'!$C$5:$C$804,"买"))</f>
        <v/>
      </c>
      <c r="U198" s="50" t="str">
        <f>IF(N(T198)&gt;0,SUMIFS('成交明细'!$F$5:$F$804,'成交明细'!$A$5:$A$804,A198,'成交明细'!$C$5:$C$804,"买")/T198,"")</f>
        <v/>
      </c>
      <c r="V198" s="44" t="str">
        <f>IF(A198="","",SUMIFS('成交明细'!$E$5:$E$804,'成交明细'!$A$5:$A$804,A198,'成交明细'!$C$5:$C$804,"卖"))</f>
        <v/>
      </c>
      <c r="W198" s="50" t="str">
        <f>IF(N(V198)&gt;0,SUMIFS('成交明细'!$F$5:$F$804,'成交明细'!$A$5:$A$804,A198,'成交明细'!$C$5:$C$804,"卖")/V198,"")</f>
        <v/>
      </c>
      <c r="X198" s="36" t="str">
        <f>IF(A198="","",IF(Q198&lt;&gt;"已执行",IF(Q198="","未填执行情况",Q198),IF(N(T198)=0,"待录成交",IF(N(V198)&gt;N(T198),"卖出多于买入",IF(N(V198)&lt;N(T198),"持仓中","已平仓")))))</f>
        <v/>
      </c>
      <c r="Y198" s="51" t="str">
        <f>IF(N(T198)=0,"",SUMIFS('成交明细'!$K$5:$K$804,'成交明细'!$A$5:$A$804,A198))</f>
        <v/>
      </c>
      <c r="Z198" s="52" t="str">
        <f>IF(X198&lt;&gt;"已平仓","",SUMIFS('成交明细'!$F$5:$F$804,'成交明细'!$A$5:$A$804,A198,'成交明细'!$C$5:$C$804,"卖")-SUMIFS('成交明细'!$F$5:$F$804,'成交明细'!$A$5:$A$804,A198,'成交明细'!$C$5:$C$804,"买")-Y198)</f>
        <v/>
      </c>
      <c r="AA198" s="53" t="str">
        <f>IF(AND(X198="已平仓",ISNUMBER(N198)),(Z198+Y198)/N198,"")</f>
        <v/>
      </c>
      <c r="AB198" s="53" t="str">
        <f>IF(AND(X198="已平仓",ISNUMBER(N198)),Z198/N198,"")</f>
        <v/>
      </c>
      <c r="AC198" s="54" t="str">
        <f>IF(AND(ISNUMBER(U198),ISNUMBER(H198)),U198-H198,"")</f>
        <v/>
      </c>
      <c r="AD198" s="27" t="n"/>
      <c r="AE198" s="27" t="n"/>
      <c r="AF198" s="32" t="n"/>
      <c r="AG198" s="53" t="str">
        <f>IF(A198="","",SUM(AB$5:AB198))</f>
        <v/>
      </c>
      <c r="AH198" s="55" t="str">
        <f>IF(A198="","",MAX(0,MAX(AG$5:AG198))-AG198)</f>
        <v/>
      </c>
    </row>
    <row r="199">
      <c r="A199" s="46" t="n"/>
      <c r="B199" s="31" t="n"/>
      <c r="C199" s="32" t="n"/>
      <c r="D199" s="27" t="n"/>
      <c r="E199" s="47" t="str">
        <f>IF(D199="","",IFERROR(VLOOKUP(D199,'参数'!$B$21:$C$26,2,FALSE),""))</f>
        <v/>
      </c>
      <c r="F199" s="27" t="n"/>
      <c r="G199" s="43" t="str">
        <f>IF(NOT(ISNUMBER(B199)),"",IFERROR(IF(B199-INDEX('每日复盘'!$A$5:$A$264,MATCH(B199-1,'每日复盘'!$A$5:$A$264,1))&gt;7,"",T(INDEX('每日复盘'!$AA$5:$AA$264,MATCH(B199-1,'每日复盘'!$A$5:$A$264,1)))),""))</f>
        <v/>
      </c>
      <c r="H199" s="48" t="n"/>
      <c r="I199" s="48" t="n"/>
      <c r="J199" s="48" t="n"/>
      <c r="K199" s="49" t="str">
        <f>IF(AND(ISNUMBER(H199),ISNUMBER(I199),ISNUMBER(J199)),IF(H199&gt;I199,(J199-H199)/(H199-I199),""),"")</f>
        <v/>
      </c>
      <c r="L199" s="44" t="str">
        <f>IF(AND(ISNUMBER(H199),ISNUMBER(I199)),IF(H199&gt;I199,MIN(INT(ROUND('参数'!$C$7/(H199-I199)/100,6))*100,IF(ISNUMBER(E199),IF(H199-ROUND(ROUND(I199*(1-E199),4),2)&gt;0,INT(ROUND('参数'!$C$8/(H199-ROUND(ROUND(I199*(1-E199),4),2))/100,6))*100,0),INT(ROUND('参数'!$C$7/(H199-I199)/100,6))*100)),""),"")</f>
        <v/>
      </c>
      <c r="M199" s="17" t="n"/>
      <c r="N199" s="20" t="str">
        <f>IF(AND(ISNUMBER(H199),ISNUMBER(I199),ISNUMBER(M199)),IF(AND(H199&gt;I199,M199&gt;0),(H199-I199)*M199,""),"")</f>
        <v/>
      </c>
      <c r="O199" s="20" t="str">
        <f>IF(ISNUMBER(N199),IF(ISNUMBER(E199),(H199-ROUND(ROUND(I199*(1-E199),4),2))*M199,"不设限"),"")</f>
        <v/>
      </c>
      <c r="P199" s="32" t="n"/>
      <c r="Q199" s="27" t="n"/>
      <c r="R199" s="42" t="str">
        <f>IF(N(T199)&gt;0,SUMPRODUCT(LARGE(('成交明细'!$A$5:$A$804=A199)*('成交明细'!$C$5:$C$804="买")*'成交明细'!$B$5:$B$804,COUNTIFS('成交明细'!$A$5:$A$804,A199,'成交明细'!$C$5:$C$804,"买"))),"")</f>
        <v/>
      </c>
      <c r="S199" s="42" t="str">
        <f>IF(AND(N(T199)&gt;0,N(V199)&gt;=N(T199)),SUMPRODUCT(MAX(('成交明细'!$A$5:$A$804=A199)*('成交明细'!$C$5:$C$804="卖")*'成交明细'!$B$5:$B$804)),"")</f>
        <v/>
      </c>
      <c r="T199" s="44" t="str">
        <f>IF(A199="","",SUMIFS('成交明细'!$E$5:$E$804,'成交明细'!$A$5:$A$804,A199,'成交明细'!$C$5:$C$804,"买"))</f>
        <v/>
      </c>
      <c r="U199" s="50" t="str">
        <f>IF(N(T199)&gt;0,SUMIFS('成交明细'!$F$5:$F$804,'成交明细'!$A$5:$A$804,A199,'成交明细'!$C$5:$C$804,"买")/T199,"")</f>
        <v/>
      </c>
      <c r="V199" s="44" t="str">
        <f>IF(A199="","",SUMIFS('成交明细'!$E$5:$E$804,'成交明细'!$A$5:$A$804,A199,'成交明细'!$C$5:$C$804,"卖"))</f>
        <v/>
      </c>
      <c r="W199" s="50" t="str">
        <f>IF(N(V199)&gt;0,SUMIFS('成交明细'!$F$5:$F$804,'成交明细'!$A$5:$A$804,A199,'成交明细'!$C$5:$C$804,"卖")/V199,"")</f>
        <v/>
      </c>
      <c r="X199" s="36" t="str">
        <f>IF(A199="","",IF(Q199&lt;&gt;"已执行",IF(Q199="","未填执行情况",Q199),IF(N(T199)=0,"待录成交",IF(N(V199)&gt;N(T199),"卖出多于买入",IF(N(V199)&lt;N(T199),"持仓中","已平仓")))))</f>
        <v/>
      </c>
      <c r="Y199" s="51" t="str">
        <f>IF(N(T199)=0,"",SUMIFS('成交明细'!$K$5:$K$804,'成交明细'!$A$5:$A$804,A199))</f>
        <v/>
      </c>
      <c r="Z199" s="52" t="str">
        <f>IF(X199&lt;&gt;"已平仓","",SUMIFS('成交明细'!$F$5:$F$804,'成交明细'!$A$5:$A$804,A199,'成交明细'!$C$5:$C$804,"卖")-SUMIFS('成交明细'!$F$5:$F$804,'成交明细'!$A$5:$A$804,A199,'成交明细'!$C$5:$C$804,"买")-Y199)</f>
        <v/>
      </c>
      <c r="AA199" s="53" t="str">
        <f>IF(AND(X199="已平仓",ISNUMBER(N199)),(Z199+Y199)/N199,"")</f>
        <v/>
      </c>
      <c r="AB199" s="53" t="str">
        <f>IF(AND(X199="已平仓",ISNUMBER(N199)),Z199/N199,"")</f>
        <v/>
      </c>
      <c r="AC199" s="54" t="str">
        <f>IF(AND(ISNUMBER(U199),ISNUMBER(H199)),U199-H199,"")</f>
        <v/>
      </c>
      <c r="AD199" s="27" t="n"/>
      <c r="AE199" s="27" t="n"/>
      <c r="AF199" s="32" t="n"/>
      <c r="AG199" s="53" t="str">
        <f>IF(A199="","",SUM(AB$5:AB199))</f>
        <v/>
      </c>
      <c r="AH199" s="55" t="str">
        <f>IF(A199="","",MAX(0,MAX(AG$5:AG199))-AG199)</f>
        <v/>
      </c>
    </row>
    <row r="200">
      <c r="A200" s="46" t="n"/>
      <c r="B200" s="31" t="n"/>
      <c r="C200" s="32" t="n"/>
      <c r="D200" s="27" t="n"/>
      <c r="E200" s="47" t="str">
        <f>IF(D200="","",IFERROR(VLOOKUP(D200,'参数'!$B$21:$C$26,2,FALSE),""))</f>
        <v/>
      </c>
      <c r="F200" s="27" t="n"/>
      <c r="G200" s="43" t="str">
        <f>IF(NOT(ISNUMBER(B200)),"",IFERROR(IF(B200-INDEX('每日复盘'!$A$5:$A$264,MATCH(B200-1,'每日复盘'!$A$5:$A$264,1))&gt;7,"",T(INDEX('每日复盘'!$AA$5:$AA$264,MATCH(B200-1,'每日复盘'!$A$5:$A$264,1)))),""))</f>
        <v/>
      </c>
      <c r="H200" s="48" t="n"/>
      <c r="I200" s="48" t="n"/>
      <c r="J200" s="48" t="n"/>
      <c r="K200" s="49" t="str">
        <f>IF(AND(ISNUMBER(H200),ISNUMBER(I200),ISNUMBER(J200)),IF(H200&gt;I200,(J200-H200)/(H200-I200),""),"")</f>
        <v/>
      </c>
      <c r="L200" s="44" t="str">
        <f>IF(AND(ISNUMBER(H200),ISNUMBER(I200)),IF(H200&gt;I200,MIN(INT(ROUND('参数'!$C$7/(H200-I200)/100,6))*100,IF(ISNUMBER(E200),IF(H200-ROUND(ROUND(I200*(1-E200),4),2)&gt;0,INT(ROUND('参数'!$C$8/(H200-ROUND(ROUND(I200*(1-E200),4),2))/100,6))*100,0),INT(ROUND('参数'!$C$7/(H200-I200)/100,6))*100)),""),"")</f>
        <v/>
      </c>
      <c r="M200" s="17" t="n"/>
      <c r="N200" s="20" t="str">
        <f>IF(AND(ISNUMBER(H200),ISNUMBER(I200),ISNUMBER(M200)),IF(AND(H200&gt;I200,M200&gt;0),(H200-I200)*M200,""),"")</f>
        <v/>
      </c>
      <c r="O200" s="20" t="str">
        <f>IF(ISNUMBER(N200),IF(ISNUMBER(E200),(H200-ROUND(ROUND(I200*(1-E200),4),2))*M200,"不设限"),"")</f>
        <v/>
      </c>
      <c r="P200" s="32" t="n"/>
      <c r="Q200" s="27" t="n"/>
      <c r="R200" s="42" t="str">
        <f>IF(N(T200)&gt;0,SUMPRODUCT(LARGE(('成交明细'!$A$5:$A$804=A200)*('成交明细'!$C$5:$C$804="买")*'成交明细'!$B$5:$B$804,COUNTIFS('成交明细'!$A$5:$A$804,A200,'成交明细'!$C$5:$C$804,"买"))),"")</f>
        <v/>
      </c>
      <c r="S200" s="42" t="str">
        <f>IF(AND(N(T200)&gt;0,N(V200)&gt;=N(T200)),SUMPRODUCT(MAX(('成交明细'!$A$5:$A$804=A200)*('成交明细'!$C$5:$C$804="卖")*'成交明细'!$B$5:$B$804)),"")</f>
        <v/>
      </c>
      <c r="T200" s="44" t="str">
        <f>IF(A200="","",SUMIFS('成交明细'!$E$5:$E$804,'成交明细'!$A$5:$A$804,A200,'成交明细'!$C$5:$C$804,"买"))</f>
        <v/>
      </c>
      <c r="U200" s="50" t="str">
        <f>IF(N(T200)&gt;0,SUMIFS('成交明细'!$F$5:$F$804,'成交明细'!$A$5:$A$804,A200,'成交明细'!$C$5:$C$804,"买")/T200,"")</f>
        <v/>
      </c>
      <c r="V200" s="44" t="str">
        <f>IF(A200="","",SUMIFS('成交明细'!$E$5:$E$804,'成交明细'!$A$5:$A$804,A200,'成交明细'!$C$5:$C$804,"卖"))</f>
        <v/>
      </c>
      <c r="W200" s="50" t="str">
        <f>IF(N(V200)&gt;0,SUMIFS('成交明细'!$F$5:$F$804,'成交明细'!$A$5:$A$804,A200,'成交明细'!$C$5:$C$804,"卖")/V200,"")</f>
        <v/>
      </c>
      <c r="X200" s="36" t="str">
        <f>IF(A200="","",IF(Q200&lt;&gt;"已执行",IF(Q200="","未填执行情况",Q200),IF(N(T200)=0,"待录成交",IF(N(V200)&gt;N(T200),"卖出多于买入",IF(N(V200)&lt;N(T200),"持仓中","已平仓")))))</f>
        <v/>
      </c>
      <c r="Y200" s="51" t="str">
        <f>IF(N(T200)=0,"",SUMIFS('成交明细'!$K$5:$K$804,'成交明细'!$A$5:$A$804,A200))</f>
        <v/>
      </c>
      <c r="Z200" s="52" t="str">
        <f>IF(X200&lt;&gt;"已平仓","",SUMIFS('成交明细'!$F$5:$F$804,'成交明细'!$A$5:$A$804,A200,'成交明细'!$C$5:$C$804,"卖")-SUMIFS('成交明细'!$F$5:$F$804,'成交明细'!$A$5:$A$804,A200,'成交明细'!$C$5:$C$804,"买")-Y200)</f>
        <v/>
      </c>
      <c r="AA200" s="53" t="str">
        <f>IF(AND(X200="已平仓",ISNUMBER(N200)),(Z200+Y200)/N200,"")</f>
        <v/>
      </c>
      <c r="AB200" s="53" t="str">
        <f>IF(AND(X200="已平仓",ISNUMBER(N200)),Z200/N200,"")</f>
        <v/>
      </c>
      <c r="AC200" s="54" t="str">
        <f>IF(AND(ISNUMBER(U200),ISNUMBER(H200)),U200-H200,"")</f>
        <v/>
      </c>
      <c r="AD200" s="27" t="n"/>
      <c r="AE200" s="27" t="n"/>
      <c r="AF200" s="32" t="n"/>
      <c r="AG200" s="53" t="str">
        <f>IF(A200="","",SUM(AB$5:AB200))</f>
        <v/>
      </c>
      <c r="AH200" s="55" t="str">
        <f>IF(A200="","",MAX(0,MAX(AG$5:AG200))-AG200)</f>
        <v/>
      </c>
    </row>
    <row r="201">
      <c r="A201" s="46" t="n"/>
      <c r="B201" s="31" t="n"/>
      <c r="C201" s="32" t="n"/>
      <c r="D201" s="27" t="n"/>
      <c r="E201" s="47" t="str">
        <f>IF(D201="","",IFERROR(VLOOKUP(D201,'参数'!$B$21:$C$26,2,FALSE),""))</f>
        <v/>
      </c>
      <c r="F201" s="27" t="n"/>
      <c r="G201" s="43" t="str">
        <f>IF(NOT(ISNUMBER(B201)),"",IFERROR(IF(B201-INDEX('每日复盘'!$A$5:$A$264,MATCH(B201-1,'每日复盘'!$A$5:$A$264,1))&gt;7,"",T(INDEX('每日复盘'!$AA$5:$AA$264,MATCH(B201-1,'每日复盘'!$A$5:$A$264,1)))),""))</f>
        <v/>
      </c>
      <c r="H201" s="48" t="n"/>
      <c r="I201" s="48" t="n"/>
      <c r="J201" s="48" t="n"/>
      <c r="K201" s="49" t="str">
        <f>IF(AND(ISNUMBER(H201),ISNUMBER(I201),ISNUMBER(J201)),IF(H201&gt;I201,(J201-H201)/(H201-I201),""),"")</f>
        <v/>
      </c>
      <c r="L201" s="44" t="str">
        <f>IF(AND(ISNUMBER(H201),ISNUMBER(I201)),IF(H201&gt;I201,MIN(INT(ROUND('参数'!$C$7/(H201-I201)/100,6))*100,IF(ISNUMBER(E201),IF(H201-ROUND(ROUND(I201*(1-E201),4),2)&gt;0,INT(ROUND('参数'!$C$8/(H201-ROUND(ROUND(I201*(1-E201),4),2))/100,6))*100,0),INT(ROUND('参数'!$C$7/(H201-I201)/100,6))*100)),""),"")</f>
        <v/>
      </c>
      <c r="M201" s="17" t="n"/>
      <c r="N201" s="20" t="str">
        <f>IF(AND(ISNUMBER(H201),ISNUMBER(I201),ISNUMBER(M201)),IF(AND(H201&gt;I201,M201&gt;0),(H201-I201)*M201,""),"")</f>
        <v/>
      </c>
      <c r="O201" s="20" t="str">
        <f>IF(ISNUMBER(N201),IF(ISNUMBER(E201),(H201-ROUND(ROUND(I201*(1-E201),4),2))*M201,"不设限"),"")</f>
        <v/>
      </c>
      <c r="P201" s="32" t="n"/>
      <c r="Q201" s="27" t="n"/>
      <c r="R201" s="42" t="str">
        <f>IF(N(T201)&gt;0,SUMPRODUCT(LARGE(('成交明细'!$A$5:$A$804=A201)*('成交明细'!$C$5:$C$804="买")*'成交明细'!$B$5:$B$804,COUNTIFS('成交明细'!$A$5:$A$804,A201,'成交明细'!$C$5:$C$804,"买"))),"")</f>
        <v/>
      </c>
      <c r="S201" s="42" t="str">
        <f>IF(AND(N(T201)&gt;0,N(V201)&gt;=N(T201)),SUMPRODUCT(MAX(('成交明细'!$A$5:$A$804=A201)*('成交明细'!$C$5:$C$804="卖")*'成交明细'!$B$5:$B$804)),"")</f>
        <v/>
      </c>
      <c r="T201" s="44" t="str">
        <f>IF(A201="","",SUMIFS('成交明细'!$E$5:$E$804,'成交明细'!$A$5:$A$804,A201,'成交明细'!$C$5:$C$804,"买"))</f>
        <v/>
      </c>
      <c r="U201" s="50" t="str">
        <f>IF(N(T201)&gt;0,SUMIFS('成交明细'!$F$5:$F$804,'成交明细'!$A$5:$A$804,A201,'成交明细'!$C$5:$C$804,"买")/T201,"")</f>
        <v/>
      </c>
      <c r="V201" s="44" t="str">
        <f>IF(A201="","",SUMIFS('成交明细'!$E$5:$E$804,'成交明细'!$A$5:$A$804,A201,'成交明细'!$C$5:$C$804,"卖"))</f>
        <v/>
      </c>
      <c r="W201" s="50" t="str">
        <f>IF(N(V201)&gt;0,SUMIFS('成交明细'!$F$5:$F$804,'成交明细'!$A$5:$A$804,A201,'成交明细'!$C$5:$C$804,"卖")/V201,"")</f>
        <v/>
      </c>
      <c r="X201" s="36" t="str">
        <f>IF(A201="","",IF(Q201&lt;&gt;"已执行",IF(Q201="","未填执行情况",Q201),IF(N(T201)=0,"待录成交",IF(N(V201)&gt;N(T201),"卖出多于买入",IF(N(V201)&lt;N(T201),"持仓中","已平仓")))))</f>
        <v/>
      </c>
      <c r="Y201" s="51" t="str">
        <f>IF(N(T201)=0,"",SUMIFS('成交明细'!$K$5:$K$804,'成交明细'!$A$5:$A$804,A201))</f>
        <v/>
      </c>
      <c r="Z201" s="52" t="str">
        <f>IF(X201&lt;&gt;"已平仓","",SUMIFS('成交明细'!$F$5:$F$804,'成交明细'!$A$5:$A$804,A201,'成交明细'!$C$5:$C$804,"卖")-SUMIFS('成交明细'!$F$5:$F$804,'成交明细'!$A$5:$A$804,A201,'成交明细'!$C$5:$C$804,"买")-Y201)</f>
        <v/>
      </c>
      <c r="AA201" s="53" t="str">
        <f>IF(AND(X201="已平仓",ISNUMBER(N201)),(Z201+Y201)/N201,"")</f>
        <v/>
      </c>
      <c r="AB201" s="53" t="str">
        <f>IF(AND(X201="已平仓",ISNUMBER(N201)),Z201/N201,"")</f>
        <v/>
      </c>
      <c r="AC201" s="54" t="str">
        <f>IF(AND(ISNUMBER(U201),ISNUMBER(H201)),U201-H201,"")</f>
        <v/>
      </c>
      <c r="AD201" s="27" t="n"/>
      <c r="AE201" s="27" t="n"/>
      <c r="AF201" s="32" t="n"/>
      <c r="AG201" s="53" t="str">
        <f>IF(A201="","",SUM(AB$5:AB201))</f>
        <v/>
      </c>
      <c r="AH201" s="55" t="str">
        <f>IF(A201="","",MAX(0,MAX(AG$5:AG201))-AG201)</f>
        <v/>
      </c>
    </row>
    <row r="202">
      <c r="A202" s="46" t="n"/>
      <c r="B202" s="31" t="n"/>
      <c r="C202" s="32" t="n"/>
      <c r="D202" s="27" t="n"/>
      <c r="E202" s="47" t="str">
        <f>IF(D202="","",IFERROR(VLOOKUP(D202,'参数'!$B$21:$C$26,2,FALSE),""))</f>
        <v/>
      </c>
      <c r="F202" s="27" t="n"/>
      <c r="G202" s="43" t="str">
        <f>IF(NOT(ISNUMBER(B202)),"",IFERROR(IF(B202-INDEX('每日复盘'!$A$5:$A$264,MATCH(B202-1,'每日复盘'!$A$5:$A$264,1))&gt;7,"",T(INDEX('每日复盘'!$AA$5:$AA$264,MATCH(B202-1,'每日复盘'!$A$5:$A$264,1)))),""))</f>
        <v/>
      </c>
      <c r="H202" s="48" t="n"/>
      <c r="I202" s="48" t="n"/>
      <c r="J202" s="48" t="n"/>
      <c r="K202" s="49" t="str">
        <f>IF(AND(ISNUMBER(H202),ISNUMBER(I202),ISNUMBER(J202)),IF(H202&gt;I202,(J202-H202)/(H202-I202),""),"")</f>
        <v/>
      </c>
      <c r="L202" s="44" t="str">
        <f>IF(AND(ISNUMBER(H202),ISNUMBER(I202)),IF(H202&gt;I202,MIN(INT(ROUND('参数'!$C$7/(H202-I202)/100,6))*100,IF(ISNUMBER(E202),IF(H202-ROUND(ROUND(I202*(1-E202),4),2)&gt;0,INT(ROUND('参数'!$C$8/(H202-ROUND(ROUND(I202*(1-E202),4),2))/100,6))*100,0),INT(ROUND('参数'!$C$7/(H202-I202)/100,6))*100)),""),"")</f>
        <v/>
      </c>
      <c r="M202" s="17" t="n"/>
      <c r="N202" s="20" t="str">
        <f>IF(AND(ISNUMBER(H202),ISNUMBER(I202),ISNUMBER(M202)),IF(AND(H202&gt;I202,M202&gt;0),(H202-I202)*M202,""),"")</f>
        <v/>
      </c>
      <c r="O202" s="20" t="str">
        <f>IF(ISNUMBER(N202),IF(ISNUMBER(E202),(H202-ROUND(ROUND(I202*(1-E202),4),2))*M202,"不设限"),"")</f>
        <v/>
      </c>
      <c r="P202" s="32" t="n"/>
      <c r="Q202" s="27" t="n"/>
      <c r="R202" s="42" t="str">
        <f>IF(N(T202)&gt;0,SUMPRODUCT(LARGE(('成交明细'!$A$5:$A$804=A202)*('成交明细'!$C$5:$C$804="买")*'成交明细'!$B$5:$B$804,COUNTIFS('成交明细'!$A$5:$A$804,A202,'成交明细'!$C$5:$C$804,"买"))),"")</f>
        <v/>
      </c>
      <c r="S202" s="42" t="str">
        <f>IF(AND(N(T202)&gt;0,N(V202)&gt;=N(T202)),SUMPRODUCT(MAX(('成交明细'!$A$5:$A$804=A202)*('成交明细'!$C$5:$C$804="卖")*'成交明细'!$B$5:$B$804)),"")</f>
        <v/>
      </c>
      <c r="T202" s="44" t="str">
        <f>IF(A202="","",SUMIFS('成交明细'!$E$5:$E$804,'成交明细'!$A$5:$A$804,A202,'成交明细'!$C$5:$C$804,"买"))</f>
        <v/>
      </c>
      <c r="U202" s="50" t="str">
        <f>IF(N(T202)&gt;0,SUMIFS('成交明细'!$F$5:$F$804,'成交明细'!$A$5:$A$804,A202,'成交明细'!$C$5:$C$804,"买")/T202,"")</f>
        <v/>
      </c>
      <c r="V202" s="44" t="str">
        <f>IF(A202="","",SUMIFS('成交明细'!$E$5:$E$804,'成交明细'!$A$5:$A$804,A202,'成交明细'!$C$5:$C$804,"卖"))</f>
        <v/>
      </c>
      <c r="W202" s="50" t="str">
        <f>IF(N(V202)&gt;0,SUMIFS('成交明细'!$F$5:$F$804,'成交明细'!$A$5:$A$804,A202,'成交明细'!$C$5:$C$804,"卖")/V202,"")</f>
        <v/>
      </c>
      <c r="X202" s="36" t="str">
        <f>IF(A202="","",IF(Q202&lt;&gt;"已执行",IF(Q202="","未填执行情况",Q202),IF(N(T202)=0,"待录成交",IF(N(V202)&gt;N(T202),"卖出多于买入",IF(N(V202)&lt;N(T202),"持仓中","已平仓")))))</f>
        <v/>
      </c>
      <c r="Y202" s="51" t="str">
        <f>IF(N(T202)=0,"",SUMIFS('成交明细'!$K$5:$K$804,'成交明细'!$A$5:$A$804,A202))</f>
        <v/>
      </c>
      <c r="Z202" s="52" t="str">
        <f>IF(X202&lt;&gt;"已平仓","",SUMIFS('成交明细'!$F$5:$F$804,'成交明细'!$A$5:$A$804,A202,'成交明细'!$C$5:$C$804,"卖")-SUMIFS('成交明细'!$F$5:$F$804,'成交明细'!$A$5:$A$804,A202,'成交明细'!$C$5:$C$804,"买")-Y202)</f>
        <v/>
      </c>
      <c r="AA202" s="53" t="str">
        <f>IF(AND(X202="已平仓",ISNUMBER(N202)),(Z202+Y202)/N202,"")</f>
        <v/>
      </c>
      <c r="AB202" s="53" t="str">
        <f>IF(AND(X202="已平仓",ISNUMBER(N202)),Z202/N202,"")</f>
        <v/>
      </c>
      <c r="AC202" s="54" t="str">
        <f>IF(AND(ISNUMBER(U202),ISNUMBER(H202)),U202-H202,"")</f>
        <v/>
      </c>
      <c r="AD202" s="27" t="n"/>
      <c r="AE202" s="27" t="n"/>
      <c r="AF202" s="32" t="n"/>
      <c r="AG202" s="53" t="str">
        <f>IF(A202="","",SUM(AB$5:AB202))</f>
        <v/>
      </c>
      <c r="AH202" s="55" t="str">
        <f>IF(A202="","",MAX(0,MAX(AG$5:AG202))-AG202)</f>
        <v/>
      </c>
    </row>
    <row r="203">
      <c r="A203" s="46" t="n"/>
      <c r="B203" s="31" t="n"/>
      <c r="C203" s="32" t="n"/>
      <c r="D203" s="27" t="n"/>
      <c r="E203" s="47" t="str">
        <f>IF(D203="","",IFERROR(VLOOKUP(D203,'参数'!$B$21:$C$26,2,FALSE),""))</f>
        <v/>
      </c>
      <c r="F203" s="27" t="n"/>
      <c r="G203" s="43" t="str">
        <f>IF(NOT(ISNUMBER(B203)),"",IFERROR(IF(B203-INDEX('每日复盘'!$A$5:$A$264,MATCH(B203-1,'每日复盘'!$A$5:$A$264,1))&gt;7,"",T(INDEX('每日复盘'!$AA$5:$AA$264,MATCH(B203-1,'每日复盘'!$A$5:$A$264,1)))),""))</f>
        <v/>
      </c>
      <c r="H203" s="48" t="n"/>
      <c r="I203" s="48" t="n"/>
      <c r="J203" s="48" t="n"/>
      <c r="K203" s="49" t="str">
        <f>IF(AND(ISNUMBER(H203),ISNUMBER(I203),ISNUMBER(J203)),IF(H203&gt;I203,(J203-H203)/(H203-I203),""),"")</f>
        <v/>
      </c>
      <c r="L203" s="44" t="str">
        <f>IF(AND(ISNUMBER(H203),ISNUMBER(I203)),IF(H203&gt;I203,MIN(INT(ROUND('参数'!$C$7/(H203-I203)/100,6))*100,IF(ISNUMBER(E203),IF(H203-ROUND(ROUND(I203*(1-E203),4),2)&gt;0,INT(ROUND('参数'!$C$8/(H203-ROUND(ROUND(I203*(1-E203),4),2))/100,6))*100,0),INT(ROUND('参数'!$C$7/(H203-I203)/100,6))*100)),""),"")</f>
        <v/>
      </c>
      <c r="M203" s="17" t="n"/>
      <c r="N203" s="20" t="str">
        <f>IF(AND(ISNUMBER(H203),ISNUMBER(I203),ISNUMBER(M203)),IF(AND(H203&gt;I203,M203&gt;0),(H203-I203)*M203,""),"")</f>
        <v/>
      </c>
      <c r="O203" s="20" t="str">
        <f>IF(ISNUMBER(N203),IF(ISNUMBER(E203),(H203-ROUND(ROUND(I203*(1-E203),4),2))*M203,"不设限"),"")</f>
        <v/>
      </c>
      <c r="P203" s="32" t="n"/>
      <c r="Q203" s="27" t="n"/>
      <c r="R203" s="42" t="str">
        <f>IF(N(T203)&gt;0,SUMPRODUCT(LARGE(('成交明细'!$A$5:$A$804=A203)*('成交明细'!$C$5:$C$804="买")*'成交明细'!$B$5:$B$804,COUNTIFS('成交明细'!$A$5:$A$804,A203,'成交明细'!$C$5:$C$804,"买"))),"")</f>
        <v/>
      </c>
      <c r="S203" s="42" t="str">
        <f>IF(AND(N(T203)&gt;0,N(V203)&gt;=N(T203)),SUMPRODUCT(MAX(('成交明细'!$A$5:$A$804=A203)*('成交明细'!$C$5:$C$804="卖")*'成交明细'!$B$5:$B$804)),"")</f>
        <v/>
      </c>
      <c r="T203" s="44" t="str">
        <f>IF(A203="","",SUMIFS('成交明细'!$E$5:$E$804,'成交明细'!$A$5:$A$804,A203,'成交明细'!$C$5:$C$804,"买"))</f>
        <v/>
      </c>
      <c r="U203" s="50" t="str">
        <f>IF(N(T203)&gt;0,SUMIFS('成交明细'!$F$5:$F$804,'成交明细'!$A$5:$A$804,A203,'成交明细'!$C$5:$C$804,"买")/T203,"")</f>
        <v/>
      </c>
      <c r="V203" s="44" t="str">
        <f>IF(A203="","",SUMIFS('成交明细'!$E$5:$E$804,'成交明细'!$A$5:$A$804,A203,'成交明细'!$C$5:$C$804,"卖"))</f>
        <v/>
      </c>
      <c r="W203" s="50" t="str">
        <f>IF(N(V203)&gt;0,SUMIFS('成交明细'!$F$5:$F$804,'成交明细'!$A$5:$A$804,A203,'成交明细'!$C$5:$C$804,"卖")/V203,"")</f>
        <v/>
      </c>
      <c r="X203" s="36" t="str">
        <f>IF(A203="","",IF(Q203&lt;&gt;"已执行",IF(Q203="","未填执行情况",Q203),IF(N(T203)=0,"待录成交",IF(N(V203)&gt;N(T203),"卖出多于买入",IF(N(V203)&lt;N(T203),"持仓中","已平仓")))))</f>
        <v/>
      </c>
      <c r="Y203" s="51" t="str">
        <f>IF(N(T203)=0,"",SUMIFS('成交明细'!$K$5:$K$804,'成交明细'!$A$5:$A$804,A203))</f>
        <v/>
      </c>
      <c r="Z203" s="52" t="str">
        <f>IF(X203&lt;&gt;"已平仓","",SUMIFS('成交明细'!$F$5:$F$804,'成交明细'!$A$5:$A$804,A203,'成交明细'!$C$5:$C$804,"卖")-SUMIFS('成交明细'!$F$5:$F$804,'成交明细'!$A$5:$A$804,A203,'成交明细'!$C$5:$C$804,"买")-Y203)</f>
        <v/>
      </c>
      <c r="AA203" s="53" t="str">
        <f>IF(AND(X203="已平仓",ISNUMBER(N203)),(Z203+Y203)/N203,"")</f>
        <v/>
      </c>
      <c r="AB203" s="53" t="str">
        <f>IF(AND(X203="已平仓",ISNUMBER(N203)),Z203/N203,"")</f>
        <v/>
      </c>
      <c r="AC203" s="54" t="str">
        <f>IF(AND(ISNUMBER(U203),ISNUMBER(H203)),U203-H203,"")</f>
        <v/>
      </c>
      <c r="AD203" s="27" t="n"/>
      <c r="AE203" s="27" t="n"/>
      <c r="AF203" s="32" t="n"/>
      <c r="AG203" s="53" t="str">
        <f>IF(A203="","",SUM(AB$5:AB203))</f>
        <v/>
      </c>
      <c r="AH203" s="55" t="str">
        <f>IF(A203="","",MAX(0,MAX(AG$5:AG203))-AG203)</f>
        <v/>
      </c>
    </row>
    <row r="204">
      <c r="A204" s="46" t="n"/>
      <c r="B204" s="31" t="n"/>
      <c r="C204" s="32" t="n"/>
      <c r="D204" s="27" t="n"/>
      <c r="E204" s="47" t="str">
        <f>IF(D204="","",IFERROR(VLOOKUP(D204,'参数'!$B$21:$C$26,2,FALSE),""))</f>
        <v/>
      </c>
      <c r="F204" s="27" t="n"/>
      <c r="G204" s="43" t="str">
        <f>IF(NOT(ISNUMBER(B204)),"",IFERROR(IF(B204-INDEX('每日复盘'!$A$5:$A$264,MATCH(B204-1,'每日复盘'!$A$5:$A$264,1))&gt;7,"",T(INDEX('每日复盘'!$AA$5:$AA$264,MATCH(B204-1,'每日复盘'!$A$5:$A$264,1)))),""))</f>
        <v/>
      </c>
      <c r="H204" s="48" t="n"/>
      <c r="I204" s="48" t="n"/>
      <c r="J204" s="48" t="n"/>
      <c r="K204" s="49" t="str">
        <f>IF(AND(ISNUMBER(H204),ISNUMBER(I204),ISNUMBER(J204)),IF(H204&gt;I204,(J204-H204)/(H204-I204),""),"")</f>
        <v/>
      </c>
      <c r="L204" s="44" t="str">
        <f>IF(AND(ISNUMBER(H204),ISNUMBER(I204)),IF(H204&gt;I204,MIN(INT(ROUND('参数'!$C$7/(H204-I204)/100,6))*100,IF(ISNUMBER(E204),IF(H204-ROUND(ROUND(I204*(1-E204),4),2)&gt;0,INT(ROUND('参数'!$C$8/(H204-ROUND(ROUND(I204*(1-E204),4),2))/100,6))*100,0),INT(ROUND('参数'!$C$7/(H204-I204)/100,6))*100)),""),"")</f>
        <v/>
      </c>
      <c r="M204" s="17" t="n"/>
      <c r="N204" s="20" t="str">
        <f>IF(AND(ISNUMBER(H204),ISNUMBER(I204),ISNUMBER(M204)),IF(AND(H204&gt;I204,M204&gt;0),(H204-I204)*M204,""),"")</f>
        <v/>
      </c>
      <c r="O204" s="20" t="str">
        <f>IF(ISNUMBER(N204),IF(ISNUMBER(E204),(H204-ROUND(ROUND(I204*(1-E204),4),2))*M204,"不设限"),"")</f>
        <v/>
      </c>
      <c r="P204" s="32" t="n"/>
      <c r="Q204" s="27" t="n"/>
      <c r="R204" s="42" t="str">
        <f>IF(N(T204)&gt;0,SUMPRODUCT(LARGE(('成交明细'!$A$5:$A$804=A204)*('成交明细'!$C$5:$C$804="买")*'成交明细'!$B$5:$B$804,COUNTIFS('成交明细'!$A$5:$A$804,A204,'成交明细'!$C$5:$C$804,"买"))),"")</f>
        <v/>
      </c>
      <c r="S204" s="42" t="str">
        <f>IF(AND(N(T204)&gt;0,N(V204)&gt;=N(T204)),SUMPRODUCT(MAX(('成交明细'!$A$5:$A$804=A204)*('成交明细'!$C$5:$C$804="卖")*'成交明细'!$B$5:$B$804)),"")</f>
        <v/>
      </c>
      <c r="T204" s="44" t="str">
        <f>IF(A204="","",SUMIFS('成交明细'!$E$5:$E$804,'成交明细'!$A$5:$A$804,A204,'成交明细'!$C$5:$C$804,"买"))</f>
        <v/>
      </c>
      <c r="U204" s="50" t="str">
        <f>IF(N(T204)&gt;0,SUMIFS('成交明细'!$F$5:$F$804,'成交明细'!$A$5:$A$804,A204,'成交明细'!$C$5:$C$804,"买")/T204,"")</f>
        <v/>
      </c>
      <c r="V204" s="44" t="str">
        <f>IF(A204="","",SUMIFS('成交明细'!$E$5:$E$804,'成交明细'!$A$5:$A$804,A204,'成交明细'!$C$5:$C$804,"卖"))</f>
        <v/>
      </c>
      <c r="W204" s="50" t="str">
        <f>IF(N(V204)&gt;0,SUMIFS('成交明细'!$F$5:$F$804,'成交明细'!$A$5:$A$804,A204,'成交明细'!$C$5:$C$804,"卖")/V204,"")</f>
        <v/>
      </c>
      <c r="X204" s="36" t="str">
        <f>IF(A204="","",IF(Q204&lt;&gt;"已执行",IF(Q204="","未填执行情况",Q204),IF(N(T204)=0,"待录成交",IF(N(V204)&gt;N(T204),"卖出多于买入",IF(N(V204)&lt;N(T204),"持仓中","已平仓")))))</f>
        <v/>
      </c>
      <c r="Y204" s="51" t="str">
        <f>IF(N(T204)=0,"",SUMIFS('成交明细'!$K$5:$K$804,'成交明细'!$A$5:$A$804,A204))</f>
        <v/>
      </c>
      <c r="Z204" s="52" t="str">
        <f>IF(X204&lt;&gt;"已平仓","",SUMIFS('成交明细'!$F$5:$F$804,'成交明细'!$A$5:$A$804,A204,'成交明细'!$C$5:$C$804,"卖")-SUMIFS('成交明细'!$F$5:$F$804,'成交明细'!$A$5:$A$804,A204,'成交明细'!$C$5:$C$804,"买")-Y204)</f>
        <v/>
      </c>
      <c r="AA204" s="53" t="str">
        <f>IF(AND(X204="已平仓",ISNUMBER(N204)),(Z204+Y204)/N204,"")</f>
        <v/>
      </c>
      <c r="AB204" s="53" t="str">
        <f>IF(AND(X204="已平仓",ISNUMBER(N204)),Z204/N204,"")</f>
        <v/>
      </c>
      <c r="AC204" s="54" t="str">
        <f>IF(AND(ISNUMBER(U204),ISNUMBER(H204)),U204-H204,"")</f>
        <v/>
      </c>
      <c r="AD204" s="27" t="n"/>
      <c r="AE204" s="27" t="n"/>
      <c r="AF204" s="32" t="n"/>
      <c r="AG204" s="53" t="str">
        <f>IF(A204="","",SUM(AB$5:AB204))</f>
        <v/>
      </c>
      <c r="AH204" s="55" t="str">
        <f>IF(A204="","",MAX(0,MAX(AG$5:AG204))-AG204)</f>
        <v/>
      </c>
    </row>
    <row r="205">
      <c r="A205" s="46" t="n"/>
      <c r="B205" s="31" t="n"/>
      <c r="C205" s="32" t="n"/>
      <c r="D205" s="27" t="n"/>
      <c r="E205" s="47" t="str">
        <f>IF(D205="","",IFERROR(VLOOKUP(D205,'参数'!$B$21:$C$26,2,FALSE),""))</f>
        <v/>
      </c>
      <c r="F205" s="27" t="n"/>
      <c r="G205" s="43" t="str">
        <f>IF(NOT(ISNUMBER(B205)),"",IFERROR(IF(B205-INDEX('每日复盘'!$A$5:$A$264,MATCH(B205-1,'每日复盘'!$A$5:$A$264,1))&gt;7,"",T(INDEX('每日复盘'!$AA$5:$AA$264,MATCH(B205-1,'每日复盘'!$A$5:$A$264,1)))),""))</f>
        <v/>
      </c>
      <c r="H205" s="48" t="n"/>
      <c r="I205" s="48" t="n"/>
      <c r="J205" s="48" t="n"/>
      <c r="K205" s="49" t="str">
        <f>IF(AND(ISNUMBER(H205),ISNUMBER(I205),ISNUMBER(J205)),IF(H205&gt;I205,(J205-H205)/(H205-I205),""),"")</f>
        <v/>
      </c>
      <c r="L205" s="44" t="str">
        <f>IF(AND(ISNUMBER(H205),ISNUMBER(I205)),IF(H205&gt;I205,MIN(INT(ROUND('参数'!$C$7/(H205-I205)/100,6))*100,IF(ISNUMBER(E205),IF(H205-ROUND(ROUND(I205*(1-E205),4),2)&gt;0,INT(ROUND('参数'!$C$8/(H205-ROUND(ROUND(I205*(1-E205),4),2))/100,6))*100,0),INT(ROUND('参数'!$C$7/(H205-I205)/100,6))*100)),""),"")</f>
        <v/>
      </c>
      <c r="M205" s="17" t="n"/>
      <c r="N205" s="20" t="str">
        <f>IF(AND(ISNUMBER(H205),ISNUMBER(I205),ISNUMBER(M205)),IF(AND(H205&gt;I205,M205&gt;0),(H205-I205)*M205,""),"")</f>
        <v/>
      </c>
      <c r="O205" s="20" t="str">
        <f>IF(ISNUMBER(N205),IF(ISNUMBER(E205),(H205-ROUND(ROUND(I205*(1-E205),4),2))*M205,"不设限"),"")</f>
        <v/>
      </c>
      <c r="P205" s="32" t="n"/>
      <c r="Q205" s="27" t="n"/>
      <c r="R205" s="42" t="str">
        <f>IF(N(T205)&gt;0,SUMPRODUCT(LARGE(('成交明细'!$A$5:$A$804=A205)*('成交明细'!$C$5:$C$804="买")*'成交明细'!$B$5:$B$804,COUNTIFS('成交明细'!$A$5:$A$804,A205,'成交明细'!$C$5:$C$804,"买"))),"")</f>
        <v/>
      </c>
      <c r="S205" s="42" t="str">
        <f>IF(AND(N(T205)&gt;0,N(V205)&gt;=N(T205)),SUMPRODUCT(MAX(('成交明细'!$A$5:$A$804=A205)*('成交明细'!$C$5:$C$804="卖")*'成交明细'!$B$5:$B$804)),"")</f>
        <v/>
      </c>
      <c r="T205" s="44" t="str">
        <f>IF(A205="","",SUMIFS('成交明细'!$E$5:$E$804,'成交明细'!$A$5:$A$804,A205,'成交明细'!$C$5:$C$804,"买"))</f>
        <v/>
      </c>
      <c r="U205" s="50" t="str">
        <f>IF(N(T205)&gt;0,SUMIFS('成交明细'!$F$5:$F$804,'成交明细'!$A$5:$A$804,A205,'成交明细'!$C$5:$C$804,"买")/T205,"")</f>
        <v/>
      </c>
      <c r="V205" s="44" t="str">
        <f>IF(A205="","",SUMIFS('成交明细'!$E$5:$E$804,'成交明细'!$A$5:$A$804,A205,'成交明细'!$C$5:$C$804,"卖"))</f>
        <v/>
      </c>
      <c r="W205" s="50" t="str">
        <f>IF(N(V205)&gt;0,SUMIFS('成交明细'!$F$5:$F$804,'成交明细'!$A$5:$A$804,A205,'成交明细'!$C$5:$C$804,"卖")/V205,"")</f>
        <v/>
      </c>
      <c r="X205" s="36" t="str">
        <f>IF(A205="","",IF(Q205&lt;&gt;"已执行",IF(Q205="","未填执行情况",Q205),IF(N(T205)=0,"待录成交",IF(N(V205)&gt;N(T205),"卖出多于买入",IF(N(V205)&lt;N(T205),"持仓中","已平仓")))))</f>
        <v/>
      </c>
      <c r="Y205" s="51" t="str">
        <f>IF(N(T205)=0,"",SUMIFS('成交明细'!$K$5:$K$804,'成交明细'!$A$5:$A$804,A205))</f>
        <v/>
      </c>
      <c r="Z205" s="52" t="str">
        <f>IF(X205&lt;&gt;"已平仓","",SUMIFS('成交明细'!$F$5:$F$804,'成交明细'!$A$5:$A$804,A205,'成交明细'!$C$5:$C$804,"卖")-SUMIFS('成交明细'!$F$5:$F$804,'成交明细'!$A$5:$A$804,A205,'成交明细'!$C$5:$C$804,"买")-Y205)</f>
        <v/>
      </c>
      <c r="AA205" s="53" t="str">
        <f>IF(AND(X205="已平仓",ISNUMBER(N205)),(Z205+Y205)/N205,"")</f>
        <v/>
      </c>
      <c r="AB205" s="53" t="str">
        <f>IF(AND(X205="已平仓",ISNUMBER(N205)),Z205/N205,"")</f>
        <v/>
      </c>
      <c r="AC205" s="54" t="str">
        <f>IF(AND(ISNUMBER(U205),ISNUMBER(H205)),U205-H205,"")</f>
        <v/>
      </c>
      <c r="AD205" s="27" t="n"/>
      <c r="AE205" s="27" t="n"/>
      <c r="AF205" s="32" t="n"/>
      <c r="AG205" s="53" t="str">
        <f>IF(A205="","",SUM(AB$5:AB205))</f>
        <v/>
      </c>
      <c r="AH205" s="55" t="str">
        <f>IF(A205="","",MAX(0,MAX(AG$5:AG205))-AG205)</f>
        <v/>
      </c>
    </row>
    <row r="206">
      <c r="A206" s="46" t="n"/>
      <c r="B206" s="31" t="n"/>
      <c r="C206" s="32" t="n"/>
      <c r="D206" s="27" t="n"/>
      <c r="E206" s="47" t="str">
        <f>IF(D206="","",IFERROR(VLOOKUP(D206,'参数'!$B$21:$C$26,2,FALSE),""))</f>
        <v/>
      </c>
      <c r="F206" s="27" t="n"/>
      <c r="G206" s="43" t="str">
        <f>IF(NOT(ISNUMBER(B206)),"",IFERROR(IF(B206-INDEX('每日复盘'!$A$5:$A$264,MATCH(B206-1,'每日复盘'!$A$5:$A$264,1))&gt;7,"",T(INDEX('每日复盘'!$AA$5:$AA$264,MATCH(B206-1,'每日复盘'!$A$5:$A$264,1)))),""))</f>
        <v/>
      </c>
      <c r="H206" s="48" t="n"/>
      <c r="I206" s="48" t="n"/>
      <c r="J206" s="48" t="n"/>
      <c r="K206" s="49" t="str">
        <f>IF(AND(ISNUMBER(H206),ISNUMBER(I206),ISNUMBER(J206)),IF(H206&gt;I206,(J206-H206)/(H206-I206),""),"")</f>
        <v/>
      </c>
      <c r="L206" s="44" t="str">
        <f>IF(AND(ISNUMBER(H206),ISNUMBER(I206)),IF(H206&gt;I206,MIN(INT(ROUND('参数'!$C$7/(H206-I206)/100,6))*100,IF(ISNUMBER(E206),IF(H206-ROUND(ROUND(I206*(1-E206),4),2)&gt;0,INT(ROUND('参数'!$C$8/(H206-ROUND(ROUND(I206*(1-E206),4),2))/100,6))*100,0),INT(ROUND('参数'!$C$7/(H206-I206)/100,6))*100)),""),"")</f>
        <v/>
      </c>
      <c r="M206" s="17" t="n"/>
      <c r="N206" s="20" t="str">
        <f>IF(AND(ISNUMBER(H206),ISNUMBER(I206),ISNUMBER(M206)),IF(AND(H206&gt;I206,M206&gt;0),(H206-I206)*M206,""),"")</f>
        <v/>
      </c>
      <c r="O206" s="20" t="str">
        <f>IF(ISNUMBER(N206),IF(ISNUMBER(E206),(H206-ROUND(ROUND(I206*(1-E206),4),2))*M206,"不设限"),"")</f>
        <v/>
      </c>
      <c r="P206" s="32" t="n"/>
      <c r="Q206" s="27" t="n"/>
      <c r="R206" s="42" t="str">
        <f>IF(N(T206)&gt;0,SUMPRODUCT(LARGE(('成交明细'!$A$5:$A$804=A206)*('成交明细'!$C$5:$C$804="买")*'成交明细'!$B$5:$B$804,COUNTIFS('成交明细'!$A$5:$A$804,A206,'成交明细'!$C$5:$C$804,"买"))),"")</f>
        <v/>
      </c>
      <c r="S206" s="42" t="str">
        <f>IF(AND(N(T206)&gt;0,N(V206)&gt;=N(T206)),SUMPRODUCT(MAX(('成交明细'!$A$5:$A$804=A206)*('成交明细'!$C$5:$C$804="卖")*'成交明细'!$B$5:$B$804)),"")</f>
        <v/>
      </c>
      <c r="T206" s="44" t="str">
        <f>IF(A206="","",SUMIFS('成交明细'!$E$5:$E$804,'成交明细'!$A$5:$A$804,A206,'成交明细'!$C$5:$C$804,"买"))</f>
        <v/>
      </c>
      <c r="U206" s="50" t="str">
        <f>IF(N(T206)&gt;0,SUMIFS('成交明细'!$F$5:$F$804,'成交明细'!$A$5:$A$804,A206,'成交明细'!$C$5:$C$804,"买")/T206,"")</f>
        <v/>
      </c>
      <c r="V206" s="44" t="str">
        <f>IF(A206="","",SUMIFS('成交明细'!$E$5:$E$804,'成交明细'!$A$5:$A$804,A206,'成交明细'!$C$5:$C$804,"卖"))</f>
        <v/>
      </c>
      <c r="W206" s="50" t="str">
        <f>IF(N(V206)&gt;0,SUMIFS('成交明细'!$F$5:$F$804,'成交明细'!$A$5:$A$804,A206,'成交明细'!$C$5:$C$804,"卖")/V206,"")</f>
        <v/>
      </c>
      <c r="X206" s="36" t="str">
        <f>IF(A206="","",IF(Q206&lt;&gt;"已执行",IF(Q206="","未填执行情况",Q206),IF(N(T206)=0,"待录成交",IF(N(V206)&gt;N(T206),"卖出多于买入",IF(N(V206)&lt;N(T206),"持仓中","已平仓")))))</f>
        <v/>
      </c>
      <c r="Y206" s="51" t="str">
        <f>IF(N(T206)=0,"",SUMIFS('成交明细'!$K$5:$K$804,'成交明细'!$A$5:$A$804,A206))</f>
        <v/>
      </c>
      <c r="Z206" s="52" t="str">
        <f>IF(X206&lt;&gt;"已平仓","",SUMIFS('成交明细'!$F$5:$F$804,'成交明细'!$A$5:$A$804,A206,'成交明细'!$C$5:$C$804,"卖")-SUMIFS('成交明细'!$F$5:$F$804,'成交明细'!$A$5:$A$804,A206,'成交明细'!$C$5:$C$804,"买")-Y206)</f>
        <v/>
      </c>
      <c r="AA206" s="53" t="str">
        <f>IF(AND(X206="已平仓",ISNUMBER(N206)),(Z206+Y206)/N206,"")</f>
        <v/>
      </c>
      <c r="AB206" s="53" t="str">
        <f>IF(AND(X206="已平仓",ISNUMBER(N206)),Z206/N206,"")</f>
        <v/>
      </c>
      <c r="AC206" s="54" t="str">
        <f>IF(AND(ISNUMBER(U206),ISNUMBER(H206)),U206-H206,"")</f>
        <v/>
      </c>
      <c r="AD206" s="27" t="n"/>
      <c r="AE206" s="27" t="n"/>
      <c r="AF206" s="32" t="n"/>
      <c r="AG206" s="53" t="str">
        <f>IF(A206="","",SUM(AB$5:AB206))</f>
        <v/>
      </c>
      <c r="AH206" s="55" t="str">
        <f>IF(A206="","",MAX(0,MAX(AG$5:AG206))-AG206)</f>
        <v/>
      </c>
    </row>
    <row r="207">
      <c r="A207" s="46" t="n"/>
      <c r="B207" s="31" t="n"/>
      <c r="C207" s="32" t="n"/>
      <c r="D207" s="27" t="n"/>
      <c r="E207" s="47" t="str">
        <f>IF(D207="","",IFERROR(VLOOKUP(D207,'参数'!$B$21:$C$26,2,FALSE),""))</f>
        <v/>
      </c>
      <c r="F207" s="27" t="n"/>
      <c r="G207" s="43" t="str">
        <f>IF(NOT(ISNUMBER(B207)),"",IFERROR(IF(B207-INDEX('每日复盘'!$A$5:$A$264,MATCH(B207-1,'每日复盘'!$A$5:$A$264,1))&gt;7,"",T(INDEX('每日复盘'!$AA$5:$AA$264,MATCH(B207-1,'每日复盘'!$A$5:$A$264,1)))),""))</f>
        <v/>
      </c>
      <c r="H207" s="48" t="n"/>
      <c r="I207" s="48" t="n"/>
      <c r="J207" s="48" t="n"/>
      <c r="K207" s="49" t="str">
        <f>IF(AND(ISNUMBER(H207),ISNUMBER(I207),ISNUMBER(J207)),IF(H207&gt;I207,(J207-H207)/(H207-I207),""),"")</f>
        <v/>
      </c>
      <c r="L207" s="44" t="str">
        <f>IF(AND(ISNUMBER(H207),ISNUMBER(I207)),IF(H207&gt;I207,MIN(INT(ROUND('参数'!$C$7/(H207-I207)/100,6))*100,IF(ISNUMBER(E207),IF(H207-ROUND(ROUND(I207*(1-E207),4),2)&gt;0,INT(ROUND('参数'!$C$8/(H207-ROUND(ROUND(I207*(1-E207),4),2))/100,6))*100,0),INT(ROUND('参数'!$C$7/(H207-I207)/100,6))*100)),""),"")</f>
        <v/>
      </c>
      <c r="M207" s="17" t="n"/>
      <c r="N207" s="20" t="str">
        <f>IF(AND(ISNUMBER(H207),ISNUMBER(I207),ISNUMBER(M207)),IF(AND(H207&gt;I207,M207&gt;0),(H207-I207)*M207,""),"")</f>
        <v/>
      </c>
      <c r="O207" s="20" t="str">
        <f>IF(ISNUMBER(N207),IF(ISNUMBER(E207),(H207-ROUND(ROUND(I207*(1-E207),4),2))*M207,"不设限"),"")</f>
        <v/>
      </c>
      <c r="P207" s="32" t="n"/>
      <c r="Q207" s="27" t="n"/>
      <c r="R207" s="42" t="str">
        <f>IF(N(T207)&gt;0,SUMPRODUCT(LARGE(('成交明细'!$A$5:$A$804=A207)*('成交明细'!$C$5:$C$804="买")*'成交明细'!$B$5:$B$804,COUNTIFS('成交明细'!$A$5:$A$804,A207,'成交明细'!$C$5:$C$804,"买"))),"")</f>
        <v/>
      </c>
      <c r="S207" s="42" t="str">
        <f>IF(AND(N(T207)&gt;0,N(V207)&gt;=N(T207)),SUMPRODUCT(MAX(('成交明细'!$A$5:$A$804=A207)*('成交明细'!$C$5:$C$804="卖")*'成交明细'!$B$5:$B$804)),"")</f>
        <v/>
      </c>
      <c r="T207" s="44" t="str">
        <f>IF(A207="","",SUMIFS('成交明细'!$E$5:$E$804,'成交明细'!$A$5:$A$804,A207,'成交明细'!$C$5:$C$804,"买"))</f>
        <v/>
      </c>
      <c r="U207" s="50" t="str">
        <f>IF(N(T207)&gt;0,SUMIFS('成交明细'!$F$5:$F$804,'成交明细'!$A$5:$A$804,A207,'成交明细'!$C$5:$C$804,"买")/T207,"")</f>
        <v/>
      </c>
      <c r="V207" s="44" t="str">
        <f>IF(A207="","",SUMIFS('成交明细'!$E$5:$E$804,'成交明细'!$A$5:$A$804,A207,'成交明细'!$C$5:$C$804,"卖"))</f>
        <v/>
      </c>
      <c r="W207" s="50" t="str">
        <f>IF(N(V207)&gt;0,SUMIFS('成交明细'!$F$5:$F$804,'成交明细'!$A$5:$A$804,A207,'成交明细'!$C$5:$C$804,"卖")/V207,"")</f>
        <v/>
      </c>
      <c r="X207" s="36" t="str">
        <f>IF(A207="","",IF(Q207&lt;&gt;"已执行",IF(Q207="","未填执行情况",Q207),IF(N(T207)=0,"待录成交",IF(N(V207)&gt;N(T207),"卖出多于买入",IF(N(V207)&lt;N(T207),"持仓中","已平仓")))))</f>
        <v/>
      </c>
      <c r="Y207" s="51" t="str">
        <f>IF(N(T207)=0,"",SUMIFS('成交明细'!$K$5:$K$804,'成交明细'!$A$5:$A$804,A207))</f>
        <v/>
      </c>
      <c r="Z207" s="52" t="str">
        <f>IF(X207&lt;&gt;"已平仓","",SUMIFS('成交明细'!$F$5:$F$804,'成交明细'!$A$5:$A$804,A207,'成交明细'!$C$5:$C$804,"卖")-SUMIFS('成交明细'!$F$5:$F$804,'成交明细'!$A$5:$A$804,A207,'成交明细'!$C$5:$C$804,"买")-Y207)</f>
        <v/>
      </c>
      <c r="AA207" s="53" t="str">
        <f>IF(AND(X207="已平仓",ISNUMBER(N207)),(Z207+Y207)/N207,"")</f>
        <v/>
      </c>
      <c r="AB207" s="53" t="str">
        <f>IF(AND(X207="已平仓",ISNUMBER(N207)),Z207/N207,"")</f>
        <v/>
      </c>
      <c r="AC207" s="54" t="str">
        <f>IF(AND(ISNUMBER(U207),ISNUMBER(H207)),U207-H207,"")</f>
        <v/>
      </c>
      <c r="AD207" s="27" t="n"/>
      <c r="AE207" s="27" t="n"/>
      <c r="AF207" s="32" t="n"/>
      <c r="AG207" s="53" t="str">
        <f>IF(A207="","",SUM(AB$5:AB207))</f>
        <v/>
      </c>
      <c r="AH207" s="55" t="str">
        <f>IF(A207="","",MAX(0,MAX(AG$5:AG207))-AG207)</f>
        <v/>
      </c>
    </row>
    <row r="208">
      <c r="A208" s="46" t="n"/>
      <c r="B208" s="31" t="n"/>
      <c r="C208" s="32" t="n"/>
      <c r="D208" s="27" t="n"/>
      <c r="E208" s="47" t="str">
        <f>IF(D208="","",IFERROR(VLOOKUP(D208,'参数'!$B$21:$C$26,2,FALSE),""))</f>
        <v/>
      </c>
      <c r="F208" s="27" t="n"/>
      <c r="G208" s="43" t="str">
        <f>IF(NOT(ISNUMBER(B208)),"",IFERROR(IF(B208-INDEX('每日复盘'!$A$5:$A$264,MATCH(B208-1,'每日复盘'!$A$5:$A$264,1))&gt;7,"",T(INDEX('每日复盘'!$AA$5:$AA$264,MATCH(B208-1,'每日复盘'!$A$5:$A$264,1)))),""))</f>
        <v/>
      </c>
      <c r="H208" s="48" t="n"/>
      <c r="I208" s="48" t="n"/>
      <c r="J208" s="48" t="n"/>
      <c r="K208" s="49" t="str">
        <f>IF(AND(ISNUMBER(H208),ISNUMBER(I208),ISNUMBER(J208)),IF(H208&gt;I208,(J208-H208)/(H208-I208),""),"")</f>
        <v/>
      </c>
      <c r="L208" s="44" t="str">
        <f>IF(AND(ISNUMBER(H208),ISNUMBER(I208)),IF(H208&gt;I208,MIN(INT(ROUND('参数'!$C$7/(H208-I208)/100,6))*100,IF(ISNUMBER(E208),IF(H208-ROUND(ROUND(I208*(1-E208),4),2)&gt;0,INT(ROUND('参数'!$C$8/(H208-ROUND(ROUND(I208*(1-E208),4),2))/100,6))*100,0),INT(ROUND('参数'!$C$7/(H208-I208)/100,6))*100)),""),"")</f>
        <v/>
      </c>
      <c r="M208" s="17" t="n"/>
      <c r="N208" s="20" t="str">
        <f>IF(AND(ISNUMBER(H208),ISNUMBER(I208),ISNUMBER(M208)),IF(AND(H208&gt;I208,M208&gt;0),(H208-I208)*M208,""),"")</f>
        <v/>
      </c>
      <c r="O208" s="20" t="str">
        <f>IF(ISNUMBER(N208),IF(ISNUMBER(E208),(H208-ROUND(ROUND(I208*(1-E208),4),2))*M208,"不设限"),"")</f>
        <v/>
      </c>
      <c r="P208" s="32" t="n"/>
      <c r="Q208" s="27" t="n"/>
      <c r="R208" s="42" t="str">
        <f>IF(N(T208)&gt;0,SUMPRODUCT(LARGE(('成交明细'!$A$5:$A$804=A208)*('成交明细'!$C$5:$C$804="买")*'成交明细'!$B$5:$B$804,COUNTIFS('成交明细'!$A$5:$A$804,A208,'成交明细'!$C$5:$C$804,"买"))),"")</f>
        <v/>
      </c>
      <c r="S208" s="42" t="str">
        <f>IF(AND(N(T208)&gt;0,N(V208)&gt;=N(T208)),SUMPRODUCT(MAX(('成交明细'!$A$5:$A$804=A208)*('成交明细'!$C$5:$C$804="卖")*'成交明细'!$B$5:$B$804)),"")</f>
        <v/>
      </c>
      <c r="T208" s="44" t="str">
        <f>IF(A208="","",SUMIFS('成交明细'!$E$5:$E$804,'成交明细'!$A$5:$A$804,A208,'成交明细'!$C$5:$C$804,"买"))</f>
        <v/>
      </c>
      <c r="U208" s="50" t="str">
        <f>IF(N(T208)&gt;0,SUMIFS('成交明细'!$F$5:$F$804,'成交明细'!$A$5:$A$804,A208,'成交明细'!$C$5:$C$804,"买")/T208,"")</f>
        <v/>
      </c>
      <c r="V208" s="44" t="str">
        <f>IF(A208="","",SUMIFS('成交明细'!$E$5:$E$804,'成交明细'!$A$5:$A$804,A208,'成交明细'!$C$5:$C$804,"卖"))</f>
        <v/>
      </c>
      <c r="W208" s="50" t="str">
        <f>IF(N(V208)&gt;0,SUMIFS('成交明细'!$F$5:$F$804,'成交明细'!$A$5:$A$804,A208,'成交明细'!$C$5:$C$804,"卖")/V208,"")</f>
        <v/>
      </c>
      <c r="X208" s="36" t="str">
        <f>IF(A208="","",IF(Q208&lt;&gt;"已执行",IF(Q208="","未填执行情况",Q208),IF(N(T208)=0,"待录成交",IF(N(V208)&gt;N(T208),"卖出多于买入",IF(N(V208)&lt;N(T208),"持仓中","已平仓")))))</f>
        <v/>
      </c>
      <c r="Y208" s="51" t="str">
        <f>IF(N(T208)=0,"",SUMIFS('成交明细'!$K$5:$K$804,'成交明细'!$A$5:$A$804,A208))</f>
        <v/>
      </c>
      <c r="Z208" s="52" t="str">
        <f>IF(X208&lt;&gt;"已平仓","",SUMIFS('成交明细'!$F$5:$F$804,'成交明细'!$A$5:$A$804,A208,'成交明细'!$C$5:$C$804,"卖")-SUMIFS('成交明细'!$F$5:$F$804,'成交明细'!$A$5:$A$804,A208,'成交明细'!$C$5:$C$804,"买")-Y208)</f>
        <v/>
      </c>
      <c r="AA208" s="53" t="str">
        <f>IF(AND(X208="已平仓",ISNUMBER(N208)),(Z208+Y208)/N208,"")</f>
        <v/>
      </c>
      <c r="AB208" s="53" t="str">
        <f>IF(AND(X208="已平仓",ISNUMBER(N208)),Z208/N208,"")</f>
        <v/>
      </c>
      <c r="AC208" s="54" t="str">
        <f>IF(AND(ISNUMBER(U208),ISNUMBER(H208)),U208-H208,"")</f>
        <v/>
      </c>
      <c r="AD208" s="27" t="n"/>
      <c r="AE208" s="27" t="n"/>
      <c r="AF208" s="32" t="n"/>
      <c r="AG208" s="53" t="str">
        <f>IF(A208="","",SUM(AB$5:AB208))</f>
        <v/>
      </c>
      <c r="AH208" s="55" t="str">
        <f>IF(A208="","",MAX(0,MAX(AG$5:AG208))-AG208)</f>
        <v/>
      </c>
    </row>
    <row r="209">
      <c r="A209" s="46" t="n"/>
      <c r="B209" s="31" t="n"/>
      <c r="C209" s="32" t="n"/>
      <c r="D209" s="27" t="n"/>
      <c r="E209" s="47" t="str">
        <f>IF(D209="","",IFERROR(VLOOKUP(D209,'参数'!$B$21:$C$26,2,FALSE),""))</f>
        <v/>
      </c>
      <c r="F209" s="27" t="n"/>
      <c r="G209" s="43" t="str">
        <f>IF(NOT(ISNUMBER(B209)),"",IFERROR(IF(B209-INDEX('每日复盘'!$A$5:$A$264,MATCH(B209-1,'每日复盘'!$A$5:$A$264,1))&gt;7,"",T(INDEX('每日复盘'!$AA$5:$AA$264,MATCH(B209-1,'每日复盘'!$A$5:$A$264,1)))),""))</f>
        <v/>
      </c>
      <c r="H209" s="48" t="n"/>
      <c r="I209" s="48" t="n"/>
      <c r="J209" s="48" t="n"/>
      <c r="K209" s="49" t="str">
        <f>IF(AND(ISNUMBER(H209),ISNUMBER(I209),ISNUMBER(J209)),IF(H209&gt;I209,(J209-H209)/(H209-I209),""),"")</f>
        <v/>
      </c>
      <c r="L209" s="44" t="str">
        <f>IF(AND(ISNUMBER(H209),ISNUMBER(I209)),IF(H209&gt;I209,MIN(INT(ROUND('参数'!$C$7/(H209-I209)/100,6))*100,IF(ISNUMBER(E209),IF(H209-ROUND(ROUND(I209*(1-E209),4),2)&gt;0,INT(ROUND('参数'!$C$8/(H209-ROUND(ROUND(I209*(1-E209),4),2))/100,6))*100,0),INT(ROUND('参数'!$C$7/(H209-I209)/100,6))*100)),""),"")</f>
        <v/>
      </c>
      <c r="M209" s="17" t="n"/>
      <c r="N209" s="20" t="str">
        <f>IF(AND(ISNUMBER(H209),ISNUMBER(I209),ISNUMBER(M209)),IF(AND(H209&gt;I209,M209&gt;0),(H209-I209)*M209,""),"")</f>
        <v/>
      </c>
      <c r="O209" s="20" t="str">
        <f>IF(ISNUMBER(N209),IF(ISNUMBER(E209),(H209-ROUND(ROUND(I209*(1-E209),4),2))*M209,"不设限"),"")</f>
        <v/>
      </c>
      <c r="P209" s="32" t="n"/>
      <c r="Q209" s="27" t="n"/>
      <c r="R209" s="42" t="str">
        <f>IF(N(T209)&gt;0,SUMPRODUCT(LARGE(('成交明细'!$A$5:$A$804=A209)*('成交明细'!$C$5:$C$804="买")*'成交明细'!$B$5:$B$804,COUNTIFS('成交明细'!$A$5:$A$804,A209,'成交明细'!$C$5:$C$804,"买"))),"")</f>
        <v/>
      </c>
      <c r="S209" s="42" t="str">
        <f>IF(AND(N(T209)&gt;0,N(V209)&gt;=N(T209)),SUMPRODUCT(MAX(('成交明细'!$A$5:$A$804=A209)*('成交明细'!$C$5:$C$804="卖")*'成交明细'!$B$5:$B$804)),"")</f>
        <v/>
      </c>
      <c r="T209" s="44" t="str">
        <f>IF(A209="","",SUMIFS('成交明细'!$E$5:$E$804,'成交明细'!$A$5:$A$804,A209,'成交明细'!$C$5:$C$804,"买"))</f>
        <v/>
      </c>
      <c r="U209" s="50" t="str">
        <f>IF(N(T209)&gt;0,SUMIFS('成交明细'!$F$5:$F$804,'成交明细'!$A$5:$A$804,A209,'成交明细'!$C$5:$C$804,"买")/T209,"")</f>
        <v/>
      </c>
      <c r="V209" s="44" t="str">
        <f>IF(A209="","",SUMIFS('成交明细'!$E$5:$E$804,'成交明细'!$A$5:$A$804,A209,'成交明细'!$C$5:$C$804,"卖"))</f>
        <v/>
      </c>
      <c r="W209" s="50" t="str">
        <f>IF(N(V209)&gt;0,SUMIFS('成交明细'!$F$5:$F$804,'成交明细'!$A$5:$A$804,A209,'成交明细'!$C$5:$C$804,"卖")/V209,"")</f>
        <v/>
      </c>
      <c r="X209" s="36" t="str">
        <f>IF(A209="","",IF(Q209&lt;&gt;"已执行",IF(Q209="","未填执行情况",Q209),IF(N(T209)=0,"待录成交",IF(N(V209)&gt;N(T209),"卖出多于买入",IF(N(V209)&lt;N(T209),"持仓中","已平仓")))))</f>
        <v/>
      </c>
      <c r="Y209" s="51" t="str">
        <f>IF(N(T209)=0,"",SUMIFS('成交明细'!$K$5:$K$804,'成交明细'!$A$5:$A$804,A209))</f>
        <v/>
      </c>
      <c r="Z209" s="52" t="str">
        <f>IF(X209&lt;&gt;"已平仓","",SUMIFS('成交明细'!$F$5:$F$804,'成交明细'!$A$5:$A$804,A209,'成交明细'!$C$5:$C$804,"卖")-SUMIFS('成交明细'!$F$5:$F$804,'成交明细'!$A$5:$A$804,A209,'成交明细'!$C$5:$C$804,"买")-Y209)</f>
        <v/>
      </c>
      <c r="AA209" s="53" t="str">
        <f>IF(AND(X209="已平仓",ISNUMBER(N209)),(Z209+Y209)/N209,"")</f>
        <v/>
      </c>
      <c r="AB209" s="53" t="str">
        <f>IF(AND(X209="已平仓",ISNUMBER(N209)),Z209/N209,"")</f>
        <v/>
      </c>
      <c r="AC209" s="54" t="str">
        <f>IF(AND(ISNUMBER(U209),ISNUMBER(H209)),U209-H209,"")</f>
        <v/>
      </c>
      <c r="AD209" s="27" t="n"/>
      <c r="AE209" s="27" t="n"/>
      <c r="AF209" s="32" t="n"/>
      <c r="AG209" s="53" t="str">
        <f>IF(A209="","",SUM(AB$5:AB209))</f>
        <v/>
      </c>
      <c r="AH209" s="55" t="str">
        <f>IF(A209="","",MAX(0,MAX(AG$5:AG209))-AG209)</f>
        <v/>
      </c>
    </row>
    <row r="210">
      <c r="A210" s="46" t="n"/>
      <c r="B210" s="31" t="n"/>
      <c r="C210" s="32" t="n"/>
      <c r="D210" s="27" t="n"/>
      <c r="E210" s="47" t="str">
        <f>IF(D210="","",IFERROR(VLOOKUP(D210,'参数'!$B$21:$C$26,2,FALSE),""))</f>
        <v/>
      </c>
      <c r="F210" s="27" t="n"/>
      <c r="G210" s="43" t="str">
        <f>IF(NOT(ISNUMBER(B210)),"",IFERROR(IF(B210-INDEX('每日复盘'!$A$5:$A$264,MATCH(B210-1,'每日复盘'!$A$5:$A$264,1))&gt;7,"",T(INDEX('每日复盘'!$AA$5:$AA$264,MATCH(B210-1,'每日复盘'!$A$5:$A$264,1)))),""))</f>
        <v/>
      </c>
      <c r="H210" s="48" t="n"/>
      <c r="I210" s="48" t="n"/>
      <c r="J210" s="48" t="n"/>
      <c r="K210" s="49" t="str">
        <f>IF(AND(ISNUMBER(H210),ISNUMBER(I210),ISNUMBER(J210)),IF(H210&gt;I210,(J210-H210)/(H210-I210),""),"")</f>
        <v/>
      </c>
      <c r="L210" s="44" t="str">
        <f>IF(AND(ISNUMBER(H210),ISNUMBER(I210)),IF(H210&gt;I210,MIN(INT(ROUND('参数'!$C$7/(H210-I210)/100,6))*100,IF(ISNUMBER(E210),IF(H210-ROUND(ROUND(I210*(1-E210),4),2)&gt;0,INT(ROUND('参数'!$C$8/(H210-ROUND(ROUND(I210*(1-E210),4),2))/100,6))*100,0),INT(ROUND('参数'!$C$7/(H210-I210)/100,6))*100)),""),"")</f>
        <v/>
      </c>
      <c r="M210" s="17" t="n"/>
      <c r="N210" s="20" t="str">
        <f>IF(AND(ISNUMBER(H210),ISNUMBER(I210),ISNUMBER(M210)),IF(AND(H210&gt;I210,M210&gt;0),(H210-I210)*M210,""),"")</f>
        <v/>
      </c>
      <c r="O210" s="20" t="str">
        <f>IF(ISNUMBER(N210),IF(ISNUMBER(E210),(H210-ROUND(ROUND(I210*(1-E210),4),2))*M210,"不设限"),"")</f>
        <v/>
      </c>
      <c r="P210" s="32" t="n"/>
      <c r="Q210" s="27" t="n"/>
      <c r="R210" s="42" t="str">
        <f>IF(N(T210)&gt;0,SUMPRODUCT(LARGE(('成交明细'!$A$5:$A$804=A210)*('成交明细'!$C$5:$C$804="买")*'成交明细'!$B$5:$B$804,COUNTIFS('成交明细'!$A$5:$A$804,A210,'成交明细'!$C$5:$C$804,"买"))),"")</f>
        <v/>
      </c>
      <c r="S210" s="42" t="str">
        <f>IF(AND(N(T210)&gt;0,N(V210)&gt;=N(T210)),SUMPRODUCT(MAX(('成交明细'!$A$5:$A$804=A210)*('成交明细'!$C$5:$C$804="卖")*'成交明细'!$B$5:$B$804)),"")</f>
        <v/>
      </c>
      <c r="T210" s="44" t="str">
        <f>IF(A210="","",SUMIFS('成交明细'!$E$5:$E$804,'成交明细'!$A$5:$A$804,A210,'成交明细'!$C$5:$C$804,"买"))</f>
        <v/>
      </c>
      <c r="U210" s="50" t="str">
        <f>IF(N(T210)&gt;0,SUMIFS('成交明细'!$F$5:$F$804,'成交明细'!$A$5:$A$804,A210,'成交明细'!$C$5:$C$804,"买")/T210,"")</f>
        <v/>
      </c>
      <c r="V210" s="44" t="str">
        <f>IF(A210="","",SUMIFS('成交明细'!$E$5:$E$804,'成交明细'!$A$5:$A$804,A210,'成交明细'!$C$5:$C$804,"卖"))</f>
        <v/>
      </c>
      <c r="W210" s="50" t="str">
        <f>IF(N(V210)&gt;0,SUMIFS('成交明细'!$F$5:$F$804,'成交明细'!$A$5:$A$804,A210,'成交明细'!$C$5:$C$804,"卖")/V210,"")</f>
        <v/>
      </c>
      <c r="X210" s="36" t="str">
        <f>IF(A210="","",IF(Q210&lt;&gt;"已执行",IF(Q210="","未填执行情况",Q210),IF(N(T210)=0,"待录成交",IF(N(V210)&gt;N(T210),"卖出多于买入",IF(N(V210)&lt;N(T210),"持仓中","已平仓")))))</f>
        <v/>
      </c>
      <c r="Y210" s="51" t="str">
        <f>IF(N(T210)=0,"",SUMIFS('成交明细'!$K$5:$K$804,'成交明细'!$A$5:$A$804,A210))</f>
        <v/>
      </c>
      <c r="Z210" s="52" t="str">
        <f>IF(X210&lt;&gt;"已平仓","",SUMIFS('成交明细'!$F$5:$F$804,'成交明细'!$A$5:$A$804,A210,'成交明细'!$C$5:$C$804,"卖")-SUMIFS('成交明细'!$F$5:$F$804,'成交明细'!$A$5:$A$804,A210,'成交明细'!$C$5:$C$804,"买")-Y210)</f>
        <v/>
      </c>
      <c r="AA210" s="53" t="str">
        <f>IF(AND(X210="已平仓",ISNUMBER(N210)),(Z210+Y210)/N210,"")</f>
        <v/>
      </c>
      <c r="AB210" s="53" t="str">
        <f>IF(AND(X210="已平仓",ISNUMBER(N210)),Z210/N210,"")</f>
        <v/>
      </c>
      <c r="AC210" s="54" t="str">
        <f>IF(AND(ISNUMBER(U210),ISNUMBER(H210)),U210-H210,"")</f>
        <v/>
      </c>
      <c r="AD210" s="27" t="n"/>
      <c r="AE210" s="27" t="n"/>
      <c r="AF210" s="32" t="n"/>
      <c r="AG210" s="53" t="str">
        <f>IF(A210="","",SUM(AB$5:AB210))</f>
        <v/>
      </c>
      <c r="AH210" s="55" t="str">
        <f>IF(A210="","",MAX(0,MAX(AG$5:AG210))-AG210)</f>
        <v/>
      </c>
    </row>
    <row r="211">
      <c r="A211" s="46" t="n"/>
      <c r="B211" s="31" t="n"/>
      <c r="C211" s="32" t="n"/>
      <c r="D211" s="27" t="n"/>
      <c r="E211" s="47" t="str">
        <f>IF(D211="","",IFERROR(VLOOKUP(D211,'参数'!$B$21:$C$26,2,FALSE),""))</f>
        <v/>
      </c>
      <c r="F211" s="27" t="n"/>
      <c r="G211" s="43" t="str">
        <f>IF(NOT(ISNUMBER(B211)),"",IFERROR(IF(B211-INDEX('每日复盘'!$A$5:$A$264,MATCH(B211-1,'每日复盘'!$A$5:$A$264,1))&gt;7,"",T(INDEX('每日复盘'!$AA$5:$AA$264,MATCH(B211-1,'每日复盘'!$A$5:$A$264,1)))),""))</f>
        <v/>
      </c>
      <c r="H211" s="48" t="n"/>
      <c r="I211" s="48" t="n"/>
      <c r="J211" s="48" t="n"/>
      <c r="K211" s="49" t="str">
        <f>IF(AND(ISNUMBER(H211),ISNUMBER(I211),ISNUMBER(J211)),IF(H211&gt;I211,(J211-H211)/(H211-I211),""),"")</f>
        <v/>
      </c>
      <c r="L211" s="44" t="str">
        <f>IF(AND(ISNUMBER(H211),ISNUMBER(I211)),IF(H211&gt;I211,MIN(INT(ROUND('参数'!$C$7/(H211-I211)/100,6))*100,IF(ISNUMBER(E211),IF(H211-ROUND(ROUND(I211*(1-E211),4),2)&gt;0,INT(ROUND('参数'!$C$8/(H211-ROUND(ROUND(I211*(1-E211),4),2))/100,6))*100,0),INT(ROUND('参数'!$C$7/(H211-I211)/100,6))*100)),""),"")</f>
        <v/>
      </c>
      <c r="M211" s="17" t="n"/>
      <c r="N211" s="20" t="str">
        <f>IF(AND(ISNUMBER(H211),ISNUMBER(I211),ISNUMBER(M211)),IF(AND(H211&gt;I211,M211&gt;0),(H211-I211)*M211,""),"")</f>
        <v/>
      </c>
      <c r="O211" s="20" t="str">
        <f>IF(ISNUMBER(N211),IF(ISNUMBER(E211),(H211-ROUND(ROUND(I211*(1-E211),4),2))*M211,"不设限"),"")</f>
        <v/>
      </c>
      <c r="P211" s="32" t="n"/>
      <c r="Q211" s="27" t="n"/>
      <c r="R211" s="42" t="str">
        <f>IF(N(T211)&gt;0,SUMPRODUCT(LARGE(('成交明细'!$A$5:$A$804=A211)*('成交明细'!$C$5:$C$804="买")*'成交明细'!$B$5:$B$804,COUNTIFS('成交明细'!$A$5:$A$804,A211,'成交明细'!$C$5:$C$804,"买"))),"")</f>
        <v/>
      </c>
      <c r="S211" s="42" t="str">
        <f>IF(AND(N(T211)&gt;0,N(V211)&gt;=N(T211)),SUMPRODUCT(MAX(('成交明细'!$A$5:$A$804=A211)*('成交明细'!$C$5:$C$804="卖")*'成交明细'!$B$5:$B$804)),"")</f>
        <v/>
      </c>
      <c r="T211" s="44" t="str">
        <f>IF(A211="","",SUMIFS('成交明细'!$E$5:$E$804,'成交明细'!$A$5:$A$804,A211,'成交明细'!$C$5:$C$804,"买"))</f>
        <v/>
      </c>
      <c r="U211" s="50" t="str">
        <f>IF(N(T211)&gt;0,SUMIFS('成交明细'!$F$5:$F$804,'成交明细'!$A$5:$A$804,A211,'成交明细'!$C$5:$C$804,"买")/T211,"")</f>
        <v/>
      </c>
      <c r="V211" s="44" t="str">
        <f>IF(A211="","",SUMIFS('成交明细'!$E$5:$E$804,'成交明细'!$A$5:$A$804,A211,'成交明细'!$C$5:$C$804,"卖"))</f>
        <v/>
      </c>
      <c r="W211" s="50" t="str">
        <f>IF(N(V211)&gt;0,SUMIFS('成交明细'!$F$5:$F$804,'成交明细'!$A$5:$A$804,A211,'成交明细'!$C$5:$C$804,"卖")/V211,"")</f>
        <v/>
      </c>
      <c r="X211" s="36" t="str">
        <f>IF(A211="","",IF(Q211&lt;&gt;"已执行",IF(Q211="","未填执行情况",Q211),IF(N(T211)=0,"待录成交",IF(N(V211)&gt;N(T211),"卖出多于买入",IF(N(V211)&lt;N(T211),"持仓中","已平仓")))))</f>
        <v/>
      </c>
      <c r="Y211" s="51" t="str">
        <f>IF(N(T211)=0,"",SUMIFS('成交明细'!$K$5:$K$804,'成交明细'!$A$5:$A$804,A211))</f>
        <v/>
      </c>
      <c r="Z211" s="52" t="str">
        <f>IF(X211&lt;&gt;"已平仓","",SUMIFS('成交明细'!$F$5:$F$804,'成交明细'!$A$5:$A$804,A211,'成交明细'!$C$5:$C$804,"卖")-SUMIFS('成交明细'!$F$5:$F$804,'成交明细'!$A$5:$A$804,A211,'成交明细'!$C$5:$C$804,"买")-Y211)</f>
        <v/>
      </c>
      <c r="AA211" s="53" t="str">
        <f>IF(AND(X211="已平仓",ISNUMBER(N211)),(Z211+Y211)/N211,"")</f>
        <v/>
      </c>
      <c r="AB211" s="53" t="str">
        <f>IF(AND(X211="已平仓",ISNUMBER(N211)),Z211/N211,"")</f>
        <v/>
      </c>
      <c r="AC211" s="54" t="str">
        <f>IF(AND(ISNUMBER(U211),ISNUMBER(H211)),U211-H211,"")</f>
        <v/>
      </c>
      <c r="AD211" s="27" t="n"/>
      <c r="AE211" s="27" t="n"/>
      <c r="AF211" s="32" t="n"/>
      <c r="AG211" s="53" t="str">
        <f>IF(A211="","",SUM(AB$5:AB211))</f>
        <v/>
      </c>
      <c r="AH211" s="55" t="str">
        <f>IF(A211="","",MAX(0,MAX(AG$5:AG211))-AG211)</f>
        <v/>
      </c>
    </row>
    <row r="212">
      <c r="A212" s="46" t="n"/>
      <c r="B212" s="31" t="n"/>
      <c r="C212" s="32" t="n"/>
      <c r="D212" s="27" t="n"/>
      <c r="E212" s="47" t="str">
        <f>IF(D212="","",IFERROR(VLOOKUP(D212,'参数'!$B$21:$C$26,2,FALSE),""))</f>
        <v/>
      </c>
      <c r="F212" s="27" t="n"/>
      <c r="G212" s="43" t="str">
        <f>IF(NOT(ISNUMBER(B212)),"",IFERROR(IF(B212-INDEX('每日复盘'!$A$5:$A$264,MATCH(B212-1,'每日复盘'!$A$5:$A$264,1))&gt;7,"",T(INDEX('每日复盘'!$AA$5:$AA$264,MATCH(B212-1,'每日复盘'!$A$5:$A$264,1)))),""))</f>
        <v/>
      </c>
      <c r="H212" s="48" t="n"/>
      <c r="I212" s="48" t="n"/>
      <c r="J212" s="48" t="n"/>
      <c r="K212" s="49" t="str">
        <f>IF(AND(ISNUMBER(H212),ISNUMBER(I212),ISNUMBER(J212)),IF(H212&gt;I212,(J212-H212)/(H212-I212),""),"")</f>
        <v/>
      </c>
      <c r="L212" s="44" t="str">
        <f>IF(AND(ISNUMBER(H212),ISNUMBER(I212)),IF(H212&gt;I212,MIN(INT(ROUND('参数'!$C$7/(H212-I212)/100,6))*100,IF(ISNUMBER(E212),IF(H212-ROUND(ROUND(I212*(1-E212),4),2)&gt;0,INT(ROUND('参数'!$C$8/(H212-ROUND(ROUND(I212*(1-E212),4),2))/100,6))*100,0),INT(ROUND('参数'!$C$7/(H212-I212)/100,6))*100)),""),"")</f>
        <v/>
      </c>
      <c r="M212" s="17" t="n"/>
      <c r="N212" s="20" t="str">
        <f>IF(AND(ISNUMBER(H212),ISNUMBER(I212),ISNUMBER(M212)),IF(AND(H212&gt;I212,M212&gt;0),(H212-I212)*M212,""),"")</f>
        <v/>
      </c>
      <c r="O212" s="20" t="str">
        <f>IF(ISNUMBER(N212),IF(ISNUMBER(E212),(H212-ROUND(ROUND(I212*(1-E212),4),2))*M212,"不设限"),"")</f>
        <v/>
      </c>
      <c r="P212" s="32" t="n"/>
      <c r="Q212" s="27" t="n"/>
      <c r="R212" s="42" t="str">
        <f>IF(N(T212)&gt;0,SUMPRODUCT(LARGE(('成交明细'!$A$5:$A$804=A212)*('成交明细'!$C$5:$C$804="买")*'成交明细'!$B$5:$B$804,COUNTIFS('成交明细'!$A$5:$A$804,A212,'成交明细'!$C$5:$C$804,"买"))),"")</f>
        <v/>
      </c>
      <c r="S212" s="42" t="str">
        <f>IF(AND(N(T212)&gt;0,N(V212)&gt;=N(T212)),SUMPRODUCT(MAX(('成交明细'!$A$5:$A$804=A212)*('成交明细'!$C$5:$C$804="卖")*'成交明细'!$B$5:$B$804)),"")</f>
        <v/>
      </c>
      <c r="T212" s="44" t="str">
        <f>IF(A212="","",SUMIFS('成交明细'!$E$5:$E$804,'成交明细'!$A$5:$A$804,A212,'成交明细'!$C$5:$C$804,"买"))</f>
        <v/>
      </c>
      <c r="U212" s="50" t="str">
        <f>IF(N(T212)&gt;0,SUMIFS('成交明细'!$F$5:$F$804,'成交明细'!$A$5:$A$804,A212,'成交明细'!$C$5:$C$804,"买")/T212,"")</f>
        <v/>
      </c>
      <c r="V212" s="44" t="str">
        <f>IF(A212="","",SUMIFS('成交明细'!$E$5:$E$804,'成交明细'!$A$5:$A$804,A212,'成交明细'!$C$5:$C$804,"卖"))</f>
        <v/>
      </c>
      <c r="W212" s="50" t="str">
        <f>IF(N(V212)&gt;0,SUMIFS('成交明细'!$F$5:$F$804,'成交明细'!$A$5:$A$804,A212,'成交明细'!$C$5:$C$804,"卖")/V212,"")</f>
        <v/>
      </c>
      <c r="X212" s="36" t="str">
        <f>IF(A212="","",IF(Q212&lt;&gt;"已执行",IF(Q212="","未填执行情况",Q212),IF(N(T212)=0,"待录成交",IF(N(V212)&gt;N(T212),"卖出多于买入",IF(N(V212)&lt;N(T212),"持仓中","已平仓")))))</f>
        <v/>
      </c>
      <c r="Y212" s="51" t="str">
        <f>IF(N(T212)=0,"",SUMIFS('成交明细'!$K$5:$K$804,'成交明细'!$A$5:$A$804,A212))</f>
        <v/>
      </c>
      <c r="Z212" s="52" t="str">
        <f>IF(X212&lt;&gt;"已平仓","",SUMIFS('成交明细'!$F$5:$F$804,'成交明细'!$A$5:$A$804,A212,'成交明细'!$C$5:$C$804,"卖")-SUMIFS('成交明细'!$F$5:$F$804,'成交明细'!$A$5:$A$804,A212,'成交明细'!$C$5:$C$804,"买")-Y212)</f>
        <v/>
      </c>
      <c r="AA212" s="53" t="str">
        <f>IF(AND(X212="已平仓",ISNUMBER(N212)),(Z212+Y212)/N212,"")</f>
        <v/>
      </c>
      <c r="AB212" s="53" t="str">
        <f>IF(AND(X212="已平仓",ISNUMBER(N212)),Z212/N212,"")</f>
        <v/>
      </c>
      <c r="AC212" s="54" t="str">
        <f>IF(AND(ISNUMBER(U212),ISNUMBER(H212)),U212-H212,"")</f>
        <v/>
      </c>
      <c r="AD212" s="27" t="n"/>
      <c r="AE212" s="27" t="n"/>
      <c r="AF212" s="32" t="n"/>
      <c r="AG212" s="53" t="str">
        <f>IF(A212="","",SUM(AB$5:AB212))</f>
        <v/>
      </c>
      <c r="AH212" s="55" t="str">
        <f>IF(A212="","",MAX(0,MAX(AG$5:AG212))-AG212)</f>
        <v/>
      </c>
    </row>
    <row r="213">
      <c r="A213" s="46" t="n"/>
      <c r="B213" s="31" t="n"/>
      <c r="C213" s="32" t="n"/>
      <c r="D213" s="27" t="n"/>
      <c r="E213" s="47" t="str">
        <f>IF(D213="","",IFERROR(VLOOKUP(D213,'参数'!$B$21:$C$26,2,FALSE),""))</f>
        <v/>
      </c>
      <c r="F213" s="27" t="n"/>
      <c r="G213" s="43" t="str">
        <f>IF(NOT(ISNUMBER(B213)),"",IFERROR(IF(B213-INDEX('每日复盘'!$A$5:$A$264,MATCH(B213-1,'每日复盘'!$A$5:$A$264,1))&gt;7,"",T(INDEX('每日复盘'!$AA$5:$AA$264,MATCH(B213-1,'每日复盘'!$A$5:$A$264,1)))),""))</f>
        <v/>
      </c>
      <c r="H213" s="48" t="n"/>
      <c r="I213" s="48" t="n"/>
      <c r="J213" s="48" t="n"/>
      <c r="K213" s="49" t="str">
        <f>IF(AND(ISNUMBER(H213),ISNUMBER(I213),ISNUMBER(J213)),IF(H213&gt;I213,(J213-H213)/(H213-I213),""),"")</f>
        <v/>
      </c>
      <c r="L213" s="44" t="str">
        <f>IF(AND(ISNUMBER(H213),ISNUMBER(I213)),IF(H213&gt;I213,MIN(INT(ROUND('参数'!$C$7/(H213-I213)/100,6))*100,IF(ISNUMBER(E213),IF(H213-ROUND(ROUND(I213*(1-E213),4),2)&gt;0,INT(ROUND('参数'!$C$8/(H213-ROUND(ROUND(I213*(1-E213),4),2))/100,6))*100,0),INT(ROUND('参数'!$C$7/(H213-I213)/100,6))*100)),""),"")</f>
        <v/>
      </c>
      <c r="M213" s="17" t="n"/>
      <c r="N213" s="20" t="str">
        <f>IF(AND(ISNUMBER(H213),ISNUMBER(I213),ISNUMBER(M213)),IF(AND(H213&gt;I213,M213&gt;0),(H213-I213)*M213,""),"")</f>
        <v/>
      </c>
      <c r="O213" s="20" t="str">
        <f>IF(ISNUMBER(N213),IF(ISNUMBER(E213),(H213-ROUND(ROUND(I213*(1-E213),4),2))*M213,"不设限"),"")</f>
        <v/>
      </c>
      <c r="P213" s="32" t="n"/>
      <c r="Q213" s="27" t="n"/>
      <c r="R213" s="42" t="str">
        <f>IF(N(T213)&gt;0,SUMPRODUCT(LARGE(('成交明细'!$A$5:$A$804=A213)*('成交明细'!$C$5:$C$804="买")*'成交明细'!$B$5:$B$804,COUNTIFS('成交明细'!$A$5:$A$804,A213,'成交明细'!$C$5:$C$804,"买"))),"")</f>
        <v/>
      </c>
      <c r="S213" s="42" t="str">
        <f>IF(AND(N(T213)&gt;0,N(V213)&gt;=N(T213)),SUMPRODUCT(MAX(('成交明细'!$A$5:$A$804=A213)*('成交明细'!$C$5:$C$804="卖")*'成交明细'!$B$5:$B$804)),"")</f>
        <v/>
      </c>
      <c r="T213" s="44" t="str">
        <f>IF(A213="","",SUMIFS('成交明细'!$E$5:$E$804,'成交明细'!$A$5:$A$804,A213,'成交明细'!$C$5:$C$804,"买"))</f>
        <v/>
      </c>
      <c r="U213" s="50" t="str">
        <f>IF(N(T213)&gt;0,SUMIFS('成交明细'!$F$5:$F$804,'成交明细'!$A$5:$A$804,A213,'成交明细'!$C$5:$C$804,"买")/T213,"")</f>
        <v/>
      </c>
      <c r="V213" s="44" t="str">
        <f>IF(A213="","",SUMIFS('成交明细'!$E$5:$E$804,'成交明细'!$A$5:$A$804,A213,'成交明细'!$C$5:$C$804,"卖"))</f>
        <v/>
      </c>
      <c r="W213" s="50" t="str">
        <f>IF(N(V213)&gt;0,SUMIFS('成交明细'!$F$5:$F$804,'成交明细'!$A$5:$A$804,A213,'成交明细'!$C$5:$C$804,"卖")/V213,"")</f>
        <v/>
      </c>
      <c r="X213" s="36" t="str">
        <f>IF(A213="","",IF(Q213&lt;&gt;"已执行",IF(Q213="","未填执行情况",Q213),IF(N(T213)=0,"待录成交",IF(N(V213)&gt;N(T213),"卖出多于买入",IF(N(V213)&lt;N(T213),"持仓中","已平仓")))))</f>
        <v/>
      </c>
      <c r="Y213" s="51" t="str">
        <f>IF(N(T213)=0,"",SUMIFS('成交明细'!$K$5:$K$804,'成交明细'!$A$5:$A$804,A213))</f>
        <v/>
      </c>
      <c r="Z213" s="52" t="str">
        <f>IF(X213&lt;&gt;"已平仓","",SUMIFS('成交明细'!$F$5:$F$804,'成交明细'!$A$5:$A$804,A213,'成交明细'!$C$5:$C$804,"卖")-SUMIFS('成交明细'!$F$5:$F$804,'成交明细'!$A$5:$A$804,A213,'成交明细'!$C$5:$C$804,"买")-Y213)</f>
        <v/>
      </c>
      <c r="AA213" s="53" t="str">
        <f>IF(AND(X213="已平仓",ISNUMBER(N213)),(Z213+Y213)/N213,"")</f>
        <v/>
      </c>
      <c r="AB213" s="53" t="str">
        <f>IF(AND(X213="已平仓",ISNUMBER(N213)),Z213/N213,"")</f>
        <v/>
      </c>
      <c r="AC213" s="54" t="str">
        <f>IF(AND(ISNUMBER(U213),ISNUMBER(H213)),U213-H213,"")</f>
        <v/>
      </c>
      <c r="AD213" s="27" t="n"/>
      <c r="AE213" s="27" t="n"/>
      <c r="AF213" s="32" t="n"/>
      <c r="AG213" s="53" t="str">
        <f>IF(A213="","",SUM(AB$5:AB213))</f>
        <v/>
      </c>
      <c r="AH213" s="55" t="str">
        <f>IF(A213="","",MAX(0,MAX(AG$5:AG213))-AG213)</f>
        <v/>
      </c>
    </row>
    <row r="214">
      <c r="A214" s="46" t="n"/>
      <c r="B214" s="31" t="n"/>
      <c r="C214" s="32" t="n"/>
      <c r="D214" s="27" t="n"/>
      <c r="E214" s="47" t="str">
        <f>IF(D214="","",IFERROR(VLOOKUP(D214,'参数'!$B$21:$C$26,2,FALSE),""))</f>
        <v/>
      </c>
      <c r="F214" s="27" t="n"/>
      <c r="G214" s="43" t="str">
        <f>IF(NOT(ISNUMBER(B214)),"",IFERROR(IF(B214-INDEX('每日复盘'!$A$5:$A$264,MATCH(B214-1,'每日复盘'!$A$5:$A$264,1))&gt;7,"",T(INDEX('每日复盘'!$AA$5:$AA$264,MATCH(B214-1,'每日复盘'!$A$5:$A$264,1)))),""))</f>
        <v/>
      </c>
      <c r="H214" s="48" t="n"/>
      <c r="I214" s="48" t="n"/>
      <c r="J214" s="48" t="n"/>
      <c r="K214" s="49" t="str">
        <f>IF(AND(ISNUMBER(H214),ISNUMBER(I214),ISNUMBER(J214)),IF(H214&gt;I214,(J214-H214)/(H214-I214),""),"")</f>
        <v/>
      </c>
      <c r="L214" s="44" t="str">
        <f>IF(AND(ISNUMBER(H214),ISNUMBER(I214)),IF(H214&gt;I214,MIN(INT(ROUND('参数'!$C$7/(H214-I214)/100,6))*100,IF(ISNUMBER(E214),IF(H214-ROUND(ROUND(I214*(1-E214),4),2)&gt;0,INT(ROUND('参数'!$C$8/(H214-ROUND(ROUND(I214*(1-E214),4),2))/100,6))*100,0),INT(ROUND('参数'!$C$7/(H214-I214)/100,6))*100)),""),"")</f>
        <v/>
      </c>
      <c r="M214" s="17" t="n"/>
      <c r="N214" s="20" t="str">
        <f>IF(AND(ISNUMBER(H214),ISNUMBER(I214),ISNUMBER(M214)),IF(AND(H214&gt;I214,M214&gt;0),(H214-I214)*M214,""),"")</f>
        <v/>
      </c>
      <c r="O214" s="20" t="str">
        <f>IF(ISNUMBER(N214),IF(ISNUMBER(E214),(H214-ROUND(ROUND(I214*(1-E214),4),2))*M214,"不设限"),"")</f>
        <v/>
      </c>
      <c r="P214" s="32" t="n"/>
      <c r="Q214" s="27" t="n"/>
      <c r="R214" s="42" t="str">
        <f>IF(N(T214)&gt;0,SUMPRODUCT(LARGE(('成交明细'!$A$5:$A$804=A214)*('成交明细'!$C$5:$C$804="买")*'成交明细'!$B$5:$B$804,COUNTIFS('成交明细'!$A$5:$A$804,A214,'成交明细'!$C$5:$C$804,"买"))),"")</f>
        <v/>
      </c>
      <c r="S214" s="42" t="str">
        <f>IF(AND(N(T214)&gt;0,N(V214)&gt;=N(T214)),SUMPRODUCT(MAX(('成交明细'!$A$5:$A$804=A214)*('成交明细'!$C$5:$C$804="卖")*'成交明细'!$B$5:$B$804)),"")</f>
        <v/>
      </c>
      <c r="T214" s="44" t="str">
        <f>IF(A214="","",SUMIFS('成交明细'!$E$5:$E$804,'成交明细'!$A$5:$A$804,A214,'成交明细'!$C$5:$C$804,"买"))</f>
        <v/>
      </c>
      <c r="U214" s="50" t="str">
        <f>IF(N(T214)&gt;0,SUMIFS('成交明细'!$F$5:$F$804,'成交明细'!$A$5:$A$804,A214,'成交明细'!$C$5:$C$804,"买")/T214,"")</f>
        <v/>
      </c>
      <c r="V214" s="44" t="str">
        <f>IF(A214="","",SUMIFS('成交明细'!$E$5:$E$804,'成交明细'!$A$5:$A$804,A214,'成交明细'!$C$5:$C$804,"卖"))</f>
        <v/>
      </c>
      <c r="W214" s="50" t="str">
        <f>IF(N(V214)&gt;0,SUMIFS('成交明细'!$F$5:$F$804,'成交明细'!$A$5:$A$804,A214,'成交明细'!$C$5:$C$804,"卖")/V214,"")</f>
        <v/>
      </c>
      <c r="X214" s="36" t="str">
        <f>IF(A214="","",IF(Q214&lt;&gt;"已执行",IF(Q214="","未填执行情况",Q214),IF(N(T214)=0,"待录成交",IF(N(V214)&gt;N(T214),"卖出多于买入",IF(N(V214)&lt;N(T214),"持仓中","已平仓")))))</f>
        <v/>
      </c>
      <c r="Y214" s="51" t="str">
        <f>IF(N(T214)=0,"",SUMIFS('成交明细'!$K$5:$K$804,'成交明细'!$A$5:$A$804,A214))</f>
        <v/>
      </c>
      <c r="Z214" s="52" t="str">
        <f>IF(X214&lt;&gt;"已平仓","",SUMIFS('成交明细'!$F$5:$F$804,'成交明细'!$A$5:$A$804,A214,'成交明细'!$C$5:$C$804,"卖")-SUMIFS('成交明细'!$F$5:$F$804,'成交明细'!$A$5:$A$804,A214,'成交明细'!$C$5:$C$804,"买")-Y214)</f>
        <v/>
      </c>
      <c r="AA214" s="53" t="str">
        <f>IF(AND(X214="已平仓",ISNUMBER(N214)),(Z214+Y214)/N214,"")</f>
        <v/>
      </c>
      <c r="AB214" s="53" t="str">
        <f>IF(AND(X214="已平仓",ISNUMBER(N214)),Z214/N214,"")</f>
        <v/>
      </c>
      <c r="AC214" s="54" t="str">
        <f>IF(AND(ISNUMBER(U214),ISNUMBER(H214)),U214-H214,"")</f>
        <v/>
      </c>
      <c r="AD214" s="27" t="n"/>
      <c r="AE214" s="27" t="n"/>
      <c r="AF214" s="32" t="n"/>
      <c r="AG214" s="53" t="str">
        <f>IF(A214="","",SUM(AB$5:AB214))</f>
        <v/>
      </c>
      <c r="AH214" s="55" t="str">
        <f>IF(A214="","",MAX(0,MAX(AG$5:AG214))-AG214)</f>
        <v/>
      </c>
    </row>
    <row r="215">
      <c r="A215" s="46" t="n"/>
      <c r="B215" s="31" t="n"/>
      <c r="C215" s="32" t="n"/>
      <c r="D215" s="27" t="n"/>
      <c r="E215" s="47" t="str">
        <f>IF(D215="","",IFERROR(VLOOKUP(D215,'参数'!$B$21:$C$26,2,FALSE),""))</f>
        <v/>
      </c>
      <c r="F215" s="27" t="n"/>
      <c r="G215" s="43" t="str">
        <f>IF(NOT(ISNUMBER(B215)),"",IFERROR(IF(B215-INDEX('每日复盘'!$A$5:$A$264,MATCH(B215-1,'每日复盘'!$A$5:$A$264,1))&gt;7,"",T(INDEX('每日复盘'!$AA$5:$AA$264,MATCH(B215-1,'每日复盘'!$A$5:$A$264,1)))),""))</f>
        <v/>
      </c>
      <c r="H215" s="48" t="n"/>
      <c r="I215" s="48" t="n"/>
      <c r="J215" s="48" t="n"/>
      <c r="K215" s="49" t="str">
        <f>IF(AND(ISNUMBER(H215),ISNUMBER(I215),ISNUMBER(J215)),IF(H215&gt;I215,(J215-H215)/(H215-I215),""),"")</f>
        <v/>
      </c>
      <c r="L215" s="44" t="str">
        <f>IF(AND(ISNUMBER(H215),ISNUMBER(I215)),IF(H215&gt;I215,MIN(INT(ROUND('参数'!$C$7/(H215-I215)/100,6))*100,IF(ISNUMBER(E215),IF(H215-ROUND(ROUND(I215*(1-E215),4),2)&gt;0,INT(ROUND('参数'!$C$8/(H215-ROUND(ROUND(I215*(1-E215),4),2))/100,6))*100,0),INT(ROUND('参数'!$C$7/(H215-I215)/100,6))*100)),""),"")</f>
        <v/>
      </c>
      <c r="M215" s="17" t="n"/>
      <c r="N215" s="20" t="str">
        <f>IF(AND(ISNUMBER(H215),ISNUMBER(I215),ISNUMBER(M215)),IF(AND(H215&gt;I215,M215&gt;0),(H215-I215)*M215,""),"")</f>
        <v/>
      </c>
      <c r="O215" s="20" t="str">
        <f>IF(ISNUMBER(N215),IF(ISNUMBER(E215),(H215-ROUND(ROUND(I215*(1-E215),4),2))*M215,"不设限"),"")</f>
        <v/>
      </c>
      <c r="P215" s="32" t="n"/>
      <c r="Q215" s="27" t="n"/>
      <c r="R215" s="42" t="str">
        <f>IF(N(T215)&gt;0,SUMPRODUCT(LARGE(('成交明细'!$A$5:$A$804=A215)*('成交明细'!$C$5:$C$804="买")*'成交明细'!$B$5:$B$804,COUNTIFS('成交明细'!$A$5:$A$804,A215,'成交明细'!$C$5:$C$804,"买"))),"")</f>
        <v/>
      </c>
      <c r="S215" s="42" t="str">
        <f>IF(AND(N(T215)&gt;0,N(V215)&gt;=N(T215)),SUMPRODUCT(MAX(('成交明细'!$A$5:$A$804=A215)*('成交明细'!$C$5:$C$804="卖")*'成交明细'!$B$5:$B$804)),"")</f>
        <v/>
      </c>
      <c r="T215" s="44" t="str">
        <f>IF(A215="","",SUMIFS('成交明细'!$E$5:$E$804,'成交明细'!$A$5:$A$804,A215,'成交明细'!$C$5:$C$804,"买"))</f>
        <v/>
      </c>
      <c r="U215" s="50" t="str">
        <f>IF(N(T215)&gt;0,SUMIFS('成交明细'!$F$5:$F$804,'成交明细'!$A$5:$A$804,A215,'成交明细'!$C$5:$C$804,"买")/T215,"")</f>
        <v/>
      </c>
      <c r="V215" s="44" t="str">
        <f>IF(A215="","",SUMIFS('成交明细'!$E$5:$E$804,'成交明细'!$A$5:$A$804,A215,'成交明细'!$C$5:$C$804,"卖"))</f>
        <v/>
      </c>
      <c r="W215" s="50" t="str">
        <f>IF(N(V215)&gt;0,SUMIFS('成交明细'!$F$5:$F$804,'成交明细'!$A$5:$A$804,A215,'成交明细'!$C$5:$C$804,"卖")/V215,"")</f>
        <v/>
      </c>
      <c r="X215" s="36" t="str">
        <f>IF(A215="","",IF(Q215&lt;&gt;"已执行",IF(Q215="","未填执行情况",Q215),IF(N(T215)=0,"待录成交",IF(N(V215)&gt;N(T215),"卖出多于买入",IF(N(V215)&lt;N(T215),"持仓中","已平仓")))))</f>
        <v/>
      </c>
      <c r="Y215" s="51" t="str">
        <f>IF(N(T215)=0,"",SUMIFS('成交明细'!$K$5:$K$804,'成交明细'!$A$5:$A$804,A215))</f>
        <v/>
      </c>
      <c r="Z215" s="52" t="str">
        <f>IF(X215&lt;&gt;"已平仓","",SUMIFS('成交明细'!$F$5:$F$804,'成交明细'!$A$5:$A$804,A215,'成交明细'!$C$5:$C$804,"卖")-SUMIFS('成交明细'!$F$5:$F$804,'成交明细'!$A$5:$A$804,A215,'成交明细'!$C$5:$C$804,"买")-Y215)</f>
        <v/>
      </c>
      <c r="AA215" s="53" t="str">
        <f>IF(AND(X215="已平仓",ISNUMBER(N215)),(Z215+Y215)/N215,"")</f>
        <v/>
      </c>
      <c r="AB215" s="53" t="str">
        <f>IF(AND(X215="已平仓",ISNUMBER(N215)),Z215/N215,"")</f>
        <v/>
      </c>
      <c r="AC215" s="54" t="str">
        <f>IF(AND(ISNUMBER(U215),ISNUMBER(H215)),U215-H215,"")</f>
        <v/>
      </c>
      <c r="AD215" s="27" t="n"/>
      <c r="AE215" s="27" t="n"/>
      <c r="AF215" s="32" t="n"/>
      <c r="AG215" s="53" t="str">
        <f>IF(A215="","",SUM(AB$5:AB215))</f>
        <v/>
      </c>
      <c r="AH215" s="55" t="str">
        <f>IF(A215="","",MAX(0,MAX(AG$5:AG215))-AG215)</f>
        <v/>
      </c>
    </row>
    <row r="216">
      <c r="A216" s="46" t="n"/>
      <c r="B216" s="31" t="n"/>
      <c r="C216" s="32" t="n"/>
      <c r="D216" s="27" t="n"/>
      <c r="E216" s="47" t="str">
        <f>IF(D216="","",IFERROR(VLOOKUP(D216,'参数'!$B$21:$C$26,2,FALSE),""))</f>
        <v/>
      </c>
      <c r="F216" s="27" t="n"/>
      <c r="G216" s="43" t="str">
        <f>IF(NOT(ISNUMBER(B216)),"",IFERROR(IF(B216-INDEX('每日复盘'!$A$5:$A$264,MATCH(B216-1,'每日复盘'!$A$5:$A$264,1))&gt;7,"",T(INDEX('每日复盘'!$AA$5:$AA$264,MATCH(B216-1,'每日复盘'!$A$5:$A$264,1)))),""))</f>
        <v/>
      </c>
      <c r="H216" s="48" t="n"/>
      <c r="I216" s="48" t="n"/>
      <c r="J216" s="48" t="n"/>
      <c r="K216" s="49" t="str">
        <f>IF(AND(ISNUMBER(H216),ISNUMBER(I216),ISNUMBER(J216)),IF(H216&gt;I216,(J216-H216)/(H216-I216),""),"")</f>
        <v/>
      </c>
      <c r="L216" s="44" t="str">
        <f>IF(AND(ISNUMBER(H216),ISNUMBER(I216)),IF(H216&gt;I216,MIN(INT(ROUND('参数'!$C$7/(H216-I216)/100,6))*100,IF(ISNUMBER(E216),IF(H216-ROUND(ROUND(I216*(1-E216),4),2)&gt;0,INT(ROUND('参数'!$C$8/(H216-ROUND(ROUND(I216*(1-E216),4),2))/100,6))*100,0),INT(ROUND('参数'!$C$7/(H216-I216)/100,6))*100)),""),"")</f>
        <v/>
      </c>
      <c r="M216" s="17" t="n"/>
      <c r="N216" s="20" t="str">
        <f>IF(AND(ISNUMBER(H216),ISNUMBER(I216),ISNUMBER(M216)),IF(AND(H216&gt;I216,M216&gt;0),(H216-I216)*M216,""),"")</f>
        <v/>
      </c>
      <c r="O216" s="20" t="str">
        <f>IF(ISNUMBER(N216),IF(ISNUMBER(E216),(H216-ROUND(ROUND(I216*(1-E216),4),2))*M216,"不设限"),"")</f>
        <v/>
      </c>
      <c r="P216" s="32" t="n"/>
      <c r="Q216" s="27" t="n"/>
      <c r="R216" s="42" t="str">
        <f>IF(N(T216)&gt;0,SUMPRODUCT(LARGE(('成交明细'!$A$5:$A$804=A216)*('成交明细'!$C$5:$C$804="买")*'成交明细'!$B$5:$B$804,COUNTIFS('成交明细'!$A$5:$A$804,A216,'成交明细'!$C$5:$C$804,"买"))),"")</f>
        <v/>
      </c>
      <c r="S216" s="42" t="str">
        <f>IF(AND(N(T216)&gt;0,N(V216)&gt;=N(T216)),SUMPRODUCT(MAX(('成交明细'!$A$5:$A$804=A216)*('成交明细'!$C$5:$C$804="卖")*'成交明细'!$B$5:$B$804)),"")</f>
        <v/>
      </c>
      <c r="T216" s="44" t="str">
        <f>IF(A216="","",SUMIFS('成交明细'!$E$5:$E$804,'成交明细'!$A$5:$A$804,A216,'成交明细'!$C$5:$C$804,"买"))</f>
        <v/>
      </c>
      <c r="U216" s="50" t="str">
        <f>IF(N(T216)&gt;0,SUMIFS('成交明细'!$F$5:$F$804,'成交明细'!$A$5:$A$804,A216,'成交明细'!$C$5:$C$804,"买")/T216,"")</f>
        <v/>
      </c>
      <c r="V216" s="44" t="str">
        <f>IF(A216="","",SUMIFS('成交明细'!$E$5:$E$804,'成交明细'!$A$5:$A$804,A216,'成交明细'!$C$5:$C$804,"卖"))</f>
        <v/>
      </c>
      <c r="W216" s="50" t="str">
        <f>IF(N(V216)&gt;0,SUMIFS('成交明细'!$F$5:$F$804,'成交明细'!$A$5:$A$804,A216,'成交明细'!$C$5:$C$804,"卖")/V216,"")</f>
        <v/>
      </c>
      <c r="X216" s="36" t="str">
        <f>IF(A216="","",IF(Q216&lt;&gt;"已执行",IF(Q216="","未填执行情况",Q216),IF(N(T216)=0,"待录成交",IF(N(V216)&gt;N(T216),"卖出多于买入",IF(N(V216)&lt;N(T216),"持仓中","已平仓")))))</f>
        <v/>
      </c>
      <c r="Y216" s="51" t="str">
        <f>IF(N(T216)=0,"",SUMIFS('成交明细'!$K$5:$K$804,'成交明细'!$A$5:$A$804,A216))</f>
        <v/>
      </c>
      <c r="Z216" s="52" t="str">
        <f>IF(X216&lt;&gt;"已平仓","",SUMIFS('成交明细'!$F$5:$F$804,'成交明细'!$A$5:$A$804,A216,'成交明细'!$C$5:$C$804,"卖")-SUMIFS('成交明细'!$F$5:$F$804,'成交明细'!$A$5:$A$804,A216,'成交明细'!$C$5:$C$804,"买")-Y216)</f>
        <v/>
      </c>
      <c r="AA216" s="53" t="str">
        <f>IF(AND(X216="已平仓",ISNUMBER(N216)),(Z216+Y216)/N216,"")</f>
        <v/>
      </c>
      <c r="AB216" s="53" t="str">
        <f>IF(AND(X216="已平仓",ISNUMBER(N216)),Z216/N216,"")</f>
        <v/>
      </c>
      <c r="AC216" s="54" t="str">
        <f>IF(AND(ISNUMBER(U216),ISNUMBER(H216)),U216-H216,"")</f>
        <v/>
      </c>
      <c r="AD216" s="27" t="n"/>
      <c r="AE216" s="27" t="n"/>
      <c r="AF216" s="32" t="n"/>
      <c r="AG216" s="53" t="str">
        <f>IF(A216="","",SUM(AB$5:AB216))</f>
        <v/>
      </c>
      <c r="AH216" s="55" t="str">
        <f>IF(A216="","",MAX(0,MAX(AG$5:AG216))-AG216)</f>
        <v/>
      </c>
    </row>
    <row r="217">
      <c r="A217" s="46" t="n"/>
      <c r="B217" s="31" t="n"/>
      <c r="C217" s="32" t="n"/>
      <c r="D217" s="27" t="n"/>
      <c r="E217" s="47" t="str">
        <f>IF(D217="","",IFERROR(VLOOKUP(D217,'参数'!$B$21:$C$26,2,FALSE),""))</f>
        <v/>
      </c>
      <c r="F217" s="27" t="n"/>
      <c r="G217" s="43" t="str">
        <f>IF(NOT(ISNUMBER(B217)),"",IFERROR(IF(B217-INDEX('每日复盘'!$A$5:$A$264,MATCH(B217-1,'每日复盘'!$A$5:$A$264,1))&gt;7,"",T(INDEX('每日复盘'!$AA$5:$AA$264,MATCH(B217-1,'每日复盘'!$A$5:$A$264,1)))),""))</f>
        <v/>
      </c>
      <c r="H217" s="48" t="n"/>
      <c r="I217" s="48" t="n"/>
      <c r="J217" s="48" t="n"/>
      <c r="K217" s="49" t="str">
        <f>IF(AND(ISNUMBER(H217),ISNUMBER(I217),ISNUMBER(J217)),IF(H217&gt;I217,(J217-H217)/(H217-I217),""),"")</f>
        <v/>
      </c>
      <c r="L217" s="44" t="str">
        <f>IF(AND(ISNUMBER(H217),ISNUMBER(I217)),IF(H217&gt;I217,MIN(INT(ROUND('参数'!$C$7/(H217-I217)/100,6))*100,IF(ISNUMBER(E217),IF(H217-ROUND(ROUND(I217*(1-E217),4),2)&gt;0,INT(ROUND('参数'!$C$8/(H217-ROUND(ROUND(I217*(1-E217),4),2))/100,6))*100,0),INT(ROUND('参数'!$C$7/(H217-I217)/100,6))*100)),""),"")</f>
        <v/>
      </c>
      <c r="M217" s="17" t="n"/>
      <c r="N217" s="20" t="str">
        <f>IF(AND(ISNUMBER(H217),ISNUMBER(I217),ISNUMBER(M217)),IF(AND(H217&gt;I217,M217&gt;0),(H217-I217)*M217,""),"")</f>
        <v/>
      </c>
      <c r="O217" s="20" t="str">
        <f>IF(ISNUMBER(N217),IF(ISNUMBER(E217),(H217-ROUND(ROUND(I217*(1-E217),4),2))*M217,"不设限"),"")</f>
        <v/>
      </c>
      <c r="P217" s="32" t="n"/>
      <c r="Q217" s="27" t="n"/>
      <c r="R217" s="42" t="str">
        <f>IF(N(T217)&gt;0,SUMPRODUCT(LARGE(('成交明细'!$A$5:$A$804=A217)*('成交明细'!$C$5:$C$804="买")*'成交明细'!$B$5:$B$804,COUNTIFS('成交明细'!$A$5:$A$804,A217,'成交明细'!$C$5:$C$804,"买"))),"")</f>
        <v/>
      </c>
      <c r="S217" s="42" t="str">
        <f>IF(AND(N(T217)&gt;0,N(V217)&gt;=N(T217)),SUMPRODUCT(MAX(('成交明细'!$A$5:$A$804=A217)*('成交明细'!$C$5:$C$804="卖")*'成交明细'!$B$5:$B$804)),"")</f>
        <v/>
      </c>
      <c r="T217" s="44" t="str">
        <f>IF(A217="","",SUMIFS('成交明细'!$E$5:$E$804,'成交明细'!$A$5:$A$804,A217,'成交明细'!$C$5:$C$804,"买"))</f>
        <v/>
      </c>
      <c r="U217" s="50" t="str">
        <f>IF(N(T217)&gt;0,SUMIFS('成交明细'!$F$5:$F$804,'成交明细'!$A$5:$A$804,A217,'成交明细'!$C$5:$C$804,"买")/T217,"")</f>
        <v/>
      </c>
      <c r="V217" s="44" t="str">
        <f>IF(A217="","",SUMIFS('成交明细'!$E$5:$E$804,'成交明细'!$A$5:$A$804,A217,'成交明细'!$C$5:$C$804,"卖"))</f>
        <v/>
      </c>
      <c r="W217" s="50" t="str">
        <f>IF(N(V217)&gt;0,SUMIFS('成交明细'!$F$5:$F$804,'成交明细'!$A$5:$A$804,A217,'成交明细'!$C$5:$C$804,"卖")/V217,"")</f>
        <v/>
      </c>
      <c r="X217" s="36" t="str">
        <f>IF(A217="","",IF(Q217&lt;&gt;"已执行",IF(Q217="","未填执行情况",Q217),IF(N(T217)=0,"待录成交",IF(N(V217)&gt;N(T217),"卖出多于买入",IF(N(V217)&lt;N(T217),"持仓中","已平仓")))))</f>
        <v/>
      </c>
      <c r="Y217" s="51" t="str">
        <f>IF(N(T217)=0,"",SUMIFS('成交明细'!$K$5:$K$804,'成交明细'!$A$5:$A$804,A217))</f>
        <v/>
      </c>
      <c r="Z217" s="52" t="str">
        <f>IF(X217&lt;&gt;"已平仓","",SUMIFS('成交明细'!$F$5:$F$804,'成交明细'!$A$5:$A$804,A217,'成交明细'!$C$5:$C$804,"卖")-SUMIFS('成交明细'!$F$5:$F$804,'成交明细'!$A$5:$A$804,A217,'成交明细'!$C$5:$C$804,"买")-Y217)</f>
        <v/>
      </c>
      <c r="AA217" s="53" t="str">
        <f>IF(AND(X217="已平仓",ISNUMBER(N217)),(Z217+Y217)/N217,"")</f>
        <v/>
      </c>
      <c r="AB217" s="53" t="str">
        <f>IF(AND(X217="已平仓",ISNUMBER(N217)),Z217/N217,"")</f>
        <v/>
      </c>
      <c r="AC217" s="54" t="str">
        <f>IF(AND(ISNUMBER(U217),ISNUMBER(H217)),U217-H217,"")</f>
        <v/>
      </c>
      <c r="AD217" s="27" t="n"/>
      <c r="AE217" s="27" t="n"/>
      <c r="AF217" s="32" t="n"/>
      <c r="AG217" s="53" t="str">
        <f>IF(A217="","",SUM(AB$5:AB217))</f>
        <v/>
      </c>
      <c r="AH217" s="55" t="str">
        <f>IF(A217="","",MAX(0,MAX(AG$5:AG217))-AG217)</f>
        <v/>
      </c>
    </row>
    <row r="218">
      <c r="A218" s="46" t="n"/>
      <c r="B218" s="31" t="n"/>
      <c r="C218" s="32" t="n"/>
      <c r="D218" s="27" t="n"/>
      <c r="E218" s="47" t="str">
        <f>IF(D218="","",IFERROR(VLOOKUP(D218,'参数'!$B$21:$C$26,2,FALSE),""))</f>
        <v/>
      </c>
      <c r="F218" s="27" t="n"/>
      <c r="G218" s="43" t="str">
        <f>IF(NOT(ISNUMBER(B218)),"",IFERROR(IF(B218-INDEX('每日复盘'!$A$5:$A$264,MATCH(B218-1,'每日复盘'!$A$5:$A$264,1))&gt;7,"",T(INDEX('每日复盘'!$AA$5:$AA$264,MATCH(B218-1,'每日复盘'!$A$5:$A$264,1)))),""))</f>
        <v/>
      </c>
      <c r="H218" s="48" t="n"/>
      <c r="I218" s="48" t="n"/>
      <c r="J218" s="48" t="n"/>
      <c r="K218" s="49" t="str">
        <f>IF(AND(ISNUMBER(H218),ISNUMBER(I218),ISNUMBER(J218)),IF(H218&gt;I218,(J218-H218)/(H218-I218),""),"")</f>
        <v/>
      </c>
      <c r="L218" s="44" t="str">
        <f>IF(AND(ISNUMBER(H218),ISNUMBER(I218)),IF(H218&gt;I218,MIN(INT(ROUND('参数'!$C$7/(H218-I218)/100,6))*100,IF(ISNUMBER(E218),IF(H218-ROUND(ROUND(I218*(1-E218),4),2)&gt;0,INT(ROUND('参数'!$C$8/(H218-ROUND(ROUND(I218*(1-E218),4),2))/100,6))*100,0),INT(ROUND('参数'!$C$7/(H218-I218)/100,6))*100)),""),"")</f>
        <v/>
      </c>
      <c r="M218" s="17" t="n"/>
      <c r="N218" s="20" t="str">
        <f>IF(AND(ISNUMBER(H218),ISNUMBER(I218),ISNUMBER(M218)),IF(AND(H218&gt;I218,M218&gt;0),(H218-I218)*M218,""),"")</f>
        <v/>
      </c>
      <c r="O218" s="20" t="str">
        <f>IF(ISNUMBER(N218),IF(ISNUMBER(E218),(H218-ROUND(ROUND(I218*(1-E218),4),2))*M218,"不设限"),"")</f>
        <v/>
      </c>
      <c r="P218" s="32" t="n"/>
      <c r="Q218" s="27" t="n"/>
      <c r="R218" s="42" t="str">
        <f>IF(N(T218)&gt;0,SUMPRODUCT(LARGE(('成交明细'!$A$5:$A$804=A218)*('成交明细'!$C$5:$C$804="买")*'成交明细'!$B$5:$B$804,COUNTIFS('成交明细'!$A$5:$A$804,A218,'成交明细'!$C$5:$C$804,"买"))),"")</f>
        <v/>
      </c>
      <c r="S218" s="42" t="str">
        <f>IF(AND(N(T218)&gt;0,N(V218)&gt;=N(T218)),SUMPRODUCT(MAX(('成交明细'!$A$5:$A$804=A218)*('成交明细'!$C$5:$C$804="卖")*'成交明细'!$B$5:$B$804)),"")</f>
        <v/>
      </c>
      <c r="T218" s="44" t="str">
        <f>IF(A218="","",SUMIFS('成交明细'!$E$5:$E$804,'成交明细'!$A$5:$A$804,A218,'成交明细'!$C$5:$C$804,"买"))</f>
        <v/>
      </c>
      <c r="U218" s="50" t="str">
        <f>IF(N(T218)&gt;0,SUMIFS('成交明细'!$F$5:$F$804,'成交明细'!$A$5:$A$804,A218,'成交明细'!$C$5:$C$804,"买")/T218,"")</f>
        <v/>
      </c>
      <c r="V218" s="44" t="str">
        <f>IF(A218="","",SUMIFS('成交明细'!$E$5:$E$804,'成交明细'!$A$5:$A$804,A218,'成交明细'!$C$5:$C$804,"卖"))</f>
        <v/>
      </c>
      <c r="W218" s="50" t="str">
        <f>IF(N(V218)&gt;0,SUMIFS('成交明细'!$F$5:$F$804,'成交明细'!$A$5:$A$804,A218,'成交明细'!$C$5:$C$804,"卖")/V218,"")</f>
        <v/>
      </c>
      <c r="X218" s="36" t="str">
        <f>IF(A218="","",IF(Q218&lt;&gt;"已执行",IF(Q218="","未填执行情况",Q218),IF(N(T218)=0,"待录成交",IF(N(V218)&gt;N(T218),"卖出多于买入",IF(N(V218)&lt;N(T218),"持仓中","已平仓")))))</f>
        <v/>
      </c>
      <c r="Y218" s="51" t="str">
        <f>IF(N(T218)=0,"",SUMIFS('成交明细'!$K$5:$K$804,'成交明细'!$A$5:$A$804,A218))</f>
        <v/>
      </c>
      <c r="Z218" s="52" t="str">
        <f>IF(X218&lt;&gt;"已平仓","",SUMIFS('成交明细'!$F$5:$F$804,'成交明细'!$A$5:$A$804,A218,'成交明细'!$C$5:$C$804,"卖")-SUMIFS('成交明细'!$F$5:$F$804,'成交明细'!$A$5:$A$804,A218,'成交明细'!$C$5:$C$804,"买")-Y218)</f>
        <v/>
      </c>
      <c r="AA218" s="53" t="str">
        <f>IF(AND(X218="已平仓",ISNUMBER(N218)),(Z218+Y218)/N218,"")</f>
        <v/>
      </c>
      <c r="AB218" s="53" t="str">
        <f>IF(AND(X218="已平仓",ISNUMBER(N218)),Z218/N218,"")</f>
        <v/>
      </c>
      <c r="AC218" s="54" t="str">
        <f>IF(AND(ISNUMBER(U218),ISNUMBER(H218)),U218-H218,"")</f>
        <v/>
      </c>
      <c r="AD218" s="27" t="n"/>
      <c r="AE218" s="27" t="n"/>
      <c r="AF218" s="32" t="n"/>
      <c r="AG218" s="53" t="str">
        <f>IF(A218="","",SUM(AB$5:AB218))</f>
        <v/>
      </c>
      <c r="AH218" s="55" t="str">
        <f>IF(A218="","",MAX(0,MAX(AG$5:AG218))-AG218)</f>
        <v/>
      </c>
    </row>
    <row r="219">
      <c r="A219" s="46" t="n"/>
      <c r="B219" s="31" t="n"/>
      <c r="C219" s="32" t="n"/>
      <c r="D219" s="27" t="n"/>
      <c r="E219" s="47" t="str">
        <f>IF(D219="","",IFERROR(VLOOKUP(D219,'参数'!$B$21:$C$26,2,FALSE),""))</f>
        <v/>
      </c>
      <c r="F219" s="27" t="n"/>
      <c r="G219" s="43" t="str">
        <f>IF(NOT(ISNUMBER(B219)),"",IFERROR(IF(B219-INDEX('每日复盘'!$A$5:$A$264,MATCH(B219-1,'每日复盘'!$A$5:$A$264,1))&gt;7,"",T(INDEX('每日复盘'!$AA$5:$AA$264,MATCH(B219-1,'每日复盘'!$A$5:$A$264,1)))),""))</f>
        <v/>
      </c>
      <c r="H219" s="48" t="n"/>
      <c r="I219" s="48" t="n"/>
      <c r="J219" s="48" t="n"/>
      <c r="K219" s="49" t="str">
        <f>IF(AND(ISNUMBER(H219),ISNUMBER(I219),ISNUMBER(J219)),IF(H219&gt;I219,(J219-H219)/(H219-I219),""),"")</f>
        <v/>
      </c>
      <c r="L219" s="44" t="str">
        <f>IF(AND(ISNUMBER(H219),ISNUMBER(I219)),IF(H219&gt;I219,MIN(INT(ROUND('参数'!$C$7/(H219-I219)/100,6))*100,IF(ISNUMBER(E219),IF(H219-ROUND(ROUND(I219*(1-E219),4),2)&gt;0,INT(ROUND('参数'!$C$8/(H219-ROUND(ROUND(I219*(1-E219),4),2))/100,6))*100,0),INT(ROUND('参数'!$C$7/(H219-I219)/100,6))*100)),""),"")</f>
        <v/>
      </c>
      <c r="M219" s="17" t="n"/>
      <c r="N219" s="20" t="str">
        <f>IF(AND(ISNUMBER(H219),ISNUMBER(I219),ISNUMBER(M219)),IF(AND(H219&gt;I219,M219&gt;0),(H219-I219)*M219,""),"")</f>
        <v/>
      </c>
      <c r="O219" s="20" t="str">
        <f>IF(ISNUMBER(N219),IF(ISNUMBER(E219),(H219-ROUND(ROUND(I219*(1-E219),4),2))*M219,"不设限"),"")</f>
        <v/>
      </c>
      <c r="P219" s="32" t="n"/>
      <c r="Q219" s="27" t="n"/>
      <c r="R219" s="42" t="str">
        <f>IF(N(T219)&gt;0,SUMPRODUCT(LARGE(('成交明细'!$A$5:$A$804=A219)*('成交明细'!$C$5:$C$804="买")*'成交明细'!$B$5:$B$804,COUNTIFS('成交明细'!$A$5:$A$804,A219,'成交明细'!$C$5:$C$804,"买"))),"")</f>
        <v/>
      </c>
      <c r="S219" s="42" t="str">
        <f>IF(AND(N(T219)&gt;0,N(V219)&gt;=N(T219)),SUMPRODUCT(MAX(('成交明细'!$A$5:$A$804=A219)*('成交明细'!$C$5:$C$804="卖")*'成交明细'!$B$5:$B$804)),"")</f>
        <v/>
      </c>
      <c r="T219" s="44" t="str">
        <f>IF(A219="","",SUMIFS('成交明细'!$E$5:$E$804,'成交明细'!$A$5:$A$804,A219,'成交明细'!$C$5:$C$804,"买"))</f>
        <v/>
      </c>
      <c r="U219" s="50" t="str">
        <f>IF(N(T219)&gt;0,SUMIFS('成交明细'!$F$5:$F$804,'成交明细'!$A$5:$A$804,A219,'成交明细'!$C$5:$C$804,"买")/T219,"")</f>
        <v/>
      </c>
      <c r="V219" s="44" t="str">
        <f>IF(A219="","",SUMIFS('成交明细'!$E$5:$E$804,'成交明细'!$A$5:$A$804,A219,'成交明细'!$C$5:$C$804,"卖"))</f>
        <v/>
      </c>
      <c r="W219" s="50" t="str">
        <f>IF(N(V219)&gt;0,SUMIFS('成交明细'!$F$5:$F$804,'成交明细'!$A$5:$A$804,A219,'成交明细'!$C$5:$C$804,"卖")/V219,"")</f>
        <v/>
      </c>
      <c r="X219" s="36" t="str">
        <f>IF(A219="","",IF(Q219&lt;&gt;"已执行",IF(Q219="","未填执行情况",Q219),IF(N(T219)=0,"待录成交",IF(N(V219)&gt;N(T219),"卖出多于买入",IF(N(V219)&lt;N(T219),"持仓中","已平仓")))))</f>
        <v/>
      </c>
      <c r="Y219" s="51" t="str">
        <f>IF(N(T219)=0,"",SUMIFS('成交明细'!$K$5:$K$804,'成交明细'!$A$5:$A$804,A219))</f>
        <v/>
      </c>
      <c r="Z219" s="52" t="str">
        <f>IF(X219&lt;&gt;"已平仓","",SUMIFS('成交明细'!$F$5:$F$804,'成交明细'!$A$5:$A$804,A219,'成交明细'!$C$5:$C$804,"卖")-SUMIFS('成交明细'!$F$5:$F$804,'成交明细'!$A$5:$A$804,A219,'成交明细'!$C$5:$C$804,"买")-Y219)</f>
        <v/>
      </c>
      <c r="AA219" s="53" t="str">
        <f>IF(AND(X219="已平仓",ISNUMBER(N219)),(Z219+Y219)/N219,"")</f>
        <v/>
      </c>
      <c r="AB219" s="53" t="str">
        <f>IF(AND(X219="已平仓",ISNUMBER(N219)),Z219/N219,"")</f>
        <v/>
      </c>
      <c r="AC219" s="54" t="str">
        <f>IF(AND(ISNUMBER(U219),ISNUMBER(H219)),U219-H219,"")</f>
        <v/>
      </c>
      <c r="AD219" s="27" t="n"/>
      <c r="AE219" s="27" t="n"/>
      <c r="AF219" s="32" t="n"/>
      <c r="AG219" s="53" t="str">
        <f>IF(A219="","",SUM(AB$5:AB219))</f>
        <v/>
      </c>
      <c r="AH219" s="55" t="str">
        <f>IF(A219="","",MAX(0,MAX(AG$5:AG219))-AG219)</f>
        <v/>
      </c>
    </row>
    <row r="220">
      <c r="A220" s="46" t="n"/>
      <c r="B220" s="31" t="n"/>
      <c r="C220" s="32" t="n"/>
      <c r="D220" s="27" t="n"/>
      <c r="E220" s="47" t="str">
        <f>IF(D220="","",IFERROR(VLOOKUP(D220,'参数'!$B$21:$C$26,2,FALSE),""))</f>
        <v/>
      </c>
      <c r="F220" s="27" t="n"/>
      <c r="G220" s="43" t="str">
        <f>IF(NOT(ISNUMBER(B220)),"",IFERROR(IF(B220-INDEX('每日复盘'!$A$5:$A$264,MATCH(B220-1,'每日复盘'!$A$5:$A$264,1))&gt;7,"",T(INDEX('每日复盘'!$AA$5:$AA$264,MATCH(B220-1,'每日复盘'!$A$5:$A$264,1)))),""))</f>
        <v/>
      </c>
      <c r="H220" s="48" t="n"/>
      <c r="I220" s="48" t="n"/>
      <c r="J220" s="48" t="n"/>
      <c r="K220" s="49" t="str">
        <f>IF(AND(ISNUMBER(H220),ISNUMBER(I220),ISNUMBER(J220)),IF(H220&gt;I220,(J220-H220)/(H220-I220),""),"")</f>
        <v/>
      </c>
      <c r="L220" s="44" t="str">
        <f>IF(AND(ISNUMBER(H220),ISNUMBER(I220)),IF(H220&gt;I220,MIN(INT(ROUND('参数'!$C$7/(H220-I220)/100,6))*100,IF(ISNUMBER(E220),IF(H220-ROUND(ROUND(I220*(1-E220),4),2)&gt;0,INT(ROUND('参数'!$C$8/(H220-ROUND(ROUND(I220*(1-E220),4),2))/100,6))*100,0),INT(ROUND('参数'!$C$7/(H220-I220)/100,6))*100)),""),"")</f>
        <v/>
      </c>
      <c r="M220" s="17" t="n"/>
      <c r="N220" s="20" t="str">
        <f>IF(AND(ISNUMBER(H220),ISNUMBER(I220),ISNUMBER(M220)),IF(AND(H220&gt;I220,M220&gt;0),(H220-I220)*M220,""),"")</f>
        <v/>
      </c>
      <c r="O220" s="20" t="str">
        <f>IF(ISNUMBER(N220),IF(ISNUMBER(E220),(H220-ROUND(ROUND(I220*(1-E220),4),2))*M220,"不设限"),"")</f>
        <v/>
      </c>
      <c r="P220" s="32" t="n"/>
      <c r="Q220" s="27" t="n"/>
      <c r="R220" s="42" t="str">
        <f>IF(N(T220)&gt;0,SUMPRODUCT(LARGE(('成交明细'!$A$5:$A$804=A220)*('成交明细'!$C$5:$C$804="买")*'成交明细'!$B$5:$B$804,COUNTIFS('成交明细'!$A$5:$A$804,A220,'成交明细'!$C$5:$C$804,"买"))),"")</f>
        <v/>
      </c>
      <c r="S220" s="42" t="str">
        <f>IF(AND(N(T220)&gt;0,N(V220)&gt;=N(T220)),SUMPRODUCT(MAX(('成交明细'!$A$5:$A$804=A220)*('成交明细'!$C$5:$C$804="卖")*'成交明细'!$B$5:$B$804)),"")</f>
        <v/>
      </c>
      <c r="T220" s="44" t="str">
        <f>IF(A220="","",SUMIFS('成交明细'!$E$5:$E$804,'成交明细'!$A$5:$A$804,A220,'成交明细'!$C$5:$C$804,"买"))</f>
        <v/>
      </c>
      <c r="U220" s="50" t="str">
        <f>IF(N(T220)&gt;0,SUMIFS('成交明细'!$F$5:$F$804,'成交明细'!$A$5:$A$804,A220,'成交明细'!$C$5:$C$804,"买")/T220,"")</f>
        <v/>
      </c>
      <c r="V220" s="44" t="str">
        <f>IF(A220="","",SUMIFS('成交明细'!$E$5:$E$804,'成交明细'!$A$5:$A$804,A220,'成交明细'!$C$5:$C$804,"卖"))</f>
        <v/>
      </c>
      <c r="W220" s="50" t="str">
        <f>IF(N(V220)&gt;0,SUMIFS('成交明细'!$F$5:$F$804,'成交明细'!$A$5:$A$804,A220,'成交明细'!$C$5:$C$804,"卖")/V220,"")</f>
        <v/>
      </c>
      <c r="X220" s="36" t="str">
        <f>IF(A220="","",IF(Q220&lt;&gt;"已执行",IF(Q220="","未填执行情况",Q220),IF(N(T220)=0,"待录成交",IF(N(V220)&gt;N(T220),"卖出多于买入",IF(N(V220)&lt;N(T220),"持仓中","已平仓")))))</f>
        <v/>
      </c>
      <c r="Y220" s="51" t="str">
        <f>IF(N(T220)=0,"",SUMIFS('成交明细'!$K$5:$K$804,'成交明细'!$A$5:$A$804,A220))</f>
        <v/>
      </c>
      <c r="Z220" s="52" t="str">
        <f>IF(X220&lt;&gt;"已平仓","",SUMIFS('成交明细'!$F$5:$F$804,'成交明细'!$A$5:$A$804,A220,'成交明细'!$C$5:$C$804,"卖")-SUMIFS('成交明细'!$F$5:$F$804,'成交明细'!$A$5:$A$804,A220,'成交明细'!$C$5:$C$804,"买")-Y220)</f>
        <v/>
      </c>
      <c r="AA220" s="53" t="str">
        <f>IF(AND(X220="已平仓",ISNUMBER(N220)),(Z220+Y220)/N220,"")</f>
        <v/>
      </c>
      <c r="AB220" s="53" t="str">
        <f>IF(AND(X220="已平仓",ISNUMBER(N220)),Z220/N220,"")</f>
        <v/>
      </c>
      <c r="AC220" s="54" t="str">
        <f>IF(AND(ISNUMBER(U220),ISNUMBER(H220)),U220-H220,"")</f>
        <v/>
      </c>
      <c r="AD220" s="27" t="n"/>
      <c r="AE220" s="27" t="n"/>
      <c r="AF220" s="32" t="n"/>
      <c r="AG220" s="53" t="str">
        <f>IF(A220="","",SUM(AB$5:AB220))</f>
        <v/>
      </c>
      <c r="AH220" s="55" t="str">
        <f>IF(A220="","",MAX(0,MAX(AG$5:AG220))-AG220)</f>
        <v/>
      </c>
    </row>
    <row r="221">
      <c r="A221" s="46" t="n"/>
      <c r="B221" s="31" t="n"/>
      <c r="C221" s="32" t="n"/>
      <c r="D221" s="27" t="n"/>
      <c r="E221" s="47" t="str">
        <f>IF(D221="","",IFERROR(VLOOKUP(D221,'参数'!$B$21:$C$26,2,FALSE),""))</f>
        <v/>
      </c>
      <c r="F221" s="27" t="n"/>
      <c r="G221" s="43" t="str">
        <f>IF(NOT(ISNUMBER(B221)),"",IFERROR(IF(B221-INDEX('每日复盘'!$A$5:$A$264,MATCH(B221-1,'每日复盘'!$A$5:$A$264,1))&gt;7,"",T(INDEX('每日复盘'!$AA$5:$AA$264,MATCH(B221-1,'每日复盘'!$A$5:$A$264,1)))),""))</f>
        <v/>
      </c>
      <c r="H221" s="48" t="n"/>
      <c r="I221" s="48" t="n"/>
      <c r="J221" s="48" t="n"/>
      <c r="K221" s="49" t="str">
        <f>IF(AND(ISNUMBER(H221),ISNUMBER(I221),ISNUMBER(J221)),IF(H221&gt;I221,(J221-H221)/(H221-I221),""),"")</f>
        <v/>
      </c>
      <c r="L221" s="44" t="str">
        <f>IF(AND(ISNUMBER(H221),ISNUMBER(I221)),IF(H221&gt;I221,MIN(INT(ROUND('参数'!$C$7/(H221-I221)/100,6))*100,IF(ISNUMBER(E221),IF(H221-ROUND(ROUND(I221*(1-E221),4),2)&gt;0,INT(ROUND('参数'!$C$8/(H221-ROUND(ROUND(I221*(1-E221),4),2))/100,6))*100,0),INT(ROUND('参数'!$C$7/(H221-I221)/100,6))*100)),""),"")</f>
        <v/>
      </c>
      <c r="M221" s="17" t="n"/>
      <c r="N221" s="20" t="str">
        <f>IF(AND(ISNUMBER(H221),ISNUMBER(I221),ISNUMBER(M221)),IF(AND(H221&gt;I221,M221&gt;0),(H221-I221)*M221,""),"")</f>
        <v/>
      </c>
      <c r="O221" s="20" t="str">
        <f>IF(ISNUMBER(N221),IF(ISNUMBER(E221),(H221-ROUND(ROUND(I221*(1-E221),4),2))*M221,"不设限"),"")</f>
        <v/>
      </c>
      <c r="P221" s="32" t="n"/>
      <c r="Q221" s="27" t="n"/>
      <c r="R221" s="42" t="str">
        <f>IF(N(T221)&gt;0,SUMPRODUCT(LARGE(('成交明细'!$A$5:$A$804=A221)*('成交明细'!$C$5:$C$804="买")*'成交明细'!$B$5:$B$804,COUNTIFS('成交明细'!$A$5:$A$804,A221,'成交明细'!$C$5:$C$804,"买"))),"")</f>
        <v/>
      </c>
      <c r="S221" s="42" t="str">
        <f>IF(AND(N(T221)&gt;0,N(V221)&gt;=N(T221)),SUMPRODUCT(MAX(('成交明细'!$A$5:$A$804=A221)*('成交明细'!$C$5:$C$804="卖")*'成交明细'!$B$5:$B$804)),"")</f>
        <v/>
      </c>
      <c r="T221" s="44" t="str">
        <f>IF(A221="","",SUMIFS('成交明细'!$E$5:$E$804,'成交明细'!$A$5:$A$804,A221,'成交明细'!$C$5:$C$804,"买"))</f>
        <v/>
      </c>
      <c r="U221" s="50" t="str">
        <f>IF(N(T221)&gt;0,SUMIFS('成交明细'!$F$5:$F$804,'成交明细'!$A$5:$A$804,A221,'成交明细'!$C$5:$C$804,"买")/T221,"")</f>
        <v/>
      </c>
      <c r="V221" s="44" t="str">
        <f>IF(A221="","",SUMIFS('成交明细'!$E$5:$E$804,'成交明细'!$A$5:$A$804,A221,'成交明细'!$C$5:$C$804,"卖"))</f>
        <v/>
      </c>
      <c r="W221" s="50" t="str">
        <f>IF(N(V221)&gt;0,SUMIFS('成交明细'!$F$5:$F$804,'成交明细'!$A$5:$A$804,A221,'成交明细'!$C$5:$C$804,"卖")/V221,"")</f>
        <v/>
      </c>
      <c r="X221" s="36" t="str">
        <f>IF(A221="","",IF(Q221&lt;&gt;"已执行",IF(Q221="","未填执行情况",Q221),IF(N(T221)=0,"待录成交",IF(N(V221)&gt;N(T221),"卖出多于买入",IF(N(V221)&lt;N(T221),"持仓中","已平仓")))))</f>
        <v/>
      </c>
      <c r="Y221" s="51" t="str">
        <f>IF(N(T221)=0,"",SUMIFS('成交明细'!$K$5:$K$804,'成交明细'!$A$5:$A$804,A221))</f>
        <v/>
      </c>
      <c r="Z221" s="52" t="str">
        <f>IF(X221&lt;&gt;"已平仓","",SUMIFS('成交明细'!$F$5:$F$804,'成交明细'!$A$5:$A$804,A221,'成交明细'!$C$5:$C$804,"卖")-SUMIFS('成交明细'!$F$5:$F$804,'成交明细'!$A$5:$A$804,A221,'成交明细'!$C$5:$C$804,"买")-Y221)</f>
        <v/>
      </c>
      <c r="AA221" s="53" t="str">
        <f>IF(AND(X221="已平仓",ISNUMBER(N221)),(Z221+Y221)/N221,"")</f>
        <v/>
      </c>
      <c r="AB221" s="53" t="str">
        <f>IF(AND(X221="已平仓",ISNUMBER(N221)),Z221/N221,"")</f>
        <v/>
      </c>
      <c r="AC221" s="54" t="str">
        <f>IF(AND(ISNUMBER(U221),ISNUMBER(H221)),U221-H221,"")</f>
        <v/>
      </c>
      <c r="AD221" s="27" t="n"/>
      <c r="AE221" s="27" t="n"/>
      <c r="AF221" s="32" t="n"/>
      <c r="AG221" s="53" t="str">
        <f>IF(A221="","",SUM(AB$5:AB221))</f>
        <v/>
      </c>
      <c r="AH221" s="55" t="str">
        <f>IF(A221="","",MAX(0,MAX(AG$5:AG221))-AG221)</f>
        <v/>
      </c>
    </row>
    <row r="222">
      <c r="A222" s="46" t="n"/>
      <c r="B222" s="31" t="n"/>
      <c r="C222" s="32" t="n"/>
      <c r="D222" s="27" t="n"/>
      <c r="E222" s="47" t="str">
        <f>IF(D222="","",IFERROR(VLOOKUP(D222,'参数'!$B$21:$C$26,2,FALSE),""))</f>
        <v/>
      </c>
      <c r="F222" s="27" t="n"/>
      <c r="G222" s="43" t="str">
        <f>IF(NOT(ISNUMBER(B222)),"",IFERROR(IF(B222-INDEX('每日复盘'!$A$5:$A$264,MATCH(B222-1,'每日复盘'!$A$5:$A$264,1))&gt;7,"",T(INDEX('每日复盘'!$AA$5:$AA$264,MATCH(B222-1,'每日复盘'!$A$5:$A$264,1)))),""))</f>
        <v/>
      </c>
      <c r="H222" s="48" t="n"/>
      <c r="I222" s="48" t="n"/>
      <c r="J222" s="48" t="n"/>
      <c r="K222" s="49" t="str">
        <f>IF(AND(ISNUMBER(H222),ISNUMBER(I222),ISNUMBER(J222)),IF(H222&gt;I222,(J222-H222)/(H222-I222),""),"")</f>
        <v/>
      </c>
      <c r="L222" s="44" t="str">
        <f>IF(AND(ISNUMBER(H222),ISNUMBER(I222)),IF(H222&gt;I222,MIN(INT(ROUND('参数'!$C$7/(H222-I222)/100,6))*100,IF(ISNUMBER(E222),IF(H222-ROUND(ROUND(I222*(1-E222),4),2)&gt;0,INT(ROUND('参数'!$C$8/(H222-ROUND(ROUND(I222*(1-E222),4),2))/100,6))*100,0),INT(ROUND('参数'!$C$7/(H222-I222)/100,6))*100)),""),"")</f>
        <v/>
      </c>
      <c r="M222" s="17" t="n"/>
      <c r="N222" s="20" t="str">
        <f>IF(AND(ISNUMBER(H222),ISNUMBER(I222),ISNUMBER(M222)),IF(AND(H222&gt;I222,M222&gt;0),(H222-I222)*M222,""),"")</f>
        <v/>
      </c>
      <c r="O222" s="20" t="str">
        <f>IF(ISNUMBER(N222),IF(ISNUMBER(E222),(H222-ROUND(ROUND(I222*(1-E222),4),2))*M222,"不设限"),"")</f>
        <v/>
      </c>
      <c r="P222" s="32" t="n"/>
      <c r="Q222" s="27" t="n"/>
      <c r="R222" s="42" t="str">
        <f>IF(N(T222)&gt;0,SUMPRODUCT(LARGE(('成交明细'!$A$5:$A$804=A222)*('成交明细'!$C$5:$C$804="买")*'成交明细'!$B$5:$B$804,COUNTIFS('成交明细'!$A$5:$A$804,A222,'成交明细'!$C$5:$C$804,"买"))),"")</f>
        <v/>
      </c>
      <c r="S222" s="42" t="str">
        <f>IF(AND(N(T222)&gt;0,N(V222)&gt;=N(T222)),SUMPRODUCT(MAX(('成交明细'!$A$5:$A$804=A222)*('成交明细'!$C$5:$C$804="卖")*'成交明细'!$B$5:$B$804)),"")</f>
        <v/>
      </c>
      <c r="T222" s="44" t="str">
        <f>IF(A222="","",SUMIFS('成交明细'!$E$5:$E$804,'成交明细'!$A$5:$A$804,A222,'成交明细'!$C$5:$C$804,"买"))</f>
        <v/>
      </c>
      <c r="U222" s="50" t="str">
        <f>IF(N(T222)&gt;0,SUMIFS('成交明细'!$F$5:$F$804,'成交明细'!$A$5:$A$804,A222,'成交明细'!$C$5:$C$804,"买")/T222,"")</f>
        <v/>
      </c>
      <c r="V222" s="44" t="str">
        <f>IF(A222="","",SUMIFS('成交明细'!$E$5:$E$804,'成交明细'!$A$5:$A$804,A222,'成交明细'!$C$5:$C$804,"卖"))</f>
        <v/>
      </c>
      <c r="W222" s="50" t="str">
        <f>IF(N(V222)&gt;0,SUMIFS('成交明细'!$F$5:$F$804,'成交明细'!$A$5:$A$804,A222,'成交明细'!$C$5:$C$804,"卖")/V222,"")</f>
        <v/>
      </c>
      <c r="X222" s="36" t="str">
        <f>IF(A222="","",IF(Q222&lt;&gt;"已执行",IF(Q222="","未填执行情况",Q222),IF(N(T222)=0,"待录成交",IF(N(V222)&gt;N(T222),"卖出多于买入",IF(N(V222)&lt;N(T222),"持仓中","已平仓")))))</f>
        <v/>
      </c>
      <c r="Y222" s="51" t="str">
        <f>IF(N(T222)=0,"",SUMIFS('成交明细'!$K$5:$K$804,'成交明细'!$A$5:$A$804,A222))</f>
        <v/>
      </c>
      <c r="Z222" s="52" t="str">
        <f>IF(X222&lt;&gt;"已平仓","",SUMIFS('成交明细'!$F$5:$F$804,'成交明细'!$A$5:$A$804,A222,'成交明细'!$C$5:$C$804,"卖")-SUMIFS('成交明细'!$F$5:$F$804,'成交明细'!$A$5:$A$804,A222,'成交明细'!$C$5:$C$804,"买")-Y222)</f>
        <v/>
      </c>
      <c r="AA222" s="53" t="str">
        <f>IF(AND(X222="已平仓",ISNUMBER(N222)),(Z222+Y222)/N222,"")</f>
        <v/>
      </c>
      <c r="AB222" s="53" t="str">
        <f>IF(AND(X222="已平仓",ISNUMBER(N222)),Z222/N222,"")</f>
        <v/>
      </c>
      <c r="AC222" s="54" t="str">
        <f>IF(AND(ISNUMBER(U222),ISNUMBER(H222)),U222-H222,"")</f>
        <v/>
      </c>
      <c r="AD222" s="27" t="n"/>
      <c r="AE222" s="27" t="n"/>
      <c r="AF222" s="32" t="n"/>
      <c r="AG222" s="53" t="str">
        <f>IF(A222="","",SUM(AB$5:AB222))</f>
        <v/>
      </c>
      <c r="AH222" s="55" t="str">
        <f>IF(A222="","",MAX(0,MAX(AG$5:AG222))-AG222)</f>
        <v/>
      </c>
    </row>
    <row r="223">
      <c r="A223" s="46" t="n"/>
      <c r="B223" s="31" t="n"/>
      <c r="C223" s="32" t="n"/>
      <c r="D223" s="27" t="n"/>
      <c r="E223" s="47" t="str">
        <f>IF(D223="","",IFERROR(VLOOKUP(D223,'参数'!$B$21:$C$26,2,FALSE),""))</f>
        <v/>
      </c>
      <c r="F223" s="27" t="n"/>
      <c r="G223" s="43" t="str">
        <f>IF(NOT(ISNUMBER(B223)),"",IFERROR(IF(B223-INDEX('每日复盘'!$A$5:$A$264,MATCH(B223-1,'每日复盘'!$A$5:$A$264,1))&gt;7,"",T(INDEX('每日复盘'!$AA$5:$AA$264,MATCH(B223-1,'每日复盘'!$A$5:$A$264,1)))),""))</f>
        <v/>
      </c>
      <c r="H223" s="48" t="n"/>
      <c r="I223" s="48" t="n"/>
      <c r="J223" s="48" t="n"/>
      <c r="K223" s="49" t="str">
        <f>IF(AND(ISNUMBER(H223),ISNUMBER(I223),ISNUMBER(J223)),IF(H223&gt;I223,(J223-H223)/(H223-I223),""),"")</f>
        <v/>
      </c>
      <c r="L223" s="44" t="str">
        <f>IF(AND(ISNUMBER(H223),ISNUMBER(I223)),IF(H223&gt;I223,MIN(INT(ROUND('参数'!$C$7/(H223-I223)/100,6))*100,IF(ISNUMBER(E223),IF(H223-ROUND(ROUND(I223*(1-E223),4),2)&gt;0,INT(ROUND('参数'!$C$8/(H223-ROUND(ROUND(I223*(1-E223),4),2))/100,6))*100,0),INT(ROUND('参数'!$C$7/(H223-I223)/100,6))*100)),""),"")</f>
        <v/>
      </c>
      <c r="M223" s="17" t="n"/>
      <c r="N223" s="20" t="str">
        <f>IF(AND(ISNUMBER(H223),ISNUMBER(I223),ISNUMBER(M223)),IF(AND(H223&gt;I223,M223&gt;0),(H223-I223)*M223,""),"")</f>
        <v/>
      </c>
      <c r="O223" s="20" t="str">
        <f>IF(ISNUMBER(N223),IF(ISNUMBER(E223),(H223-ROUND(ROUND(I223*(1-E223),4),2))*M223,"不设限"),"")</f>
        <v/>
      </c>
      <c r="P223" s="32" t="n"/>
      <c r="Q223" s="27" t="n"/>
      <c r="R223" s="42" t="str">
        <f>IF(N(T223)&gt;0,SUMPRODUCT(LARGE(('成交明细'!$A$5:$A$804=A223)*('成交明细'!$C$5:$C$804="买")*'成交明细'!$B$5:$B$804,COUNTIFS('成交明细'!$A$5:$A$804,A223,'成交明细'!$C$5:$C$804,"买"))),"")</f>
        <v/>
      </c>
      <c r="S223" s="42" t="str">
        <f>IF(AND(N(T223)&gt;0,N(V223)&gt;=N(T223)),SUMPRODUCT(MAX(('成交明细'!$A$5:$A$804=A223)*('成交明细'!$C$5:$C$804="卖")*'成交明细'!$B$5:$B$804)),"")</f>
        <v/>
      </c>
      <c r="T223" s="44" t="str">
        <f>IF(A223="","",SUMIFS('成交明细'!$E$5:$E$804,'成交明细'!$A$5:$A$804,A223,'成交明细'!$C$5:$C$804,"买"))</f>
        <v/>
      </c>
      <c r="U223" s="50" t="str">
        <f>IF(N(T223)&gt;0,SUMIFS('成交明细'!$F$5:$F$804,'成交明细'!$A$5:$A$804,A223,'成交明细'!$C$5:$C$804,"买")/T223,"")</f>
        <v/>
      </c>
      <c r="V223" s="44" t="str">
        <f>IF(A223="","",SUMIFS('成交明细'!$E$5:$E$804,'成交明细'!$A$5:$A$804,A223,'成交明细'!$C$5:$C$804,"卖"))</f>
        <v/>
      </c>
      <c r="W223" s="50" t="str">
        <f>IF(N(V223)&gt;0,SUMIFS('成交明细'!$F$5:$F$804,'成交明细'!$A$5:$A$804,A223,'成交明细'!$C$5:$C$804,"卖")/V223,"")</f>
        <v/>
      </c>
      <c r="X223" s="36" t="str">
        <f>IF(A223="","",IF(Q223&lt;&gt;"已执行",IF(Q223="","未填执行情况",Q223),IF(N(T223)=0,"待录成交",IF(N(V223)&gt;N(T223),"卖出多于买入",IF(N(V223)&lt;N(T223),"持仓中","已平仓")))))</f>
        <v/>
      </c>
      <c r="Y223" s="51" t="str">
        <f>IF(N(T223)=0,"",SUMIFS('成交明细'!$K$5:$K$804,'成交明细'!$A$5:$A$804,A223))</f>
        <v/>
      </c>
      <c r="Z223" s="52" t="str">
        <f>IF(X223&lt;&gt;"已平仓","",SUMIFS('成交明细'!$F$5:$F$804,'成交明细'!$A$5:$A$804,A223,'成交明细'!$C$5:$C$804,"卖")-SUMIFS('成交明细'!$F$5:$F$804,'成交明细'!$A$5:$A$804,A223,'成交明细'!$C$5:$C$804,"买")-Y223)</f>
        <v/>
      </c>
      <c r="AA223" s="53" t="str">
        <f>IF(AND(X223="已平仓",ISNUMBER(N223)),(Z223+Y223)/N223,"")</f>
        <v/>
      </c>
      <c r="AB223" s="53" t="str">
        <f>IF(AND(X223="已平仓",ISNUMBER(N223)),Z223/N223,"")</f>
        <v/>
      </c>
      <c r="AC223" s="54" t="str">
        <f>IF(AND(ISNUMBER(U223),ISNUMBER(H223)),U223-H223,"")</f>
        <v/>
      </c>
      <c r="AD223" s="27" t="n"/>
      <c r="AE223" s="27" t="n"/>
      <c r="AF223" s="32" t="n"/>
      <c r="AG223" s="53" t="str">
        <f>IF(A223="","",SUM(AB$5:AB223))</f>
        <v/>
      </c>
      <c r="AH223" s="55" t="str">
        <f>IF(A223="","",MAX(0,MAX(AG$5:AG223))-AG223)</f>
        <v/>
      </c>
    </row>
    <row r="224">
      <c r="A224" s="46" t="n"/>
      <c r="B224" s="31" t="n"/>
      <c r="C224" s="32" t="n"/>
      <c r="D224" s="27" t="n"/>
      <c r="E224" s="47" t="str">
        <f>IF(D224="","",IFERROR(VLOOKUP(D224,'参数'!$B$21:$C$26,2,FALSE),""))</f>
        <v/>
      </c>
      <c r="F224" s="27" t="n"/>
      <c r="G224" s="43" t="str">
        <f>IF(NOT(ISNUMBER(B224)),"",IFERROR(IF(B224-INDEX('每日复盘'!$A$5:$A$264,MATCH(B224-1,'每日复盘'!$A$5:$A$264,1))&gt;7,"",T(INDEX('每日复盘'!$AA$5:$AA$264,MATCH(B224-1,'每日复盘'!$A$5:$A$264,1)))),""))</f>
        <v/>
      </c>
      <c r="H224" s="48" t="n"/>
      <c r="I224" s="48" t="n"/>
      <c r="J224" s="48" t="n"/>
      <c r="K224" s="49" t="str">
        <f>IF(AND(ISNUMBER(H224),ISNUMBER(I224),ISNUMBER(J224)),IF(H224&gt;I224,(J224-H224)/(H224-I224),""),"")</f>
        <v/>
      </c>
      <c r="L224" s="44" t="str">
        <f>IF(AND(ISNUMBER(H224),ISNUMBER(I224)),IF(H224&gt;I224,MIN(INT(ROUND('参数'!$C$7/(H224-I224)/100,6))*100,IF(ISNUMBER(E224),IF(H224-ROUND(ROUND(I224*(1-E224),4),2)&gt;0,INT(ROUND('参数'!$C$8/(H224-ROUND(ROUND(I224*(1-E224),4),2))/100,6))*100,0),INT(ROUND('参数'!$C$7/(H224-I224)/100,6))*100)),""),"")</f>
        <v/>
      </c>
      <c r="M224" s="17" t="n"/>
      <c r="N224" s="20" t="str">
        <f>IF(AND(ISNUMBER(H224),ISNUMBER(I224),ISNUMBER(M224)),IF(AND(H224&gt;I224,M224&gt;0),(H224-I224)*M224,""),"")</f>
        <v/>
      </c>
      <c r="O224" s="20" t="str">
        <f>IF(ISNUMBER(N224),IF(ISNUMBER(E224),(H224-ROUND(ROUND(I224*(1-E224),4),2))*M224,"不设限"),"")</f>
        <v/>
      </c>
      <c r="P224" s="32" t="n"/>
      <c r="Q224" s="27" t="n"/>
      <c r="R224" s="42" t="str">
        <f>IF(N(T224)&gt;0,SUMPRODUCT(LARGE(('成交明细'!$A$5:$A$804=A224)*('成交明细'!$C$5:$C$804="买")*'成交明细'!$B$5:$B$804,COUNTIFS('成交明细'!$A$5:$A$804,A224,'成交明细'!$C$5:$C$804,"买"))),"")</f>
        <v/>
      </c>
      <c r="S224" s="42" t="str">
        <f>IF(AND(N(T224)&gt;0,N(V224)&gt;=N(T224)),SUMPRODUCT(MAX(('成交明细'!$A$5:$A$804=A224)*('成交明细'!$C$5:$C$804="卖")*'成交明细'!$B$5:$B$804)),"")</f>
        <v/>
      </c>
      <c r="T224" s="44" t="str">
        <f>IF(A224="","",SUMIFS('成交明细'!$E$5:$E$804,'成交明细'!$A$5:$A$804,A224,'成交明细'!$C$5:$C$804,"买"))</f>
        <v/>
      </c>
      <c r="U224" s="50" t="str">
        <f>IF(N(T224)&gt;0,SUMIFS('成交明细'!$F$5:$F$804,'成交明细'!$A$5:$A$804,A224,'成交明细'!$C$5:$C$804,"买")/T224,"")</f>
        <v/>
      </c>
      <c r="V224" s="44" t="str">
        <f>IF(A224="","",SUMIFS('成交明细'!$E$5:$E$804,'成交明细'!$A$5:$A$804,A224,'成交明细'!$C$5:$C$804,"卖"))</f>
        <v/>
      </c>
      <c r="W224" s="50" t="str">
        <f>IF(N(V224)&gt;0,SUMIFS('成交明细'!$F$5:$F$804,'成交明细'!$A$5:$A$804,A224,'成交明细'!$C$5:$C$804,"卖")/V224,"")</f>
        <v/>
      </c>
      <c r="X224" s="36" t="str">
        <f>IF(A224="","",IF(Q224&lt;&gt;"已执行",IF(Q224="","未填执行情况",Q224),IF(N(T224)=0,"待录成交",IF(N(V224)&gt;N(T224),"卖出多于买入",IF(N(V224)&lt;N(T224),"持仓中","已平仓")))))</f>
        <v/>
      </c>
      <c r="Y224" s="51" t="str">
        <f>IF(N(T224)=0,"",SUMIFS('成交明细'!$K$5:$K$804,'成交明细'!$A$5:$A$804,A224))</f>
        <v/>
      </c>
      <c r="Z224" s="52" t="str">
        <f>IF(X224&lt;&gt;"已平仓","",SUMIFS('成交明细'!$F$5:$F$804,'成交明细'!$A$5:$A$804,A224,'成交明细'!$C$5:$C$804,"卖")-SUMIFS('成交明细'!$F$5:$F$804,'成交明细'!$A$5:$A$804,A224,'成交明细'!$C$5:$C$804,"买")-Y224)</f>
        <v/>
      </c>
      <c r="AA224" s="53" t="str">
        <f>IF(AND(X224="已平仓",ISNUMBER(N224)),(Z224+Y224)/N224,"")</f>
        <v/>
      </c>
      <c r="AB224" s="53" t="str">
        <f>IF(AND(X224="已平仓",ISNUMBER(N224)),Z224/N224,"")</f>
        <v/>
      </c>
      <c r="AC224" s="54" t="str">
        <f>IF(AND(ISNUMBER(U224),ISNUMBER(H224)),U224-H224,"")</f>
        <v/>
      </c>
      <c r="AD224" s="27" t="n"/>
      <c r="AE224" s="27" t="n"/>
      <c r="AF224" s="32" t="n"/>
      <c r="AG224" s="53" t="str">
        <f>IF(A224="","",SUM(AB$5:AB224))</f>
        <v/>
      </c>
      <c r="AH224" s="55" t="str">
        <f>IF(A224="","",MAX(0,MAX(AG$5:AG224))-AG224)</f>
        <v/>
      </c>
    </row>
    <row r="225">
      <c r="A225" s="46" t="n"/>
      <c r="B225" s="31" t="n"/>
      <c r="C225" s="32" t="n"/>
      <c r="D225" s="27" t="n"/>
      <c r="E225" s="47" t="str">
        <f>IF(D225="","",IFERROR(VLOOKUP(D225,'参数'!$B$21:$C$26,2,FALSE),""))</f>
        <v/>
      </c>
      <c r="F225" s="27" t="n"/>
      <c r="G225" s="43" t="str">
        <f>IF(NOT(ISNUMBER(B225)),"",IFERROR(IF(B225-INDEX('每日复盘'!$A$5:$A$264,MATCH(B225-1,'每日复盘'!$A$5:$A$264,1))&gt;7,"",T(INDEX('每日复盘'!$AA$5:$AA$264,MATCH(B225-1,'每日复盘'!$A$5:$A$264,1)))),""))</f>
        <v/>
      </c>
      <c r="H225" s="48" t="n"/>
      <c r="I225" s="48" t="n"/>
      <c r="J225" s="48" t="n"/>
      <c r="K225" s="49" t="str">
        <f>IF(AND(ISNUMBER(H225),ISNUMBER(I225),ISNUMBER(J225)),IF(H225&gt;I225,(J225-H225)/(H225-I225),""),"")</f>
        <v/>
      </c>
      <c r="L225" s="44" t="str">
        <f>IF(AND(ISNUMBER(H225),ISNUMBER(I225)),IF(H225&gt;I225,MIN(INT(ROUND('参数'!$C$7/(H225-I225)/100,6))*100,IF(ISNUMBER(E225),IF(H225-ROUND(ROUND(I225*(1-E225),4),2)&gt;0,INT(ROUND('参数'!$C$8/(H225-ROUND(ROUND(I225*(1-E225),4),2))/100,6))*100,0),INT(ROUND('参数'!$C$7/(H225-I225)/100,6))*100)),""),"")</f>
        <v/>
      </c>
      <c r="M225" s="17" t="n"/>
      <c r="N225" s="20" t="str">
        <f>IF(AND(ISNUMBER(H225),ISNUMBER(I225),ISNUMBER(M225)),IF(AND(H225&gt;I225,M225&gt;0),(H225-I225)*M225,""),"")</f>
        <v/>
      </c>
      <c r="O225" s="20" t="str">
        <f>IF(ISNUMBER(N225),IF(ISNUMBER(E225),(H225-ROUND(ROUND(I225*(1-E225),4),2))*M225,"不设限"),"")</f>
        <v/>
      </c>
      <c r="P225" s="32" t="n"/>
      <c r="Q225" s="27" t="n"/>
      <c r="R225" s="42" t="str">
        <f>IF(N(T225)&gt;0,SUMPRODUCT(LARGE(('成交明细'!$A$5:$A$804=A225)*('成交明细'!$C$5:$C$804="买")*'成交明细'!$B$5:$B$804,COUNTIFS('成交明细'!$A$5:$A$804,A225,'成交明细'!$C$5:$C$804,"买"))),"")</f>
        <v/>
      </c>
      <c r="S225" s="42" t="str">
        <f>IF(AND(N(T225)&gt;0,N(V225)&gt;=N(T225)),SUMPRODUCT(MAX(('成交明细'!$A$5:$A$804=A225)*('成交明细'!$C$5:$C$804="卖")*'成交明细'!$B$5:$B$804)),"")</f>
        <v/>
      </c>
      <c r="T225" s="44" t="str">
        <f>IF(A225="","",SUMIFS('成交明细'!$E$5:$E$804,'成交明细'!$A$5:$A$804,A225,'成交明细'!$C$5:$C$804,"买"))</f>
        <v/>
      </c>
      <c r="U225" s="50" t="str">
        <f>IF(N(T225)&gt;0,SUMIFS('成交明细'!$F$5:$F$804,'成交明细'!$A$5:$A$804,A225,'成交明细'!$C$5:$C$804,"买")/T225,"")</f>
        <v/>
      </c>
      <c r="V225" s="44" t="str">
        <f>IF(A225="","",SUMIFS('成交明细'!$E$5:$E$804,'成交明细'!$A$5:$A$804,A225,'成交明细'!$C$5:$C$804,"卖"))</f>
        <v/>
      </c>
      <c r="W225" s="50" t="str">
        <f>IF(N(V225)&gt;0,SUMIFS('成交明细'!$F$5:$F$804,'成交明细'!$A$5:$A$804,A225,'成交明细'!$C$5:$C$804,"卖")/V225,"")</f>
        <v/>
      </c>
      <c r="X225" s="36" t="str">
        <f>IF(A225="","",IF(Q225&lt;&gt;"已执行",IF(Q225="","未填执行情况",Q225),IF(N(T225)=0,"待录成交",IF(N(V225)&gt;N(T225),"卖出多于买入",IF(N(V225)&lt;N(T225),"持仓中","已平仓")))))</f>
        <v/>
      </c>
      <c r="Y225" s="51" t="str">
        <f>IF(N(T225)=0,"",SUMIFS('成交明细'!$K$5:$K$804,'成交明细'!$A$5:$A$804,A225))</f>
        <v/>
      </c>
      <c r="Z225" s="52" t="str">
        <f>IF(X225&lt;&gt;"已平仓","",SUMIFS('成交明细'!$F$5:$F$804,'成交明细'!$A$5:$A$804,A225,'成交明细'!$C$5:$C$804,"卖")-SUMIFS('成交明细'!$F$5:$F$804,'成交明细'!$A$5:$A$804,A225,'成交明细'!$C$5:$C$804,"买")-Y225)</f>
        <v/>
      </c>
      <c r="AA225" s="53" t="str">
        <f>IF(AND(X225="已平仓",ISNUMBER(N225)),(Z225+Y225)/N225,"")</f>
        <v/>
      </c>
      <c r="AB225" s="53" t="str">
        <f>IF(AND(X225="已平仓",ISNUMBER(N225)),Z225/N225,"")</f>
        <v/>
      </c>
      <c r="AC225" s="54" t="str">
        <f>IF(AND(ISNUMBER(U225),ISNUMBER(H225)),U225-H225,"")</f>
        <v/>
      </c>
      <c r="AD225" s="27" t="n"/>
      <c r="AE225" s="27" t="n"/>
      <c r="AF225" s="32" t="n"/>
      <c r="AG225" s="53" t="str">
        <f>IF(A225="","",SUM(AB$5:AB225))</f>
        <v/>
      </c>
      <c r="AH225" s="55" t="str">
        <f>IF(A225="","",MAX(0,MAX(AG$5:AG225))-AG225)</f>
        <v/>
      </c>
    </row>
    <row r="226">
      <c r="A226" s="46" t="n"/>
      <c r="B226" s="31" t="n"/>
      <c r="C226" s="32" t="n"/>
      <c r="D226" s="27" t="n"/>
      <c r="E226" s="47" t="str">
        <f>IF(D226="","",IFERROR(VLOOKUP(D226,'参数'!$B$21:$C$26,2,FALSE),""))</f>
        <v/>
      </c>
      <c r="F226" s="27" t="n"/>
      <c r="G226" s="43" t="str">
        <f>IF(NOT(ISNUMBER(B226)),"",IFERROR(IF(B226-INDEX('每日复盘'!$A$5:$A$264,MATCH(B226-1,'每日复盘'!$A$5:$A$264,1))&gt;7,"",T(INDEX('每日复盘'!$AA$5:$AA$264,MATCH(B226-1,'每日复盘'!$A$5:$A$264,1)))),""))</f>
        <v/>
      </c>
      <c r="H226" s="48" t="n"/>
      <c r="I226" s="48" t="n"/>
      <c r="J226" s="48" t="n"/>
      <c r="K226" s="49" t="str">
        <f>IF(AND(ISNUMBER(H226),ISNUMBER(I226),ISNUMBER(J226)),IF(H226&gt;I226,(J226-H226)/(H226-I226),""),"")</f>
        <v/>
      </c>
      <c r="L226" s="44" t="str">
        <f>IF(AND(ISNUMBER(H226),ISNUMBER(I226)),IF(H226&gt;I226,MIN(INT(ROUND('参数'!$C$7/(H226-I226)/100,6))*100,IF(ISNUMBER(E226),IF(H226-ROUND(ROUND(I226*(1-E226),4),2)&gt;0,INT(ROUND('参数'!$C$8/(H226-ROUND(ROUND(I226*(1-E226),4),2))/100,6))*100,0),INT(ROUND('参数'!$C$7/(H226-I226)/100,6))*100)),""),"")</f>
        <v/>
      </c>
      <c r="M226" s="17" t="n"/>
      <c r="N226" s="20" t="str">
        <f>IF(AND(ISNUMBER(H226),ISNUMBER(I226),ISNUMBER(M226)),IF(AND(H226&gt;I226,M226&gt;0),(H226-I226)*M226,""),"")</f>
        <v/>
      </c>
      <c r="O226" s="20" t="str">
        <f>IF(ISNUMBER(N226),IF(ISNUMBER(E226),(H226-ROUND(ROUND(I226*(1-E226),4),2))*M226,"不设限"),"")</f>
        <v/>
      </c>
      <c r="P226" s="32" t="n"/>
      <c r="Q226" s="27" t="n"/>
      <c r="R226" s="42" t="str">
        <f>IF(N(T226)&gt;0,SUMPRODUCT(LARGE(('成交明细'!$A$5:$A$804=A226)*('成交明细'!$C$5:$C$804="买")*'成交明细'!$B$5:$B$804,COUNTIFS('成交明细'!$A$5:$A$804,A226,'成交明细'!$C$5:$C$804,"买"))),"")</f>
        <v/>
      </c>
      <c r="S226" s="42" t="str">
        <f>IF(AND(N(T226)&gt;0,N(V226)&gt;=N(T226)),SUMPRODUCT(MAX(('成交明细'!$A$5:$A$804=A226)*('成交明细'!$C$5:$C$804="卖")*'成交明细'!$B$5:$B$804)),"")</f>
        <v/>
      </c>
      <c r="T226" s="44" t="str">
        <f>IF(A226="","",SUMIFS('成交明细'!$E$5:$E$804,'成交明细'!$A$5:$A$804,A226,'成交明细'!$C$5:$C$804,"买"))</f>
        <v/>
      </c>
      <c r="U226" s="50" t="str">
        <f>IF(N(T226)&gt;0,SUMIFS('成交明细'!$F$5:$F$804,'成交明细'!$A$5:$A$804,A226,'成交明细'!$C$5:$C$804,"买")/T226,"")</f>
        <v/>
      </c>
      <c r="V226" s="44" t="str">
        <f>IF(A226="","",SUMIFS('成交明细'!$E$5:$E$804,'成交明细'!$A$5:$A$804,A226,'成交明细'!$C$5:$C$804,"卖"))</f>
        <v/>
      </c>
      <c r="W226" s="50" t="str">
        <f>IF(N(V226)&gt;0,SUMIFS('成交明细'!$F$5:$F$804,'成交明细'!$A$5:$A$804,A226,'成交明细'!$C$5:$C$804,"卖")/V226,"")</f>
        <v/>
      </c>
      <c r="X226" s="36" t="str">
        <f>IF(A226="","",IF(Q226&lt;&gt;"已执行",IF(Q226="","未填执行情况",Q226),IF(N(T226)=0,"待录成交",IF(N(V226)&gt;N(T226),"卖出多于买入",IF(N(V226)&lt;N(T226),"持仓中","已平仓")))))</f>
        <v/>
      </c>
      <c r="Y226" s="51" t="str">
        <f>IF(N(T226)=0,"",SUMIFS('成交明细'!$K$5:$K$804,'成交明细'!$A$5:$A$804,A226))</f>
        <v/>
      </c>
      <c r="Z226" s="52" t="str">
        <f>IF(X226&lt;&gt;"已平仓","",SUMIFS('成交明细'!$F$5:$F$804,'成交明细'!$A$5:$A$804,A226,'成交明细'!$C$5:$C$804,"卖")-SUMIFS('成交明细'!$F$5:$F$804,'成交明细'!$A$5:$A$804,A226,'成交明细'!$C$5:$C$804,"买")-Y226)</f>
        <v/>
      </c>
      <c r="AA226" s="53" t="str">
        <f>IF(AND(X226="已平仓",ISNUMBER(N226)),(Z226+Y226)/N226,"")</f>
        <v/>
      </c>
      <c r="AB226" s="53" t="str">
        <f>IF(AND(X226="已平仓",ISNUMBER(N226)),Z226/N226,"")</f>
        <v/>
      </c>
      <c r="AC226" s="54" t="str">
        <f>IF(AND(ISNUMBER(U226),ISNUMBER(H226)),U226-H226,"")</f>
        <v/>
      </c>
      <c r="AD226" s="27" t="n"/>
      <c r="AE226" s="27" t="n"/>
      <c r="AF226" s="32" t="n"/>
      <c r="AG226" s="53" t="str">
        <f>IF(A226="","",SUM(AB$5:AB226))</f>
        <v/>
      </c>
      <c r="AH226" s="55" t="str">
        <f>IF(A226="","",MAX(0,MAX(AG$5:AG226))-AG226)</f>
        <v/>
      </c>
    </row>
    <row r="227">
      <c r="A227" s="46" t="n"/>
      <c r="B227" s="31" t="n"/>
      <c r="C227" s="32" t="n"/>
      <c r="D227" s="27" t="n"/>
      <c r="E227" s="47" t="str">
        <f>IF(D227="","",IFERROR(VLOOKUP(D227,'参数'!$B$21:$C$26,2,FALSE),""))</f>
        <v/>
      </c>
      <c r="F227" s="27" t="n"/>
      <c r="G227" s="43" t="str">
        <f>IF(NOT(ISNUMBER(B227)),"",IFERROR(IF(B227-INDEX('每日复盘'!$A$5:$A$264,MATCH(B227-1,'每日复盘'!$A$5:$A$264,1))&gt;7,"",T(INDEX('每日复盘'!$AA$5:$AA$264,MATCH(B227-1,'每日复盘'!$A$5:$A$264,1)))),""))</f>
        <v/>
      </c>
      <c r="H227" s="48" t="n"/>
      <c r="I227" s="48" t="n"/>
      <c r="J227" s="48" t="n"/>
      <c r="K227" s="49" t="str">
        <f>IF(AND(ISNUMBER(H227),ISNUMBER(I227),ISNUMBER(J227)),IF(H227&gt;I227,(J227-H227)/(H227-I227),""),"")</f>
        <v/>
      </c>
      <c r="L227" s="44" t="str">
        <f>IF(AND(ISNUMBER(H227),ISNUMBER(I227)),IF(H227&gt;I227,MIN(INT(ROUND('参数'!$C$7/(H227-I227)/100,6))*100,IF(ISNUMBER(E227),IF(H227-ROUND(ROUND(I227*(1-E227),4),2)&gt;0,INT(ROUND('参数'!$C$8/(H227-ROUND(ROUND(I227*(1-E227),4),2))/100,6))*100,0),INT(ROUND('参数'!$C$7/(H227-I227)/100,6))*100)),""),"")</f>
        <v/>
      </c>
      <c r="M227" s="17" t="n"/>
      <c r="N227" s="20" t="str">
        <f>IF(AND(ISNUMBER(H227),ISNUMBER(I227),ISNUMBER(M227)),IF(AND(H227&gt;I227,M227&gt;0),(H227-I227)*M227,""),"")</f>
        <v/>
      </c>
      <c r="O227" s="20" t="str">
        <f>IF(ISNUMBER(N227),IF(ISNUMBER(E227),(H227-ROUND(ROUND(I227*(1-E227),4),2))*M227,"不设限"),"")</f>
        <v/>
      </c>
      <c r="P227" s="32" t="n"/>
      <c r="Q227" s="27" t="n"/>
      <c r="R227" s="42" t="str">
        <f>IF(N(T227)&gt;0,SUMPRODUCT(LARGE(('成交明细'!$A$5:$A$804=A227)*('成交明细'!$C$5:$C$804="买")*'成交明细'!$B$5:$B$804,COUNTIFS('成交明细'!$A$5:$A$804,A227,'成交明细'!$C$5:$C$804,"买"))),"")</f>
        <v/>
      </c>
      <c r="S227" s="42" t="str">
        <f>IF(AND(N(T227)&gt;0,N(V227)&gt;=N(T227)),SUMPRODUCT(MAX(('成交明细'!$A$5:$A$804=A227)*('成交明细'!$C$5:$C$804="卖")*'成交明细'!$B$5:$B$804)),"")</f>
        <v/>
      </c>
      <c r="T227" s="44" t="str">
        <f>IF(A227="","",SUMIFS('成交明细'!$E$5:$E$804,'成交明细'!$A$5:$A$804,A227,'成交明细'!$C$5:$C$804,"买"))</f>
        <v/>
      </c>
      <c r="U227" s="50" t="str">
        <f>IF(N(T227)&gt;0,SUMIFS('成交明细'!$F$5:$F$804,'成交明细'!$A$5:$A$804,A227,'成交明细'!$C$5:$C$804,"买")/T227,"")</f>
        <v/>
      </c>
      <c r="V227" s="44" t="str">
        <f>IF(A227="","",SUMIFS('成交明细'!$E$5:$E$804,'成交明细'!$A$5:$A$804,A227,'成交明细'!$C$5:$C$804,"卖"))</f>
        <v/>
      </c>
      <c r="W227" s="50" t="str">
        <f>IF(N(V227)&gt;0,SUMIFS('成交明细'!$F$5:$F$804,'成交明细'!$A$5:$A$804,A227,'成交明细'!$C$5:$C$804,"卖")/V227,"")</f>
        <v/>
      </c>
      <c r="X227" s="36" t="str">
        <f>IF(A227="","",IF(Q227&lt;&gt;"已执行",IF(Q227="","未填执行情况",Q227),IF(N(T227)=0,"待录成交",IF(N(V227)&gt;N(T227),"卖出多于买入",IF(N(V227)&lt;N(T227),"持仓中","已平仓")))))</f>
        <v/>
      </c>
      <c r="Y227" s="51" t="str">
        <f>IF(N(T227)=0,"",SUMIFS('成交明细'!$K$5:$K$804,'成交明细'!$A$5:$A$804,A227))</f>
        <v/>
      </c>
      <c r="Z227" s="52" t="str">
        <f>IF(X227&lt;&gt;"已平仓","",SUMIFS('成交明细'!$F$5:$F$804,'成交明细'!$A$5:$A$804,A227,'成交明细'!$C$5:$C$804,"卖")-SUMIFS('成交明细'!$F$5:$F$804,'成交明细'!$A$5:$A$804,A227,'成交明细'!$C$5:$C$804,"买")-Y227)</f>
        <v/>
      </c>
      <c r="AA227" s="53" t="str">
        <f>IF(AND(X227="已平仓",ISNUMBER(N227)),(Z227+Y227)/N227,"")</f>
        <v/>
      </c>
      <c r="AB227" s="53" t="str">
        <f>IF(AND(X227="已平仓",ISNUMBER(N227)),Z227/N227,"")</f>
        <v/>
      </c>
      <c r="AC227" s="54" t="str">
        <f>IF(AND(ISNUMBER(U227),ISNUMBER(H227)),U227-H227,"")</f>
        <v/>
      </c>
      <c r="AD227" s="27" t="n"/>
      <c r="AE227" s="27" t="n"/>
      <c r="AF227" s="32" t="n"/>
      <c r="AG227" s="53" t="str">
        <f>IF(A227="","",SUM(AB$5:AB227))</f>
        <v/>
      </c>
      <c r="AH227" s="55" t="str">
        <f>IF(A227="","",MAX(0,MAX(AG$5:AG227))-AG227)</f>
        <v/>
      </c>
    </row>
    <row r="228">
      <c r="A228" s="46" t="n"/>
      <c r="B228" s="31" t="n"/>
      <c r="C228" s="32" t="n"/>
      <c r="D228" s="27" t="n"/>
      <c r="E228" s="47" t="str">
        <f>IF(D228="","",IFERROR(VLOOKUP(D228,'参数'!$B$21:$C$26,2,FALSE),""))</f>
        <v/>
      </c>
      <c r="F228" s="27" t="n"/>
      <c r="G228" s="43" t="str">
        <f>IF(NOT(ISNUMBER(B228)),"",IFERROR(IF(B228-INDEX('每日复盘'!$A$5:$A$264,MATCH(B228-1,'每日复盘'!$A$5:$A$264,1))&gt;7,"",T(INDEX('每日复盘'!$AA$5:$AA$264,MATCH(B228-1,'每日复盘'!$A$5:$A$264,1)))),""))</f>
        <v/>
      </c>
      <c r="H228" s="48" t="n"/>
      <c r="I228" s="48" t="n"/>
      <c r="J228" s="48" t="n"/>
      <c r="K228" s="49" t="str">
        <f>IF(AND(ISNUMBER(H228),ISNUMBER(I228),ISNUMBER(J228)),IF(H228&gt;I228,(J228-H228)/(H228-I228),""),"")</f>
        <v/>
      </c>
      <c r="L228" s="44" t="str">
        <f>IF(AND(ISNUMBER(H228),ISNUMBER(I228)),IF(H228&gt;I228,MIN(INT(ROUND('参数'!$C$7/(H228-I228)/100,6))*100,IF(ISNUMBER(E228),IF(H228-ROUND(ROUND(I228*(1-E228),4),2)&gt;0,INT(ROUND('参数'!$C$8/(H228-ROUND(ROUND(I228*(1-E228),4),2))/100,6))*100,0),INT(ROUND('参数'!$C$7/(H228-I228)/100,6))*100)),""),"")</f>
        <v/>
      </c>
      <c r="M228" s="17" t="n"/>
      <c r="N228" s="20" t="str">
        <f>IF(AND(ISNUMBER(H228),ISNUMBER(I228),ISNUMBER(M228)),IF(AND(H228&gt;I228,M228&gt;0),(H228-I228)*M228,""),"")</f>
        <v/>
      </c>
      <c r="O228" s="20" t="str">
        <f>IF(ISNUMBER(N228),IF(ISNUMBER(E228),(H228-ROUND(ROUND(I228*(1-E228),4),2))*M228,"不设限"),"")</f>
        <v/>
      </c>
      <c r="P228" s="32" t="n"/>
      <c r="Q228" s="27" t="n"/>
      <c r="R228" s="42" t="str">
        <f>IF(N(T228)&gt;0,SUMPRODUCT(LARGE(('成交明细'!$A$5:$A$804=A228)*('成交明细'!$C$5:$C$804="买")*'成交明细'!$B$5:$B$804,COUNTIFS('成交明细'!$A$5:$A$804,A228,'成交明细'!$C$5:$C$804,"买"))),"")</f>
        <v/>
      </c>
      <c r="S228" s="42" t="str">
        <f>IF(AND(N(T228)&gt;0,N(V228)&gt;=N(T228)),SUMPRODUCT(MAX(('成交明细'!$A$5:$A$804=A228)*('成交明细'!$C$5:$C$804="卖")*'成交明细'!$B$5:$B$804)),"")</f>
        <v/>
      </c>
      <c r="T228" s="44" t="str">
        <f>IF(A228="","",SUMIFS('成交明细'!$E$5:$E$804,'成交明细'!$A$5:$A$804,A228,'成交明细'!$C$5:$C$804,"买"))</f>
        <v/>
      </c>
      <c r="U228" s="50" t="str">
        <f>IF(N(T228)&gt;0,SUMIFS('成交明细'!$F$5:$F$804,'成交明细'!$A$5:$A$804,A228,'成交明细'!$C$5:$C$804,"买")/T228,"")</f>
        <v/>
      </c>
      <c r="V228" s="44" t="str">
        <f>IF(A228="","",SUMIFS('成交明细'!$E$5:$E$804,'成交明细'!$A$5:$A$804,A228,'成交明细'!$C$5:$C$804,"卖"))</f>
        <v/>
      </c>
      <c r="W228" s="50" t="str">
        <f>IF(N(V228)&gt;0,SUMIFS('成交明细'!$F$5:$F$804,'成交明细'!$A$5:$A$804,A228,'成交明细'!$C$5:$C$804,"卖")/V228,"")</f>
        <v/>
      </c>
      <c r="X228" s="36" t="str">
        <f>IF(A228="","",IF(Q228&lt;&gt;"已执行",IF(Q228="","未填执行情况",Q228),IF(N(T228)=0,"待录成交",IF(N(V228)&gt;N(T228),"卖出多于买入",IF(N(V228)&lt;N(T228),"持仓中","已平仓")))))</f>
        <v/>
      </c>
      <c r="Y228" s="51" t="str">
        <f>IF(N(T228)=0,"",SUMIFS('成交明细'!$K$5:$K$804,'成交明细'!$A$5:$A$804,A228))</f>
        <v/>
      </c>
      <c r="Z228" s="52" t="str">
        <f>IF(X228&lt;&gt;"已平仓","",SUMIFS('成交明细'!$F$5:$F$804,'成交明细'!$A$5:$A$804,A228,'成交明细'!$C$5:$C$804,"卖")-SUMIFS('成交明细'!$F$5:$F$804,'成交明细'!$A$5:$A$804,A228,'成交明细'!$C$5:$C$804,"买")-Y228)</f>
        <v/>
      </c>
      <c r="AA228" s="53" t="str">
        <f>IF(AND(X228="已平仓",ISNUMBER(N228)),(Z228+Y228)/N228,"")</f>
        <v/>
      </c>
      <c r="AB228" s="53" t="str">
        <f>IF(AND(X228="已平仓",ISNUMBER(N228)),Z228/N228,"")</f>
        <v/>
      </c>
      <c r="AC228" s="54" t="str">
        <f>IF(AND(ISNUMBER(U228),ISNUMBER(H228)),U228-H228,"")</f>
        <v/>
      </c>
      <c r="AD228" s="27" t="n"/>
      <c r="AE228" s="27" t="n"/>
      <c r="AF228" s="32" t="n"/>
      <c r="AG228" s="53" t="str">
        <f>IF(A228="","",SUM(AB$5:AB228))</f>
        <v/>
      </c>
      <c r="AH228" s="55" t="str">
        <f>IF(A228="","",MAX(0,MAX(AG$5:AG228))-AG228)</f>
        <v/>
      </c>
    </row>
    <row r="229">
      <c r="A229" s="46" t="n"/>
      <c r="B229" s="31" t="n"/>
      <c r="C229" s="32" t="n"/>
      <c r="D229" s="27" t="n"/>
      <c r="E229" s="47" t="str">
        <f>IF(D229="","",IFERROR(VLOOKUP(D229,'参数'!$B$21:$C$26,2,FALSE),""))</f>
        <v/>
      </c>
      <c r="F229" s="27" t="n"/>
      <c r="G229" s="43" t="str">
        <f>IF(NOT(ISNUMBER(B229)),"",IFERROR(IF(B229-INDEX('每日复盘'!$A$5:$A$264,MATCH(B229-1,'每日复盘'!$A$5:$A$264,1))&gt;7,"",T(INDEX('每日复盘'!$AA$5:$AA$264,MATCH(B229-1,'每日复盘'!$A$5:$A$264,1)))),""))</f>
        <v/>
      </c>
      <c r="H229" s="48" t="n"/>
      <c r="I229" s="48" t="n"/>
      <c r="J229" s="48" t="n"/>
      <c r="K229" s="49" t="str">
        <f>IF(AND(ISNUMBER(H229),ISNUMBER(I229),ISNUMBER(J229)),IF(H229&gt;I229,(J229-H229)/(H229-I229),""),"")</f>
        <v/>
      </c>
      <c r="L229" s="44" t="str">
        <f>IF(AND(ISNUMBER(H229),ISNUMBER(I229)),IF(H229&gt;I229,MIN(INT(ROUND('参数'!$C$7/(H229-I229)/100,6))*100,IF(ISNUMBER(E229),IF(H229-ROUND(ROUND(I229*(1-E229),4),2)&gt;0,INT(ROUND('参数'!$C$8/(H229-ROUND(ROUND(I229*(1-E229),4),2))/100,6))*100,0),INT(ROUND('参数'!$C$7/(H229-I229)/100,6))*100)),""),"")</f>
        <v/>
      </c>
      <c r="M229" s="17" t="n"/>
      <c r="N229" s="20" t="str">
        <f>IF(AND(ISNUMBER(H229),ISNUMBER(I229),ISNUMBER(M229)),IF(AND(H229&gt;I229,M229&gt;0),(H229-I229)*M229,""),"")</f>
        <v/>
      </c>
      <c r="O229" s="20" t="str">
        <f>IF(ISNUMBER(N229),IF(ISNUMBER(E229),(H229-ROUND(ROUND(I229*(1-E229),4),2))*M229,"不设限"),"")</f>
        <v/>
      </c>
      <c r="P229" s="32" t="n"/>
      <c r="Q229" s="27" t="n"/>
      <c r="R229" s="42" t="str">
        <f>IF(N(T229)&gt;0,SUMPRODUCT(LARGE(('成交明细'!$A$5:$A$804=A229)*('成交明细'!$C$5:$C$804="买")*'成交明细'!$B$5:$B$804,COUNTIFS('成交明细'!$A$5:$A$804,A229,'成交明细'!$C$5:$C$804,"买"))),"")</f>
        <v/>
      </c>
      <c r="S229" s="42" t="str">
        <f>IF(AND(N(T229)&gt;0,N(V229)&gt;=N(T229)),SUMPRODUCT(MAX(('成交明细'!$A$5:$A$804=A229)*('成交明细'!$C$5:$C$804="卖")*'成交明细'!$B$5:$B$804)),"")</f>
        <v/>
      </c>
      <c r="T229" s="44" t="str">
        <f>IF(A229="","",SUMIFS('成交明细'!$E$5:$E$804,'成交明细'!$A$5:$A$804,A229,'成交明细'!$C$5:$C$804,"买"))</f>
        <v/>
      </c>
      <c r="U229" s="50" t="str">
        <f>IF(N(T229)&gt;0,SUMIFS('成交明细'!$F$5:$F$804,'成交明细'!$A$5:$A$804,A229,'成交明细'!$C$5:$C$804,"买")/T229,"")</f>
        <v/>
      </c>
      <c r="V229" s="44" t="str">
        <f>IF(A229="","",SUMIFS('成交明细'!$E$5:$E$804,'成交明细'!$A$5:$A$804,A229,'成交明细'!$C$5:$C$804,"卖"))</f>
        <v/>
      </c>
      <c r="W229" s="50" t="str">
        <f>IF(N(V229)&gt;0,SUMIFS('成交明细'!$F$5:$F$804,'成交明细'!$A$5:$A$804,A229,'成交明细'!$C$5:$C$804,"卖")/V229,"")</f>
        <v/>
      </c>
      <c r="X229" s="36" t="str">
        <f>IF(A229="","",IF(Q229&lt;&gt;"已执行",IF(Q229="","未填执行情况",Q229),IF(N(T229)=0,"待录成交",IF(N(V229)&gt;N(T229),"卖出多于买入",IF(N(V229)&lt;N(T229),"持仓中","已平仓")))))</f>
        <v/>
      </c>
      <c r="Y229" s="51" t="str">
        <f>IF(N(T229)=0,"",SUMIFS('成交明细'!$K$5:$K$804,'成交明细'!$A$5:$A$804,A229))</f>
        <v/>
      </c>
      <c r="Z229" s="52" t="str">
        <f>IF(X229&lt;&gt;"已平仓","",SUMIFS('成交明细'!$F$5:$F$804,'成交明细'!$A$5:$A$804,A229,'成交明细'!$C$5:$C$804,"卖")-SUMIFS('成交明细'!$F$5:$F$804,'成交明细'!$A$5:$A$804,A229,'成交明细'!$C$5:$C$804,"买")-Y229)</f>
        <v/>
      </c>
      <c r="AA229" s="53" t="str">
        <f>IF(AND(X229="已平仓",ISNUMBER(N229)),(Z229+Y229)/N229,"")</f>
        <v/>
      </c>
      <c r="AB229" s="53" t="str">
        <f>IF(AND(X229="已平仓",ISNUMBER(N229)),Z229/N229,"")</f>
        <v/>
      </c>
      <c r="AC229" s="54" t="str">
        <f>IF(AND(ISNUMBER(U229),ISNUMBER(H229)),U229-H229,"")</f>
        <v/>
      </c>
      <c r="AD229" s="27" t="n"/>
      <c r="AE229" s="27" t="n"/>
      <c r="AF229" s="32" t="n"/>
      <c r="AG229" s="53" t="str">
        <f>IF(A229="","",SUM(AB$5:AB229))</f>
        <v/>
      </c>
      <c r="AH229" s="55" t="str">
        <f>IF(A229="","",MAX(0,MAX(AG$5:AG229))-AG229)</f>
        <v/>
      </c>
    </row>
    <row r="230">
      <c r="A230" s="46" t="n"/>
      <c r="B230" s="31" t="n"/>
      <c r="C230" s="32" t="n"/>
      <c r="D230" s="27" t="n"/>
      <c r="E230" s="47" t="str">
        <f>IF(D230="","",IFERROR(VLOOKUP(D230,'参数'!$B$21:$C$26,2,FALSE),""))</f>
        <v/>
      </c>
      <c r="F230" s="27" t="n"/>
      <c r="G230" s="43" t="str">
        <f>IF(NOT(ISNUMBER(B230)),"",IFERROR(IF(B230-INDEX('每日复盘'!$A$5:$A$264,MATCH(B230-1,'每日复盘'!$A$5:$A$264,1))&gt;7,"",T(INDEX('每日复盘'!$AA$5:$AA$264,MATCH(B230-1,'每日复盘'!$A$5:$A$264,1)))),""))</f>
        <v/>
      </c>
      <c r="H230" s="48" t="n"/>
      <c r="I230" s="48" t="n"/>
      <c r="J230" s="48" t="n"/>
      <c r="K230" s="49" t="str">
        <f>IF(AND(ISNUMBER(H230),ISNUMBER(I230),ISNUMBER(J230)),IF(H230&gt;I230,(J230-H230)/(H230-I230),""),"")</f>
        <v/>
      </c>
      <c r="L230" s="44" t="str">
        <f>IF(AND(ISNUMBER(H230),ISNUMBER(I230)),IF(H230&gt;I230,MIN(INT(ROUND('参数'!$C$7/(H230-I230)/100,6))*100,IF(ISNUMBER(E230),IF(H230-ROUND(ROUND(I230*(1-E230),4),2)&gt;0,INT(ROUND('参数'!$C$8/(H230-ROUND(ROUND(I230*(1-E230),4),2))/100,6))*100,0),INT(ROUND('参数'!$C$7/(H230-I230)/100,6))*100)),""),"")</f>
        <v/>
      </c>
      <c r="M230" s="17" t="n"/>
      <c r="N230" s="20" t="str">
        <f>IF(AND(ISNUMBER(H230),ISNUMBER(I230),ISNUMBER(M230)),IF(AND(H230&gt;I230,M230&gt;0),(H230-I230)*M230,""),"")</f>
        <v/>
      </c>
      <c r="O230" s="20" t="str">
        <f>IF(ISNUMBER(N230),IF(ISNUMBER(E230),(H230-ROUND(ROUND(I230*(1-E230),4),2))*M230,"不设限"),"")</f>
        <v/>
      </c>
      <c r="P230" s="32" t="n"/>
      <c r="Q230" s="27" t="n"/>
      <c r="R230" s="42" t="str">
        <f>IF(N(T230)&gt;0,SUMPRODUCT(LARGE(('成交明细'!$A$5:$A$804=A230)*('成交明细'!$C$5:$C$804="买")*'成交明细'!$B$5:$B$804,COUNTIFS('成交明细'!$A$5:$A$804,A230,'成交明细'!$C$5:$C$804,"买"))),"")</f>
        <v/>
      </c>
      <c r="S230" s="42" t="str">
        <f>IF(AND(N(T230)&gt;0,N(V230)&gt;=N(T230)),SUMPRODUCT(MAX(('成交明细'!$A$5:$A$804=A230)*('成交明细'!$C$5:$C$804="卖")*'成交明细'!$B$5:$B$804)),"")</f>
        <v/>
      </c>
      <c r="T230" s="44" t="str">
        <f>IF(A230="","",SUMIFS('成交明细'!$E$5:$E$804,'成交明细'!$A$5:$A$804,A230,'成交明细'!$C$5:$C$804,"买"))</f>
        <v/>
      </c>
      <c r="U230" s="50" t="str">
        <f>IF(N(T230)&gt;0,SUMIFS('成交明细'!$F$5:$F$804,'成交明细'!$A$5:$A$804,A230,'成交明细'!$C$5:$C$804,"买")/T230,"")</f>
        <v/>
      </c>
      <c r="V230" s="44" t="str">
        <f>IF(A230="","",SUMIFS('成交明细'!$E$5:$E$804,'成交明细'!$A$5:$A$804,A230,'成交明细'!$C$5:$C$804,"卖"))</f>
        <v/>
      </c>
      <c r="W230" s="50" t="str">
        <f>IF(N(V230)&gt;0,SUMIFS('成交明细'!$F$5:$F$804,'成交明细'!$A$5:$A$804,A230,'成交明细'!$C$5:$C$804,"卖")/V230,"")</f>
        <v/>
      </c>
      <c r="X230" s="36" t="str">
        <f>IF(A230="","",IF(Q230&lt;&gt;"已执行",IF(Q230="","未填执行情况",Q230),IF(N(T230)=0,"待录成交",IF(N(V230)&gt;N(T230),"卖出多于买入",IF(N(V230)&lt;N(T230),"持仓中","已平仓")))))</f>
        <v/>
      </c>
      <c r="Y230" s="51" t="str">
        <f>IF(N(T230)=0,"",SUMIFS('成交明细'!$K$5:$K$804,'成交明细'!$A$5:$A$804,A230))</f>
        <v/>
      </c>
      <c r="Z230" s="52" t="str">
        <f>IF(X230&lt;&gt;"已平仓","",SUMIFS('成交明细'!$F$5:$F$804,'成交明细'!$A$5:$A$804,A230,'成交明细'!$C$5:$C$804,"卖")-SUMIFS('成交明细'!$F$5:$F$804,'成交明细'!$A$5:$A$804,A230,'成交明细'!$C$5:$C$804,"买")-Y230)</f>
        <v/>
      </c>
      <c r="AA230" s="53" t="str">
        <f>IF(AND(X230="已平仓",ISNUMBER(N230)),(Z230+Y230)/N230,"")</f>
        <v/>
      </c>
      <c r="AB230" s="53" t="str">
        <f>IF(AND(X230="已平仓",ISNUMBER(N230)),Z230/N230,"")</f>
        <v/>
      </c>
      <c r="AC230" s="54" t="str">
        <f>IF(AND(ISNUMBER(U230),ISNUMBER(H230)),U230-H230,"")</f>
        <v/>
      </c>
      <c r="AD230" s="27" t="n"/>
      <c r="AE230" s="27" t="n"/>
      <c r="AF230" s="32" t="n"/>
      <c r="AG230" s="53" t="str">
        <f>IF(A230="","",SUM(AB$5:AB230))</f>
        <v/>
      </c>
      <c r="AH230" s="55" t="str">
        <f>IF(A230="","",MAX(0,MAX(AG$5:AG230))-AG230)</f>
        <v/>
      </c>
    </row>
    <row r="231">
      <c r="A231" s="46" t="n"/>
      <c r="B231" s="31" t="n"/>
      <c r="C231" s="32" t="n"/>
      <c r="D231" s="27" t="n"/>
      <c r="E231" s="47" t="str">
        <f>IF(D231="","",IFERROR(VLOOKUP(D231,'参数'!$B$21:$C$26,2,FALSE),""))</f>
        <v/>
      </c>
      <c r="F231" s="27" t="n"/>
      <c r="G231" s="43" t="str">
        <f>IF(NOT(ISNUMBER(B231)),"",IFERROR(IF(B231-INDEX('每日复盘'!$A$5:$A$264,MATCH(B231-1,'每日复盘'!$A$5:$A$264,1))&gt;7,"",T(INDEX('每日复盘'!$AA$5:$AA$264,MATCH(B231-1,'每日复盘'!$A$5:$A$264,1)))),""))</f>
        <v/>
      </c>
      <c r="H231" s="48" t="n"/>
      <c r="I231" s="48" t="n"/>
      <c r="J231" s="48" t="n"/>
      <c r="K231" s="49" t="str">
        <f>IF(AND(ISNUMBER(H231),ISNUMBER(I231),ISNUMBER(J231)),IF(H231&gt;I231,(J231-H231)/(H231-I231),""),"")</f>
        <v/>
      </c>
      <c r="L231" s="44" t="str">
        <f>IF(AND(ISNUMBER(H231),ISNUMBER(I231)),IF(H231&gt;I231,MIN(INT(ROUND('参数'!$C$7/(H231-I231)/100,6))*100,IF(ISNUMBER(E231),IF(H231-ROUND(ROUND(I231*(1-E231),4),2)&gt;0,INT(ROUND('参数'!$C$8/(H231-ROUND(ROUND(I231*(1-E231),4),2))/100,6))*100,0),INT(ROUND('参数'!$C$7/(H231-I231)/100,6))*100)),""),"")</f>
        <v/>
      </c>
      <c r="M231" s="17" t="n"/>
      <c r="N231" s="20" t="str">
        <f>IF(AND(ISNUMBER(H231),ISNUMBER(I231),ISNUMBER(M231)),IF(AND(H231&gt;I231,M231&gt;0),(H231-I231)*M231,""),"")</f>
        <v/>
      </c>
      <c r="O231" s="20" t="str">
        <f>IF(ISNUMBER(N231),IF(ISNUMBER(E231),(H231-ROUND(ROUND(I231*(1-E231),4),2))*M231,"不设限"),"")</f>
        <v/>
      </c>
      <c r="P231" s="32" t="n"/>
      <c r="Q231" s="27" t="n"/>
      <c r="R231" s="42" t="str">
        <f>IF(N(T231)&gt;0,SUMPRODUCT(LARGE(('成交明细'!$A$5:$A$804=A231)*('成交明细'!$C$5:$C$804="买")*'成交明细'!$B$5:$B$804,COUNTIFS('成交明细'!$A$5:$A$804,A231,'成交明细'!$C$5:$C$804,"买"))),"")</f>
        <v/>
      </c>
      <c r="S231" s="42" t="str">
        <f>IF(AND(N(T231)&gt;0,N(V231)&gt;=N(T231)),SUMPRODUCT(MAX(('成交明细'!$A$5:$A$804=A231)*('成交明细'!$C$5:$C$804="卖")*'成交明细'!$B$5:$B$804)),"")</f>
        <v/>
      </c>
      <c r="T231" s="44" t="str">
        <f>IF(A231="","",SUMIFS('成交明细'!$E$5:$E$804,'成交明细'!$A$5:$A$804,A231,'成交明细'!$C$5:$C$804,"买"))</f>
        <v/>
      </c>
      <c r="U231" s="50" t="str">
        <f>IF(N(T231)&gt;0,SUMIFS('成交明细'!$F$5:$F$804,'成交明细'!$A$5:$A$804,A231,'成交明细'!$C$5:$C$804,"买")/T231,"")</f>
        <v/>
      </c>
      <c r="V231" s="44" t="str">
        <f>IF(A231="","",SUMIFS('成交明细'!$E$5:$E$804,'成交明细'!$A$5:$A$804,A231,'成交明细'!$C$5:$C$804,"卖"))</f>
        <v/>
      </c>
      <c r="W231" s="50" t="str">
        <f>IF(N(V231)&gt;0,SUMIFS('成交明细'!$F$5:$F$804,'成交明细'!$A$5:$A$804,A231,'成交明细'!$C$5:$C$804,"卖")/V231,"")</f>
        <v/>
      </c>
      <c r="X231" s="36" t="str">
        <f>IF(A231="","",IF(Q231&lt;&gt;"已执行",IF(Q231="","未填执行情况",Q231),IF(N(T231)=0,"待录成交",IF(N(V231)&gt;N(T231),"卖出多于买入",IF(N(V231)&lt;N(T231),"持仓中","已平仓")))))</f>
        <v/>
      </c>
      <c r="Y231" s="51" t="str">
        <f>IF(N(T231)=0,"",SUMIFS('成交明细'!$K$5:$K$804,'成交明细'!$A$5:$A$804,A231))</f>
        <v/>
      </c>
      <c r="Z231" s="52" t="str">
        <f>IF(X231&lt;&gt;"已平仓","",SUMIFS('成交明细'!$F$5:$F$804,'成交明细'!$A$5:$A$804,A231,'成交明细'!$C$5:$C$804,"卖")-SUMIFS('成交明细'!$F$5:$F$804,'成交明细'!$A$5:$A$804,A231,'成交明细'!$C$5:$C$804,"买")-Y231)</f>
        <v/>
      </c>
      <c r="AA231" s="53" t="str">
        <f>IF(AND(X231="已平仓",ISNUMBER(N231)),(Z231+Y231)/N231,"")</f>
        <v/>
      </c>
      <c r="AB231" s="53" t="str">
        <f>IF(AND(X231="已平仓",ISNUMBER(N231)),Z231/N231,"")</f>
        <v/>
      </c>
      <c r="AC231" s="54" t="str">
        <f>IF(AND(ISNUMBER(U231),ISNUMBER(H231)),U231-H231,"")</f>
        <v/>
      </c>
      <c r="AD231" s="27" t="n"/>
      <c r="AE231" s="27" t="n"/>
      <c r="AF231" s="32" t="n"/>
      <c r="AG231" s="53" t="str">
        <f>IF(A231="","",SUM(AB$5:AB231))</f>
        <v/>
      </c>
      <c r="AH231" s="55" t="str">
        <f>IF(A231="","",MAX(0,MAX(AG$5:AG231))-AG231)</f>
        <v/>
      </c>
    </row>
    <row r="232">
      <c r="A232" s="46" t="n"/>
      <c r="B232" s="31" t="n"/>
      <c r="C232" s="32" t="n"/>
      <c r="D232" s="27" t="n"/>
      <c r="E232" s="47" t="str">
        <f>IF(D232="","",IFERROR(VLOOKUP(D232,'参数'!$B$21:$C$26,2,FALSE),""))</f>
        <v/>
      </c>
      <c r="F232" s="27" t="n"/>
      <c r="G232" s="43" t="str">
        <f>IF(NOT(ISNUMBER(B232)),"",IFERROR(IF(B232-INDEX('每日复盘'!$A$5:$A$264,MATCH(B232-1,'每日复盘'!$A$5:$A$264,1))&gt;7,"",T(INDEX('每日复盘'!$AA$5:$AA$264,MATCH(B232-1,'每日复盘'!$A$5:$A$264,1)))),""))</f>
        <v/>
      </c>
      <c r="H232" s="48" t="n"/>
      <c r="I232" s="48" t="n"/>
      <c r="J232" s="48" t="n"/>
      <c r="K232" s="49" t="str">
        <f>IF(AND(ISNUMBER(H232),ISNUMBER(I232),ISNUMBER(J232)),IF(H232&gt;I232,(J232-H232)/(H232-I232),""),"")</f>
        <v/>
      </c>
      <c r="L232" s="44" t="str">
        <f>IF(AND(ISNUMBER(H232),ISNUMBER(I232)),IF(H232&gt;I232,MIN(INT(ROUND('参数'!$C$7/(H232-I232)/100,6))*100,IF(ISNUMBER(E232),IF(H232-ROUND(ROUND(I232*(1-E232),4),2)&gt;0,INT(ROUND('参数'!$C$8/(H232-ROUND(ROUND(I232*(1-E232),4),2))/100,6))*100,0),INT(ROUND('参数'!$C$7/(H232-I232)/100,6))*100)),""),"")</f>
        <v/>
      </c>
      <c r="M232" s="17" t="n"/>
      <c r="N232" s="20" t="str">
        <f>IF(AND(ISNUMBER(H232),ISNUMBER(I232),ISNUMBER(M232)),IF(AND(H232&gt;I232,M232&gt;0),(H232-I232)*M232,""),"")</f>
        <v/>
      </c>
      <c r="O232" s="20" t="str">
        <f>IF(ISNUMBER(N232),IF(ISNUMBER(E232),(H232-ROUND(ROUND(I232*(1-E232),4),2))*M232,"不设限"),"")</f>
        <v/>
      </c>
      <c r="P232" s="32" t="n"/>
      <c r="Q232" s="27" t="n"/>
      <c r="R232" s="42" t="str">
        <f>IF(N(T232)&gt;0,SUMPRODUCT(LARGE(('成交明细'!$A$5:$A$804=A232)*('成交明细'!$C$5:$C$804="买")*'成交明细'!$B$5:$B$804,COUNTIFS('成交明细'!$A$5:$A$804,A232,'成交明细'!$C$5:$C$804,"买"))),"")</f>
        <v/>
      </c>
      <c r="S232" s="42" t="str">
        <f>IF(AND(N(T232)&gt;0,N(V232)&gt;=N(T232)),SUMPRODUCT(MAX(('成交明细'!$A$5:$A$804=A232)*('成交明细'!$C$5:$C$804="卖")*'成交明细'!$B$5:$B$804)),"")</f>
        <v/>
      </c>
      <c r="T232" s="44" t="str">
        <f>IF(A232="","",SUMIFS('成交明细'!$E$5:$E$804,'成交明细'!$A$5:$A$804,A232,'成交明细'!$C$5:$C$804,"买"))</f>
        <v/>
      </c>
      <c r="U232" s="50" t="str">
        <f>IF(N(T232)&gt;0,SUMIFS('成交明细'!$F$5:$F$804,'成交明细'!$A$5:$A$804,A232,'成交明细'!$C$5:$C$804,"买")/T232,"")</f>
        <v/>
      </c>
      <c r="V232" s="44" t="str">
        <f>IF(A232="","",SUMIFS('成交明细'!$E$5:$E$804,'成交明细'!$A$5:$A$804,A232,'成交明细'!$C$5:$C$804,"卖"))</f>
        <v/>
      </c>
      <c r="W232" s="50" t="str">
        <f>IF(N(V232)&gt;0,SUMIFS('成交明细'!$F$5:$F$804,'成交明细'!$A$5:$A$804,A232,'成交明细'!$C$5:$C$804,"卖")/V232,"")</f>
        <v/>
      </c>
      <c r="X232" s="36" t="str">
        <f>IF(A232="","",IF(Q232&lt;&gt;"已执行",IF(Q232="","未填执行情况",Q232),IF(N(T232)=0,"待录成交",IF(N(V232)&gt;N(T232),"卖出多于买入",IF(N(V232)&lt;N(T232),"持仓中","已平仓")))))</f>
        <v/>
      </c>
      <c r="Y232" s="51" t="str">
        <f>IF(N(T232)=0,"",SUMIFS('成交明细'!$K$5:$K$804,'成交明细'!$A$5:$A$804,A232))</f>
        <v/>
      </c>
      <c r="Z232" s="52" t="str">
        <f>IF(X232&lt;&gt;"已平仓","",SUMIFS('成交明细'!$F$5:$F$804,'成交明细'!$A$5:$A$804,A232,'成交明细'!$C$5:$C$804,"卖")-SUMIFS('成交明细'!$F$5:$F$804,'成交明细'!$A$5:$A$804,A232,'成交明细'!$C$5:$C$804,"买")-Y232)</f>
        <v/>
      </c>
      <c r="AA232" s="53" t="str">
        <f>IF(AND(X232="已平仓",ISNUMBER(N232)),(Z232+Y232)/N232,"")</f>
        <v/>
      </c>
      <c r="AB232" s="53" t="str">
        <f>IF(AND(X232="已平仓",ISNUMBER(N232)),Z232/N232,"")</f>
        <v/>
      </c>
      <c r="AC232" s="54" t="str">
        <f>IF(AND(ISNUMBER(U232),ISNUMBER(H232)),U232-H232,"")</f>
        <v/>
      </c>
      <c r="AD232" s="27" t="n"/>
      <c r="AE232" s="27" t="n"/>
      <c r="AF232" s="32" t="n"/>
      <c r="AG232" s="53" t="str">
        <f>IF(A232="","",SUM(AB$5:AB232))</f>
        <v/>
      </c>
      <c r="AH232" s="55" t="str">
        <f>IF(A232="","",MAX(0,MAX(AG$5:AG232))-AG232)</f>
        <v/>
      </c>
    </row>
    <row r="233">
      <c r="A233" s="46" t="n"/>
      <c r="B233" s="31" t="n"/>
      <c r="C233" s="32" t="n"/>
      <c r="D233" s="27" t="n"/>
      <c r="E233" s="47" t="str">
        <f>IF(D233="","",IFERROR(VLOOKUP(D233,'参数'!$B$21:$C$26,2,FALSE),""))</f>
        <v/>
      </c>
      <c r="F233" s="27" t="n"/>
      <c r="G233" s="43" t="str">
        <f>IF(NOT(ISNUMBER(B233)),"",IFERROR(IF(B233-INDEX('每日复盘'!$A$5:$A$264,MATCH(B233-1,'每日复盘'!$A$5:$A$264,1))&gt;7,"",T(INDEX('每日复盘'!$AA$5:$AA$264,MATCH(B233-1,'每日复盘'!$A$5:$A$264,1)))),""))</f>
        <v/>
      </c>
      <c r="H233" s="48" t="n"/>
      <c r="I233" s="48" t="n"/>
      <c r="J233" s="48" t="n"/>
      <c r="K233" s="49" t="str">
        <f>IF(AND(ISNUMBER(H233),ISNUMBER(I233),ISNUMBER(J233)),IF(H233&gt;I233,(J233-H233)/(H233-I233),""),"")</f>
        <v/>
      </c>
      <c r="L233" s="44" t="str">
        <f>IF(AND(ISNUMBER(H233),ISNUMBER(I233)),IF(H233&gt;I233,MIN(INT(ROUND('参数'!$C$7/(H233-I233)/100,6))*100,IF(ISNUMBER(E233),IF(H233-ROUND(ROUND(I233*(1-E233),4),2)&gt;0,INT(ROUND('参数'!$C$8/(H233-ROUND(ROUND(I233*(1-E233),4),2))/100,6))*100,0),INT(ROUND('参数'!$C$7/(H233-I233)/100,6))*100)),""),"")</f>
        <v/>
      </c>
      <c r="M233" s="17" t="n"/>
      <c r="N233" s="20" t="str">
        <f>IF(AND(ISNUMBER(H233),ISNUMBER(I233),ISNUMBER(M233)),IF(AND(H233&gt;I233,M233&gt;0),(H233-I233)*M233,""),"")</f>
        <v/>
      </c>
      <c r="O233" s="20" t="str">
        <f>IF(ISNUMBER(N233),IF(ISNUMBER(E233),(H233-ROUND(ROUND(I233*(1-E233),4),2))*M233,"不设限"),"")</f>
        <v/>
      </c>
      <c r="P233" s="32" t="n"/>
      <c r="Q233" s="27" t="n"/>
      <c r="R233" s="42" t="str">
        <f>IF(N(T233)&gt;0,SUMPRODUCT(LARGE(('成交明细'!$A$5:$A$804=A233)*('成交明细'!$C$5:$C$804="买")*'成交明细'!$B$5:$B$804,COUNTIFS('成交明细'!$A$5:$A$804,A233,'成交明细'!$C$5:$C$804,"买"))),"")</f>
        <v/>
      </c>
      <c r="S233" s="42" t="str">
        <f>IF(AND(N(T233)&gt;0,N(V233)&gt;=N(T233)),SUMPRODUCT(MAX(('成交明细'!$A$5:$A$804=A233)*('成交明细'!$C$5:$C$804="卖")*'成交明细'!$B$5:$B$804)),"")</f>
        <v/>
      </c>
      <c r="T233" s="44" t="str">
        <f>IF(A233="","",SUMIFS('成交明细'!$E$5:$E$804,'成交明细'!$A$5:$A$804,A233,'成交明细'!$C$5:$C$804,"买"))</f>
        <v/>
      </c>
      <c r="U233" s="50" t="str">
        <f>IF(N(T233)&gt;0,SUMIFS('成交明细'!$F$5:$F$804,'成交明细'!$A$5:$A$804,A233,'成交明细'!$C$5:$C$804,"买")/T233,"")</f>
        <v/>
      </c>
      <c r="V233" s="44" t="str">
        <f>IF(A233="","",SUMIFS('成交明细'!$E$5:$E$804,'成交明细'!$A$5:$A$804,A233,'成交明细'!$C$5:$C$804,"卖"))</f>
        <v/>
      </c>
      <c r="W233" s="50" t="str">
        <f>IF(N(V233)&gt;0,SUMIFS('成交明细'!$F$5:$F$804,'成交明细'!$A$5:$A$804,A233,'成交明细'!$C$5:$C$804,"卖")/V233,"")</f>
        <v/>
      </c>
      <c r="X233" s="36" t="str">
        <f>IF(A233="","",IF(Q233&lt;&gt;"已执行",IF(Q233="","未填执行情况",Q233),IF(N(T233)=0,"待录成交",IF(N(V233)&gt;N(T233),"卖出多于买入",IF(N(V233)&lt;N(T233),"持仓中","已平仓")))))</f>
        <v/>
      </c>
      <c r="Y233" s="51" t="str">
        <f>IF(N(T233)=0,"",SUMIFS('成交明细'!$K$5:$K$804,'成交明细'!$A$5:$A$804,A233))</f>
        <v/>
      </c>
      <c r="Z233" s="52" t="str">
        <f>IF(X233&lt;&gt;"已平仓","",SUMIFS('成交明细'!$F$5:$F$804,'成交明细'!$A$5:$A$804,A233,'成交明细'!$C$5:$C$804,"卖")-SUMIFS('成交明细'!$F$5:$F$804,'成交明细'!$A$5:$A$804,A233,'成交明细'!$C$5:$C$804,"买")-Y233)</f>
        <v/>
      </c>
      <c r="AA233" s="53" t="str">
        <f>IF(AND(X233="已平仓",ISNUMBER(N233)),(Z233+Y233)/N233,"")</f>
        <v/>
      </c>
      <c r="AB233" s="53" t="str">
        <f>IF(AND(X233="已平仓",ISNUMBER(N233)),Z233/N233,"")</f>
        <v/>
      </c>
      <c r="AC233" s="54" t="str">
        <f>IF(AND(ISNUMBER(U233),ISNUMBER(H233)),U233-H233,"")</f>
        <v/>
      </c>
      <c r="AD233" s="27" t="n"/>
      <c r="AE233" s="27" t="n"/>
      <c r="AF233" s="32" t="n"/>
      <c r="AG233" s="53" t="str">
        <f>IF(A233="","",SUM(AB$5:AB233))</f>
        <v/>
      </c>
      <c r="AH233" s="55" t="str">
        <f>IF(A233="","",MAX(0,MAX(AG$5:AG233))-AG233)</f>
        <v/>
      </c>
    </row>
    <row r="234">
      <c r="A234" s="46" t="n"/>
      <c r="B234" s="31" t="n"/>
      <c r="C234" s="32" t="n"/>
      <c r="D234" s="27" t="n"/>
      <c r="E234" s="47" t="str">
        <f>IF(D234="","",IFERROR(VLOOKUP(D234,'参数'!$B$21:$C$26,2,FALSE),""))</f>
        <v/>
      </c>
      <c r="F234" s="27" t="n"/>
      <c r="G234" s="43" t="str">
        <f>IF(NOT(ISNUMBER(B234)),"",IFERROR(IF(B234-INDEX('每日复盘'!$A$5:$A$264,MATCH(B234-1,'每日复盘'!$A$5:$A$264,1))&gt;7,"",T(INDEX('每日复盘'!$AA$5:$AA$264,MATCH(B234-1,'每日复盘'!$A$5:$A$264,1)))),""))</f>
        <v/>
      </c>
      <c r="H234" s="48" t="n"/>
      <c r="I234" s="48" t="n"/>
      <c r="J234" s="48" t="n"/>
      <c r="K234" s="49" t="str">
        <f>IF(AND(ISNUMBER(H234),ISNUMBER(I234),ISNUMBER(J234)),IF(H234&gt;I234,(J234-H234)/(H234-I234),""),"")</f>
        <v/>
      </c>
      <c r="L234" s="44" t="str">
        <f>IF(AND(ISNUMBER(H234),ISNUMBER(I234)),IF(H234&gt;I234,MIN(INT(ROUND('参数'!$C$7/(H234-I234)/100,6))*100,IF(ISNUMBER(E234),IF(H234-ROUND(ROUND(I234*(1-E234),4),2)&gt;0,INT(ROUND('参数'!$C$8/(H234-ROUND(ROUND(I234*(1-E234),4),2))/100,6))*100,0),INT(ROUND('参数'!$C$7/(H234-I234)/100,6))*100)),""),"")</f>
        <v/>
      </c>
      <c r="M234" s="17" t="n"/>
      <c r="N234" s="20" t="str">
        <f>IF(AND(ISNUMBER(H234),ISNUMBER(I234),ISNUMBER(M234)),IF(AND(H234&gt;I234,M234&gt;0),(H234-I234)*M234,""),"")</f>
        <v/>
      </c>
      <c r="O234" s="20" t="str">
        <f>IF(ISNUMBER(N234),IF(ISNUMBER(E234),(H234-ROUND(ROUND(I234*(1-E234),4),2))*M234,"不设限"),"")</f>
        <v/>
      </c>
      <c r="P234" s="32" t="n"/>
      <c r="Q234" s="27" t="n"/>
      <c r="R234" s="42" t="str">
        <f>IF(N(T234)&gt;0,SUMPRODUCT(LARGE(('成交明细'!$A$5:$A$804=A234)*('成交明细'!$C$5:$C$804="买")*'成交明细'!$B$5:$B$804,COUNTIFS('成交明细'!$A$5:$A$804,A234,'成交明细'!$C$5:$C$804,"买"))),"")</f>
        <v/>
      </c>
      <c r="S234" s="42" t="str">
        <f>IF(AND(N(T234)&gt;0,N(V234)&gt;=N(T234)),SUMPRODUCT(MAX(('成交明细'!$A$5:$A$804=A234)*('成交明细'!$C$5:$C$804="卖")*'成交明细'!$B$5:$B$804)),"")</f>
        <v/>
      </c>
      <c r="T234" s="44" t="str">
        <f>IF(A234="","",SUMIFS('成交明细'!$E$5:$E$804,'成交明细'!$A$5:$A$804,A234,'成交明细'!$C$5:$C$804,"买"))</f>
        <v/>
      </c>
      <c r="U234" s="50" t="str">
        <f>IF(N(T234)&gt;0,SUMIFS('成交明细'!$F$5:$F$804,'成交明细'!$A$5:$A$804,A234,'成交明细'!$C$5:$C$804,"买")/T234,"")</f>
        <v/>
      </c>
      <c r="V234" s="44" t="str">
        <f>IF(A234="","",SUMIFS('成交明细'!$E$5:$E$804,'成交明细'!$A$5:$A$804,A234,'成交明细'!$C$5:$C$804,"卖"))</f>
        <v/>
      </c>
      <c r="W234" s="50" t="str">
        <f>IF(N(V234)&gt;0,SUMIFS('成交明细'!$F$5:$F$804,'成交明细'!$A$5:$A$804,A234,'成交明细'!$C$5:$C$804,"卖")/V234,"")</f>
        <v/>
      </c>
      <c r="X234" s="36" t="str">
        <f>IF(A234="","",IF(Q234&lt;&gt;"已执行",IF(Q234="","未填执行情况",Q234),IF(N(T234)=0,"待录成交",IF(N(V234)&gt;N(T234),"卖出多于买入",IF(N(V234)&lt;N(T234),"持仓中","已平仓")))))</f>
        <v/>
      </c>
      <c r="Y234" s="51" t="str">
        <f>IF(N(T234)=0,"",SUMIFS('成交明细'!$K$5:$K$804,'成交明细'!$A$5:$A$804,A234))</f>
        <v/>
      </c>
      <c r="Z234" s="52" t="str">
        <f>IF(X234&lt;&gt;"已平仓","",SUMIFS('成交明细'!$F$5:$F$804,'成交明细'!$A$5:$A$804,A234,'成交明细'!$C$5:$C$804,"卖")-SUMIFS('成交明细'!$F$5:$F$804,'成交明细'!$A$5:$A$804,A234,'成交明细'!$C$5:$C$804,"买")-Y234)</f>
        <v/>
      </c>
      <c r="AA234" s="53" t="str">
        <f>IF(AND(X234="已平仓",ISNUMBER(N234)),(Z234+Y234)/N234,"")</f>
        <v/>
      </c>
      <c r="AB234" s="53" t="str">
        <f>IF(AND(X234="已平仓",ISNUMBER(N234)),Z234/N234,"")</f>
        <v/>
      </c>
      <c r="AC234" s="54" t="str">
        <f>IF(AND(ISNUMBER(U234),ISNUMBER(H234)),U234-H234,"")</f>
        <v/>
      </c>
      <c r="AD234" s="27" t="n"/>
      <c r="AE234" s="27" t="n"/>
      <c r="AF234" s="32" t="n"/>
      <c r="AG234" s="53" t="str">
        <f>IF(A234="","",SUM(AB$5:AB234))</f>
        <v/>
      </c>
      <c r="AH234" s="55" t="str">
        <f>IF(A234="","",MAX(0,MAX(AG$5:AG234))-AG234)</f>
        <v/>
      </c>
    </row>
    <row r="235">
      <c r="A235" s="46" t="n"/>
      <c r="B235" s="31" t="n"/>
      <c r="C235" s="32" t="n"/>
      <c r="D235" s="27" t="n"/>
      <c r="E235" s="47" t="str">
        <f>IF(D235="","",IFERROR(VLOOKUP(D235,'参数'!$B$21:$C$26,2,FALSE),""))</f>
        <v/>
      </c>
      <c r="F235" s="27" t="n"/>
      <c r="G235" s="43" t="str">
        <f>IF(NOT(ISNUMBER(B235)),"",IFERROR(IF(B235-INDEX('每日复盘'!$A$5:$A$264,MATCH(B235-1,'每日复盘'!$A$5:$A$264,1))&gt;7,"",T(INDEX('每日复盘'!$AA$5:$AA$264,MATCH(B235-1,'每日复盘'!$A$5:$A$264,1)))),""))</f>
        <v/>
      </c>
      <c r="H235" s="48" t="n"/>
      <c r="I235" s="48" t="n"/>
      <c r="J235" s="48" t="n"/>
      <c r="K235" s="49" t="str">
        <f>IF(AND(ISNUMBER(H235),ISNUMBER(I235),ISNUMBER(J235)),IF(H235&gt;I235,(J235-H235)/(H235-I235),""),"")</f>
        <v/>
      </c>
      <c r="L235" s="44" t="str">
        <f>IF(AND(ISNUMBER(H235),ISNUMBER(I235)),IF(H235&gt;I235,MIN(INT(ROUND('参数'!$C$7/(H235-I235)/100,6))*100,IF(ISNUMBER(E235),IF(H235-ROUND(ROUND(I235*(1-E235),4),2)&gt;0,INT(ROUND('参数'!$C$8/(H235-ROUND(ROUND(I235*(1-E235),4),2))/100,6))*100,0),INT(ROUND('参数'!$C$7/(H235-I235)/100,6))*100)),""),"")</f>
        <v/>
      </c>
      <c r="M235" s="17" t="n"/>
      <c r="N235" s="20" t="str">
        <f>IF(AND(ISNUMBER(H235),ISNUMBER(I235),ISNUMBER(M235)),IF(AND(H235&gt;I235,M235&gt;0),(H235-I235)*M235,""),"")</f>
        <v/>
      </c>
      <c r="O235" s="20" t="str">
        <f>IF(ISNUMBER(N235),IF(ISNUMBER(E235),(H235-ROUND(ROUND(I235*(1-E235),4),2))*M235,"不设限"),"")</f>
        <v/>
      </c>
      <c r="P235" s="32" t="n"/>
      <c r="Q235" s="27" t="n"/>
      <c r="R235" s="42" t="str">
        <f>IF(N(T235)&gt;0,SUMPRODUCT(LARGE(('成交明细'!$A$5:$A$804=A235)*('成交明细'!$C$5:$C$804="买")*'成交明细'!$B$5:$B$804,COUNTIFS('成交明细'!$A$5:$A$804,A235,'成交明细'!$C$5:$C$804,"买"))),"")</f>
        <v/>
      </c>
      <c r="S235" s="42" t="str">
        <f>IF(AND(N(T235)&gt;0,N(V235)&gt;=N(T235)),SUMPRODUCT(MAX(('成交明细'!$A$5:$A$804=A235)*('成交明细'!$C$5:$C$804="卖")*'成交明细'!$B$5:$B$804)),"")</f>
        <v/>
      </c>
      <c r="T235" s="44" t="str">
        <f>IF(A235="","",SUMIFS('成交明细'!$E$5:$E$804,'成交明细'!$A$5:$A$804,A235,'成交明细'!$C$5:$C$804,"买"))</f>
        <v/>
      </c>
      <c r="U235" s="50" t="str">
        <f>IF(N(T235)&gt;0,SUMIFS('成交明细'!$F$5:$F$804,'成交明细'!$A$5:$A$804,A235,'成交明细'!$C$5:$C$804,"买")/T235,"")</f>
        <v/>
      </c>
      <c r="V235" s="44" t="str">
        <f>IF(A235="","",SUMIFS('成交明细'!$E$5:$E$804,'成交明细'!$A$5:$A$804,A235,'成交明细'!$C$5:$C$804,"卖"))</f>
        <v/>
      </c>
      <c r="W235" s="50" t="str">
        <f>IF(N(V235)&gt;0,SUMIFS('成交明细'!$F$5:$F$804,'成交明细'!$A$5:$A$804,A235,'成交明细'!$C$5:$C$804,"卖")/V235,"")</f>
        <v/>
      </c>
      <c r="X235" s="36" t="str">
        <f>IF(A235="","",IF(Q235&lt;&gt;"已执行",IF(Q235="","未填执行情况",Q235),IF(N(T235)=0,"待录成交",IF(N(V235)&gt;N(T235),"卖出多于买入",IF(N(V235)&lt;N(T235),"持仓中","已平仓")))))</f>
        <v/>
      </c>
      <c r="Y235" s="51" t="str">
        <f>IF(N(T235)=0,"",SUMIFS('成交明细'!$K$5:$K$804,'成交明细'!$A$5:$A$804,A235))</f>
        <v/>
      </c>
      <c r="Z235" s="52" t="str">
        <f>IF(X235&lt;&gt;"已平仓","",SUMIFS('成交明细'!$F$5:$F$804,'成交明细'!$A$5:$A$804,A235,'成交明细'!$C$5:$C$804,"卖")-SUMIFS('成交明细'!$F$5:$F$804,'成交明细'!$A$5:$A$804,A235,'成交明细'!$C$5:$C$804,"买")-Y235)</f>
        <v/>
      </c>
      <c r="AA235" s="53" t="str">
        <f>IF(AND(X235="已平仓",ISNUMBER(N235)),(Z235+Y235)/N235,"")</f>
        <v/>
      </c>
      <c r="AB235" s="53" t="str">
        <f>IF(AND(X235="已平仓",ISNUMBER(N235)),Z235/N235,"")</f>
        <v/>
      </c>
      <c r="AC235" s="54" t="str">
        <f>IF(AND(ISNUMBER(U235),ISNUMBER(H235)),U235-H235,"")</f>
        <v/>
      </c>
      <c r="AD235" s="27" t="n"/>
      <c r="AE235" s="27" t="n"/>
      <c r="AF235" s="32" t="n"/>
      <c r="AG235" s="53" t="str">
        <f>IF(A235="","",SUM(AB$5:AB235))</f>
        <v/>
      </c>
      <c r="AH235" s="55" t="str">
        <f>IF(A235="","",MAX(0,MAX(AG$5:AG235))-AG235)</f>
        <v/>
      </c>
    </row>
    <row r="236">
      <c r="A236" s="46" t="n"/>
      <c r="B236" s="31" t="n"/>
      <c r="C236" s="32" t="n"/>
      <c r="D236" s="27" t="n"/>
      <c r="E236" s="47" t="str">
        <f>IF(D236="","",IFERROR(VLOOKUP(D236,'参数'!$B$21:$C$26,2,FALSE),""))</f>
        <v/>
      </c>
      <c r="F236" s="27" t="n"/>
      <c r="G236" s="43" t="str">
        <f>IF(NOT(ISNUMBER(B236)),"",IFERROR(IF(B236-INDEX('每日复盘'!$A$5:$A$264,MATCH(B236-1,'每日复盘'!$A$5:$A$264,1))&gt;7,"",T(INDEX('每日复盘'!$AA$5:$AA$264,MATCH(B236-1,'每日复盘'!$A$5:$A$264,1)))),""))</f>
        <v/>
      </c>
      <c r="H236" s="48" t="n"/>
      <c r="I236" s="48" t="n"/>
      <c r="J236" s="48" t="n"/>
      <c r="K236" s="49" t="str">
        <f>IF(AND(ISNUMBER(H236),ISNUMBER(I236),ISNUMBER(J236)),IF(H236&gt;I236,(J236-H236)/(H236-I236),""),"")</f>
        <v/>
      </c>
      <c r="L236" s="44" t="str">
        <f>IF(AND(ISNUMBER(H236),ISNUMBER(I236)),IF(H236&gt;I236,MIN(INT(ROUND('参数'!$C$7/(H236-I236)/100,6))*100,IF(ISNUMBER(E236),IF(H236-ROUND(ROUND(I236*(1-E236),4),2)&gt;0,INT(ROUND('参数'!$C$8/(H236-ROUND(ROUND(I236*(1-E236),4),2))/100,6))*100,0),INT(ROUND('参数'!$C$7/(H236-I236)/100,6))*100)),""),"")</f>
        <v/>
      </c>
      <c r="M236" s="17" t="n"/>
      <c r="N236" s="20" t="str">
        <f>IF(AND(ISNUMBER(H236),ISNUMBER(I236),ISNUMBER(M236)),IF(AND(H236&gt;I236,M236&gt;0),(H236-I236)*M236,""),"")</f>
        <v/>
      </c>
      <c r="O236" s="20" t="str">
        <f>IF(ISNUMBER(N236),IF(ISNUMBER(E236),(H236-ROUND(ROUND(I236*(1-E236),4),2))*M236,"不设限"),"")</f>
        <v/>
      </c>
      <c r="P236" s="32" t="n"/>
      <c r="Q236" s="27" t="n"/>
      <c r="R236" s="42" t="str">
        <f>IF(N(T236)&gt;0,SUMPRODUCT(LARGE(('成交明细'!$A$5:$A$804=A236)*('成交明细'!$C$5:$C$804="买")*'成交明细'!$B$5:$B$804,COUNTIFS('成交明细'!$A$5:$A$804,A236,'成交明细'!$C$5:$C$804,"买"))),"")</f>
        <v/>
      </c>
      <c r="S236" s="42" t="str">
        <f>IF(AND(N(T236)&gt;0,N(V236)&gt;=N(T236)),SUMPRODUCT(MAX(('成交明细'!$A$5:$A$804=A236)*('成交明细'!$C$5:$C$804="卖")*'成交明细'!$B$5:$B$804)),"")</f>
        <v/>
      </c>
      <c r="T236" s="44" t="str">
        <f>IF(A236="","",SUMIFS('成交明细'!$E$5:$E$804,'成交明细'!$A$5:$A$804,A236,'成交明细'!$C$5:$C$804,"买"))</f>
        <v/>
      </c>
      <c r="U236" s="50" t="str">
        <f>IF(N(T236)&gt;0,SUMIFS('成交明细'!$F$5:$F$804,'成交明细'!$A$5:$A$804,A236,'成交明细'!$C$5:$C$804,"买")/T236,"")</f>
        <v/>
      </c>
      <c r="V236" s="44" t="str">
        <f>IF(A236="","",SUMIFS('成交明细'!$E$5:$E$804,'成交明细'!$A$5:$A$804,A236,'成交明细'!$C$5:$C$804,"卖"))</f>
        <v/>
      </c>
      <c r="W236" s="50" t="str">
        <f>IF(N(V236)&gt;0,SUMIFS('成交明细'!$F$5:$F$804,'成交明细'!$A$5:$A$804,A236,'成交明细'!$C$5:$C$804,"卖")/V236,"")</f>
        <v/>
      </c>
      <c r="X236" s="36" t="str">
        <f>IF(A236="","",IF(Q236&lt;&gt;"已执行",IF(Q236="","未填执行情况",Q236),IF(N(T236)=0,"待录成交",IF(N(V236)&gt;N(T236),"卖出多于买入",IF(N(V236)&lt;N(T236),"持仓中","已平仓")))))</f>
        <v/>
      </c>
      <c r="Y236" s="51" t="str">
        <f>IF(N(T236)=0,"",SUMIFS('成交明细'!$K$5:$K$804,'成交明细'!$A$5:$A$804,A236))</f>
        <v/>
      </c>
      <c r="Z236" s="52" t="str">
        <f>IF(X236&lt;&gt;"已平仓","",SUMIFS('成交明细'!$F$5:$F$804,'成交明细'!$A$5:$A$804,A236,'成交明细'!$C$5:$C$804,"卖")-SUMIFS('成交明细'!$F$5:$F$804,'成交明细'!$A$5:$A$804,A236,'成交明细'!$C$5:$C$804,"买")-Y236)</f>
        <v/>
      </c>
      <c r="AA236" s="53" t="str">
        <f>IF(AND(X236="已平仓",ISNUMBER(N236)),(Z236+Y236)/N236,"")</f>
        <v/>
      </c>
      <c r="AB236" s="53" t="str">
        <f>IF(AND(X236="已平仓",ISNUMBER(N236)),Z236/N236,"")</f>
        <v/>
      </c>
      <c r="AC236" s="54" t="str">
        <f>IF(AND(ISNUMBER(U236),ISNUMBER(H236)),U236-H236,"")</f>
        <v/>
      </c>
      <c r="AD236" s="27" t="n"/>
      <c r="AE236" s="27" t="n"/>
      <c r="AF236" s="32" t="n"/>
      <c r="AG236" s="53" t="str">
        <f>IF(A236="","",SUM(AB$5:AB236))</f>
        <v/>
      </c>
      <c r="AH236" s="55" t="str">
        <f>IF(A236="","",MAX(0,MAX(AG$5:AG236))-AG236)</f>
        <v/>
      </c>
    </row>
    <row r="237">
      <c r="A237" s="46" t="n"/>
      <c r="B237" s="31" t="n"/>
      <c r="C237" s="32" t="n"/>
      <c r="D237" s="27" t="n"/>
      <c r="E237" s="47" t="str">
        <f>IF(D237="","",IFERROR(VLOOKUP(D237,'参数'!$B$21:$C$26,2,FALSE),""))</f>
        <v/>
      </c>
      <c r="F237" s="27" t="n"/>
      <c r="G237" s="43" t="str">
        <f>IF(NOT(ISNUMBER(B237)),"",IFERROR(IF(B237-INDEX('每日复盘'!$A$5:$A$264,MATCH(B237-1,'每日复盘'!$A$5:$A$264,1))&gt;7,"",T(INDEX('每日复盘'!$AA$5:$AA$264,MATCH(B237-1,'每日复盘'!$A$5:$A$264,1)))),""))</f>
        <v/>
      </c>
      <c r="H237" s="48" t="n"/>
      <c r="I237" s="48" t="n"/>
      <c r="J237" s="48" t="n"/>
      <c r="K237" s="49" t="str">
        <f>IF(AND(ISNUMBER(H237),ISNUMBER(I237),ISNUMBER(J237)),IF(H237&gt;I237,(J237-H237)/(H237-I237),""),"")</f>
        <v/>
      </c>
      <c r="L237" s="44" t="str">
        <f>IF(AND(ISNUMBER(H237),ISNUMBER(I237)),IF(H237&gt;I237,MIN(INT(ROUND('参数'!$C$7/(H237-I237)/100,6))*100,IF(ISNUMBER(E237),IF(H237-ROUND(ROUND(I237*(1-E237),4),2)&gt;0,INT(ROUND('参数'!$C$8/(H237-ROUND(ROUND(I237*(1-E237),4),2))/100,6))*100,0),INT(ROUND('参数'!$C$7/(H237-I237)/100,6))*100)),""),"")</f>
        <v/>
      </c>
      <c r="M237" s="17" t="n"/>
      <c r="N237" s="20" t="str">
        <f>IF(AND(ISNUMBER(H237),ISNUMBER(I237),ISNUMBER(M237)),IF(AND(H237&gt;I237,M237&gt;0),(H237-I237)*M237,""),"")</f>
        <v/>
      </c>
      <c r="O237" s="20" t="str">
        <f>IF(ISNUMBER(N237),IF(ISNUMBER(E237),(H237-ROUND(ROUND(I237*(1-E237),4),2))*M237,"不设限"),"")</f>
        <v/>
      </c>
      <c r="P237" s="32" t="n"/>
      <c r="Q237" s="27" t="n"/>
      <c r="R237" s="42" t="str">
        <f>IF(N(T237)&gt;0,SUMPRODUCT(LARGE(('成交明细'!$A$5:$A$804=A237)*('成交明细'!$C$5:$C$804="买")*'成交明细'!$B$5:$B$804,COUNTIFS('成交明细'!$A$5:$A$804,A237,'成交明细'!$C$5:$C$804,"买"))),"")</f>
        <v/>
      </c>
      <c r="S237" s="42" t="str">
        <f>IF(AND(N(T237)&gt;0,N(V237)&gt;=N(T237)),SUMPRODUCT(MAX(('成交明细'!$A$5:$A$804=A237)*('成交明细'!$C$5:$C$804="卖")*'成交明细'!$B$5:$B$804)),"")</f>
        <v/>
      </c>
      <c r="T237" s="44" t="str">
        <f>IF(A237="","",SUMIFS('成交明细'!$E$5:$E$804,'成交明细'!$A$5:$A$804,A237,'成交明细'!$C$5:$C$804,"买"))</f>
        <v/>
      </c>
      <c r="U237" s="50" t="str">
        <f>IF(N(T237)&gt;0,SUMIFS('成交明细'!$F$5:$F$804,'成交明细'!$A$5:$A$804,A237,'成交明细'!$C$5:$C$804,"买")/T237,"")</f>
        <v/>
      </c>
      <c r="V237" s="44" t="str">
        <f>IF(A237="","",SUMIFS('成交明细'!$E$5:$E$804,'成交明细'!$A$5:$A$804,A237,'成交明细'!$C$5:$C$804,"卖"))</f>
        <v/>
      </c>
      <c r="W237" s="50" t="str">
        <f>IF(N(V237)&gt;0,SUMIFS('成交明细'!$F$5:$F$804,'成交明细'!$A$5:$A$804,A237,'成交明细'!$C$5:$C$804,"卖")/V237,"")</f>
        <v/>
      </c>
      <c r="X237" s="36" t="str">
        <f>IF(A237="","",IF(Q237&lt;&gt;"已执行",IF(Q237="","未填执行情况",Q237),IF(N(T237)=0,"待录成交",IF(N(V237)&gt;N(T237),"卖出多于买入",IF(N(V237)&lt;N(T237),"持仓中","已平仓")))))</f>
        <v/>
      </c>
      <c r="Y237" s="51" t="str">
        <f>IF(N(T237)=0,"",SUMIFS('成交明细'!$K$5:$K$804,'成交明细'!$A$5:$A$804,A237))</f>
        <v/>
      </c>
      <c r="Z237" s="52" t="str">
        <f>IF(X237&lt;&gt;"已平仓","",SUMIFS('成交明细'!$F$5:$F$804,'成交明细'!$A$5:$A$804,A237,'成交明细'!$C$5:$C$804,"卖")-SUMIFS('成交明细'!$F$5:$F$804,'成交明细'!$A$5:$A$804,A237,'成交明细'!$C$5:$C$804,"买")-Y237)</f>
        <v/>
      </c>
      <c r="AA237" s="53" t="str">
        <f>IF(AND(X237="已平仓",ISNUMBER(N237)),(Z237+Y237)/N237,"")</f>
        <v/>
      </c>
      <c r="AB237" s="53" t="str">
        <f>IF(AND(X237="已平仓",ISNUMBER(N237)),Z237/N237,"")</f>
        <v/>
      </c>
      <c r="AC237" s="54" t="str">
        <f>IF(AND(ISNUMBER(U237),ISNUMBER(H237)),U237-H237,"")</f>
        <v/>
      </c>
      <c r="AD237" s="27" t="n"/>
      <c r="AE237" s="27" t="n"/>
      <c r="AF237" s="32" t="n"/>
      <c r="AG237" s="53" t="str">
        <f>IF(A237="","",SUM(AB$5:AB237))</f>
        <v/>
      </c>
      <c r="AH237" s="55" t="str">
        <f>IF(A237="","",MAX(0,MAX(AG$5:AG237))-AG237)</f>
        <v/>
      </c>
    </row>
    <row r="238">
      <c r="A238" s="46" t="n"/>
      <c r="B238" s="31" t="n"/>
      <c r="C238" s="32" t="n"/>
      <c r="D238" s="27" t="n"/>
      <c r="E238" s="47" t="str">
        <f>IF(D238="","",IFERROR(VLOOKUP(D238,'参数'!$B$21:$C$26,2,FALSE),""))</f>
        <v/>
      </c>
      <c r="F238" s="27" t="n"/>
      <c r="G238" s="43" t="str">
        <f>IF(NOT(ISNUMBER(B238)),"",IFERROR(IF(B238-INDEX('每日复盘'!$A$5:$A$264,MATCH(B238-1,'每日复盘'!$A$5:$A$264,1))&gt;7,"",T(INDEX('每日复盘'!$AA$5:$AA$264,MATCH(B238-1,'每日复盘'!$A$5:$A$264,1)))),""))</f>
        <v/>
      </c>
      <c r="H238" s="48" t="n"/>
      <c r="I238" s="48" t="n"/>
      <c r="J238" s="48" t="n"/>
      <c r="K238" s="49" t="str">
        <f>IF(AND(ISNUMBER(H238),ISNUMBER(I238),ISNUMBER(J238)),IF(H238&gt;I238,(J238-H238)/(H238-I238),""),"")</f>
        <v/>
      </c>
      <c r="L238" s="44" t="str">
        <f>IF(AND(ISNUMBER(H238),ISNUMBER(I238)),IF(H238&gt;I238,MIN(INT(ROUND('参数'!$C$7/(H238-I238)/100,6))*100,IF(ISNUMBER(E238),IF(H238-ROUND(ROUND(I238*(1-E238),4),2)&gt;0,INT(ROUND('参数'!$C$8/(H238-ROUND(ROUND(I238*(1-E238),4),2))/100,6))*100,0),INT(ROUND('参数'!$C$7/(H238-I238)/100,6))*100)),""),"")</f>
        <v/>
      </c>
      <c r="M238" s="17" t="n"/>
      <c r="N238" s="20" t="str">
        <f>IF(AND(ISNUMBER(H238),ISNUMBER(I238),ISNUMBER(M238)),IF(AND(H238&gt;I238,M238&gt;0),(H238-I238)*M238,""),"")</f>
        <v/>
      </c>
      <c r="O238" s="20" t="str">
        <f>IF(ISNUMBER(N238),IF(ISNUMBER(E238),(H238-ROUND(ROUND(I238*(1-E238),4),2))*M238,"不设限"),"")</f>
        <v/>
      </c>
      <c r="P238" s="32" t="n"/>
      <c r="Q238" s="27" t="n"/>
      <c r="R238" s="42" t="str">
        <f>IF(N(T238)&gt;0,SUMPRODUCT(LARGE(('成交明细'!$A$5:$A$804=A238)*('成交明细'!$C$5:$C$804="买")*'成交明细'!$B$5:$B$804,COUNTIFS('成交明细'!$A$5:$A$804,A238,'成交明细'!$C$5:$C$804,"买"))),"")</f>
        <v/>
      </c>
      <c r="S238" s="42" t="str">
        <f>IF(AND(N(T238)&gt;0,N(V238)&gt;=N(T238)),SUMPRODUCT(MAX(('成交明细'!$A$5:$A$804=A238)*('成交明细'!$C$5:$C$804="卖")*'成交明细'!$B$5:$B$804)),"")</f>
        <v/>
      </c>
      <c r="T238" s="44" t="str">
        <f>IF(A238="","",SUMIFS('成交明细'!$E$5:$E$804,'成交明细'!$A$5:$A$804,A238,'成交明细'!$C$5:$C$804,"买"))</f>
        <v/>
      </c>
      <c r="U238" s="50" t="str">
        <f>IF(N(T238)&gt;0,SUMIFS('成交明细'!$F$5:$F$804,'成交明细'!$A$5:$A$804,A238,'成交明细'!$C$5:$C$804,"买")/T238,"")</f>
        <v/>
      </c>
      <c r="V238" s="44" t="str">
        <f>IF(A238="","",SUMIFS('成交明细'!$E$5:$E$804,'成交明细'!$A$5:$A$804,A238,'成交明细'!$C$5:$C$804,"卖"))</f>
        <v/>
      </c>
      <c r="W238" s="50" t="str">
        <f>IF(N(V238)&gt;0,SUMIFS('成交明细'!$F$5:$F$804,'成交明细'!$A$5:$A$804,A238,'成交明细'!$C$5:$C$804,"卖")/V238,"")</f>
        <v/>
      </c>
      <c r="X238" s="36" t="str">
        <f>IF(A238="","",IF(Q238&lt;&gt;"已执行",IF(Q238="","未填执行情况",Q238),IF(N(T238)=0,"待录成交",IF(N(V238)&gt;N(T238),"卖出多于买入",IF(N(V238)&lt;N(T238),"持仓中","已平仓")))))</f>
        <v/>
      </c>
      <c r="Y238" s="51" t="str">
        <f>IF(N(T238)=0,"",SUMIFS('成交明细'!$K$5:$K$804,'成交明细'!$A$5:$A$804,A238))</f>
        <v/>
      </c>
      <c r="Z238" s="52" t="str">
        <f>IF(X238&lt;&gt;"已平仓","",SUMIFS('成交明细'!$F$5:$F$804,'成交明细'!$A$5:$A$804,A238,'成交明细'!$C$5:$C$804,"卖")-SUMIFS('成交明细'!$F$5:$F$804,'成交明细'!$A$5:$A$804,A238,'成交明细'!$C$5:$C$804,"买")-Y238)</f>
        <v/>
      </c>
      <c r="AA238" s="53" t="str">
        <f>IF(AND(X238="已平仓",ISNUMBER(N238)),(Z238+Y238)/N238,"")</f>
        <v/>
      </c>
      <c r="AB238" s="53" t="str">
        <f>IF(AND(X238="已平仓",ISNUMBER(N238)),Z238/N238,"")</f>
        <v/>
      </c>
      <c r="AC238" s="54" t="str">
        <f>IF(AND(ISNUMBER(U238),ISNUMBER(H238)),U238-H238,"")</f>
        <v/>
      </c>
      <c r="AD238" s="27" t="n"/>
      <c r="AE238" s="27" t="n"/>
      <c r="AF238" s="32" t="n"/>
      <c r="AG238" s="53" t="str">
        <f>IF(A238="","",SUM(AB$5:AB238))</f>
        <v/>
      </c>
      <c r="AH238" s="55" t="str">
        <f>IF(A238="","",MAX(0,MAX(AG$5:AG238))-AG238)</f>
        <v/>
      </c>
    </row>
    <row r="239">
      <c r="A239" s="46" t="n"/>
      <c r="B239" s="31" t="n"/>
      <c r="C239" s="32" t="n"/>
      <c r="D239" s="27" t="n"/>
      <c r="E239" s="47" t="str">
        <f>IF(D239="","",IFERROR(VLOOKUP(D239,'参数'!$B$21:$C$26,2,FALSE),""))</f>
        <v/>
      </c>
      <c r="F239" s="27" t="n"/>
      <c r="G239" s="43" t="str">
        <f>IF(NOT(ISNUMBER(B239)),"",IFERROR(IF(B239-INDEX('每日复盘'!$A$5:$A$264,MATCH(B239-1,'每日复盘'!$A$5:$A$264,1))&gt;7,"",T(INDEX('每日复盘'!$AA$5:$AA$264,MATCH(B239-1,'每日复盘'!$A$5:$A$264,1)))),""))</f>
        <v/>
      </c>
      <c r="H239" s="48" t="n"/>
      <c r="I239" s="48" t="n"/>
      <c r="J239" s="48" t="n"/>
      <c r="K239" s="49" t="str">
        <f>IF(AND(ISNUMBER(H239),ISNUMBER(I239),ISNUMBER(J239)),IF(H239&gt;I239,(J239-H239)/(H239-I239),""),"")</f>
        <v/>
      </c>
      <c r="L239" s="44" t="str">
        <f>IF(AND(ISNUMBER(H239),ISNUMBER(I239)),IF(H239&gt;I239,MIN(INT(ROUND('参数'!$C$7/(H239-I239)/100,6))*100,IF(ISNUMBER(E239),IF(H239-ROUND(ROUND(I239*(1-E239),4),2)&gt;0,INT(ROUND('参数'!$C$8/(H239-ROUND(ROUND(I239*(1-E239),4),2))/100,6))*100,0),INT(ROUND('参数'!$C$7/(H239-I239)/100,6))*100)),""),"")</f>
        <v/>
      </c>
      <c r="M239" s="17" t="n"/>
      <c r="N239" s="20" t="str">
        <f>IF(AND(ISNUMBER(H239),ISNUMBER(I239),ISNUMBER(M239)),IF(AND(H239&gt;I239,M239&gt;0),(H239-I239)*M239,""),"")</f>
        <v/>
      </c>
      <c r="O239" s="20" t="str">
        <f>IF(ISNUMBER(N239),IF(ISNUMBER(E239),(H239-ROUND(ROUND(I239*(1-E239),4),2))*M239,"不设限"),"")</f>
        <v/>
      </c>
      <c r="P239" s="32" t="n"/>
      <c r="Q239" s="27" t="n"/>
      <c r="R239" s="42" t="str">
        <f>IF(N(T239)&gt;0,SUMPRODUCT(LARGE(('成交明细'!$A$5:$A$804=A239)*('成交明细'!$C$5:$C$804="买")*'成交明细'!$B$5:$B$804,COUNTIFS('成交明细'!$A$5:$A$804,A239,'成交明细'!$C$5:$C$804,"买"))),"")</f>
        <v/>
      </c>
      <c r="S239" s="42" t="str">
        <f>IF(AND(N(T239)&gt;0,N(V239)&gt;=N(T239)),SUMPRODUCT(MAX(('成交明细'!$A$5:$A$804=A239)*('成交明细'!$C$5:$C$804="卖")*'成交明细'!$B$5:$B$804)),"")</f>
        <v/>
      </c>
      <c r="T239" s="44" t="str">
        <f>IF(A239="","",SUMIFS('成交明细'!$E$5:$E$804,'成交明细'!$A$5:$A$804,A239,'成交明细'!$C$5:$C$804,"买"))</f>
        <v/>
      </c>
      <c r="U239" s="50" t="str">
        <f>IF(N(T239)&gt;0,SUMIFS('成交明细'!$F$5:$F$804,'成交明细'!$A$5:$A$804,A239,'成交明细'!$C$5:$C$804,"买")/T239,"")</f>
        <v/>
      </c>
      <c r="V239" s="44" t="str">
        <f>IF(A239="","",SUMIFS('成交明细'!$E$5:$E$804,'成交明细'!$A$5:$A$804,A239,'成交明细'!$C$5:$C$804,"卖"))</f>
        <v/>
      </c>
      <c r="W239" s="50" t="str">
        <f>IF(N(V239)&gt;0,SUMIFS('成交明细'!$F$5:$F$804,'成交明细'!$A$5:$A$804,A239,'成交明细'!$C$5:$C$804,"卖")/V239,"")</f>
        <v/>
      </c>
      <c r="X239" s="36" t="str">
        <f>IF(A239="","",IF(Q239&lt;&gt;"已执行",IF(Q239="","未填执行情况",Q239),IF(N(T239)=0,"待录成交",IF(N(V239)&gt;N(T239),"卖出多于买入",IF(N(V239)&lt;N(T239),"持仓中","已平仓")))))</f>
        <v/>
      </c>
      <c r="Y239" s="51" t="str">
        <f>IF(N(T239)=0,"",SUMIFS('成交明细'!$K$5:$K$804,'成交明细'!$A$5:$A$804,A239))</f>
        <v/>
      </c>
      <c r="Z239" s="52" t="str">
        <f>IF(X239&lt;&gt;"已平仓","",SUMIFS('成交明细'!$F$5:$F$804,'成交明细'!$A$5:$A$804,A239,'成交明细'!$C$5:$C$804,"卖")-SUMIFS('成交明细'!$F$5:$F$804,'成交明细'!$A$5:$A$804,A239,'成交明细'!$C$5:$C$804,"买")-Y239)</f>
        <v/>
      </c>
      <c r="AA239" s="53" t="str">
        <f>IF(AND(X239="已平仓",ISNUMBER(N239)),(Z239+Y239)/N239,"")</f>
        <v/>
      </c>
      <c r="AB239" s="53" t="str">
        <f>IF(AND(X239="已平仓",ISNUMBER(N239)),Z239/N239,"")</f>
        <v/>
      </c>
      <c r="AC239" s="54" t="str">
        <f>IF(AND(ISNUMBER(U239),ISNUMBER(H239)),U239-H239,"")</f>
        <v/>
      </c>
      <c r="AD239" s="27" t="n"/>
      <c r="AE239" s="27" t="n"/>
      <c r="AF239" s="32" t="n"/>
      <c r="AG239" s="53" t="str">
        <f>IF(A239="","",SUM(AB$5:AB239))</f>
        <v/>
      </c>
      <c r="AH239" s="55" t="str">
        <f>IF(A239="","",MAX(0,MAX(AG$5:AG239))-AG239)</f>
        <v/>
      </c>
    </row>
    <row r="240">
      <c r="A240" s="46" t="n"/>
      <c r="B240" s="31" t="n"/>
      <c r="C240" s="32" t="n"/>
      <c r="D240" s="27" t="n"/>
      <c r="E240" s="47" t="str">
        <f>IF(D240="","",IFERROR(VLOOKUP(D240,'参数'!$B$21:$C$26,2,FALSE),""))</f>
        <v/>
      </c>
      <c r="F240" s="27" t="n"/>
      <c r="G240" s="43" t="str">
        <f>IF(NOT(ISNUMBER(B240)),"",IFERROR(IF(B240-INDEX('每日复盘'!$A$5:$A$264,MATCH(B240-1,'每日复盘'!$A$5:$A$264,1))&gt;7,"",T(INDEX('每日复盘'!$AA$5:$AA$264,MATCH(B240-1,'每日复盘'!$A$5:$A$264,1)))),""))</f>
        <v/>
      </c>
      <c r="H240" s="48" t="n"/>
      <c r="I240" s="48" t="n"/>
      <c r="J240" s="48" t="n"/>
      <c r="K240" s="49" t="str">
        <f>IF(AND(ISNUMBER(H240),ISNUMBER(I240),ISNUMBER(J240)),IF(H240&gt;I240,(J240-H240)/(H240-I240),""),"")</f>
        <v/>
      </c>
      <c r="L240" s="44" t="str">
        <f>IF(AND(ISNUMBER(H240),ISNUMBER(I240)),IF(H240&gt;I240,MIN(INT(ROUND('参数'!$C$7/(H240-I240)/100,6))*100,IF(ISNUMBER(E240),IF(H240-ROUND(ROUND(I240*(1-E240),4),2)&gt;0,INT(ROUND('参数'!$C$8/(H240-ROUND(ROUND(I240*(1-E240),4),2))/100,6))*100,0),INT(ROUND('参数'!$C$7/(H240-I240)/100,6))*100)),""),"")</f>
        <v/>
      </c>
      <c r="M240" s="17" t="n"/>
      <c r="N240" s="20" t="str">
        <f>IF(AND(ISNUMBER(H240),ISNUMBER(I240),ISNUMBER(M240)),IF(AND(H240&gt;I240,M240&gt;0),(H240-I240)*M240,""),"")</f>
        <v/>
      </c>
      <c r="O240" s="20" t="str">
        <f>IF(ISNUMBER(N240),IF(ISNUMBER(E240),(H240-ROUND(ROUND(I240*(1-E240),4),2))*M240,"不设限"),"")</f>
        <v/>
      </c>
      <c r="P240" s="32" t="n"/>
      <c r="Q240" s="27" t="n"/>
      <c r="R240" s="42" t="str">
        <f>IF(N(T240)&gt;0,SUMPRODUCT(LARGE(('成交明细'!$A$5:$A$804=A240)*('成交明细'!$C$5:$C$804="买")*'成交明细'!$B$5:$B$804,COUNTIFS('成交明细'!$A$5:$A$804,A240,'成交明细'!$C$5:$C$804,"买"))),"")</f>
        <v/>
      </c>
      <c r="S240" s="42" t="str">
        <f>IF(AND(N(T240)&gt;0,N(V240)&gt;=N(T240)),SUMPRODUCT(MAX(('成交明细'!$A$5:$A$804=A240)*('成交明细'!$C$5:$C$804="卖")*'成交明细'!$B$5:$B$804)),"")</f>
        <v/>
      </c>
      <c r="T240" s="44" t="str">
        <f>IF(A240="","",SUMIFS('成交明细'!$E$5:$E$804,'成交明细'!$A$5:$A$804,A240,'成交明细'!$C$5:$C$804,"买"))</f>
        <v/>
      </c>
      <c r="U240" s="50" t="str">
        <f>IF(N(T240)&gt;0,SUMIFS('成交明细'!$F$5:$F$804,'成交明细'!$A$5:$A$804,A240,'成交明细'!$C$5:$C$804,"买")/T240,"")</f>
        <v/>
      </c>
      <c r="V240" s="44" t="str">
        <f>IF(A240="","",SUMIFS('成交明细'!$E$5:$E$804,'成交明细'!$A$5:$A$804,A240,'成交明细'!$C$5:$C$804,"卖"))</f>
        <v/>
      </c>
      <c r="W240" s="50" t="str">
        <f>IF(N(V240)&gt;0,SUMIFS('成交明细'!$F$5:$F$804,'成交明细'!$A$5:$A$804,A240,'成交明细'!$C$5:$C$804,"卖")/V240,"")</f>
        <v/>
      </c>
      <c r="X240" s="36" t="str">
        <f>IF(A240="","",IF(Q240&lt;&gt;"已执行",IF(Q240="","未填执行情况",Q240),IF(N(T240)=0,"待录成交",IF(N(V240)&gt;N(T240),"卖出多于买入",IF(N(V240)&lt;N(T240),"持仓中","已平仓")))))</f>
        <v/>
      </c>
      <c r="Y240" s="51" t="str">
        <f>IF(N(T240)=0,"",SUMIFS('成交明细'!$K$5:$K$804,'成交明细'!$A$5:$A$804,A240))</f>
        <v/>
      </c>
      <c r="Z240" s="52" t="str">
        <f>IF(X240&lt;&gt;"已平仓","",SUMIFS('成交明细'!$F$5:$F$804,'成交明细'!$A$5:$A$804,A240,'成交明细'!$C$5:$C$804,"卖")-SUMIFS('成交明细'!$F$5:$F$804,'成交明细'!$A$5:$A$804,A240,'成交明细'!$C$5:$C$804,"买")-Y240)</f>
        <v/>
      </c>
      <c r="AA240" s="53" t="str">
        <f>IF(AND(X240="已平仓",ISNUMBER(N240)),(Z240+Y240)/N240,"")</f>
        <v/>
      </c>
      <c r="AB240" s="53" t="str">
        <f>IF(AND(X240="已平仓",ISNUMBER(N240)),Z240/N240,"")</f>
        <v/>
      </c>
      <c r="AC240" s="54" t="str">
        <f>IF(AND(ISNUMBER(U240),ISNUMBER(H240)),U240-H240,"")</f>
        <v/>
      </c>
      <c r="AD240" s="27" t="n"/>
      <c r="AE240" s="27" t="n"/>
      <c r="AF240" s="32" t="n"/>
      <c r="AG240" s="53" t="str">
        <f>IF(A240="","",SUM(AB$5:AB240))</f>
        <v/>
      </c>
      <c r="AH240" s="55" t="str">
        <f>IF(A240="","",MAX(0,MAX(AG$5:AG240))-AG240)</f>
        <v/>
      </c>
    </row>
    <row r="241">
      <c r="A241" s="46" t="n"/>
      <c r="B241" s="31" t="n"/>
      <c r="C241" s="32" t="n"/>
      <c r="D241" s="27" t="n"/>
      <c r="E241" s="47" t="str">
        <f>IF(D241="","",IFERROR(VLOOKUP(D241,'参数'!$B$21:$C$26,2,FALSE),""))</f>
        <v/>
      </c>
      <c r="F241" s="27" t="n"/>
      <c r="G241" s="43" t="str">
        <f>IF(NOT(ISNUMBER(B241)),"",IFERROR(IF(B241-INDEX('每日复盘'!$A$5:$A$264,MATCH(B241-1,'每日复盘'!$A$5:$A$264,1))&gt;7,"",T(INDEX('每日复盘'!$AA$5:$AA$264,MATCH(B241-1,'每日复盘'!$A$5:$A$264,1)))),""))</f>
        <v/>
      </c>
      <c r="H241" s="48" t="n"/>
      <c r="I241" s="48" t="n"/>
      <c r="J241" s="48" t="n"/>
      <c r="K241" s="49" t="str">
        <f>IF(AND(ISNUMBER(H241),ISNUMBER(I241),ISNUMBER(J241)),IF(H241&gt;I241,(J241-H241)/(H241-I241),""),"")</f>
        <v/>
      </c>
      <c r="L241" s="44" t="str">
        <f>IF(AND(ISNUMBER(H241),ISNUMBER(I241)),IF(H241&gt;I241,MIN(INT(ROUND('参数'!$C$7/(H241-I241)/100,6))*100,IF(ISNUMBER(E241),IF(H241-ROUND(ROUND(I241*(1-E241),4),2)&gt;0,INT(ROUND('参数'!$C$8/(H241-ROUND(ROUND(I241*(1-E241),4),2))/100,6))*100,0),INT(ROUND('参数'!$C$7/(H241-I241)/100,6))*100)),""),"")</f>
        <v/>
      </c>
      <c r="M241" s="17" t="n"/>
      <c r="N241" s="20" t="str">
        <f>IF(AND(ISNUMBER(H241),ISNUMBER(I241),ISNUMBER(M241)),IF(AND(H241&gt;I241,M241&gt;0),(H241-I241)*M241,""),"")</f>
        <v/>
      </c>
      <c r="O241" s="20" t="str">
        <f>IF(ISNUMBER(N241),IF(ISNUMBER(E241),(H241-ROUND(ROUND(I241*(1-E241),4),2))*M241,"不设限"),"")</f>
        <v/>
      </c>
      <c r="P241" s="32" t="n"/>
      <c r="Q241" s="27" t="n"/>
      <c r="R241" s="42" t="str">
        <f>IF(N(T241)&gt;0,SUMPRODUCT(LARGE(('成交明细'!$A$5:$A$804=A241)*('成交明细'!$C$5:$C$804="买")*'成交明细'!$B$5:$B$804,COUNTIFS('成交明细'!$A$5:$A$804,A241,'成交明细'!$C$5:$C$804,"买"))),"")</f>
        <v/>
      </c>
      <c r="S241" s="42" t="str">
        <f>IF(AND(N(T241)&gt;0,N(V241)&gt;=N(T241)),SUMPRODUCT(MAX(('成交明细'!$A$5:$A$804=A241)*('成交明细'!$C$5:$C$804="卖")*'成交明细'!$B$5:$B$804)),"")</f>
        <v/>
      </c>
      <c r="T241" s="44" t="str">
        <f>IF(A241="","",SUMIFS('成交明细'!$E$5:$E$804,'成交明细'!$A$5:$A$804,A241,'成交明细'!$C$5:$C$804,"买"))</f>
        <v/>
      </c>
      <c r="U241" s="50" t="str">
        <f>IF(N(T241)&gt;0,SUMIFS('成交明细'!$F$5:$F$804,'成交明细'!$A$5:$A$804,A241,'成交明细'!$C$5:$C$804,"买")/T241,"")</f>
        <v/>
      </c>
      <c r="V241" s="44" t="str">
        <f>IF(A241="","",SUMIFS('成交明细'!$E$5:$E$804,'成交明细'!$A$5:$A$804,A241,'成交明细'!$C$5:$C$804,"卖"))</f>
        <v/>
      </c>
      <c r="W241" s="50" t="str">
        <f>IF(N(V241)&gt;0,SUMIFS('成交明细'!$F$5:$F$804,'成交明细'!$A$5:$A$804,A241,'成交明细'!$C$5:$C$804,"卖")/V241,"")</f>
        <v/>
      </c>
      <c r="X241" s="36" t="str">
        <f>IF(A241="","",IF(Q241&lt;&gt;"已执行",IF(Q241="","未填执行情况",Q241),IF(N(T241)=0,"待录成交",IF(N(V241)&gt;N(T241),"卖出多于买入",IF(N(V241)&lt;N(T241),"持仓中","已平仓")))))</f>
        <v/>
      </c>
      <c r="Y241" s="51" t="str">
        <f>IF(N(T241)=0,"",SUMIFS('成交明细'!$K$5:$K$804,'成交明细'!$A$5:$A$804,A241))</f>
        <v/>
      </c>
      <c r="Z241" s="52" t="str">
        <f>IF(X241&lt;&gt;"已平仓","",SUMIFS('成交明细'!$F$5:$F$804,'成交明细'!$A$5:$A$804,A241,'成交明细'!$C$5:$C$804,"卖")-SUMIFS('成交明细'!$F$5:$F$804,'成交明细'!$A$5:$A$804,A241,'成交明细'!$C$5:$C$804,"买")-Y241)</f>
        <v/>
      </c>
      <c r="AA241" s="53" t="str">
        <f>IF(AND(X241="已平仓",ISNUMBER(N241)),(Z241+Y241)/N241,"")</f>
        <v/>
      </c>
      <c r="AB241" s="53" t="str">
        <f>IF(AND(X241="已平仓",ISNUMBER(N241)),Z241/N241,"")</f>
        <v/>
      </c>
      <c r="AC241" s="54" t="str">
        <f>IF(AND(ISNUMBER(U241),ISNUMBER(H241)),U241-H241,"")</f>
        <v/>
      </c>
      <c r="AD241" s="27" t="n"/>
      <c r="AE241" s="27" t="n"/>
      <c r="AF241" s="32" t="n"/>
      <c r="AG241" s="53" t="str">
        <f>IF(A241="","",SUM(AB$5:AB241))</f>
        <v/>
      </c>
      <c r="AH241" s="55" t="str">
        <f>IF(A241="","",MAX(0,MAX(AG$5:AG241))-AG241)</f>
        <v/>
      </c>
    </row>
    <row r="242">
      <c r="A242" s="46" t="n"/>
      <c r="B242" s="31" t="n"/>
      <c r="C242" s="32" t="n"/>
      <c r="D242" s="27" t="n"/>
      <c r="E242" s="47" t="str">
        <f>IF(D242="","",IFERROR(VLOOKUP(D242,'参数'!$B$21:$C$26,2,FALSE),""))</f>
        <v/>
      </c>
      <c r="F242" s="27" t="n"/>
      <c r="G242" s="43" t="str">
        <f>IF(NOT(ISNUMBER(B242)),"",IFERROR(IF(B242-INDEX('每日复盘'!$A$5:$A$264,MATCH(B242-1,'每日复盘'!$A$5:$A$264,1))&gt;7,"",T(INDEX('每日复盘'!$AA$5:$AA$264,MATCH(B242-1,'每日复盘'!$A$5:$A$264,1)))),""))</f>
        <v/>
      </c>
      <c r="H242" s="48" t="n"/>
      <c r="I242" s="48" t="n"/>
      <c r="J242" s="48" t="n"/>
      <c r="K242" s="49" t="str">
        <f>IF(AND(ISNUMBER(H242),ISNUMBER(I242),ISNUMBER(J242)),IF(H242&gt;I242,(J242-H242)/(H242-I242),""),"")</f>
        <v/>
      </c>
      <c r="L242" s="44" t="str">
        <f>IF(AND(ISNUMBER(H242),ISNUMBER(I242)),IF(H242&gt;I242,MIN(INT(ROUND('参数'!$C$7/(H242-I242)/100,6))*100,IF(ISNUMBER(E242),IF(H242-ROUND(ROUND(I242*(1-E242),4),2)&gt;0,INT(ROUND('参数'!$C$8/(H242-ROUND(ROUND(I242*(1-E242),4),2))/100,6))*100,0),INT(ROUND('参数'!$C$7/(H242-I242)/100,6))*100)),""),"")</f>
        <v/>
      </c>
      <c r="M242" s="17" t="n"/>
      <c r="N242" s="20" t="str">
        <f>IF(AND(ISNUMBER(H242),ISNUMBER(I242),ISNUMBER(M242)),IF(AND(H242&gt;I242,M242&gt;0),(H242-I242)*M242,""),"")</f>
        <v/>
      </c>
      <c r="O242" s="20" t="str">
        <f>IF(ISNUMBER(N242),IF(ISNUMBER(E242),(H242-ROUND(ROUND(I242*(1-E242),4),2))*M242,"不设限"),"")</f>
        <v/>
      </c>
      <c r="P242" s="32" t="n"/>
      <c r="Q242" s="27" t="n"/>
      <c r="R242" s="42" t="str">
        <f>IF(N(T242)&gt;0,SUMPRODUCT(LARGE(('成交明细'!$A$5:$A$804=A242)*('成交明细'!$C$5:$C$804="买")*'成交明细'!$B$5:$B$804,COUNTIFS('成交明细'!$A$5:$A$804,A242,'成交明细'!$C$5:$C$804,"买"))),"")</f>
        <v/>
      </c>
      <c r="S242" s="42" t="str">
        <f>IF(AND(N(T242)&gt;0,N(V242)&gt;=N(T242)),SUMPRODUCT(MAX(('成交明细'!$A$5:$A$804=A242)*('成交明细'!$C$5:$C$804="卖")*'成交明细'!$B$5:$B$804)),"")</f>
        <v/>
      </c>
      <c r="T242" s="44" t="str">
        <f>IF(A242="","",SUMIFS('成交明细'!$E$5:$E$804,'成交明细'!$A$5:$A$804,A242,'成交明细'!$C$5:$C$804,"买"))</f>
        <v/>
      </c>
      <c r="U242" s="50" t="str">
        <f>IF(N(T242)&gt;0,SUMIFS('成交明细'!$F$5:$F$804,'成交明细'!$A$5:$A$804,A242,'成交明细'!$C$5:$C$804,"买")/T242,"")</f>
        <v/>
      </c>
      <c r="V242" s="44" t="str">
        <f>IF(A242="","",SUMIFS('成交明细'!$E$5:$E$804,'成交明细'!$A$5:$A$804,A242,'成交明细'!$C$5:$C$804,"卖"))</f>
        <v/>
      </c>
      <c r="W242" s="50" t="str">
        <f>IF(N(V242)&gt;0,SUMIFS('成交明细'!$F$5:$F$804,'成交明细'!$A$5:$A$804,A242,'成交明细'!$C$5:$C$804,"卖")/V242,"")</f>
        <v/>
      </c>
      <c r="X242" s="36" t="str">
        <f>IF(A242="","",IF(Q242&lt;&gt;"已执行",IF(Q242="","未填执行情况",Q242),IF(N(T242)=0,"待录成交",IF(N(V242)&gt;N(T242),"卖出多于买入",IF(N(V242)&lt;N(T242),"持仓中","已平仓")))))</f>
        <v/>
      </c>
      <c r="Y242" s="51" t="str">
        <f>IF(N(T242)=0,"",SUMIFS('成交明细'!$K$5:$K$804,'成交明细'!$A$5:$A$804,A242))</f>
        <v/>
      </c>
      <c r="Z242" s="52" t="str">
        <f>IF(X242&lt;&gt;"已平仓","",SUMIFS('成交明细'!$F$5:$F$804,'成交明细'!$A$5:$A$804,A242,'成交明细'!$C$5:$C$804,"卖")-SUMIFS('成交明细'!$F$5:$F$804,'成交明细'!$A$5:$A$804,A242,'成交明细'!$C$5:$C$804,"买")-Y242)</f>
        <v/>
      </c>
      <c r="AA242" s="53" t="str">
        <f>IF(AND(X242="已平仓",ISNUMBER(N242)),(Z242+Y242)/N242,"")</f>
        <v/>
      </c>
      <c r="AB242" s="53" t="str">
        <f>IF(AND(X242="已平仓",ISNUMBER(N242)),Z242/N242,"")</f>
        <v/>
      </c>
      <c r="AC242" s="54" t="str">
        <f>IF(AND(ISNUMBER(U242),ISNUMBER(H242)),U242-H242,"")</f>
        <v/>
      </c>
      <c r="AD242" s="27" t="n"/>
      <c r="AE242" s="27" t="n"/>
      <c r="AF242" s="32" t="n"/>
      <c r="AG242" s="53" t="str">
        <f>IF(A242="","",SUM(AB$5:AB242))</f>
        <v/>
      </c>
      <c r="AH242" s="55" t="str">
        <f>IF(A242="","",MAX(0,MAX(AG$5:AG242))-AG242)</f>
        <v/>
      </c>
    </row>
    <row r="243">
      <c r="A243" s="46" t="n"/>
      <c r="B243" s="31" t="n"/>
      <c r="C243" s="32" t="n"/>
      <c r="D243" s="27" t="n"/>
      <c r="E243" s="47" t="str">
        <f>IF(D243="","",IFERROR(VLOOKUP(D243,'参数'!$B$21:$C$26,2,FALSE),""))</f>
        <v/>
      </c>
      <c r="F243" s="27" t="n"/>
      <c r="G243" s="43" t="str">
        <f>IF(NOT(ISNUMBER(B243)),"",IFERROR(IF(B243-INDEX('每日复盘'!$A$5:$A$264,MATCH(B243-1,'每日复盘'!$A$5:$A$264,1))&gt;7,"",T(INDEX('每日复盘'!$AA$5:$AA$264,MATCH(B243-1,'每日复盘'!$A$5:$A$264,1)))),""))</f>
        <v/>
      </c>
      <c r="H243" s="48" t="n"/>
      <c r="I243" s="48" t="n"/>
      <c r="J243" s="48" t="n"/>
      <c r="K243" s="49" t="str">
        <f>IF(AND(ISNUMBER(H243),ISNUMBER(I243),ISNUMBER(J243)),IF(H243&gt;I243,(J243-H243)/(H243-I243),""),"")</f>
        <v/>
      </c>
      <c r="L243" s="44" t="str">
        <f>IF(AND(ISNUMBER(H243),ISNUMBER(I243)),IF(H243&gt;I243,MIN(INT(ROUND('参数'!$C$7/(H243-I243)/100,6))*100,IF(ISNUMBER(E243),IF(H243-ROUND(ROUND(I243*(1-E243),4),2)&gt;0,INT(ROUND('参数'!$C$8/(H243-ROUND(ROUND(I243*(1-E243),4),2))/100,6))*100,0),INT(ROUND('参数'!$C$7/(H243-I243)/100,6))*100)),""),"")</f>
        <v/>
      </c>
      <c r="M243" s="17" t="n"/>
      <c r="N243" s="20" t="str">
        <f>IF(AND(ISNUMBER(H243),ISNUMBER(I243),ISNUMBER(M243)),IF(AND(H243&gt;I243,M243&gt;0),(H243-I243)*M243,""),"")</f>
        <v/>
      </c>
      <c r="O243" s="20" t="str">
        <f>IF(ISNUMBER(N243),IF(ISNUMBER(E243),(H243-ROUND(ROUND(I243*(1-E243),4),2))*M243,"不设限"),"")</f>
        <v/>
      </c>
      <c r="P243" s="32" t="n"/>
      <c r="Q243" s="27" t="n"/>
      <c r="R243" s="42" t="str">
        <f>IF(N(T243)&gt;0,SUMPRODUCT(LARGE(('成交明细'!$A$5:$A$804=A243)*('成交明细'!$C$5:$C$804="买")*'成交明细'!$B$5:$B$804,COUNTIFS('成交明细'!$A$5:$A$804,A243,'成交明细'!$C$5:$C$804,"买"))),"")</f>
        <v/>
      </c>
      <c r="S243" s="42" t="str">
        <f>IF(AND(N(T243)&gt;0,N(V243)&gt;=N(T243)),SUMPRODUCT(MAX(('成交明细'!$A$5:$A$804=A243)*('成交明细'!$C$5:$C$804="卖")*'成交明细'!$B$5:$B$804)),"")</f>
        <v/>
      </c>
      <c r="T243" s="44" t="str">
        <f>IF(A243="","",SUMIFS('成交明细'!$E$5:$E$804,'成交明细'!$A$5:$A$804,A243,'成交明细'!$C$5:$C$804,"买"))</f>
        <v/>
      </c>
      <c r="U243" s="50" t="str">
        <f>IF(N(T243)&gt;0,SUMIFS('成交明细'!$F$5:$F$804,'成交明细'!$A$5:$A$804,A243,'成交明细'!$C$5:$C$804,"买")/T243,"")</f>
        <v/>
      </c>
      <c r="V243" s="44" t="str">
        <f>IF(A243="","",SUMIFS('成交明细'!$E$5:$E$804,'成交明细'!$A$5:$A$804,A243,'成交明细'!$C$5:$C$804,"卖"))</f>
        <v/>
      </c>
      <c r="W243" s="50" t="str">
        <f>IF(N(V243)&gt;0,SUMIFS('成交明细'!$F$5:$F$804,'成交明细'!$A$5:$A$804,A243,'成交明细'!$C$5:$C$804,"卖")/V243,"")</f>
        <v/>
      </c>
      <c r="X243" s="36" t="str">
        <f>IF(A243="","",IF(Q243&lt;&gt;"已执行",IF(Q243="","未填执行情况",Q243),IF(N(T243)=0,"待录成交",IF(N(V243)&gt;N(T243),"卖出多于买入",IF(N(V243)&lt;N(T243),"持仓中","已平仓")))))</f>
        <v/>
      </c>
      <c r="Y243" s="51" t="str">
        <f>IF(N(T243)=0,"",SUMIFS('成交明细'!$K$5:$K$804,'成交明细'!$A$5:$A$804,A243))</f>
        <v/>
      </c>
      <c r="Z243" s="52" t="str">
        <f>IF(X243&lt;&gt;"已平仓","",SUMIFS('成交明细'!$F$5:$F$804,'成交明细'!$A$5:$A$804,A243,'成交明细'!$C$5:$C$804,"卖")-SUMIFS('成交明细'!$F$5:$F$804,'成交明细'!$A$5:$A$804,A243,'成交明细'!$C$5:$C$804,"买")-Y243)</f>
        <v/>
      </c>
      <c r="AA243" s="53" t="str">
        <f>IF(AND(X243="已平仓",ISNUMBER(N243)),(Z243+Y243)/N243,"")</f>
        <v/>
      </c>
      <c r="AB243" s="53" t="str">
        <f>IF(AND(X243="已平仓",ISNUMBER(N243)),Z243/N243,"")</f>
        <v/>
      </c>
      <c r="AC243" s="54" t="str">
        <f>IF(AND(ISNUMBER(U243),ISNUMBER(H243)),U243-H243,"")</f>
        <v/>
      </c>
      <c r="AD243" s="27" t="n"/>
      <c r="AE243" s="27" t="n"/>
      <c r="AF243" s="32" t="n"/>
      <c r="AG243" s="53" t="str">
        <f>IF(A243="","",SUM(AB$5:AB243))</f>
        <v/>
      </c>
      <c r="AH243" s="55" t="str">
        <f>IF(A243="","",MAX(0,MAX(AG$5:AG243))-AG243)</f>
        <v/>
      </c>
    </row>
    <row r="244">
      <c r="A244" s="46" t="n"/>
      <c r="B244" s="31" t="n"/>
      <c r="C244" s="32" t="n"/>
      <c r="D244" s="27" t="n"/>
      <c r="E244" s="47" t="str">
        <f>IF(D244="","",IFERROR(VLOOKUP(D244,'参数'!$B$21:$C$26,2,FALSE),""))</f>
        <v/>
      </c>
      <c r="F244" s="27" t="n"/>
      <c r="G244" s="43" t="str">
        <f>IF(NOT(ISNUMBER(B244)),"",IFERROR(IF(B244-INDEX('每日复盘'!$A$5:$A$264,MATCH(B244-1,'每日复盘'!$A$5:$A$264,1))&gt;7,"",T(INDEX('每日复盘'!$AA$5:$AA$264,MATCH(B244-1,'每日复盘'!$A$5:$A$264,1)))),""))</f>
        <v/>
      </c>
      <c r="H244" s="48" t="n"/>
      <c r="I244" s="48" t="n"/>
      <c r="J244" s="48" t="n"/>
      <c r="K244" s="49" t="str">
        <f>IF(AND(ISNUMBER(H244),ISNUMBER(I244),ISNUMBER(J244)),IF(H244&gt;I244,(J244-H244)/(H244-I244),""),"")</f>
        <v/>
      </c>
      <c r="L244" s="44" t="str">
        <f>IF(AND(ISNUMBER(H244),ISNUMBER(I244)),IF(H244&gt;I244,MIN(INT(ROUND('参数'!$C$7/(H244-I244)/100,6))*100,IF(ISNUMBER(E244),IF(H244-ROUND(ROUND(I244*(1-E244),4),2)&gt;0,INT(ROUND('参数'!$C$8/(H244-ROUND(ROUND(I244*(1-E244),4),2))/100,6))*100,0),INT(ROUND('参数'!$C$7/(H244-I244)/100,6))*100)),""),"")</f>
        <v/>
      </c>
      <c r="M244" s="17" t="n"/>
      <c r="N244" s="20" t="str">
        <f>IF(AND(ISNUMBER(H244),ISNUMBER(I244),ISNUMBER(M244)),IF(AND(H244&gt;I244,M244&gt;0),(H244-I244)*M244,""),"")</f>
        <v/>
      </c>
      <c r="O244" s="20" t="str">
        <f>IF(ISNUMBER(N244),IF(ISNUMBER(E244),(H244-ROUND(ROUND(I244*(1-E244),4),2))*M244,"不设限"),"")</f>
        <v/>
      </c>
      <c r="P244" s="32" t="n"/>
      <c r="Q244" s="27" t="n"/>
      <c r="R244" s="42" t="str">
        <f>IF(N(T244)&gt;0,SUMPRODUCT(LARGE(('成交明细'!$A$5:$A$804=A244)*('成交明细'!$C$5:$C$804="买")*'成交明细'!$B$5:$B$804,COUNTIFS('成交明细'!$A$5:$A$804,A244,'成交明细'!$C$5:$C$804,"买"))),"")</f>
        <v/>
      </c>
      <c r="S244" s="42" t="str">
        <f>IF(AND(N(T244)&gt;0,N(V244)&gt;=N(T244)),SUMPRODUCT(MAX(('成交明细'!$A$5:$A$804=A244)*('成交明细'!$C$5:$C$804="卖")*'成交明细'!$B$5:$B$804)),"")</f>
        <v/>
      </c>
      <c r="T244" s="44" t="str">
        <f>IF(A244="","",SUMIFS('成交明细'!$E$5:$E$804,'成交明细'!$A$5:$A$804,A244,'成交明细'!$C$5:$C$804,"买"))</f>
        <v/>
      </c>
      <c r="U244" s="50" t="str">
        <f>IF(N(T244)&gt;0,SUMIFS('成交明细'!$F$5:$F$804,'成交明细'!$A$5:$A$804,A244,'成交明细'!$C$5:$C$804,"买")/T244,"")</f>
        <v/>
      </c>
      <c r="V244" s="44" t="str">
        <f>IF(A244="","",SUMIFS('成交明细'!$E$5:$E$804,'成交明细'!$A$5:$A$804,A244,'成交明细'!$C$5:$C$804,"卖"))</f>
        <v/>
      </c>
      <c r="W244" s="50" t="str">
        <f>IF(N(V244)&gt;0,SUMIFS('成交明细'!$F$5:$F$804,'成交明细'!$A$5:$A$804,A244,'成交明细'!$C$5:$C$804,"卖")/V244,"")</f>
        <v/>
      </c>
      <c r="X244" s="36" t="str">
        <f>IF(A244="","",IF(Q244&lt;&gt;"已执行",IF(Q244="","未填执行情况",Q244),IF(N(T244)=0,"待录成交",IF(N(V244)&gt;N(T244),"卖出多于买入",IF(N(V244)&lt;N(T244),"持仓中","已平仓")))))</f>
        <v/>
      </c>
      <c r="Y244" s="51" t="str">
        <f>IF(N(T244)=0,"",SUMIFS('成交明细'!$K$5:$K$804,'成交明细'!$A$5:$A$804,A244))</f>
        <v/>
      </c>
      <c r="Z244" s="52" t="str">
        <f>IF(X244&lt;&gt;"已平仓","",SUMIFS('成交明细'!$F$5:$F$804,'成交明细'!$A$5:$A$804,A244,'成交明细'!$C$5:$C$804,"卖")-SUMIFS('成交明细'!$F$5:$F$804,'成交明细'!$A$5:$A$804,A244,'成交明细'!$C$5:$C$804,"买")-Y244)</f>
        <v/>
      </c>
      <c r="AA244" s="53" t="str">
        <f>IF(AND(X244="已平仓",ISNUMBER(N244)),(Z244+Y244)/N244,"")</f>
        <v/>
      </c>
      <c r="AB244" s="53" t="str">
        <f>IF(AND(X244="已平仓",ISNUMBER(N244)),Z244/N244,"")</f>
        <v/>
      </c>
      <c r="AC244" s="54" t="str">
        <f>IF(AND(ISNUMBER(U244),ISNUMBER(H244)),U244-H244,"")</f>
        <v/>
      </c>
      <c r="AD244" s="27" t="n"/>
      <c r="AE244" s="27" t="n"/>
      <c r="AF244" s="32" t="n"/>
      <c r="AG244" s="53" t="str">
        <f>IF(A244="","",SUM(AB$5:AB244))</f>
        <v/>
      </c>
      <c r="AH244" s="55" t="str">
        <f>IF(A244="","",MAX(0,MAX(AG$5:AG244))-AG244)</f>
        <v/>
      </c>
    </row>
    <row r="245">
      <c r="A245" s="46" t="n"/>
      <c r="B245" s="31" t="n"/>
      <c r="C245" s="32" t="n"/>
      <c r="D245" s="27" t="n"/>
      <c r="E245" s="47" t="str">
        <f>IF(D245="","",IFERROR(VLOOKUP(D245,'参数'!$B$21:$C$26,2,FALSE),""))</f>
        <v/>
      </c>
      <c r="F245" s="27" t="n"/>
      <c r="G245" s="43" t="str">
        <f>IF(NOT(ISNUMBER(B245)),"",IFERROR(IF(B245-INDEX('每日复盘'!$A$5:$A$264,MATCH(B245-1,'每日复盘'!$A$5:$A$264,1))&gt;7,"",T(INDEX('每日复盘'!$AA$5:$AA$264,MATCH(B245-1,'每日复盘'!$A$5:$A$264,1)))),""))</f>
        <v/>
      </c>
      <c r="H245" s="48" t="n"/>
      <c r="I245" s="48" t="n"/>
      <c r="J245" s="48" t="n"/>
      <c r="K245" s="49" t="str">
        <f>IF(AND(ISNUMBER(H245),ISNUMBER(I245),ISNUMBER(J245)),IF(H245&gt;I245,(J245-H245)/(H245-I245),""),"")</f>
        <v/>
      </c>
      <c r="L245" s="44" t="str">
        <f>IF(AND(ISNUMBER(H245),ISNUMBER(I245)),IF(H245&gt;I245,MIN(INT(ROUND('参数'!$C$7/(H245-I245)/100,6))*100,IF(ISNUMBER(E245),IF(H245-ROUND(ROUND(I245*(1-E245),4),2)&gt;0,INT(ROUND('参数'!$C$8/(H245-ROUND(ROUND(I245*(1-E245),4),2))/100,6))*100,0),INT(ROUND('参数'!$C$7/(H245-I245)/100,6))*100)),""),"")</f>
        <v/>
      </c>
      <c r="M245" s="17" t="n"/>
      <c r="N245" s="20" t="str">
        <f>IF(AND(ISNUMBER(H245),ISNUMBER(I245),ISNUMBER(M245)),IF(AND(H245&gt;I245,M245&gt;0),(H245-I245)*M245,""),"")</f>
        <v/>
      </c>
      <c r="O245" s="20" t="str">
        <f>IF(ISNUMBER(N245),IF(ISNUMBER(E245),(H245-ROUND(ROUND(I245*(1-E245),4),2))*M245,"不设限"),"")</f>
        <v/>
      </c>
      <c r="P245" s="32" t="n"/>
      <c r="Q245" s="27" t="n"/>
      <c r="R245" s="42" t="str">
        <f>IF(N(T245)&gt;0,SUMPRODUCT(LARGE(('成交明细'!$A$5:$A$804=A245)*('成交明细'!$C$5:$C$804="买")*'成交明细'!$B$5:$B$804,COUNTIFS('成交明细'!$A$5:$A$804,A245,'成交明细'!$C$5:$C$804,"买"))),"")</f>
        <v/>
      </c>
      <c r="S245" s="42" t="str">
        <f>IF(AND(N(T245)&gt;0,N(V245)&gt;=N(T245)),SUMPRODUCT(MAX(('成交明细'!$A$5:$A$804=A245)*('成交明细'!$C$5:$C$804="卖")*'成交明细'!$B$5:$B$804)),"")</f>
        <v/>
      </c>
      <c r="T245" s="44" t="str">
        <f>IF(A245="","",SUMIFS('成交明细'!$E$5:$E$804,'成交明细'!$A$5:$A$804,A245,'成交明细'!$C$5:$C$804,"买"))</f>
        <v/>
      </c>
      <c r="U245" s="50" t="str">
        <f>IF(N(T245)&gt;0,SUMIFS('成交明细'!$F$5:$F$804,'成交明细'!$A$5:$A$804,A245,'成交明细'!$C$5:$C$804,"买")/T245,"")</f>
        <v/>
      </c>
      <c r="V245" s="44" t="str">
        <f>IF(A245="","",SUMIFS('成交明细'!$E$5:$E$804,'成交明细'!$A$5:$A$804,A245,'成交明细'!$C$5:$C$804,"卖"))</f>
        <v/>
      </c>
      <c r="W245" s="50" t="str">
        <f>IF(N(V245)&gt;0,SUMIFS('成交明细'!$F$5:$F$804,'成交明细'!$A$5:$A$804,A245,'成交明细'!$C$5:$C$804,"卖")/V245,"")</f>
        <v/>
      </c>
      <c r="X245" s="36" t="str">
        <f>IF(A245="","",IF(Q245&lt;&gt;"已执行",IF(Q245="","未填执行情况",Q245),IF(N(T245)=0,"待录成交",IF(N(V245)&gt;N(T245),"卖出多于买入",IF(N(V245)&lt;N(T245),"持仓中","已平仓")))))</f>
        <v/>
      </c>
      <c r="Y245" s="51" t="str">
        <f>IF(N(T245)=0,"",SUMIFS('成交明细'!$K$5:$K$804,'成交明细'!$A$5:$A$804,A245))</f>
        <v/>
      </c>
      <c r="Z245" s="52" t="str">
        <f>IF(X245&lt;&gt;"已平仓","",SUMIFS('成交明细'!$F$5:$F$804,'成交明细'!$A$5:$A$804,A245,'成交明细'!$C$5:$C$804,"卖")-SUMIFS('成交明细'!$F$5:$F$804,'成交明细'!$A$5:$A$804,A245,'成交明细'!$C$5:$C$804,"买")-Y245)</f>
        <v/>
      </c>
      <c r="AA245" s="53" t="str">
        <f>IF(AND(X245="已平仓",ISNUMBER(N245)),(Z245+Y245)/N245,"")</f>
        <v/>
      </c>
      <c r="AB245" s="53" t="str">
        <f>IF(AND(X245="已平仓",ISNUMBER(N245)),Z245/N245,"")</f>
        <v/>
      </c>
      <c r="AC245" s="54" t="str">
        <f>IF(AND(ISNUMBER(U245),ISNUMBER(H245)),U245-H245,"")</f>
        <v/>
      </c>
      <c r="AD245" s="27" t="n"/>
      <c r="AE245" s="27" t="n"/>
      <c r="AF245" s="32" t="n"/>
      <c r="AG245" s="53" t="str">
        <f>IF(A245="","",SUM(AB$5:AB245))</f>
        <v/>
      </c>
      <c r="AH245" s="55" t="str">
        <f>IF(A245="","",MAX(0,MAX(AG$5:AG245))-AG245)</f>
        <v/>
      </c>
    </row>
    <row r="246">
      <c r="A246" s="46" t="n"/>
      <c r="B246" s="31" t="n"/>
      <c r="C246" s="32" t="n"/>
      <c r="D246" s="27" t="n"/>
      <c r="E246" s="47" t="str">
        <f>IF(D246="","",IFERROR(VLOOKUP(D246,'参数'!$B$21:$C$26,2,FALSE),""))</f>
        <v/>
      </c>
      <c r="F246" s="27" t="n"/>
      <c r="G246" s="43" t="str">
        <f>IF(NOT(ISNUMBER(B246)),"",IFERROR(IF(B246-INDEX('每日复盘'!$A$5:$A$264,MATCH(B246-1,'每日复盘'!$A$5:$A$264,1))&gt;7,"",T(INDEX('每日复盘'!$AA$5:$AA$264,MATCH(B246-1,'每日复盘'!$A$5:$A$264,1)))),""))</f>
        <v/>
      </c>
      <c r="H246" s="48" t="n"/>
      <c r="I246" s="48" t="n"/>
      <c r="J246" s="48" t="n"/>
      <c r="K246" s="49" t="str">
        <f>IF(AND(ISNUMBER(H246),ISNUMBER(I246),ISNUMBER(J246)),IF(H246&gt;I246,(J246-H246)/(H246-I246),""),"")</f>
        <v/>
      </c>
      <c r="L246" s="44" t="str">
        <f>IF(AND(ISNUMBER(H246),ISNUMBER(I246)),IF(H246&gt;I246,MIN(INT(ROUND('参数'!$C$7/(H246-I246)/100,6))*100,IF(ISNUMBER(E246),IF(H246-ROUND(ROUND(I246*(1-E246),4),2)&gt;0,INT(ROUND('参数'!$C$8/(H246-ROUND(ROUND(I246*(1-E246),4),2))/100,6))*100,0),INT(ROUND('参数'!$C$7/(H246-I246)/100,6))*100)),""),"")</f>
        <v/>
      </c>
      <c r="M246" s="17" t="n"/>
      <c r="N246" s="20" t="str">
        <f>IF(AND(ISNUMBER(H246),ISNUMBER(I246),ISNUMBER(M246)),IF(AND(H246&gt;I246,M246&gt;0),(H246-I246)*M246,""),"")</f>
        <v/>
      </c>
      <c r="O246" s="20" t="str">
        <f>IF(ISNUMBER(N246),IF(ISNUMBER(E246),(H246-ROUND(ROUND(I246*(1-E246),4),2))*M246,"不设限"),"")</f>
        <v/>
      </c>
      <c r="P246" s="32" t="n"/>
      <c r="Q246" s="27" t="n"/>
      <c r="R246" s="42" t="str">
        <f>IF(N(T246)&gt;0,SUMPRODUCT(LARGE(('成交明细'!$A$5:$A$804=A246)*('成交明细'!$C$5:$C$804="买")*'成交明细'!$B$5:$B$804,COUNTIFS('成交明细'!$A$5:$A$804,A246,'成交明细'!$C$5:$C$804,"买"))),"")</f>
        <v/>
      </c>
      <c r="S246" s="42" t="str">
        <f>IF(AND(N(T246)&gt;0,N(V246)&gt;=N(T246)),SUMPRODUCT(MAX(('成交明细'!$A$5:$A$804=A246)*('成交明细'!$C$5:$C$804="卖")*'成交明细'!$B$5:$B$804)),"")</f>
        <v/>
      </c>
      <c r="T246" s="44" t="str">
        <f>IF(A246="","",SUMIFS('成交明细'!$E$5:$E$804,'成交明细'!$A$5:$A$804,A246,'成交明细'!$C$5:$C$804,"买"))</f>
        <v/>
      </c>
      <c r="U246" s="50" t="str">
        <f>IF(N(T246)&gt;0,SUMIFS('成交明细'!$F$5:$F$804,'成交明细'!$A$5:$A$804,A246,'成交明细'!$C$5:$C$804,"买")/T246,"")</f>
        <v/>
      </c>
      <c r="V246" s="44" t="str">
        <f>IF(A246="","",SUMIFS('成交明细'!$E$5:$E$804,'成交明细'!$A$5:$A$804,A246,'成交明细'!$C$5:$C$804,"卖"))</f>
        <v/>
      </c>
      <c r="W246" s="50" t="str">
        <f>IF(N(V246)&gt;0,SUMIFS('成交明细'!$F$5:$F$804,'成交明细'!$A$5:$A$804,A246,'成交明细'!$C$5:$C$804,"卖")/V246,"")</f>
        <v/>
      </c>
      <c r="X246" s="36" t="str">
        <f>IF(A246="","",IF(Q246&lt;&gt;"已执行",IF(Q246="","未填执行情况",Q246),IF(N(T246)=0,"待录成交",IF(N(V246)&gt;N(T246),"卖出多于买入",IF(N(V246)&lt;N(T246),"持仓中","已平仓")))))</f>
        <v/>
      </c>
      <c r="Y246" s="51" t="str">
        <f>IF(N(T246)=0,"",SUMIFS('成交明细'!$K$5:$K$804,'成交明细'!$A$5:$A$804,A246))</f>
        <v/>
      </c>
      <c r="Z246" s="52" t="str">
        <f>IF(X246&lt;&gt;"已平仓","",SUMIFS('成交明细'!$F$5:$F$804,'成交明细'!$A$5:$A$804,A246,'成交明细'!$C$5:$C$804,"卖")-SUMIFS('成交明细'!$F$5:$F$804,'成交明细'!$A$5:$A$804,A246,'成交明细'!$C$5:$C$804,"买")-Y246)</f>
        <v/>
      </c>
      <c r="AA246" s="53" t="str">
        <f>IF(AND(X246="已平仓",ISNUMBER(N246)),(Z246+Y246)/N246,"")</f>
        <v/>
      </c>
      <c r="AB246" s="53" t="str">
        <f>IF(AND(X246="已平仓",ISNUMBER(N246)),Z246/N246,"")</f>
        <v/>
      </c>
      <c r="AC246" s="54" t="str">
        <f>IF(AND(ISNUMBER(U246),ISNUMBER(H246)),U246-H246,"")</f>
        <v/>
      </c>
      <c r="AD246" s="27" t="n"/>
      <c r="AE246" s="27" t="n"/>
      <c r="AF246" s="32" t="n"/>
      <c r="AG246" s="53" t="str">
        <f>IF(A246="","",SUM(AB$5:AB246))</f>
        <v/>
      </c>
      <c r="AH246" s="55" t="str">
        <f>IF(A246="","",MAX(0,MAX(AG$5:AG246))-AG246)</f>
        <v/>
      </c>
    </row>
    <row r="247">
      <c r="A247" s="46" t="n"/>
      <c r="B247" s="31" t="n"/>
      <c r="C247" s="32" t="n"/>
      <c r="D247" s="27" t="n"/>
      <c r="E247" s="47" t="str">
        <f>IF(D247="","",IFERROR(VLOOKUP(D247,'参数'!$B$21:$C$26,2,FALSE),""))</f>
        <v/>
      </c>
      <c r="F247" s="27" t="n"/>
      <c r="G247" s="43" t="str">
        <f>IF(NOT(ISNUMBER(B247)),"",IFERROR(IF(B247-INDEX('每日复盘'!$A$5:$A$264,MATCH(B247-1,'每日复盘'!$A$5:$A$264,1))&gt;7,"",T(INDEX('每日复盘'!$AA$5:$AA$264,MATCH(B247-1,'每日复盘'!$A$5:$A$264,1)))),""))</f>
        <v/>
      </c>
      <c r="H247" s="48" t="n"/>
      <c r="I247" s="48" t="n"/>
      <c r="J247" s="48" t="n"/>
      <c r="K247" s="49" t="str">
        <f>IF(AND(ISNUMBER(H247),ISNUMBER(I247),ISNUMBER(J247)),IF(H247&gt;I247,(J247-H247)/(H247-I247),""),"")</f>
        <v/>
      </c>
      <c r="L247" s="44" t="str">
        <f>IF(AND(ISNUMBER(H247),ISNUMBER(I247)),IF(H247&gt;I247,MIN(INT(ROUND('参数'!$C$7/(H247-I247)/100,6))*100,IF(ISNUMBER(E247),IF(H247-ROUND(ROUND(I247*(1-E247),4),2)&gt;0,INT(ROUND('参数'!$C$8/(H247-ROUND(ROUND(I247*(1-E247),4),2))/100,6))*100,0),INT(ROUND('参数'!$C$7/(H247-I247)/100,6))*100)),""),"")</f>
        <v/>
      </c>
      <c r="M247" s="17" t="n"/>
      <c r="N247" s="20" t="str">
        <f>IF(AND(ISNUMBER(H247),ISNUMBER(I247),ISNUMBER(M247)),IF(AND(H247&gt;I247,M247&gt;0),(H247-I247)*M247,""),"")</f>
        <v/>
      </c>
      <c r="O247" s="20" t="str">
        <f>IF(ISNUMBER(N247),IF(ISNUMBER(E247),(H247-ROUND(ROUND(I247*(1-E247),4),2))*M247,"不设限"),"")</f>
        <v/>
      </c>
      <c r="P247" s="32" t="n"/>
      <c r="Q247" s="27" t="n"/>
      <c r="R247" s="42" t="str">
        <f>IF(N(T247)&gt;0,SUMPRODUCT(LARGE(('成交明细'!$A$5:$A$804=A247)*('成交明细'!$C$5:$C$804="买")*'成交明细'!$B$5:$B$804,COUNTIFS('成交明细'!$A$5:$A$804,A247,'成交明细'!$C$5:$C$804,"买"))),"")</f>
        <v/>
      </c>
      <c r="S247" s="42" t="str">
        <f>IF(AND(N(T247)&gt;0,N(V247)&gt;=N(T247)),SUMPRODUCT(MAX(('成交明细'!$A$5:$A$804=A247)*('成交明细'!$C$5:$C$804="卖")*'成交明细'!$B$5:$B$804)),"")</f>
        <v/>
      </c>
      <c r="T247" s="44" t="str">
        <f>IF(A247="","",SUMIFS('成交明细'!$E$5:$E$804,'成交明细'!$A$5:$A$804,A247,'成交明细'!$C$5:$C$804,"买"))</f>
        <v/>
      </c>
      <c r="U247" s="50" t="str">
        <f>IF(N(T247)&gt;0,SUMIFS('成交明细'!$F$5:$F$804,'成交明细'!$A$5:$A$804,A247,'成交明细'!$C$5:$C$804,"买")/T247,"")</f>
        <v/>
      </c>
      <c r="V247" s="44" t="str">
        <f>IF(A247="","",SUMIFS('成交明细'!$E$5:$E$804,'成交明细'!$A$5:$A$804,A247,'成交明细'!$C$5:$C$804,"卖"))</f>
        <v/>
      </c>
      <c r="W247" s="50" t="str">
        <f>IF(N(V247)&gt;0,SUMIFS('成交明细'!$F$5:$F$804,'成交明细'!$A$5:$A$804,A247,'成交明细'!$C$5:$C$804,"卖")/V247,"")</f>
        <v/>
      </c>
      <c r="X247" s="36" t="str">
        <f>IF(A247="","",IF(Q247&lt;&gt;"已执行",IF(Q247="","未填执行情况",Q247),IF(N(T247)=0,"待录成交",IF(N(V247)&gt;N(T247),"卖出多于买入",IF(N(V247)&lt;N(T247),"持仓中","已平仓")))))</f>
        <v/>
      </c>
      <c r="Y247" s="51" t="str">
        <f>IF(N(T247)=0,"",SUMIFS('成交明细'!$K$5:$K$804,'成交明细'!$A$5:$A$804,A247))</f>
        <v/>
      </c>
      <c r="Z247" s="52" t="str">
        <f>IF(X247&lt;&gt;"已平仓","",SUMIFS('成交明细'!$F$5:$F$804,'成交明细'!$A$5:$A$804,A247,'成交明细'!$C$5:$C$804,"卖")-SUMIFS('成交明细'!$F$5:$F$804,'成交明细'!$A$5:$A$804,A247,'成交明细'!$C$5:$C$804,"买")-Y247)</f>
        <v/>
      </c>
      <c r="AA247" s="53" t="str">
        <f>IF(AND(X247="已平仓",ISNUMBER(N247)),(Z247+Y247)/N247,"")</f>
        <v/>
      </c>
      <c r="AB247" s="53" t="str">
        <f>IF(AND(X247="已平仓",ISNUMBER(N247)),Z247/N247,"")</f>
        <v/>
      </c>
      <c r="AC247" s="54" t="str">
        <f>IF(AND(ISNUMBER(U247),ISNUMBER(H247)),U247-H247,"")</f>
        <v/>
      </c>
      <c r="AD247" s="27" t="n"/>
      <c r="AE247" s="27" t="n"/>
      <c r="AF247" s="32" t="n"/>
      <c r="AG247" s="53" t="str">
        <f>IF(A247="","",SUM(AB$5:AB247))</f>
        <v/>
      </c>
      <c r="AH247" s="55" t="str">
        <f>IF(A247="","",MAX(0,MAX(AG$5:AG247))-AG247)</f>
        <v/>
      </c>
    </row>
    <row r="248">
      <c r="A248" s="46" t="n"/>
      <c r="B248" s="31" t="n"/>
      <c r="C248" s="32" t="n"/>
      <c r="D248" s="27" t="n"/>
      <c r="E248" s="47" t="str">
        <f>IF(D248="","",IFERROR(VLOOKUP(D248,'参数'!$B$21:$C$26,2,FALSE),""))</f>
        <v/>
      </c>
      <c r="F248" s="27" t="n"/>
      <c r="G248" s="43" t="str">
        <f>IF(NOT(ISNUMBER(B248)),"",IFERROR(IF(B248-INDEX('每日复盘'!$A$5:$A$264,MATCH(B248-1,'每日复盘'!$A$5:$A$264,1))&gt;7,"",T(INDEX('每日复盘'!$AA$5:$AA$264,MATCH(B248-1,'每日复盘'!$A$5:$A$264,1)))),""))</f>
        <v/>
      </c>
      <c r="H248" s="48" t="n"/>
      <c r="I248" s="48" t="n"/>
      <c r="J248" s="48" t="n"/>
      <c r="K248" s="49" t="str">
        <f>IF(AND(ISNUMBER(H248),ISNUMBER(I248),ISNUMBER(J248)),IF(H248&gt;I248,(J248-H248)/(H248-I248),""),"")</f>
        <v/>
      </c>
      <c r="L248" s="44" t="str">
        <f>IF(AND(ISNUMBER(H248),ISNUMBER(I248)),IF(H248&gt;I248,MIN(INT(ROUND('参数'!$C$7/(H248-I248)/100,6))*100,IF(ISNUMBER(E248),IF(H248-ROUND(ROUND(I248*(1-E248),4),2)&gt;0,INT(ROUND('参数'!$C$8/(H248-ROUND(ROUND(I248*(1-E248),4),2))/100,6))*100,0),INT(ROUND('参数'!$C$7/(H248-I248)/100,6))*100)),""),"")</f>
        <v/>
      </c>
      <c r="M248" s="17" t="n"/>
      <c r="N248" s="20" t="str">
        <f>IF(AND(ISNUMBER(H248),ISNUMBER(I248),ISNUMBER(M248)),IF(AND(H248&gt;I248,M248&gt;0),(H248-I248)*M248,""),"")</f>
        <v/>
      </c>
      <c r="O248" s="20" t="str">
        <f>IF(ISNUMBER(N248),IF(ISNUMBER(E248),(H248-ROUND(ROUND(I248*(1-E248),4),2))*M248,"不设限"),"")</f>
        <v/>
      </c>
      <c r="P248" s="32" t="n"/>
      <c r="Q248" s="27" t="n"/>
      <c r="R248" s="42" t="str">
        <f>IF(N(T248)&gt;0,SUMPRODUCT(LARGE(('成交明细'!$A$5:$A$804=A248)*('成交明细'!$C$5:$C$804="买")*'成交明细'!$B$5:$B$804,COUNTIFS('成交明细'!$A$5:$A$804,A248,'成交明细'!$C$5:$C$804,"买"))),"")</f>
        <v/>
      </c>
      <c r="S248" s="42" t="str">
        <f>IF(AND(N(T248)&gt;0,N(V248)&gt;=N(T248)),SUMPRODUCT(MAX(('成交明细'!$A$5:$A$804=A248)*('成交明细'!$C$5:$C$804="卖")*'成交明细'!$B$5:$B$804)),"")</f>
        <v/>
      </c>
      <c r="T248" s="44" t="str">
        <f>IF(A248="","",SUMIFS('成交明细'!$E$5:$E$804,'成交明细'!$A$5:$A$804,A248,'成交明细'!$C$5:$C$804,"买"))</f>
        <v/>
      </c>
      <c r="U248" s="50" t="str">
        <f>IF(N(T248)&gt;0,SUMIFS('成交明细'!$F$5:$F$804,'成交明细'!$A$5:$A$804,A248,'成交明细'!$C$5:$C$804,"买")/T248,"")</f>
        <v/>
      </c>
      <c r="V248" s="44" t="str">
        <f>IF(A248="","",SUMIFS('成交明细'!$E$5:$E$804,'成交明细'!$A$5:$A$804,A248,'成交明细'!$C$5:$C$804,"卖"))</f>
        <v/>
      </c>
      <c r="W248" s="50" t="str">
        <f>IF(N(V248)&gt;0,SUMIFS('成交明细'!$F$5:$F$804,'成交明细'!$A$5:$A$804,A248,'成交明细'!$C$5:$C$804,"卖")/V248,"")</f>
        <v/>
      </c>
      <c r="X248" s="36" t="str">
        <f>IF(A248="","",IF(Q248&lt;&gt;"已执行",IF(Q248="","未填执行情况",Q248),IF(N(T248)=0,"待录成交",IF(N(V248)&gt;N(T248),"卖出多于买入",IF(N(V248)&lt;N(T248),"持仓中","已平仓")))))</f>
        <v/>
      </c>
      <c r="Y248" s="51" t="str">
        <f>IF(N(T248)=0,"",SUMIFS('成交明细'!$K$5:$K$804,'成交明细'!$A$5:$A$804,A248))</f>
        <v/>
      </c>
      <c r="Z248" s="52" t="str">
        <f>IF(X248&lt;&gt;"已平仓","",SUMIFS('成交明细'!$F$5:$F$804,'成交明细'!$A$5:$A$804,A248,'成交明细'!$C$5:$C$804,"卖")-SUMIFS('成交明细'!$F$5:$F$804,'成交明细'!$A$5:$A$804,A248,'成交明细'!$C$5:$C$804,"买")-Y248)</f>
        <v/>
      </c>
      <c r="AA248" s="53" t="str">
        <f>IF(AND(X248="已平仓",ISNUMBER(N248)),(Z248+Y248)/N248,"")</f>
        <v/>
      </c>
      <c r="AB248" s="53" t="str">
        <f>IF(AND(X248="已平仓",ISNUMBER(N248)),Z248/N248,"")</f>
        <v/>
      </c>
      <c r="AC248" s="54" t="str">
        <f>IF(AND(ISNUMBER(U248),ISNUMBER(H248)),U248-H248,"")</f>
        <v/>
      </c>
      <c r="AD248" s="27" t="n"/>
      <c r="AE248" s="27" t="n"/>
      <c r="AF248" s="32" t="n"/>
      <c r="AG248" s="53" t="str">
        <f>IF(A248="","",SUM(AB$5:AB248))</f>
        <v/>
      </c>
      <c r="AH248" s="55" t="str">
        <f>IF(A248="","",MAX(0,MAX(AG$5:AG248))-AG248)</f>
        <v/>
      </c>
    </row>
    <row r="249">
      <c r="A249" s="46" t="n"/>
      <c r="B249" s="31" t="n"/>
      <c r="C249" s="32" t="n"/>
      <c r="D249" s="27" t="n"/>
      <c r="E249" s="47" t="str">
        <f>IF(D249="","",IFERROR(VLOOKUP(D249,'参数'!$B$21:$C$26,2,FALSE),""))</f>
        <v/>
      </c>
      <c r="F249" s="27" t="n"/>
      <c r="G249" s="43" t="str">
        <f>IF(NOT(ISNUMBER(B249)),"",IFERROR(IF(B249-INDEX('每日复盘'!$A$5:$A$264,MATCH(B249-1,'每日复盘'!$A$5:$A$264,1))&gt;7,"",T(INDEX('每日复盘'!$AA$5:$AA$264,MATCH(B249-1,'每日复盘'!$A$5:$A$264,1)))),""))</f>
        <v/>
      </c>
      <c r="H249" s="48" t="n"/>
      <c r="I249" s="48" t="n"/>
      <c r="J249" s="48" t="n"/>
      <c r="K249" s="49" t="str">
        <f>IF(AND(ISNUMBER(H249),ISNUMBER(I249),ISNUMBER(J249)),IF(H249&gt;I249,(J249-H249)/(H249-I249),""),"")</f>
        <v/>
      </c>
      <c r="L249" s="44" t="str">
        <f>IF(AND(ISNUMBER(H249),ISNUMBER(I249)),IF(H249&gt;I249,MIN(INT(ROUND('参数'!$C$7/(H249-I249)/100,6))*100,IF(ISNUMBER(E249),IF(H249-ROUND(ROUND(I249*(1-E249),4),2)&gt;0,INT(ROUND('参数'!$C$8/(H249-ROUND(ROUND(I249*(1-E249),4),2))/100,6))*100,0),INT(ROUND('参数'!$C$7/(H249-I249)/100,6))*100)),""),"")</f>
        <v/>
      </c>
      <c r="M249" s="17" t="n"/>
      <c r="N249" s="20" t="str">
        <f>IF(AND(ISNUMBER(H249),ISNUMBER(I249),ISNUMBER(M249)),IF(AND(H249&gt;I249,M249&gt;0),(H249-I249)*M249,""),"")</f>
        <v/>
      </c>
      <c r="O249" s="20" t="str">
        <f>IF(ISNUMBER(N249),IF(ISNUMBER(E249),(H249-ROUND(ROUND(I249*(1-E249),4),2))*M249,"不设限"),"")</f>
        <v/>
      </c>
      <c r="P249" s="32" t="n"/>
      <c r="Q249" s="27" t="n"/>
      <c r="R249" s="42" t="str">
        <f>IF(N(T249)&gt;0,SUMPRODUCT(LARGE(('成交明细'!$A$5:$A$804=A249)*('成交明细'!$C$5:$C$804="买")*'成交明细'!$B$5:$B$804,COUNTIFS('成交明细'!$A$5:$A$804,A249,'成交明细'!$C$5:$C$804,"买"))),"")</f>
        <v/>
      </c>
      <c r="S249" s="42" t="str">
        <f>IF(AND(N(T249)&gt;0,N(V249)&gt;=N(T249)),SUMPRODUCT(MAX(('成交明细'!$A$5:$A$804=A249)*('成交明细'!$C$5:$C$804="卖")*'成交明细'!$B$5:$B$804)),"")</f>
        <v/>
      </c>
      <c r="T249" s="44" t="str">
        <f>IF(A249="","",SUMIFS('成交明细'!$E$5:$E$804,'成交明细'!$A$5:$A$804,A249,'成交明细'!$C$5:$C$804,"买"))</f>
        <v/>
      </c>
      <c r="U249" s="50" t="str">
        <f>IF(N(T249)&gt;0,SUMIFS('成交明细'!$F$5:$F$804,'成交明细'!$A$5:$A$804,A249,'成交明细'!$C$5:$C$804,"买")/T249,"")</f>
        <v/>
      </c>
      <c r="V249" s="44" t="str">
        <f>IF(A249="","",SUMIFS('成交明细'!$E$5:$E$804,'成交明细'!$A$5:$A$804,A249,'成交明细'!$C$5:$C$804,"卖"))</f>
        <v/>
      </c>
      <c r="W249" s="50" t="str">
        <f>IF(N(V249)&gt;0,SUMIFS('成交明细'!$F$5:$F$804,'成交明细'!$A$5:$A$804,A249,'成交明细'!$C$5:$C$804,"卖")/V249,"")</f>
        <v/>
      </c>
      <c r="X249" s="36" t="str">
        <f>IF(A249="","",IF(Q249&lt;&gt;"已执行",IF(Q249="","未填执行情况",Q249),IF(N(T249)=0,"待录成交",IF(N(V249)&gt;N(T249),"卖出多于买入",IF(N(V249)&lt;N(T249),"持仓中","已平仓")))))</f>
        <v/>
      </c>
      <c r="Y249" s="51" t="str">
        <f>IF(N(T249)=0,"",SUMIFS('成交明细'!$K$5:$K$804,'成交明细'!$A$5:$A$804,A249))</f>
        <v/>
      </c>
      <c r="Z249" s="52" t="str">
        <f>IF(X249&lt;&gt;"已平仓","",SUMIFS('成交明细'!$F$5:$F$804,'成交明细'!$A$5:$A$804,A249,'成交明细'!$C$5:$C$804,"卖")-SUMIFS('成交明细'!$F$5:$F$804,'成交明细'!$A$5:$A$804,A249,'成交明细'!$C$5:$C$804,"买")-Y249)</f>
        <v/>
      </c>
      <c r="AA249" s="53" t="str">
        <f>IF(AND(X249="已平仓",ISNUMBER(N249)),(Z249+Y249)/N249,"")</f>
        <v/>
      </c>
      <c r="AB249" s="53" t="str">
        <f>IF(AND(X249="已平仓",ISNUMBER(N249)),Z249/N249,"")</f>
        <v/>
      </c>
      <c r="AC249" s="54" t="str">
        <f>IF(AND(ISNUMBER(U249),ISNUMBER(H249)),U249-H249,"")</f>
        <v/>
      </c>
      <c r="AD249" s="27" t="n"/>
      <c r="AE249" s="27" t="n"/>
      <c r="AF249" s="32" t="n"/>
      <c r="AG249" s="53" t="str">
        <f>IF(A249="","",SUM(AB$5:AB249))</f>
        <v/>
      </c>
      <c r="AH249" s="55" t="str">
        <f>IF(A249="","",MAX(0,MAX(AG$5:AG249))-AG249)</f>
        <v/>
      </c>
    </row>
    <row r="250">
      <c r="A250" s="46" t="n"/>
      <c r="B250" s="31" t="n"/>
      <c r="C250" s="32" t="n"/>
      <c r="D250" s="27" t="n"/>
      <c r="E250" s="47" t="str">
        <f>IF(D250="","",IFERROR(VLOOKUP(D250,'参数'!$B$21:$C$26,2,FALSE),""))</f>
        <v/>
      </c>
      <c r="F250" s="27" t="n"/>
      <c r="G250" s="43" t="str">
        <f>IF(NOT(ISNUMBER(B250)),"",IFERROR(IF(B250-INDEX('每日复盘'!$A$5:$A$264,MATCH(B250-1,'每日复盘'!$A$5:$A$264,1))&gt;7,"",T(INDEX('每日复盘'!$AA$5:$AA$264,MATCH(B250-1,'每日复盘'!$A$5:$A$264,1)))),""))</f>
        <v/>
      </c>
      <c r="H250" s="48" t="n"/>
      <c r="I250" s="48" t="n"/>
      <c r="J250" s="48" t="n"/>
      <c r="K250" s="49" t="str">
        <f>IF(AND(ISNUMBER(H250),ISNUMBER(I250),ISNUMBER(J250)),IF(H250&gt;I250,(J250-H250)/(H250-I250),""),"")</f>
        <v/>
      </c>
      <c r="L250" s="44" t="str">
        <f>IF(AND(ISNUMBER(H250),ISNUMBER(I250)),IF(H250&gt;I250,MIN(INT(ROUND('参数'!$C$7/(H250-I250)/100,6))*100,IF(ISNUMBER(E250),IF(H250-ROUND(ROUND(I250*(1-E250),4),2)&gt;0,INT(ROUND('参数'!$C$8/(H250-ROUND(ROUND(I250*(1-E250),4),2))/100,6))*100,0),INT(ROUND('参数'!$C$7/(H250-I250)/100,6))*100)),""),"")</f>
        <v/>
      </c>
      <c r="M250" s="17" t="n"/>
      <c r="N250" s="20" t="str">
        <f>IF(AND(ISNUMBER(H250),ISNUMBER(I250),ISNUMBER(M250)),IF(AND(H250&gt;I250,M250&gt;0),(H250-I250)*M250,""),"")</f>
        <v/>
      </c>
      <c r="O250" s="20" t="str">
        <f>IF(ISNUMBER(N250),IF(ISNUMBER(E250),(H250-ROUND(ROUND(I250*(1-E250),4),2))*M250,"不设限"),"")</f>
        <v/>
      </c>
      <c r="P250" s="32" t="n"/>
      <c r="Q250" s="27" t="n"/>
      <c r="R250" s="42" t="str">
        <f>IF(N(T250)&gt;0,SUMPRODUCT(LARGE(('成交明细'!$A$5:$A$804=A250)*('成交明细'!$C$5:$C$804="买")*'成交明细'!$B$5:$B$804,COUNTIFS('成交明细'!$A$5:$A$804,A250,'成交明细'!$C$5:$C$804,"买"))),"")</f>
        <v/>
      </c>
      <c r="S250" s="42" t="str">
        <f>IF(AND(N(T250)&gt;0,N(V250)&gt;=N(T250)),SUMPRODUCT(MAX(('成交明细'!$A$5:$A$804=A250)*('成交明细'!$C$5:$C$804="卖")*'成交明细'!$B$5:$B$804)),"")</f>
        <v/>
      </c>
      <c r="T250" s="44" t="str">
        <f>IF(A250="","",SUMIFS('成交明细'!$E$5:$E$804,'成交明细'!$A$5:$A$804,A250,'成交明细'!$C$5:$C$804,"买"))</f>
        <v/>
      </c>
      <c r="U250" s="50" t="str">
        <f>IF(N(T250)&gt;0,SUMIFS('成交明细'!$F$5:$F$804,'成交明细'!$A$5:$A$804,A250,'成交明细'!$C$5:$C$804,"买")/T250,"")</f>
        <v/>
      </c>
      <c r="V250" s="44" t="str">
        <f>IF(A250="","",SUMIFS('成交明细'!$E$5:$E$804,'成交明细'!$A$5:$A$804,A250,'成交明细'!$C$5:$C$804,"卖"))</f>
        <v/>
      </c>
      <c r="W250" s="50" t="str">
        <f>IF(N(V250)&gt;0,SUMIFS('成交明细'!$F$5:$F$804,'成交明细'!$A$5:$A$804,A250,'成交明细'!$C$5:$C$804,"卖")/V250,"")</f>
        <v/>
      </c>
      <c r="X250" s="36" t="str">
        <f>IF(A250="","",IF(Q250&lt;&gt;"已执行",IF(Q250="","未填执行情况",Q250),IF(N(T250)=0,"待录成交",IF(N(V250)&gt;N(T250),"卖出多于买入",IF(N(V250)&lt;N(T250),"持仓中","已平仓")))))</f>
        <v/>
      </c>
      <c r="Y250" s="51" t="str">
        <f>IF(N(T250)=0,"",SUMIFS('成交明细'!$K$5:$K$804,'成交明细'!$A$5:$A$804,A250))</f>
        <v/>
      </c>
      <c r="Z250" s="52" t="str">
        <f>IF(X250&lt;&gt;"已平仓","",SUMIFS('成交明细'!$F$5:$F$804,'成交明细'!$A$5:$A$804,A250,'成交明细'!$C$5:$C$804,"卖")-SUMIFS('成交明细'!$F$5:$F$804,'成交明细'!$A$5:$A$804,A250,'成交明细'!$C$5:$C$804,"买")-Y250)</f>
        <v/>
      </c>
      <c r="AA250" s="53" t="str">
        <f>IF(AND(X250="已平仓",ISNUMBER(N250)),(Z250+Y250)/N250,"")</f>
        <v/>
      </c>
      <c r="AB250" s="53" t="str">
        <f>IF(AND(X250="已平仓",ISNUMBER(N250)),Z250/N250,"")</f>
        <v/>
      </c>
      <c r="AC250" s="54" t="str">
        <f>IF(AND(ISNUMBER(U250),ISNUMBER(H250)),U250-H250,"")</f>
        <v/>
      </c>
      <c r="AD250" s="27" t="n"/>
      <c r="AE250" s="27" t="n"/>
      <c r="AF250" s="32" t="n"/>
      <c r="AG250" s="53" t="str">
        <f>IF(A250="","",SUM(AB$5:AB250))</f>
        <v/>
      </c>
      <c r="AH250" s="55" t="str">
        <f>IF(A250="","",MAX(0,MAX(AG$5:AG250))-AG250)</f>
        <v/>
      </c>
    </row>
    <row r="251">
      <c r="A251" s="46" t="n"/>
      <c r="B251" s="31" t="n"/>
      <c r="C251" s="32" t="n"/>
      <c r="D251" s="27" t="n"/>
      <c r="E251" s="47" t="str">
        <f>IF(D251="","",IFERROR(VLOOKUP(D251,'参数'!$B$21:$C$26,2,FALSE),""))</f>
        <v/>
      </c>
      <c r="F251" s="27" t="n"/>
      <c r="G251" s="43" t="str">
        <f>IF(NOT(ISNUMBER(B251)),"",IFERROR(IF(B251-INDEX('每日复盘'!$A$5:$A$264,MATCH(B251-1,'每日复盘'!$A$5:$A$264,1))&gt;7,"",T(INDEX('每日复盘'!$AA$5:$AA$264,MATCH(B251-1,'每日复盘'!$A$5:$A$264,1)))),""))</f>
        <v/>
      </c>
      <c r="H251" s="48" t="n"/>
      <c r="I251" s="48" t="n"/>
      <c r="J251" s="48" t="n"/>
      <c r="K251" s="49" t="str">
        <f>IF(AND(ISNUMBER(H251),ISNUMBER(I251),ISNUMBER(J251)),IF(H251&gt;I251,(J251-H251)/(H251-I251),""),"")</f>
        <v/>
      </c>
      <c r="L251" s="44" t="str">
        <f>IF(AND(ISNUMBER(H251),ISNUMBER(I251)),IF(H251&gt;I251,MIN(INT(ROUND('参数'!$C$7/(H251-I251)/100,6))*100,IF(ISNUMBER(E251),IF(H251-ROUND(ROUND(I251*(1-E251),4),2)&gt;0,INT(ROUND('参数'!$C$8/(H251-ROUND(ROUND(I251*(1-E251),4),2))/100,6))*100,0),INT(ROUND('参数'!$C$7/(H251-I251)/100,6))*100)),""),"")</f>
        <v/>
      </c>
      <c r="M251" s="17" t="n"/>
      <c r="N251" s="20" t="str">
        <f>IF(AND(ISNUMBER(H251),ISNUMBER(I251),ISNUMBER(M251)),IF(AND(H251&gt;I251,M251&gt;0),(H251-I251)*M251,""),"")</f>
        <v/>
      </c>
      <c r="O251" s="20" t="str">
        <f>IF(ISNUMBER(N251),IF(ISNUMBER(E251),(H251-ROUND(ROUND(I251*(1-E251),4),2))*M251,"不设限"),"")</f>
        <v/>
      </c>
      <c r="P251" s="32" t="n"/>
      <c r="Q251" s="27" t="n"/>
      <c r="R251" s="42" t="str">
        <f>IF(N(T251)&gt;0,SUMPRODUCT(LARGE(('成交明细'!$A$5:$A$804=A251)*('成交明细'!$C$5:$C$804="买")*'成交明细'!$B$5:$B$804,COUNTIFS('成交明细'!$A$5:$A$804,A251,'成交明细'!$C$5:$C$804,"买"))),"")</f>
        <v/>
      </c>
      <c r="S251" s="42" t="str">
        <f>IF(AND(N(T251)&gt;0,N(V251)&gt;=N(T251)),SUMPRODUCT(MAX(('成交明细'!$A$5:$A$804=A251)*('成交明细'!$C$5:$C$804="卖")*'成交明细'!$B$5:$B$804)),"")</f>
        <v/>
      </c>
      <c r="T251" s="44" t="str">
        <f>IF(A251="","",SUMIFS('成交明细'!$E$5:$E$804,'成交明细'!$A$5:$A$804,A251,'成交明细'!$C$5:$C$804,"买"))</f>
        <v/>
      </c>
      <c r="U251" s="50" t="str">
        <f>IF(N(T251)&gt;0,SUMIFS('成交明细'!$F$5:$F$804,'成交明细'!$A$5:$A$804,A251,'成交明细'!$C$5:$C$804,"买")/T251,"")</f>
        <v/>
      </c>
      <c r="V251" s="44" t="str">
        <f>IF(A251="","",SUMIFS('成交明细'!$E$5:$E$804,'成交明细'!$A$5:$A$804,A251,'成交明细'!$C$5:$C$804,"卖"))</f>
        <v/>
      </c>
      <c r="W251" s="50" t="str">
        <f>IF(N(V251)&gt;0,SUMIFS('成交明细'!$F$5:$F$804,'成交明细'!$A$5:$A$804,A251,'成交明细'!$C$5:$C$804,"卖")/V251,"")</f>
        <v/>
      </c>
      <c r="X251" s="36" t="str">
        <f>IF(A251="","",IF(Q251&lt;&gt;"已执行",IF(Q251="","未填执行情况",Q251),IF(N(T251)=0,"待录成交",IF(N(V251)&gt;N(T251),"卖出多于买入",IF(N(V251)&lt;N(T251),"持仓中","已平仓")))))</f>
        <v/>
      </c>
      <c r="Y251" s="51" t="str">
        <f>IF(N(T251)=0,"",SUMIFS('成交明细'!$K$5:$K$804,'成交明细'!$A$5:$A$804,A251))</f>
        <v/>
      </c>
      <c r="Z251" s="52" t="str">
        <f>IF(X251&lt;&gt;"已平仓","",SUMIFS('成交明细'!$F$5:$F$804,'成交明细'!$A$5:$A$804,A251,'成交明细'!$C$5:$C$804,"卖")-SUMIFS('成交明细'!$F$5:$F$804,'成交明细'!$A$5:$A$804,A251,'成交明细'!$C$5:$C$804,"买")-Y251)</f>
        <v/>
      </c>
      <c r="AA251" s="53" t="str">
        <f>IF(AND(X251="已平仓",ISNUMBER(N251)),(Z251+Y251)/N251,"")</f>
        <v/>
      </c>
      <c r="AB251" s="53" t="str">
        <f>IF(AND(X251="已平仓",ISNUMBER(N251)),Z251/N251,"")</f>
        <v/>
      </c>
      <c r="AC251" s="54" t="str">
        <f>IF(AND(ISNUMBER(U251),ISNUMBER(H251)),U251-H251,"")</f>
        <v/>
      </c>
      <c r="AD251" s="27" t="n"/>
      <c r="AE251" s="27" t="n"/>
      <c r="AF251" s="32" t="n"/>
      <c r="AG251" s="53" t="str">
        <f>IF(A251="","",SUM(AB$5:AB251))</f>
        <v/>
      </c>
      <c r="AH251" s="55" t="str">
        <f>IF(A251="","",MAX(0,MAX(AG$5:AG251))-AG251)</f>
        <v/>
      </c>
    </row>
    <row r="252">
      <c r="A252" s="46" t="n"/>
      <c r="B252" s="31" t="n"/>
      <c r="C252" s="32" t="n"/>
      <c r="D252" s="27" t="n"/>
      <c r="E252" s="47" t="str">
        <f>IF(D252="","",IFERROR(VLOOKUP(D252,'参数'!$B$21:$C$26,2,FALSE),""))</f>
        <v/>
      </c>
      <c r="F252" s="27" t="n"/>
      <c r="G252" s="43" t="str">
        <f>IF(NOT(ISNUMBER(B252)),"",IFERROR(IF(B252-INDEX('每日复盘'!$A$5:$A$264,MATCH(B252-1,'每日复盘'!$A$5:$A$264,1))&gt;7,"",T(INDEX('每日复盘'!$AA$5:$AA$264,MATCH(B252-1,'每日复盘'!$A$5:$A$264,1)))),""))</f>
        <v/>
      </c>
      <c r="H252" s="48" t="n"/>
      <c r="I252" s="48" t="n"/>
      <c r="J252" s="48" t="n"/>
      <c r="K252" s="49" t="str">
        <f>IF(AND(ISNUMBER(H252),ISNUMBER(I252),ISNUMBER(J252)),IF(H252&gt;I252,(J252-H252)/(H252-I252),""),"")</f>
        <v/>
      </c>
      <c r="L252" s="44" t="str">
        <f>IF(AND(ISNUMBER(H252),ISNUMBER(I252)),IF(H252&gt;I252,MIN(INT(ROUND('参数'!$C$7/(H252-I252)/100,6))*100,IF(ISNUMBER(E252),IF(H252-ROUND(ROUND(I252*(1-E252),4),2)&gt;0,INT(ROUND('参数'!$C$8/(H252-ROUND(ROUND(I252*(1-E252),4),2))/100,6))*100,0),INT(ROUND('参数'!$C$7/(H252-I252)/100,6))*100)),""),"")</f>
        <v/>
      </c>
      <c r="M252" s="17" t="n"/>
      <c r="N252" s="20" t="str">
        <f>IF(AND(ISNUMBER(H252),ISNUMBER(I252),ISNUMBER(M252)),IF(AND(H252&gt;I252,M252&gt;0),(H252-I252)*M252,""),"")</f>
        <v/>
      </c>
      <c r="O252" s="20" t="str">
        <f>IF(ISNUMBER(N252),IF(ISNUMBER(E252),(H252-ROUND(ROUND(I252*(1-E252),4),2))*M252,"不设限"),"")</f>
        <v/>
      </c>
      <c r="P252" s="32" t="n"/>
      <c r="Q252" s="27" t="n"/>
      <c r="R252" s="42" t="str">
        <f>IF(N(T252)&gt;0,SUMPRODUCT(LARGE(('成交明细'!$A$5:$A$804=A252)*('成交明细'!$C$5:$C$804="买")*'成交明细'!$B$5:$B$804,COUNTIFS('成交明细'!$A$5:$A$804,A252,'成交明细'!$C$5:$C$804,"买"))),"")</f>
        <v/>
      </c>
      <c r="S252" s="42" t="str">
        <f>IF(AND(N(T252)&gt;0,N(V252)&gt;=N(T252)),SUMPRODUCT(MAX(('成交明细'!$A$5:$A$804=A252)*('成交明细'!$C$5:$C$804="卖")*'成交明细'!$B$5:$B$804)),"")</f>
        <v/>
      </c>
      <c r="T252" s="44" t="str">
        <f>IF(A252="","",SUMIFS('成交明细'!$E$5:$E$804,'成交明细'!$A$5:$A$804,A252,'成交明细'!$C$5:$C$804,"买"))</f>
        <v/>
      </c>
      <c r="U252" s="50" t="str">
        <f>IF(N(T252)&gt;0,SUMIFS('成交明细'!$F$5:$F$804,'成交明细'!$A$5:$A$804,A252,'成交明细'!$C$5:$C$804,"买")/T252,"")</f>
        <v/>
      </c>
      <c r="V252" s="44" t="str">
        <f>IF(A252="","",SUMIFS('成交明细'!$E$5:$E$804,'成交明细'!$A$5:$A$804,A252,'成交明细'!$C$5:$C$804,"卖"))</f>
        <v/>
      </c>
      <c r="W252" s="50" t="str">
        <f>IF(N(V252)&gt;0,SUMIFS('成交明细'!$F$5:$F$804,'成交明细'!$A$5:$A$804,A252,'成交明细'!$C$5:$C$804,"卖")/V252,"")</f>
        <v/>
      </c>
      <c r="X252" s="36" t="str">
        <f>IF(A252="","",IF(Q252&lt;&gt;"已执行",IF(Q252="","未填执行情况",Q252),IF(N(T252)=0,"待录成交",IF(N(V252)&gt;N(T252),"卖出多于买入",IF(N(V252)&lt;N(T252),"持仓中","已平仓")))))</f>
        <v/>
      </c>
      <c r="Y252" s="51" t="str">
        <f>IF(N(T252)=0,"",SUMIFS('成交明细'!$K$5:$K$804,'成交明细'!$A$5:$A$804,A252))</f>
        <v/>
      </c>
      <c r="Z252" s="52" t="str">
        <f>IF(X252&lt;&gt;"已平仓","",SUMIFS('成交明细'!$F$5:$F$804,'成交明细'!$A$5:$A$804,A252,'成交明细'!$C$5:$C$804,"卖")-SUMIFS('成交明细'!$F$5:$F$804,'成交明细'!$A$5:$A$804,A252,'成交明细'!$C$5:$C$804,"买")-Y252)</f>
        <v/>
      </c>
      <c r="AA252" s="53" t="str">
        <f>IF(AND(X252="已平仓",ISNUMBER(N252)),(Z252+Y252)/N252,"")</f>
        <v/>
      </c>
      <c r="AB252" s="53" t="str">
        <f>IF(AND(X252="已平仓",ISNUMBER(N252)),Z252/N252,"")</f>
        <v/>
      </c>
      <c r="AC252" s="54" t="str">
        <f>IF(AND(ISNUMBER(U252),ISNUMBER(H252)),U252-H252,"")</f>
        <v/>
      </c>
      <c r="AD252" s="27" t="n"/>
      <c r="AE252" s="27" t="n"/>
      <c r="AF252" s="32" t="n"/>
      <c r="AG252" s="53" t="str">
        <f>IF(A252="","",SUM(AB$5:AB252))</f>
        <v/>
      </c>
      <c r="AH252" s="55" t="str">
        <f>IF(A252="","",MAX(0,MAX(AG$5:AG252))-AG252)</f>
        <v/>
      </c>
    </row>
    <row r="253">
      <c r="A253" s="46" t="n"/>
      <c r="B253" s="31" t="n"/>
      <c r="C253" s="32" t="n"/>
      <c r="D253" s="27" t="n"/>
      <c r="E253" s="47" t="str">
        <f>IF(D253="","",IFERROR(VLOOKUP(D253,'参数'!$B$21:$C$26,2,FALSE),""))</f>
        <v/>
      </c>
      <c r="F253" s="27" t="n"/>
      <c r="G253" s="43" t="str">
        <f>IF(NOT(ISNUMBER(B253)),"",IFERROR(IF(B253-INDEX('每日复盘'!$A$5:$A$264,MATCH(B253-1,'每日复盘'!$A$5:$A$264,1))&gt;7,"",T(INDEX('每日复盘'!$AA$5:$AA$264,MATCH(B253-1,'每日复盘'!$A$5:$A$264,1)))),""))</f>
        <v/>
      </c>
      <c r="H253" s="48" t="n"/>
      <c r="I253" s="48" t="n"/>
      <c r="J253" s="48" t="n"/>
      <c r="K253" s="49" t="str">
        <f>IF(AND(ISNUMBER(H253),ISNUMBER(I253),ISNUMBER(J253)),IF(H253&gt;I253,(J253-H253)/(H253-I253),""),"")</f>
        <v/>
      </c>
      <c r="L253" s="44" t="str">
        <f>IF(AND(ISNUMBER(H253),ISNUMBER(I253)),IF(H253&gt;I253,MIN(INT(ROUND('参数'!$C$7/(H253-I253)/100,6))*100,IF(ISNUMBER(E253),IF(H253-ROUND(ROUND(I253*(1-E253),4),2)&gt;0,INT(ROUND('参数'!$C$8/(H253-ROUND(ROUND(I253*(1-E253),4),2))/100,6))*100,0),INT(ROUND('参数'!$C$7/(H253-I253)/100,6))*100)),""),"")</f>
        <v/>
      </c>
      <c r="M253" s="17" t="n"/>
      <c r="N253" s="20" t="str">
        <f>IF(AND(ISNUMBER(H253),ISNUMBER(I253),ISNUMBER(M253)),IF(AND(H253&gt;I253,M253&gt;0),(H253-I253)*M253,""),"")</f>
        <v/>
      </c>
      <c r="O253" s="20" t="str">
        <f>IF(ISNUMBER(N253),IF(ISNUMBER(E253),(H253-ROUND(ROUND(I253*(1-E253),4),2))*M253,"不设限"),"")</f>
        <v/>
      </c>
      <c r="P253" s="32" t="n"/>
      <c r="Q253" s="27" t="n"/>
      <c r="R253" s="42" t="str">
        <f>IF(N(T253)&gt;0,SUMPRODUCT(LARGE(('成交明细'!$A$5:$A$804=A253)*('成交明细'!$C$5:$C$804="买")*'成交明细'!$B$5:$B$804,COUNTIFS('成交明细'!$A$5:$A$804,A253,'成交明细'!$C$5:$C$804,"买"))),"")</f>
        <v/>
      </c>
      <c r="S253" s="42" t="str">
        <f>IF(AND(N(T253)&gt;0,N(V253)&gt;=N(T253)),SUMPRODUCT(MAX(('成交明细'!$A$5:$A$804=A253)*('成交明细'!$C$5:$C$804="卖")*'成交明细'!$B$5:$B$804)),"")</f>
        <v/>
      </c>
      <c r="T253" s="44" t="str">
        <f>IF(A253="","",SUMIFS('成交明细'!$E$5:$E$804,'成交明细'!$A$5:$A$804,A253,'成交明细'!$C$5:$C$804,"买"))</f>
        <v/>
      </c>
      <c r="U253" s="50" t="str">
        <f>IF(N(T253)&gt;0,SUMIFS('成交明细'!$F$5:$F$804,'成交明细'!$A$5:$A$804,A253,'成交明细'!$C$5:$C$804,"买")/T253,"")</f>
        <v/>
      </c>
      <c r="V253" s="44" t="str">
        <f>IF(A253="","",SUMIFS('成交明细'!$E$5:$E$804,'成交明细'!$A$5:$A$804,A253,'成交明细'!$C$5:$C$804,"卖"))</f>
        <v/>
      </c>
      <c r="W253" s="50" t="str">
        <f>IF(N(V253)&gt;0,SUMIFS('成交明细'!$F$5:$F$804,'成交明细'!$A$5:$A$804,A253,'成交明细'!$C$5:$C$804,"卖")/V253,"")</f>
        <v/>
      </c>
      <c r="X253" s="36" t="str">
        <f>IF(A253="","",IF(Q253&lt;&gt;"已执行",IF(Q253="","未填执行情况",Q253),IF(N(T253)=0,"待录成交",IF(N(V253)&gt;N(T253),"卖出多于买入",IF(N(V253)&lt;N(T253),"持仓中","已平仓")))))</f>
        <v/>
      </c>
      <c r="Y253" s="51" t="str">
        <f>IF(N(T253)=0,"",SUMIFS('成交明细'!$K$5:$K$804,'成交明细'!$A$5:$A$804,A253))</f>
        <v/>
      </c>
      <c r="Z253" s="52" t="str">
        <f>IF(X253&lt;&gt;"已平仓","",SUMIFS('成交明细'!$F$5:$F$804,'成交明细'!$A$5:$A$804,A253,'成交明细'!$C$5:$C$804,"卖")-SUMIFS('成交明细'!$F$5:$F$804,'成交明细'!$A$5:$A$804,A253,'成交明细'!$C$5:$C$804,"买")-Y253)</f>
        <v/>
      </c>
      <c r="AA253" s="53" t="str">
        <f>IF(AND(X253="已平仓",ISNUMBER(N253)),(Z253+Y253)/N253,"")</f>
        <v/>
      </c>
      <c r="AB253" s="53" t="str">
        <f>IF(AND(X253="已平仓",ISNUMBER(N253)),Z253/N253,"")</f>
        <v/>
      </c>
      <c r="AC253" s="54" t="str">
        <f>IF(AND(ISNUMBER(U253),ISNUMBER(H253)),U253-H253,"")</f>
        <v/>
      </c>
      <c r="AD253" s="27" t="n"/>
      <c r="AE253" s="27" t="n"/>
      <c r="AF253" s="32" t="n"/>
      <c r="AG253" s="53" t="str">
        <f>IF(A253="","",SUM(AB$5:AB253))</f>
        <v/>
      </c>
      <c r="AH253" s="55" t="str">
        <f>IF(A253="","",MAX(0,MAX(AG$5:AG253))-AG253)</f>
        <v/>
      </c>
    </row>
    <row r="254">
      <c r="A254" s="46" t="n"/>
      <c r="B254" s="31" t="n"/>
      <c r="C254" s="32" t="n"/>
      <c r="D254" s="27" t="n"/>
      <c r="E254" s="47" t="str">
        <f>IF(D254="","",IFERROR(VLOOKUP(D254,'参数'!$B$21:$C$26,2,FALSE),""))</f>
        <v/>
      </c>
      <c r="F254" s="27" t="n"/>
      <c r="G254" s="43" t="str">
        <f>IF(NOT(ISNUMBER(B254)),"",IFERROR(IF(B254-INDEX('每日复盘'!$A$5:$A$264,MATCH(B254-1,'每日复盘'!$A$5:$A$264,1))&gt;7,"",T(INDEX('每日复盘'!$AA$5:$AA$264,MATCH(B254-1,'每日复盘'!$A$5:$A$264,1)))),""))</f>
        <v/>
      </c>
      <c r="H254" s="48" t="n"/>
      <c r="I254" s="48" t="n"/>
      <c r="J254" s="48" t="n"/>
      <c r="K254" s="49" t="str">
        <f>IF(AND(ISNUMBER(H254),ISNUMBER(I254),ISNUMBER(J254)),IF(H254&gt;I254,(J254-H254)/(H254-I254),""),"")</f>
        <v/>
      </c>
      <c r="L254" s="44" t="str">
        <f>IF(AND(ISNUMBER(H254),ISNUMBER(I254)),IF(H254&gt;I254,MIN(INT(ROUND('参数'!$C$7/(H254-I254)/100,6))*100,IF(ISNUMBER(E254),IF(H254-ROUND(ROUND(I254*(1-E254),4),2)&gt;0,INT(ROUND('参数'!$C$8/(H254-ROUND(ROUND(I254*(1-E254),4),2))/100,6))*100,0),INT(ROUND('参数'!$C$7/(H254-I254)/100,6))*100)),""),"")</f>
        <v/>
      </c>
      <c r="M254" s="17" t="n"/>
      <c r="N254" s="20" t="str">
        <f>IF(AND(ISNUMBER(H254),ISNUMBER(I254),ISNUMBER(M254)),IF(AND(H254&gt;I254,M254&gt;0),(H254-I254)*M254,""),"")</f>
        <v/>
      </c>
      <c r="O254" s="20" t="str">
        <f>IF(ISNUMBER(N254),IF(ISNUMBER(E254),(H254-ROUND(ROUND(I254*(1-E254),4),2))*M254,"不设限"),"")</f>
        <v/>
      </c>
      <c r="P254" s="32" t="n"/>
      <c r="Q254" s="27" t="n"/>
      <c r="R254" s="42" t="str">
        <f>IF(N(T254)&gt;0,SUMPRODUCT(LARGE(('成交明细'!$A$5:$A$804=A254)*('成交明细'!$C$5:$C$804="买")*'成交明细'!$B$5:$B$804,COUNTIFS('成交明细'!$A$5:$A$804,A254,'成交明细'!$C$5:$C$804,"买"))),"")</f>
        <v/>
      </c>
      <c r="S254" s="42" t="str">
        <f>IF(AND(N(T254)&gt;0,N(V254)&gt;=N(T254)),SUMPRODUCT(MAX(('成交明细'!$A$5:$A$804=A254)*('成交明细'!$C$5:$C$804="卖")*'成交明细'!$B$5:$B$804)),"")</f>
        <v/>
      </c>
      <c r="T254" s="44" t="str">
        <f>IF(A254="","",SUMIFS('成交明细'!$E$5:$E$804,'成交明细'!$A$5:$A$804,A254,'成交明细'!$C$5:$C$804,"买"))</f>
        <v/>
      </c>
      <c r="U254" s="50" t="str">
        <f>IF(N(T254)&gt;0,SUMIFS('成交明细'!$F$5:$F$804,'成交明细'!$A$5:$A$804,A254,'成交明细'!$C$5:$C$804,"买")/T254,"")</f>
        <v/>
      </c>
      <c r="V254" s="44" t="str">
        <f>IF(A254="","",SUMIFS('成交明细'!$E$5:$E$804,'成交明细'!$A$5:$A$804,A254,'成交明细'!$C$5:$C$804,"卖"))</f>
        <v/>
      </c>
      <c r="W254" s="50" t="str">
        <f>IF(N(V254)&gt;0,SUMIFS('成交明细'!$F$5:$F$804,'成交明细'!$A$5:$A$804,A254,'成交明细'!$C$5:$C$804,"卖")/V254,"")</f>
        <v/>
      </c>
      <c r="X254" s="36" t="str">
        <f>IF(A254="","",IF(Q254&lt;&gt;"已执行",IF(Q254="","未填执行情况",Q254),IF(N(T254)=0,"待录成交",IF(N(V254)&gt;N(T254),"卖出多于买入",IF(N(V254)&lt;N(T254),"持仓中","已平仓")))))</f>
        <v/>
      </c>
      <c r="Y254" s="51" t="str">
        <f>IF(N(T254)=0,"",SUMIFS('成交明细'!$K$5:$K$804,'成交明细'!$A$5:$A$804,A254))</f>
        <v/>
      </c>
      <c r="Z254" s="52" t="str">
        <f>IF(X254&lt;&gt;"已平仓","",SUMIFS('成交明细'!$F$5:$F$804,'成交明细'!$A$5:$A$804,A254,'成交明细'!$C$5:$C$804,"卖")-SUMIFS('成交明细'!$F$5:$F$804,'成交明细'!$A$5:$A$804,A254,'成交明细'!$C$5:$C$804,"买")-Y254)</f>
        <v/>
      </c>
      <c r="AA254" s="53" t="str">
        <f>IF(AND(X254="已平仓",ISNUMBER(N254)),(Z254+Y254)/N254,"")</f>
        <v/>
      </c>
      <c r="AB254" s="53" t="str">
        <f>IF(AND(X254="已平仓",ISNUMBER(N254)),Z254/N254,"")</f>
        <v/>
      </c>
      <c r="AC254" s="54" t="str">
        <f>IF(AND(ISNUMBER(U254),ISNUMBER(H254)),U254-H254,"")</f>
        <v/>
      </c>
      <c r="AD254" s="27" t="n"/>
      <c r="AE254" s="27" t="n"/>
      <c r="AF254" s="32" t="n"/>
      <c r="AG254" s="53" t="str">
        <f>IF(A254="","",SUM(AB$5:AB254))</f>
        <v/>
      </c>
      <c r="AH254" s="55" t="str">
        <f>IF(A254="","",MAX(0,MAX(AG$5:AG254))-AG254)</f>
        <v/>
      </c>
    </row>
    <row r="255">
      <c r="A255" s="46" t="n"/>
      <c r="B255" s="31" t="n"/>
      <c r="C255" s="32" t="n"/>
      <c r="D255" s="27" t="n"/>
      <c r="E255" s="47" t="str">
        <f>IF(D255="","",IFERROR(VLOOKUP(D255,'参数'!$B$21:$C$26,2,FALSE),""))</f>
        <v/>
      </c>
      <c r="F255" s="27" t="n"/>
      <c r="G255" s="43" t="str">
        <f>IF(NOT(ISNUMBER(B255)),"",IFERROR(IF(B255-INDEX('每日复盘'!$A$5:$A$264,MATCH(B255-1,'每日复盘'!$A$5:$A$264,1))&gt;7,"",T(INDEX('每日复盘'!$AA$5:$AA$264,MATCH(B255-1,'每日复盘'!$A$5:$A$264,1)))),""))</f>
        <v/>
      </c>
      <c r="H255" s="48" t="n"/>
      <c r="I255" s="48" t="n"/>
      <c r="J255" s="48" t="n"/>
      <c r="K255" s="49" t="str">
        <f>IF(AND(ISNUMBER(H255),ISNUMBER(I255),ISNUMBER(J255)),IF(H255&gt;I255,(J255-H255)/(H255-I255),""),"")</f>
        <v/>
      </c>
      <c r="L255" s="44" t="str">
        <f>IF(AND(ISNUMBER(H255),ISNUMBER(I255)),IF(H255&gt;I255,MIN(INT(ROUND('参数'!$C$7/(H255-I255)/100,6))*100,IF(ISNUMBER(E255),IF(H255-ROUND(ROUND(I255*(1-E255),4),2)&gt;0,INT(ROUND('参数'!$C$8/(H255-ROUND(ROUND(I255*(1-E255),4),2))/100,6))*100,0),INT(ROUND('参数'!$C$7/(H255-I255)/100,6))*100)),""),"")</f>
        <v/>
      </c>
      <c r="M255" s="17" t="n"/>
      <c r="N255" s="20" t="str">
        <f>IF(AND(ISNUMBER(H255),ISNUMBER(I255),ISNUMBER(M255)),IF(AND(H255&gt;I255,M255&gt;0),(H255-I255)*M255,""),"")</f>
        <v/>
      </c>
      <c r="O255" s="20" t="str">
        <f>IF(ISNUMBER(N255),IF(ISNUMBER(E255),(H255-ROUND(ROUND(I255*(1-E255),4),2))*M255,"不设限"),"")</f>
        <v/>
      </c>
      <c r="P255" s="32" t="n"/>
      <c r="Q255" s="27" t="n"/>
      <c r="R255" s="42" t="str">
        <f>IF(N(T255)&gt;0,SUMPRODUCT(LARGE(('成交明细'!$A$5:$A$804=A255)*('成交明细'!$C$5:$C$804="买")*'成交明细'!$B$5:$B$804,COUNTIFS('成交明细'!$A$5:$A$804,A255,'成交明细'!$C$5:$C$804,"买"))),"")</f>
        <v/>
      </c>
      <c r="S255" s="42" t="str">
        <f>IF(AND(N(T255)&gt;0,N(V255)&gt;=N(T255)),SUMPRODUCT(MAX(('成交明细'!$A$5:$A$804=A255)*('成交明细'!$C$5:$C$804="卖")*'成交明细'!$B$5:$B$804)),"")</f>
        <v/>
      </c>
      <c r="T255" s="44" t="str">
        <f>IF(A255="","",SUMIFS('成交明细'!$E$5:$E$804,'成交明细'!$A$5:$A$804,A255,'成交明细'!$C$5:$C$804,"买"))</f>
        <v/>
      </c>
      <c r="U255" s="50" t="str">
        <f>IF(N(T255)&gt;0,SUMIFS('成交明细'!$F$5:$F$804,'成交明细'!$A$5:$A$804,A255,'成交明细'!$C$5:$C$804,"买")/T255,"")</f>
        <v/>
      </c>
      <c r="V255" s="44" t="str">
        <f>IF(A255="","",SUMIFS('成交明细'!$E$5:$E$804,'成交明细'!$A$5:$A$804,A255,'成交明细'!$C$5:$C$804,"卖"))</f>
        <v/>
      </c>
      <c r="W255" s="50" t="str">
        <f>IF(N(V255)&gt;0,SUMIFS('成交明细'!$F$5:$F$804,'成交明细'!$A$5:$A$804,A255,'成交明细'!$C$5:$C$804,"卖")/V255,"")</f>
        <v/>
      </c>
      <c r="X255" s="36" t="str">
        <f>IF(A255="","",IF(Q255&lt;&gt;"已执行",IF(Q255="","未填执行情况",Q255),IF(N(T255)=0,"待录成交",IF(N(V255)&gt;N(T255),"卖出多于买入",IF(N(V255)&lt;N(T255),"持仓中","已平仓")))))</f>
        <v/>
      </c>
      <c r="Y255" s="51" t="str">
        <f>IF(N(T255)=0,"",SUMIFS('成交明细'!$K$5:$K$804,'成交明细'!$A$5:$A$804,A255))</f>
        <v/>
      </c>
      <c r="Z255" s="52" t="str">
        <f>IF(X255&lt;&gt;"已平仓","",SUMIFS('成交明细'!$F$5:$F$804,'成交明细'!$A$5:$A$804,A255,'成交明细'!$C$5:$C$804,"卖")-SUMIFS('成交明细'!$F$5:$F$804,'成交明细'!$A$5:$A$804,A255,'成交明细'!$C$5:$C$804,"买")-Y255)</f>
        <v/>
      </c>
      <c r="AA255" s="53" t="str">
        <f>IF(AND(X255="已平仓",ISNUMBER(N255)),(Z255+Y255)/N255,"")</f>
        <v/>
      </c>
      <c r="AB255" s="53" t="str">
        <f>IF(AND(X255="已平仓",ISNUMBER(N255)),Z255/N255,"")</f>
        <v/>
      </c>
      <c r="AC255" s="54" t="str">
        <f>IF(AND(ISNUMBER(U255),ISNUMBER(H255)),U255-H255,"")</f>
        <v/>
      </c>
      <c r="AD255" s="27" t="n"/>
      <c r="AE255" s="27" t="n"/>
      <c r="AF255" s="32" t="n"/>
      <c r="AG255" s="53" t="str">
        <f>IF(A255="","",SUM(AB$5:AB255))</f>
        <v/>
      </c>
      <c r="AH255" s="55" t="str">
        <f>IF(A255="","",MAX(0,MAX(AG$5:AG255))-AG255)</f>
        <v/>
      </c>
    </row>
    <row r="256">
      <c r="A256" s="46" t="n"/>
      <c r="B256" s="31" t="n"/>
      <c r="C256" s="32" t="n"/>
      <c r="D256" s="27" t="n"/>
      <c r="E256" s="47" t="str">
        <f>IF(D256="","",IFERROR(VLOOKUP(D256,'参数'!$B$21:$C$26,2,FALSE),""))</f>
        <v/>
      </c>
      <c r="F256" s="27" t="n"/>
      <c r="G256" s="43" t="str">
        <f>IF(NOT(ISNUMBER(B256)),"",IFERROR(IF(B256-INDEX('每日复盘'!$A$5:$A$264,MATCH(B256-1,'每日复盘'!$A$5:$A$264,1))&gt;7,"",T(INDEX('每日复盘'!$AA$5:$AA$264,MATCH(B256-1,'每日复盘'!$A$5:$A$264,1)))),""))</f>
        <v/>
      </c>
      <c r="H256" s="48" t="n"/>
      <c r="I256" s="48" t="n"/>
      <c r="J256" s="48" t="n"/>
      <c r="K256" s="49" t="str">
        <f>IF(AND(ISNUMBER(H256),ISNUMBER(I256),ISNUMBER(J256)),IF(H256&gt;I256,(J256-H256)/(H256-I256),""),"")</f>
        <v/>
      </c>
      <c r="L256" s="44" t="str">
        <f>IF(AND(ISNUMBER(H256),ISNUMBER(I256)),IF(H256&gt;I256,MIN(INT(ROUND('参数'!$C$7/(H256-I256)/100,6))*100,IF(ISNUMBER(E256),IF(H256-ROUND(ROUND(I256*(1-E256),4),2)&gt;0,INT(ROUND('参数'!$C$8/(H256-ROUND(ROUND(I256*(1-E256),4),2))/100,6))*100,0),INT(ROUND('参数'!$C$7/(H256-I256)/100,6))*100)),""),"")</f>
        <v/>
      </c>
      <c r="M256" s="17" t="n"/>
      <c r="N256" s="20" t="str">
        <f>IF(AND(ISNUMBER(H256),ISNUMBER(I256),ISNUMBER(M256)),IF(AND(H256&gt;I256,M256&gt;0),(H256-I256)*M256,""),"")</f>
        <v/>
      </c>
      <c r="O256" s="20" t="str">
        <f>IF(ISNUMBER(N256),IF(ISNUMBER(E256),(H256-ROUND(ROUND(I256*(1-E256),4),2))*M256,"不设限"),"")</f>
        <v/>
      </c>
      <c r="P256" s="32" t="n"/>
      <c r="Q256" s="27" t="n"/>
      <c r="R256" s="42" t="str">
        <f>IF(N(T256)&gt;0,SUMPRODUCT(LARGE(('成交明细'!$A$5:$A$804=A256)*('成交明细'!$C$5:$C$804="买")*'成交明细'!$B$5:$B$804,COUNTIFS('成交明细'!$A$5:$A$804,A256,'成交明细'!$C$5:$C$804,"买"))),"")</f>
        <v/>
      </c>
      <c r="S256" s="42" t="str">
        <f>IF(AND(N(T256)&gt;0,N(V256)&gt;=N(T256)),SUMPRODUCT(MAX(('成交明细'!$A$5:$A$804=A256)*('成交明细'!$C$5:$C$804="卖")*'成交明细'!$B$5:$B$804)),"")</f>
        <v/>
      </c>
      <c r="T256" s="44" t="str">
        <f>IF(A256="","",SUMIFS('成交明细'!$E$5:$E$804,'成交明细'!$A$5:$A$804,A256,'成交明细'!$C$5:$C$804,"买"))</f>
        <v/>
      </c>
      <c r="U256" s="50" t="str">
        <f>IF(N(T256)&gt;0,SUMIFS('成交明细'!$F$5:$F$804,'成交明细'!$A$5:$A$804,A256,'成交明细'!$C$5:$C$804,"买")/T256,"")</f>
        <v/>
      </c>
      <c r="V256" s="44" t="str">
        <f>IF(A256="","",SUMIFS('成交明细'!$E$5:$E$804,'成交明细'!$A$5:$A$804,A256,'成交明细'!$C$5:$C$804,"卖"))</f>
        <v/>
      </c>
      <c r="W256" s="50" t="str">
        <f>IF(N(V256)&gt;0,SUMIFS('成交明细'!$F$5:$F$804,'成交明细'!$A$5:$A$804,A256,'成交明细'!$C$5:$C$804,"卖")/V256,"")</f>
        <v/>
      </c>
      <c r="X256" s="36" t="str">
        <f>IF(A256="","",IF(Q256&lt;&gt;"已执行",IF(Q256="","未填执行情况",Q256),IF(N(T256)=0,"待录成交",IF(N(V256)&gt;N(T256),"卖出多于买入",IF(N(V256)&lt;N(T256),"持仓中","已平仓")))))</f>
        <v/>
      </c>
      <c r="Y256" s="51" t="str">
        <f>IF(N(T256)=0,"",SUMIFS('成交明细'!$K$5:$K$804,'成交明细'!$A$5:$A$804,A256))</f>
        <v/>
      </c>
      <c r="Z256" s="52" t="str">
        <f>IF(X256&lt;&gt;"已平仓","",SUMIFS('成交明细'!$F$5:$F$804,'成交明细'!$A$5:$A$804,A256,'成交明细'!$C$5:$C$804,"卖")-SUMIFS('成交明细'!$F$5:$F$804,'成交明细'!$A$5:$A$804,A256,'成交明细'!$C$5:$C$804,"买")-Y256)</f>
        <v/>
      </c>
      <c r="AA256" s="53" t="str">
        <f>IF(AND(X256="已平仓",ISNUMBER(N256)),(Z256+Y256)/N256,"")</f>
        <v/>
      </c>
      <c r="AB256" s="53" t="str">
        <f>IF(AND(X256="已平仓",ISNUMBER(N256)),Z256/N256,"")</f>
        <v/>
      </c>
      <c r="AC256" s="54" t="str">
        <f>IF(AND(ISNUMBER(U256),ISNUMBER(H256)),U256-H256,"")</f>
        <v/>
      </c>
      <c r="AD256" s="27" t="n"/>
      <c r="AE256" s="27" t="n"/>
      <c r="AF256" s="32" t="n"/>
      <c r="AG256" s="53" t="str">
        <f>IF(A256="","",SUM(AB$5:AB256))</f>
        <v/>
      </c>
      <c r="AH256" s="55" t="str">
        <f>IF(A256="","",MAX(0,MAX(AG$5:AG256))-AG256)</f>
        <v/>
      </c>
    </row>
    <row r="257">
      <c r="A257" s="46" t="n"/>
      <c r="B257" s="31" t="n"/>
      <c r="C257" s="32" t="n"/>
      <c r="D257" s="27" t="n"/>
      <c r="E257" s="47" t="str">
        <f>IF(D257="","",IFERROR(VLOOKUP(D257,'参数'!$B$21:$C$26,2,FALSE),""))</f>
        <v/>
      </c>
      <c r="F257" s="27" t="n"/>
      <c r="G257" s="43" t="str">
        <f>IF(NOT(ISNUMBER(B257)),"",IFERROR(IF(B257-INDEX('每日复盘'!$A$5:$A$264,MATCH(B257-1,'每日复盘'!$A$5:$A$264,1))&gt;7,"",T(INDEX('每日复盘'!$AA$5:$AA$264,MATCH(B257-1,'每日复盘'!$A$5:$A$264,1)))),""))</f>
        <v/>
      </c>
      <c r="H257" s="48" t="n"/>
      <c r="I257" s="48" t="n"/>
      <c r="J257" s="48" t="n"/>
      <c r="K257" s="49" t="str">
        <f>IF(AND(ISNUMBER(H257),ISNUMBER(I257),ISNUMBER(J257)),IF(H257&gt;I257,(J257-H257)/(H257-I257),""),"")</f>
        <v/>
      </c>
      <c r="L257" s="44" t="str">
        <f>IF(AND(ISNUMBER(H257),ISNUMBER(I257)),IF(H257&gt;I257,MIN(INT(ROUND('参数'!$C$7/(H257-I257)/100,6))*100,IF(ISNUMBER(E257),IF(H257-ROUND(ROUND(I257*(1-E257),4),2)&gt;0,INT(ROUND('参数'!$C$8/(H257-ROUND(ROUND(I257*(1-E257),4),2))/100,6))*100,0),INT(ROUND('参数'!$C$7/(H257-I257)/100,6))*100)),""),"")</f>
        <v/>
      </c>
      <c r="M257" s="17" t="n"/>
      <c r="N257" s="20" t="str">
        <f>IF(AND(ISNUMBER(H257),ISNUMBER(I257),ISNUMBER(M257)),IF(AND(H257&gt;I257,M257&gt;0),(H257-I257)*M257,""),"")</f>
        <v/>
      </c>
      <c r="O257" s="20" t="str">
        <f>IF(ISNUMBER(N257),IF(ISNUMBER(E257),(H257-ROUND(ROUND(I257*(1-E257),4),2))*M257,"不设限"),"")</f>
        <v/>
      </c>
      <c r="P257" s="32" t="n"/>
      <c r="Q257" s="27" t="n"/>
      <c r="R257" s="42" t="str">
        <f>IF(N(T257)&gt;0,SUMPRODUCT(LARGE(('成交明细'!$A$5:$A$804=A257)*('成交明细'!$C$5:$C$804="买")*'成交明细'!$B$5:$B$804,COUNTIFS('成交明细'!$A$5:$A$804,A257,'成交明细'!$C$5:$C$804,"买"))),"")</f>
        <v/>
      </c>
      <c r="S257" s="42" t="str">
        <f>IF(AND(N(T257)&gt;0,N(V257)&gt;=N(T257)),SUMPRODUCT(MAX(('成交明细'!$A$5:$A$804=A257)*('成交明细'!$C$5:$C$804="卖")*'成交明细'!$B$5:$B$804)),"")</f>
        <v/>
      </c>
      <c r="T257" s="44" t="str">
        <f>IF(A257="","",SUMIFS('成交明细'!$E$5:$E$804,'成交明细'!$A$5:$A$804,A257,'成交明细'!$C$5:$C$804,"买"))</f>
        <v/>
      </c>
      <c r="U257" s="50" t="str">
        <f>IF(N(T257)&gt;0,SUMIFS('成交明细'!$F$5:$F$804,'成交明细'!$A$5:$A$804,A257,'成交明细'!$C$5:$C$804,"买")/T257,"")</f>
        <v/>
      </c>
      <c r="V257" s="44" t="str">
        <f>IF(A257="","",SUMIFS('成交明细'!$E$5:$E$804,'成交明细'!$A$5:$A$804,A257,'成交明细'!$C$5:$C$804,"卖"))</f>
        <v/>
      </c>
      <c r="W257" s="50" t="str">
        <f>IF(N(V257)&gt;0,SUMIFS('成交明细'!$F$5:$F$804,'成交明细'!$A$5:$A$804,A257,'成交明细'!$C$5:$C$804,"卖")/V257,"")</f>
        <v/>
      </c>
      <c r="X257" s="36" t="str">
        <f>IF(A257="","",IF(Q257&lt;&gt;"已执行",IF(Q257="","未填执行情况",Q257),IF(N(T257)=0,"待录成交",IF(N(V257)&gt;N(T257),"卖出多于买入",IF(N(V257)&lt;N(T257),"持仓中","已平仓")))))</f>
        <v/>
      </c>
      <c r="Y257" s="51" t="str">
        <f>IF(N(T257)=0,"",SUMIFS('成交明细'!$K$5:$K$804,'成交明细'!$A$5:$A$804,A257))</f>
        <v/>
      </c>
      <c r="Z257" s="52" t="str">
        <f>IF(X257&lt;&gt;"已平仓","",SUMIFS('成交明细'!$F$5:$F$804,'成交明细'!$A$5:$A$804,A257,'成交明细'!$C$5:$C$804,"卖")-SUMIFS('成交明细'!$F$5:$F$804,'成交明细'!$A$5:$A$804,A257,'成交明细'!$C$5:$C$804,"买")-Y257)</f>
        <v/>
      </c>
      <c r="AA257" s="53" t="str">
        <f>IF(AND(X257="已平仓",ISNUMBER(N257)),(Z257+Y257)/N257,"")</f>
        <v/>
      </c>
      <c r="AB257" s="53" t="str">
        <f>IF(AND(X257="已平仓",ISNUMBER(N257)),Z257/N257,"")</f>
        <v/>
      </c>
      <c r="AC257" s="54" t="str">
        <f>IF(AND(ISNUMBER(U257),ISNUMBER(H257)),U257-H257,"")</f>
        <v/>
      </c>
      <c r="AD257" s="27" t="n"/>
      <c r="AE257" s="27" t="n"/>
      <c r="AF257" s="32" t="n"/>
      <c r="AG257" s="53" t="str">
        <f>IF(A257="","",SUM(AB$5:AB257))</f>
        <v/>
      </c>
      <c r="AH257" s="55" t="str">
        <f>IF(A257="","",MAX(0,MAX(AG$5:AG257))-AG257)</f>
        <v/>
      </c>
    </row>
    <row r="258">
      <c r="A258" s="46" t="n"/>
      <c r="B258" s="31" t="n"/>
      <c r="C258" s="32" t="n"/>
      <c r="D258" s="27" t="n"/>
      <c r="E258" s="47" t="str">
        <f>IF(D258="","",IFERROR(VLOOKUP(D258,'参数'!$B$21:$C$26,2,FALSE),""))</f>
        <v/>
      </c>
      <c r="F258" s="27" t="n"/>
      <c r="G258" s="43" t="str">
        <f>IF(NOT(ISNUMBER(B258)),"",IFERROR(IF(B258-INDEX('每日复盘'!$A$5:$A$264,MATCH(B258-1,'每日复盘'!$A$5:$A$264,1))&gt;7,"",T(INDEX('每日复盘'!$AA$5:$AA$264,MATCH(B258-1,'每日复盘'!$A$5:$A$264,1)))),""))</f>
        <v/>
      </c>
      <c r="H258" s="48" t="n"/>
      <c r="I258" s="48" t="n"/>
      <c r="J258" s="48" t="n"/>
      <c r="K258" s="49" t="str">
        <f>IF(AND(ISNUMBER(H258),ISNUMBER(I258),ISNUMBER(J258)),IF(H258&gt;I258,(J258-H258)/(H258-I258),""),"")</f>
        <v/>
      </c>
      <c r="L258" s="44" t="str">
        <f>IF(AND(ISNUMBER(H258),ISNUMBER(I258)),IF(H258&gt;I258,MIN(INT(ROUND('参数'!$C$7/(H258-I258)/100,6))*100,IF(ISNUMBER(E258),IF(H258-ROUND(ROUND(I258*(1-E258),4),2)&gt;0,INT(ROUND('参数'!$C$8/(H258-ROUND(ROUND(I258*(1-E258),4),2))/100,6))*100,0),INT(ROUND('参数'!$C$7/(H258-I258)/100,6))*100)),""),"")</f>
        <v/>
      </c>
      <c r="M258" s="17" t="n"/>
      <c r="N258" s="20" t="str">
        <f>IF(AND(ISNUMBER(H258),ISNUMBER(I258),ISNUMBER(M258)),IF(AND(H258&gt;I258,M258&gt;0),(H258-I258)*M258,""),"")</f>
        <v/>
      </c>
      <c r="O258" s="20" t="str">
        <f>IF(ISNUMBER(N258),IF(ISNUMBER(E258),(H258-ROUND(ROUND(I258*(1-E258),4),2))*M258,"不设限"),"")</f>
        <v/>
      </c>
      <c r="P258" s="32" t="n"/>
      <c r="Q258" s="27" t="n"/>
      <c r="R258" s="42" t="str">
        <f>IF(N(T258)&gt;0,SUMPRODUCT(LARGE(('成交明细'!$A$5:$A$804=A258)*('成交明细'!$C$5:$C$804="买")*'成交明细'!$B$5:$B$804,COUNTIFS('成交明细'!$A$5:$A$804,A258,'成交明细'!$C$5:$C$804,"买"))),"")</f>
        <v/>
      </c>
      <c r="S258" s="42" t="str">
        <f>IF(AND(N(T258)&gt;0,N(V258)&gt;=N(T258)),SUMPRODUCT(MAX(('成交明细'!$A$5:$A$804=A258)*('成交明细'!$C$5:$C$804="卖")*'成交明细'!$B$5:$B$804)),"")</f>
        <v/>
      </c>
      <c r="T258" s="44" t="str">
        <f>IF(A258="","",SUMIFS('成交明细'!$E$5:$E$804,'成交明细'!$A$5:$A$804,A258,'成交明细'!$C$5:$C$804,"买"))</f>
        <v/>
      </c>
      <c r="U258" s="50" t="str">
        <f>IF(N(T258)&gt;0,SUMIFS('成交明细'!$F$5:$F$804,'成交明细'!$A$5:$A$804,A258,'成交明细'!$C$5:$C$804,"买")/T258,"")</f>
        <v/>
      </c>
      <c r="V258" s="44" t="str">
        <f>IF(A258="","",SUMIFS('成交明细'!$E$5:$E$804,'成交明细'!$A$5:$A$804,A258,'成交明细'!$C$5:$C$804,"卖"))</f>
        <v/>
      </c>
      <c r="W258" s="50" t="str">
        <f>IF(N(V258)&gt;0,SUMIFS('成交明细'!$F$5:$F$804,'成交明细'!$A$5:$A$804,A258,'成交明细'!$C$5:$C$804,"卖")/V258,"")</f>
        <v/>
      </c>
      <c r="X258" s="36" t="str">
        <f>IF(A258="","",IF(Q258&lt;&gt;"已执行",IF(Q258="","未填执行情况",Q258),IF(N(T258)=0,"待录成交",IF(N(V258)&gt;N(T258),"卖出多于买入",IF(N(V258)&lt;N(T258),"持仓中","已平仓")))))</f>
        <v/>
      </c>
      <c r="Y258" s="51" t="str">
        <f>IF(N(T258)=0,"",SUMIFS('成交明细'!$K$5:$K$804,'成交明细'!$A$5:$A$804,A258))</f>
        <v/>
      </c>
      <c r="Z258" s="52" t="str">
        <f>IF(X258&lt;&gt;"已平仓","",SUMIFS('成交明细'!$F$5:$F$804,'成交明细'!$A$5:$A$804,A258,'成交明细'!$C$5:$C$804,"卖")-SUMIFS('成交明细'!$F$5:$F$804,'成交明细'!$A$5:$A$804,A258,'成交明细'!$C$5:$C$804,"买")-Y258)</f>
        <v/>
      </c>
      <c r="AA258" s="53" t="str">
        <f>IF(AND(X258="已平仓",ISNUMBER(N258)),(Z258+Y258)/N258,"")</f>
        <v/>
      </c>
      <c r="AB258" s="53" t="str">
        <f>IF(AND(X258="已平仓",ISNUMBER(N258)),Z258/N258,"")</f>
        <v/>
      </c>
      <c r="AC258" s="54" t="str">
        <f>IF(AND(ISNUMBER(U258),ISNUMBER(H258)),U258-H258,"")</f>
        <v/>
      </c>
      <c r="AD258" s="27" t="n"/>
      <c r="AE258" s="27" t="n"/>
      <c r="AF258" s="32" t="n"/>
      <c r="AG258" s="53" t="str">
        <f>IF(A258="","",SUM(AB$5:AB258))</f>
        <v/>
      </c>
      <c r="AH258" s="55" t="str">
        <f>IF(A258="","",MAX(0,MAX(AG$5:AG258))-AG258)</f>
        <v/>
      </c>
    </row>
    <row r="259">
      <c r="A259" s="46" t="n"/>
      <c r="B259" s="31" t="n"/>
      <c r="C259" s="32" t="n"/>
      <c r="D259" s="27" t="n"/>
      <c r="E259" s="47" t="str">
        <f>IF(D259="","",IFERROR(VLOOKUP(D259,'参数'!$B$21:$C$26,2,FALSE),""))</f>
        <v/>
      </c>
      <c r="F259" s="27" t="n"/>
      <c r="G259" s="43" t="str">
        <f>IF(NOT(ISNUMBER(B259)),"",IFERROR(IF(B259-INDEX('每日复盘'!$A$5:$A$264,MATCH(B259-1,'每日复盘'!$A$5:$A$264,1))&gt;7,"",T(INDEX('每日复盘'!$AA$5:$AA$264,MATCH(B259-1,'每日复盘'!$A$5:$A$264,1)))),""))</f>
        <v/>
      </c>
      <c r="H259" s="48" t="n"/>
      <c r="I259" s="48" t="n"/>
      <c r="J259" s="48" t="n"/>
      <c r="K259" s="49" t="str">
        <f>IF(AND(ISNUMBER(H259),ISNUMBER(I259),ISNUMBER(J259)),IF(H259&gt;I259,(J259-H259)/(H259-I259),""),"")</f>
        <v/>
      </c>
      <c r="L259" s="44" t="str">
        <f>IF(AND(ISNUMBER(H259),ISNUMBER(I259)),IF(H259&gt;I259,MIN(INT(ROUND('参数'!$C$7/(H259-I259)/100,6))*100,IF(ISNUMBER(E259),IF(H259-ROUND(ROUND(I259*(1-E259),4),2)&gt;0,INT(ROUND('参数'!$C$8/(H259-ROUND(ROUND(I259*(1-E259),4),2))/100,6))*100,0),INT(ROUND('参数'!$C$7/(H259-I259)/100,6))*100)),""),"")</f>
        <v/>
      </c>
      <c r="M259" s="17" t="n"/>
      <c r="N259" s="20" t="str">
        <f>IF(AND(ISNUMBER(H259),ISNUMBER(I259),ISNUMBER(M259)),IF(AND(H259&gt;I259,M259&gt;0),(H259-I259)*M259,""),"")</f>
        <v/>
      </c>
      <c r="O259" s="20" t="str">
        <f>IF(ISNUMBER(N259),IF(ISNUMBER(E259),(H259-ROUND(ROUND(I259*(1-E259),4),2))*M259,"不设限"),"")</f>
        <v/>
      </c>
      <c r="P259" s="32" t="n"/>
      <c r="Q259" s="27" t="n"/>
      <c r="R259" s="42" t="str">
        <f>IF(N(T259)&gt;0,SUMPRODUCT(LARGE(('成交明细'!$A$5:$A$804=A259)*('成交明细'!$C$5:$C$804="买")*'成交明细'!$B$5:$B$804,COUNTIFS('成交明细'!$A$5:$A$804,A259,'成交明细'!$C$5:$C$804,"买"))),"")</f>
        <v/>
      </c>
      <c r="S259" s="42" t="str">
        <f>IF(AND(N(T259)&gt;0,N(V259)&gt;=N(T259)),SUMPRODUCT(MAX(('成交明细'!$A$5:$A$804=A259)*('成交明细'!$C$5:$C$804="卖")*'成交明细'!$B$5:$B$804)),"")</f>
        <v/>
      </c>
      <c r="T259" s="44" t="str">
        <f>IF(A259="","",SUMIFS('成交明细'!$E$5:$E$804,'成交明细'!$A$5:$A$804,A259,'成交明细'!$C$5:$C$804,"买"))</f>
        <v/>
      </c>
      <c r="U259" s="50" t="str">
        <f>IF(N(T259)&gt;0,SUMIFS('成交明细'!$F$5:$F$804,'成交明细'!$A$5:$A$804,A259,'成交明细'!$C$5:$C$804,"买")/T259,"")</f>
        <v/>
      </c>
      <c r="V259" s="44" t="str">
        <f>IF(A259="","",SUMIFS('成交明细'!$E$5:$E$804,'成交明细'!$A$5:$A$804,A259,'成交明细'!$C$5:$C$804,"卖"))</f>
        <v/>
      </c>
      <c r="W259" s="50" t="str">
        <f>IF(N(V259)&gt;0,SUMIFS('成交明细'!$F$5:$F$804,'成交明细'!$A$5:$A$804,A259,'成交明细'!$C$5:$C$804,"卖")/V259,"")</f>
        <v/>
      </c>
      <c r="X259" s="36" t="str">
        <f>IF(A259="","",IF(Q259&lt;&gt;"已执行",IF(Q259="","未填执行情况",Q259),IF(N(T259)=0,"待录成交",IF(N(V259)&gt;N(T259),"卖出多于买入",IF(N(V259)&lt;N(T259),"持仓中","已平仓")))))</f>
        <v/>
      </c>
      <c r="Y259" s="51" t="str">
        <f>IF(N(T259)=0,"",SUMIFS('成交明细'!$K$5:$K$804,'成交明细'!$A$5:$A$804,A259))</f>
        <v/>
      </c>
      <c r="Z259" s="52" t="str">
        <f>IF(X259&lt;&gt;"已平仓","",SUMIFS('成交明细'!$F$5:$F$804,'成交明细'!$A$5:$A$804,A259,'成交明细'!$C$5:$C$804,"卖")-SUMIFS('成交明细'!$F$5:$F$804,'成交明细'!$A$5:$A$804,A259,'成交明细'!$C$5:$C$804,"买")-Y259)</f>
        <v/>
      </c>
      <c r="AA259" s="53" t="str">
        <f>IF(AND(X259="已平仓",ISNUMBER(N259)),(Z259+Y259)/N259,"")</f>
        <v/>
      </c>
      <c r="AB259" s="53" t="str">
        <f>IF(AND(X259="已平仓",ISNUMBER(N259)),Z259/N259,"")</f>
        <v/>
      </c>
      <c r="AC259" s="54" t="str">
        <f>IF(AND(ISNUMBER(U259),ISNUMBER(H259)),U259-H259,"")</f>
        <v/>
      </c>
      <c r="AD259" s="27" t="n"/>
      <c r="AE259" s="27" t="n"/>
      <c r="AF259" s="32" t="n"/>
      <c r="AG259" s="53" t="str">
        <f>IF(A259="","",SUM(AB$5:AB259))</f>
        <v/>
      </c>
      <c r="AH259" s="55" t="str">
        <f>IF(A259="","",MAX(0,MAX(AG$5:AG259))-AG259)</f>
        <v/>
      </c>
    </row>
    <row r="260">
      <c r="A260" s="46" t="n"/>
      <c r="B260" s="31" t="n"/>
      <c r="C260" s="32" t="n"/>
      <c r="D260" s="27" t="n"/>
      <c r="E260" s="47" t="str">
        <f>IF(D260="","",IFERROR(VLOOKUP(D260,'参数'!$B$21:$C$26,2,FALSE),""))</f>
        <v/>
      </c>
      <c r="F260" s="27" t="n"/>
      <c r="G260" s="43" t="str">
        <f>IF(NOT(ISNUMBER(B260)),"",IFERROR(IF(B260-INDEX('每日复盘'!$A$5:$A$264,MATCH(B260-1,'每日复盘'!$A$5:$A$264,1))&gt;7,"",T(INDEX('每日复盘'!$AA$5:$AA$264,MATCH(B260-1,'每日复盘'!$A$5:$A$264,1)))),""))</f>
        <v/>
      </c>
      <c r="H260" s="48" t="n"/>
      <c r="I260" s="48" t="n"/>
      <c r="J260" s="48" t="n"/>
      <c r="K260" s="49" t="str">
        <f>IF(AND(ISNUMBER(H260),ISNUMBER(I260),ISNUMBER(J260)),IF(H260&gt;I260,(J260-H260)/(H260-I260),""),"")</f>
        <v/>
      </c>
      <c r="L260" s="44" t="str">
        <f>IF(AND(ISNUMBER(H260),ISNUMBER(I260)),IF(H260&gt;I260,MIN(INT(ROUND('参数'!$C$7/(H260-I260)/100,6))*100,IF(ISNUMBER(E260),IF(H260-ROUND(ROUND(I260*(1-E260),4),2)&gt;0,INT(ROUND('参数'!$C$8/(H260-ROUND(ROUND(I260*(1-E260),4),2))/100,6))*100,0),INT(ROUND('参数'!$C$7/(H260-I260)/100,6))*100)),""),"")</f>
        <v/>
      </c>
      <c r="M260" s="17" t="n"/>
      <c r="N260" s="20" t="str">
        <f>IF(AND(ISNUMBER(H260),ISNUMBER(I260),ISNUMBER(M260)),IF(AND(H260&gt;I260,M260&gt;0),(H260-I260)*M260,""),"")</f>
        <v/>
      </c>
      <c r="O260" s="20" t="str">
        <f>IF(ISNUMBER(N260),IF(ISNUMBER(E260),(H260-ROUND(ROUND(I260*(1-E260),4),2))*M260,"不设限"),"")</f>
        <v/>
      </c>
      <c r="P260" s="32" t="n"/>
      <c r="Q260" s="27" t="n"/>
      <c r="R260" s="42" t="str">
        <f>IF(N(T260)&gt;0,SUMPRODUCT(LARGE(('成交明细'!$A$5:$A$804=A260)*('成交明细'!$C$5:$C$804="买")*'成交明细'!$B$5:$B$804,COUNTIFS('成交明细'!$A$5:$A$804,A260,'成交明细'!$C$5:$C$804,"买"))),"")</f>
        <v/>
      </c>
      <c r="S260" s="42" t="str">
        <f>IF(AND(N(T260)&gt;0,N(V260)&gt;=N(T260)),SUMPRODUCT(MAX(('成交明细'!$A$5:$A$804=A260)*('成交明细'!$C$5:$C$804="卖")*'成交明细'!$B$5:$B$804)),"")</f>
        <v/>
      </c>
      <c r="T260" s="44" t="str">
        <f>IF(A260="","",SUMIFS('成交明细'!$E$5:$E$804,'成交明细'!$A$5:$A$804,A260,'成交明细'!$C$5:$C$804,"买"))</f>
        <v/>
      </c>
      <c r="U260" s="50" t="str">
        <f>IF(N(T260)&gt;0,SUMIFS('成交明细'!$F$5:$F$804,'成交明细'!$A$5:$A$804,A260,'成交明细'!$C$5:$C$804,"买")/T260,"")</f>
        <v/>
      </c>
      <c r="V260" s="44" t="str">
        <f>IF(A260="","",SUMIFS('成交明细'!$E$5:$E$804,'成交明细'!$A$5:$A$804,A260,'成交明细'!$C$5:$C$804,"卖"))</f>
        <v/>
      </c>
      <c r="W260" s="50" t="str">
        <f>IF(N(V260)&gt;0,SUMIFS('成交明细'!$F$5:$F$804,'成交明细'!$A$5:$A$804,A260,'成交明细'!$C$5:$C$804,"卖")/V260,"")</f>
        <v/>
      </c>
      <c r="X260" s="36" t="str">
        <f>IF(A260="","",IF(Q260&lt;&gt;"已执行",IF(Q260="","未填执行情况",Q260),IF(N(T260)=0,"待录成交",IF(N(V260)&gt;N(T260),"卖出多于买入",IF(N(V260)&lt;N(T260),"持仓中","已平仓")))))</f>
        <v/>
      </c>
      <c r="Y260" s="51" t="str">
        <f>IF(N(T260)=0,"",SUMIFS('成交明细'!$K$5:$K$804,'成交明细'!$A$5:$A$804,A260))</f>
        <v/>
      </c>
      <c r="Z260" s="52" t="str">
        <f>IF(X260&lt;&gt;"已平仓","",SUMIFS('成交明细'!$F$5:$F$804,'成交明细'!$A$5:$A$804,A260,'成交明细'!$C$5:$C$804,"卖")-SUMIFS('成交明细'!$F$5:$F$804,'成交明细'!$A$5:$A$804,A260,'成交明细'!$C$5:$C$804,"买")-Y260)</f>
        <v/>
      </c>
      <c r="AA260" s="53" t="str">
        <f>IF(AND(X260="已平仓",ISNUMBER(N260)),(Z260+Y260)/N260,"")</f>
        <v/>
      </c>
      <c r="AB260" s="53" t="str">
        <f>IF(AND(X260="已平仓",ISNUMBER(N260)),Z260/N260,"")</f>
        <v/>
      </c>
      <c r="AC260" s="54" t="str">
        <f>IF(AND(ISNUMBER(U260),ISNUMBER(H260)),U260-H260,"")</f>
        <v/>
      </c>
      <c r="AD260" s="27" t="n"/>
      <c r="AE260" s="27" t="n"/>
      <c r="AF260" s="32" t="n"/>
      <c r="AG260" s="53" t="str">
        <f>IF(A260="","",SUM(AB$5:AB260))</f>
        <v/>
      </c>
      <c r="AH260" s="55" t="str">
        <f>IF(A260="","",MAX(0,MAX(AG$5:AG260))-AG260)</f>
        <v/>
      </c>
    </row>
    <row r="261">
      <c r="A261" s="46" t="n"/>
      <c r="B261" s="31" t="n"/>
      <c r="C261" s="32" t="n"/>
      <c r="D261" s="27" t="n"/>
      <c r="E261" s="47" t="str">
        <f>IF(D261="","",IFERROR(VLOOKUP(D261,'参数'!$B$21:$C$26,2,FALSE),""))</f>
        <v/>
      </c>
      <c r="F261" s="27" t="n"/>
      <c r="G261" s="43" t="str">
        <f>IF(NOT(ISNUMBER(B261)),"",IFERROR(IF(B261-INDEX('每日复盘'!$A$5:$A$264,MATCH(B261-1,'每日复盘'!$A$5:$A$264,1))&gt;7,"",T(INDEX('每日复盘'!$AA$5:$AA$264,MATCH(B261-1,'每日复盘'!$A$5:$A$264,1)))),""))</f>
        <v/>
      </c>
      <c r="H261" s="48" t="n"/>
      <c r="I261" s="48" t="n"/>
      <c r="J261" s="48" t="n"/>
      <c r="K261" s="49" t="str">
        <f>IF(AND(ISNUMBER(H261),ISNUMBER(I261),ISNUMBER(J261)),IF(H261&gt;I261,(J261-H261)/(H261-I261),""),"")</f>
        <v/>
      </c>
      <c r="L261" s="44" t="str">
        <f>IF(AND(ISNUMBER(H261),ISNUMBER(I261)),IF(H261&gt;I261,MIN(INT(ROUND('参数'!$C$7/(H261-I261)/100,6))*100,IF(ISNUMBER(E261),IF(H261-ROUND(ROUND(I261*(1-E261),4),2)&gt;0,INT(ROUND('参数'!$C$8/(H261-ROUND(ROUND(I261*(1-E261),4),2))/100,6))*100,0),INT(ROUND('参数'!$C$7/(H261-I261)/100,6))*100)),""),"")</f>
        <v/>
      </c>
      <c r="M261" s="17" t="n"/>
      <c r="N261" s="20" t="str">
        <f>IF(AND(ISNUMBER(H261),ISNUMBER(I261),ISNUMBER(M261)),IF(AND(H261&gt;I261,M261&gt;0),(H261-I261)*M261,""),"")</f>
        <v/>
      </c>
      <c r="O261" s="20" t="str">
        <f>IF(ISNUMBER(N261),IF(ISNUMBER(E261),(H261-ROUND(ROUND(I261*(1-E261),4),2))*M261,"不设限"),"")</f>
        <v/>
      </c>
      <c r="P261" s="32" t="n"/>
      <c r="Q261" s="27" t="n"/>
      <c r="R261" s="42" t="str">
        <f>IF(N(T261)&gt;0,SUMPRODUCT(LARGE(('成交明细'!$A$5:$A$804=A261)*('成交明细'!$C$5:$C$804="买")*'成交明细'!$B$5:$B$804,COUNTIFS('成交明细'!$A$5:$A$804,A261,'成交明细'!$C$5:$C$804,"买"))),"")</f>
        <v/>
      </c>
      <c r="S261" s="42" t="str">
        <f>IF(AND(N(T261)&gt;0,N(V261)&gt;=N(T261)),SUMPRODUCT(MAX(('成交明细'!$A$5:$A$804=A261)*('成交明细'!$C$5:$C$804="卖")*'成交明细'!$B$5:$B$804)),"")</f>
        <v/>
      </c>
      <c r="T261" s="44" t="str">
        <f>IF(A261="","",SUMIFS('成交明细'!$E$5:$E$804,'成交明细'!$A$5:$A$804,A261,'成交明细'!$C$5:$C$804,"买"))</f>
        <v/>
      </c>
      <c r="U261" s="50" t="str">
        <f>IF(N(T261)&gt;0,SUMIFS('成交明细'!$F$5:$F$804,'成交明细'!$A$5:$A$804,A261,'成交明细'!$C$5:$C$804,"买")/T261,"")</f>
        <v/>
      </c>
      <c r="V261" s="44" t="str">
        <f>IF(A261="","",SUMIFS('成交明细'!$E$5:$E$804,'成交明细'!$A$5:$A$804,A261,'成交明细'!$C$5:$C$804,"卖"))</f>
        <v/>
      </c>
      <c r="W261" s="50" t="str">
        <f>IF(N(V261)&gt;0,SUMIFS('成交明细'!$F$5:$F$804,'成交明细'!$A$5:$A$804,A261,'成交明细'!$C$5:$C$804,"卖")/V261,"")</f>
        <v/>
      </c>
      <c r="X261" s="36" t="str">
        <f>IF(A261="","",IF(Q261&lt;&gt;"已执行",IF(Q261="","未填执行情况",Q261),IF(N(T261)=0,"待录成交",IF(N(V261)&gt;N(T261),"卖出多于买入",IF(N(V261)&lt;N(T261),"持仓中","已平仓")))))</f>
        <v/>
      </c>
      <c r="Y261" s="51" t="str">
        <f>IF(N(T261)=0,"",SUMIFS('成交明细'!$K$5:$K$804,'成交明细'!$A$5:$A$804,A261))</f>
        <v/>
      </c>
      <c r="Z261" s="52" t="str">
        <f>IF(X261&lt;&gt;"已平仓","",SUMIFS('成交明细'!$F$5:$F$804,'成交明细'!$A$5:$A$804,A261,'成交明细'!$C$5:$C$804,"卖")-SUMIFS('成交明细'!$F$5:$F$804,'成交明细'!$A$5:$A$804,A261,'成交明细'!$C$5:$C$804,"买")-Y261)</f>
        <v/>
      </c>
      <c r="AA261" s="53" t="str">
        <f>IF(AND(X261="已平仓",ISNUMBER(N261)),(Z261+Y261)/N261,"")</f>
        <v/>
      </c>
      <c r="AB261" s="53" t="str">
        <f>IF(AND(X261="已平仓",ISNUMBER(N261)),Z261/N261,"")</f>
        <v/>
      </c>
      <c r="AC261" s="54" t="str">
        <f>IF(AND(ISNUMBER(U261),ISNUMBER(H261)),U261-H261,"")</f>
        <v/>
      </c>
      <c r="AD261" s="27" t="n"/>
      <c r="AE261" s="27" t="n"/>
      <c r="AF261" s="32" t="n"/>
      <c r="AG261" s="53" t="str">
        <f>IF(A261="","",SUM(AB$5:AB261))</f>
        <v/>
      </c>
      <c r="AH261" s="55" t="str">
        <f>IF(A261="","",MAX(0,MAX(AG$5:AG261))-AG261)</f>
        <v/>
      </c>
    </row>
    <row r="262">
      <c r="A262" s="46" t="n"/>
      <c r="B262" s="31" t="n"/>
      <c r="C262" s="32" t="n"/>
      <c r="D262" s="27" t="n"/>
      <c r="E262" s="47" t="str">
        <f>IF(D262="","",IFERROR(VLOOKUP(D262,'参数'!$B$21:$C$26,2,FALSE),""))</f>
        <v/>
      </c>
      <c r="F262" s="27" t="n"/>
      <c r="G262" s="43" t="str">
        <f>IF(NOT(ISNUMBER(B262)),"",IFERROR(IF(B262-INDEX('每日复盘'!$A$5:$A$264,MATCH(B262-1,'每日复盘'!$A$5:$A$264,1))&gt;7,"",T(INDEX('每日复盘'!$AA$5:$AA$264,MATCH(B262-1,'每日复盘'!$A$5:$A$264,1)))),""))</f>
        <v/>
      </c>
      <c r="H262" s="48" t="n"/>
      <c r="I262" s="48" t="n"/>
      <c r="J262" s="48" t="n"/>
      <c r="K262" s="49" t="str">
        <f>IF(AND(ISNUMBER(H262),ISNUMBER(I262),ISNUMBER(J262)),IF(H262&gt;I262,(J262-H262)/(H262-I262),""),"")</f>
        <v/>
      </c>
      <c r="L262" s="44" t="str">
        <f>IF(AND(ISNUMBER(H262),ISNUMBER(I262)),IF(H262&gt;I262,MIN(INT(ROUND('参数'!$C$7/(H262-I262)/100,6))*100,IF(ISNUMBER(E262),IF(H262-ROUND(ROUND(I262*(1-E262),4),2)&gt;0,INT(ROUND('参数'!$C$8/(H262-ROUND(ROUND(I262*(1-E262),4),2))/100,6))*100,0),INT(ROUND('参数'!$C$7/(H262-I262)/100,6))*100)),""),"")</f>
        <v/>
      </c>
      <c r="M262" s="17" t="n"/>
      <c r="N262" s="20" t="str">
        <f>IF(AND(ISNUMBER(H262),ISNUMBER(I262),ISNUMBER(M262)),IF(AND(H262&gt;I262,M262&gt;0),(H262-I262)*M262,""),"")</f>
        <v/>
      </c>
      <c r="O262" s="20" t="str">
        <f>IF(ISNUMBER(N262),IF(ISNUMBER(E262),(H262-ROUND(ROUND(I262*(1-E262),4),2))*M262,"不设限"),"")</f>
        <v/>
      </c>
      <c r="P262" s="32" t="n"/>
      <c r="Q262" s="27" t="n"/>
      <c r="R262" s="42" t="str">
        <f>IF(N(T262)&gt;0,SUMPRODUCT(LARGE(('成交明细'!$A$5:$A$804=A262)*('成交明细'!$C$5:$C$804="买")*'成交明细'!$B$5:$B$804,COUNTIFS('成交明细'!$A$5:$A$804,A262,'成交明细'!$C$5:$C$804,"买"))),"")</f>
        <v/>
      </c>
      <c r="S262" s="42" t="str">
        <f>IF(AND(N(T262)&gt;0,N(V262)&gt;=N(T262)),SUMPRODUCT(MAX(('成交明细'!$A$5:$A$804=A262)*('成交明细'!$C$5:$C$804="卖")*'成交明细'!$B$5:$B$804)),"")</f>
        <v/>
      </c>
      <c r="T262" s="44" t="str">
        <f>IF(A262="","",SUMIFS('成交明细'!$E$5:$E$804,'成交明细'!$A$5:$A$804,A262,'成交明细'!$C$5:$C$804,"买"))</f>
        <v/>
      </c>
      <c r="U262" s="50" t="str">
        <f>IF(N(T262)&gt;0,SUMIFS('成交明细'!$F$5:$F$804,'成交明细'!$A$5:$A$804,A262,'成交明细'!$C$5:$C$804,"买")/T262,"")</f>
        <v/>
      </c>
      <c r="V262" s="44" t="str">
        <f>IF(A262="","",SUMIFS('成交明细'!$E$5:$E$804,'成交明细'!$A$5:$A$804,A262,'成交明细'!$C$5:$C$804,"卖"))</f>
        <v/>
      </c>
      <c r="W262" s="50" t="str">
        <f>IF(N(V262)&gt;0,SUMIFS('成交明细'!$F$5:$F$804,'成交明细'!$A$5:$A$804,A262,'成交明细'!$C$5:$C$804,"卖")/V262,"")</f>
        <v/>
      </c>
      <c r="X262" s="36" t="str">
        <f>IF(A262="","",IF(Q262&lt;&gt;"已执行",IF(Q262="","未填执行情况",Q262),IF(N(T262)=0,"待录成交",IF(N(V262)&gt;N(T262),"卖出多于买入",IF(N(V262)&lt;N(T262),"持仓中","已平仓")))))</f>
        <v/>
      </c>
      <c r="Y262" s="51" t="str">
        <f>IF(N(T262)=0,"",SUMIFS('成交明细'!$K$5:$K$804,'成交明细'!$A$5:$A$804,A262))</f>
        <v/>
      </c>
      <c r="Z262" s="52" t="str">
        <f>IF(X262&lt;&gt;"已平仓","",SUMIFS('成交明细'!$F$5:$F$804,'成交明细'!$A$5:$A$804,A262,'成交明细'!$C$5:$C$804,"卖")-SUMIFS('成交明细'!$F$5:$F$804,'成交明细'!$A$5:$A$804,A262,'成交明细'!$C$5:$C$804,"买")-Y262)</f>
        <v/>
      </c>
      <c r="AA262" s="53" t="str">
        <f>IF(AND(X262="已平仓",ISNUMBER(N262)),(Z262+Y262)/N262,"")</f>
        <v/>
      </c>
      <c r="AB262" s="53" t="str">
        <f>IF(AND(X262="已平仓",ISNUMBER(N262)),Z262/N262,"")</f>
        <v/>
      </c>
      <c r="AC262" s="54" t="str">
        <f>IF(AND(ISNUMBER(U262),ISNUMBER(H262)),U262-H262,"")</f>
        <v/>
      </c>
      <c r="AD262" s="27" t="n"/>
      <c r="AE262" s="27" t="n"/>
      <c r="AF262" s="32" t="n"/>
      <c r="AG262" s="53" t="str">
        <f>IF(A262="","",SUM(AB$5:AB262))</f>
        <v/>
      </c>
      <c r="AH262" s="55" t="str">
        <f>IF(A262="","",MAX(0,MAX(AG$5:AG262))-AG262)</f>
        <v/>
      </c>
    </row>
    <row r="263">
      <c r="A263" s="46" t="n"/>
      <c r="B263" s="31" t="n"/>
      <c r="C263" s="32" t="n"/>
      <c r="D263" s="27" t="n"/>
      <c r="E263" s="47" t="str">
        <f>IF(D263="","",IFERROR(VLOOKUP(D263,'参数'!$B$21:$C$26,2,FALSE),""))</f>
        <v/>
      </c>
      <c r="F263" s="27" t="n"/>
      <c r="G263" s="43" t="str">
        <f>IF(NOT(ISNUMBER(B263)),"",IFERROR(IF(B263-INDEX('每日复盘'!$A$5:$A$264,MATCH(B263-1,'每日复盘'!$A$5:$A$264,1))&gt;7,"",T(INDEX('每日复盘'!$AA$5:$AA$264,MATCH(B263-1,'每日复盘'!$A$5:$A$264,1)))),""))</f>
        <v/>
      </c>
      <c r="H263" s="48" t="n"/>
      <c r="I263" s="48" t="n"/>
      <c r="J263" s="48" t="n"/>
      <c r="K263" s="49" t="str">
        <f>IF(AND(ISNUMBER(H263),ISNUMBER(I263),ISNUMBER(J263)),IF(H263&gt;I263,(J263-H263)/(H263-I263),""),"")</f>
        <v/>
      </c>
      <c r="L263" s="44" t="str">
        <f>IF(AND(ISNUMBER(H263),ISNUMBER(I263)),IF(H263&gt;I263,MIN(INT(ROUND('参数'!$C$7/(H263-I263)/100,6))*100,IF(ISNUMBER(E263),IF(H263-ROUND(ROUND(I263*(1-E263),4),2)&gt;0,INT(ROUND('参数'!$C$8/(H263-ROUND(ROUND(I263*(1-E263),4),2))/100,6))*100,0),INT(ROUND('参数'!$C$7/(H263-I263)/100,6))*100)),""),"")</f>
        <v/>
      </c>
      <c r="M263" s="17" t="n"/>
      <c r="N263" s="20" t="str">
        <f>IF(AND(ISNUMBER(H263),ISNUMBER(I263),ISNUMBER(M263)),IF(AND(H263&gt;I263,M263&gt;0),(H263-I263)*M263,""),"")</f>
        <v/>
      </c>
      <c r="O263" s="20" t="str">
        <f>IF(ISNUMBER(N263),IF(ISNUMBER(E263),(H263-ROUND(ROUND(I263*(1-E263),4),2))*M263,"不设限"),"")</f>
        <v/>
      </c>
      <c r="P263" s="32" t="n"/>
      <c r="Q263" s="27" t="n"/>
      <c r="R263" s="42" t="str">
        <f>IF(N(T263)&gt;0,SUMPRODUCT(LARGE(('成交明细'!$A$5:$A$804=A263)*('成交明细'!$C$5:$C$804="买")*'成交明细'!$B$5:$B$804,COUNTIFS('成交明细'!$A$5:$A$804,A263,'成交明细'!$C$5:$C$804,"买"))),"")</f>
        <v/>
      </c>
      <c r="S263" s="42" t="str">
        <f>IF(AND(N(T263)&gt;0,N(V263)&gt;=N(T263)),SUMPRODUCT(MAX(('成交明细'!$A$5:$A$804=A263)*('成交明细'!$C$5:$C$804="卖")*'成交明细'!$B$5:$B$804)),"")</f>
        <v/>
      </c>
      <c r="T263" s="44" t="str">
        <f>IF(A263="","",SUMIFS('成交明细'!$E$5:$E$804,'成交明细'!$A$5:$A$804,A263,'成交明细'!$C$5:$C$804,"买"))</f>
        <v/>
      </c>
      <c r="U263" s="50" t="str">
        <f>IF(N(T263)&gt;0,SUMIFS('成交明细'!$F$5:$F$804,'成交明细'!$A$5:$A$804,A263,'成交明细'!$C$5:$C$804,"买")/T263,"")</f>
        <v/>
      </c>
      <c r="V263" s="44" t="str">
        <f>IF(A263="","",SUMIFS('成交明细'!$E$5:$E$804,'成交明细'!$A$5:$A$804,A263,'成交明细'!$C$5:$C$804,"卖"))</f>
        <v/>
      </c>
      <c r="W263" s="50" t="str">
        <f>IF(N(V263)&gt;0,SUMIFS('成交明细'!$F$5:$F$804,'成交明细'!$A$5:$A$804,A263,'成交明细'!$C$5:$C$804,"卖")/V263,"")</f>
        <v/>
      </c>
      <c r="X263" s="36" t="str">
        <f>IF(A263="","",IF(Q263&lt;&gt;"已执行",IF(Q263="","未填执行情况",Q263),IF(N(T263)=0,"待录成交",IF(N(V263)&gt;N(T263),"卖出多于买入",IF(N(V263)&lt;N(T263),"持仓中","已平仓")))))</f>
        <v/>
      </c>
      <c r="Y263" s="51" t="str">
        <f>IF(N(T263)=0,"",SUMIFS('成交明细'!$K$5:$K$804,'成交明细'!$A$5:$A$804,A263))</f>
        <v/>
      </c>
      <c r="Z263" s="52" t="str">
        <f>IF(X263&lt;&gt;"已平仓","",SUMIFS('成交明细'!$F$5:$F$804,'成交明细'!$A$5:$A$804,A263,'成交明细'!$C$5:$C$804,"卖")-SUMIFS('成交明细'!$F$5:$F$804,'成交明细'!$A$5:$A$804,A263,'成交明细'!$C$5:$C$804,"买")-Y263)</f>
        <v/>
      </c>
      <c r="AA263" s="53" t="str">
        <f>IF(AND(X263="已平仓",ISNUMBER(N263)),(Z263+Y263)/N263,"")</f>
        <v/>
      </c>
      <c r="AB263" s="53" t="str">
        <f>IF(AND(X263="已平仓",ISNUMBER(N263)),Z263/N263,"")</f>
        <v/>
      </c>
      <c r="AC263" s="54" t="str">
        <f>IF(AND(ISNUMBER(U263),ISNUMBER(H263)),U263-H263,"")</f>
        <v/>
      </c>
      <c r="AD263" s="27" t="n"/>
      <c r="AE263" s="27" t="n"/>
      <c r="AF263" s="32" t="n"/>
      <c r="AG263" s="53" t="str">
        <f>IF(A263="","",SUM(AB$5:AB263))</f>
        <v/>
      </c>
      <c r="AH263" s="55" t="str">
        <f>IF(A263="","",MAX(0,MAX(AG$5:AG263))-AG263)</f>
        <v/>
      </c>
    </row>
    <row r="264">
      <c r="A264" s="46" t="n"/>
      <c r="B264" s="31" t="n"/>
      <c r="C264" s="32" t="n"/>
      <c r="D264" s="27" t="n"/>
      <c r="E264" s="47" t="str">
        <f>IF(D264="","",IFERROR(VLOOKUP(D264,'参数'!$B$21:$C$26,2,FALSE),""))</f>
        <v/>
      </c>
      <c r="F264" s="27" t="n"/>
      <c r="G264" s="43" t="str">
        <f>IF(NOT(ISNUMBER(B264)),"",IFERROR(IF(B264-INDEX('每日复盘'!$A$5:$A$264,MATCH(B264-1,'每日复盘'!$A$5:$A$264,1))&gt;7,"",T(INDEX('每日复盘'!$AA$5:$AA$264,MATCH(B264-1,'每日复盘'!$A$5:$A$264,1)))),""))</f>
        <v/>
      </c>
      <c r="H264" s="48" t="n"/>
      <c r="I264" s="48" t="n"/>
      <c r="J264" s="48" t="n"/>
      <c r="K264" s="49" t="str">
        <f>IF(AND(ISNUMBER(H264),ISNUMBER(I264),ISNUMBER(J264)),IF(H264&gt;I264,(J264-H264)/(H264-I264),""),"")</f>
        <v/>
      </c>
      <c r="L264" s="44" t="str">
        <f>IF(AND(ISNUMBER(H264),ISNUMBER(I264)),IF(H264&gt;I264,MIN(INT(ROUND('参数'!$C$7/(H264-I264)/100,6))*100,IF(ISNUMBER(E264),IF(H264-ROUND(ROUND(I264*(1-E264),4),2)&gt;0,INT(ROUND('参数'!$C$8/(H264-ROUND(ROUND(I264*(1-E264),4),2))/100,6))*100,0),INT(ROUND('参数'!$C$7/(H264-I264)/100,6))*100)),""),"")</f>
        <v/>
      </c>
      <c r="M264" s="17" t="n"/>
      <c r="N264" s="20" t="str">
        <f>IF(AND(ISNUMBER(H264),ISNUMBER(I264),ISNUMBER(M264)),IF(AND(H264&gt;I264,M264&gt;0),(H264-I264)*M264,""),"")</f>
        <v/>
      </c>
      <c r="O264" s="20" t="str">
        <f>IF(ISNUMBER(N264),IF(ISNUMBER(E264),(H264-ROUND(ROUND(I264*(1-E264),4),2))*M264,"不设限"),"")</f>
        <v/>
      </c>
      <c r="P264" s="32" t="n"/>
      <c r="Q264" s="27" t="n"/>
      <c r="R264" s="42" t="str">
        <f>IF(N(T264)&gt;0,SUMPRODUCT(LARGE(('成交明细'!$A$5:$A$804=A264)*('成交明细'!$C$5:$C$804="买")*'成交明细'!$B$5:$B$804,COUNTIFS('成交明细'!$A$5:$A$804,A264,'成交明细'!$C$5:$C$804,"买"))),"")</f>
        <v/>
      </c>
      <c r="S264" s="42" t="str">
        <f>IF(AND(N(T264)&gt;0,N(V264)&gt;=N(T264)),SUMPRODUCT(MAX(('成交明细'!$A$5:$A$804=A264)*('成交明细'!$C$5:$C$804="卖")*'成交明细'!$B$5:$B$804)),"")</f>
        <v/>
      </c>
      <c r="T264" s="44" t="str">
        <f>IF(A264="","",SUMIFS('成交明细'!$E$5:$E$804,'成交明细'!$A$5:$A$804,A264,'成交明细'!$C$5:$C$804,"买"))</f>
        <v/>
      </c>
      <c r="U264" s="50" t="str">
        <f>IF(N(T264)&gt;0,SUMIFS('成交明细'!$F$5:$F$804,'成交明细'!$A$5:$A$804,A264,'成交明细'!$C$5:$C$804,"买")/T264,"")</f>
        <v/>
      </c>
      <c r="V264" s="44" t="str">
        <f>IF(A264="","",SUMIFS('成交明细'!$E$5:$E$804,'成交明细'!$A$5:$A$804,A264,'成交明细'!$C$5:$C$804,"卖"))</f>
        <v/>
      </c>
      <c r="W264" s="50" t="str">
        <f>IF(N(V264)&gt;0,SUMIFS('成交明细'!$F$5:$F$804,'成交明细'!$A$5:$A$804,A264,'成交明细'!$C$5:$C$804,"卖")/V264,"")</f>
        <v/>
      </c>
      <c r="X264" s="36" t="str">
        <f>IF(A264="","",IF(Q264&lt;&gt;"已执行",IF(Q264="","未填执行情况",Q264),IF(N(T264)=0,"待录成交",IF(N(V264)&gt;N(T264),"卖出多于买入",IF(N(V264)&lt;N(T264),"持仓中","已平仓")))))</f>
        <v/>
      </c>
      <c r="Y264" s="51" t="str">
        <f>IF(N(T264)=0,"",SUMIFS('成交明细'!$K$5:$K$804,'成交明细'!$A$5:$A$804,A264))</f>
        <v/>
      </c>
      <c r="Z264" s="52" t="str">
        <f>IF(X264&lt;&gt;"已平仓","",SUMIFS('成交明细'!$F$5:$F$804,'成交明细'!$A$5:$A$804,A264,'成交明细'!$C$5:$C$804,"卖")-SUMIFS('成交明细'!$F$5:$F$804,'成交明细'!$A$5:$A$804,A264,'成交明细'!$C$5:$C$804,"买")-Y264)</f>
        <v/>
      </c>
      <c r="AA264" s="53" t="str">
        <f>IF(AND(X264="已平仓",ISNUMBER(N264)),(Z264+Y264)/N264,"")</f>
        <v/>
      </c>
      <c r="AB264" s="53" t="str">
        <f>IF(AND(X264="已平仓",ISNUMBER(N264)),Z264/N264,"")</f>
        <v/>
      </c>
      <c r="AC264" s="54" t="str">
        <f>IF(AND(ISNUMBER(U264),ISNUMBER(H264)),U264-H264,"")</f>
        <v/>
      </c>
      <c r="AD264" s="27" t="n"/>
      <c r="AE264" s="27" t="n"/>
      <c r="AF264" s="32" t="n"/>
      <c r="AG264" s="53" t="str">
        <f>IF(A264="","",SUM(AB$5:AB264))</f>
        <v/>
      </c>
      <c r="AH264" s="55" t="str">
        <f>IF(A264="","",MAX(0,MAX(AG$5:AG264))-AG264)</f>
        <v/>
      </c>
    </row>
    <row r="265">
      <c r="A265" s="46" t="n"/>
      <c r="B265" s="31" t="n"/>
      <c r="C265" s="32" t="n"/>
      <c r="D265" s="27" t="n"/>
      <c r="E265" s="47" t="str">
        <f>IF(D265="","",IFERROR(VLOOKUP(D265,'参数'!$B$21:$C$26,2,FALSE),""))</f>
        <v/>
      </c>
      <c r="F265" s="27" t="n"/>
      <c r="G265" s="43" t="str">
        <f>IF(NOT(ISNUMBER(B265)),"",IFERROR(IF(B265-INDEX('每日复盘'!$A$5:$A$264,MATCH(B265-1,'每日复盘'!$A$5:$A$264,1))&gt;7,"",T(INDEX('每日复盘'!$AA$5:$AA$264,MATCH(B265-1,'每日复盘'!$A$5:$A$264,1)))),""))</f>
        <v/>
      </c>
      <c r="H265" s="48" t="n"/>
      <c r="I265" s="48" t="n"/>
      <c r="J265" s="48" t="n"/>
      <c r="K265" s="49" t="str">
        <f>IF(AND(ISNUMBER(H265),ISNUMBER(I265),ISNUMBER(J265)),IF(H265&gt;I265,(J265-H265)/(H265-I265),""),"")</f>
        <v/>
      </c>
      <c r="L265" s="44" t="str">
        <f>IF(AND(ISNUMBER(H265),ISNUMBER(I265)),IF(H265&gt;I265,MIN(INT(ROUND('参数'!$C$7/(H265-I265)/100,6))*100,IF(ISNUMBER(E265),IF(H265-ROUND(ROUND(I265*(1-E265),4),2)&gt;0,INT(ROUND('参数'!$C$8/(H265-ROUND(ROUND(I265*(1-E265),4),2))/100,6))*100,0),INT(ROUND('参数'!$C$7/(H265-I265)/100,6))*100)),""),"")</f>
        <v/>
      </c>
      <c r="M265" s="17" t="n"/>
      <c r="N265" s="20" t="str">
        <f>IF(AND(ISNUMBER(H265),ISNUMBER(I265),ISNUMBER(M265)),IF(AND(H265&gt;I265,M265&gt;0),(H265-I265)*M265,""),"")</f>
        <v/>
      </c>
      <c r="O265" s="20" t="str">
        <f>IF(ISNUMBER(N265),IF(ISNUMBER(E265),(H265-ROUND(ROUND(I265*(1-E265),4),2))*M265,"不设限"),"")</f>
        <v/>
      </c>
      <c r="P265" s="32" t="n"/>
      <c r="Q265" s="27" t="n"/>
      <c r="R265" s="42" t="str">
        <f>IF(N(T265)&gt;0,SUMPRODUCT(LARGE(('成交明细'!$A$5:$A$804=A265)*('成交明细'!$C$5:$C$804="买")*'成交明细'!$B$5:$B$804,COUNTIFS('成交明细'!$A$5:$A$804,A265,'成交明细'!$C$5:$C$804,"买"))),"")</f>
        <v/>
      </c>
      <c r="S265" s="42" t="str">
        <f>IF(AND(N(T265)&gt;0,N(V265)&gt;=N(T265)),SUMPRODUCT(MAX(('成交明细'!$A$5:$A$804=A265)*('成交明细'!$C$5:$C$804="卖")*'成交明细'!$B$5:$B$804)),"")</f>
        <v/>
      </c>
      <c r="T265" s="44" t="str">
        <f>IF(A265="","",SUMIFS('成交明细'!$E$5:$E$804,'成交明细'!$A$5:$A$804,A265,'成交明细'!$C$5:$C$804,"买"))</f>
        <v/>
      </c>
      <c r="U265" s="50" t="str">
        <f>IF(N(T265)&gt;0,SUMIFS('成交明细'!$F$5:$F$804,'成交明细'!$A$5:$A$804,A265,'成交明细'!$C$5:$C$804,"买")/T265,"")</f>
        <v/>
      </c>
      <c r="V265" s="44" t="str">
        <f>IF(A265="","",SUMIFS('成交明细'!$E$5:$E$804,'成交明细'!$A$5:$A$804,A265,'成交明细'!$C$5:$C$804,"卖"))</f>
        <v/>
      </c>
      <c r="W265" s="50" t="str">
        <f>IF(N(V265)&gt;0,SUMIFS('成交明细'!$F$5:$F$804,'成交明细'!$A$5:$A$804,A265,'成交明细'!$C$5:$C$804,"卖")/V265,"")</f>
        <v/>
      </c>
      <c r="X265" s="36" t="str">
        <f>IF(A265="","",IF(Q265&lt;&gt;"已执行",IF(Q265="","未填执行情况",Q265),IF(N(T265)=0,"待录成交",IF(N(V265)&gt;N(T265),"卖出多于买入",IF(N(V265)&lt;N(T265),"持仓中","已平仓")))))</f>
        <v/>
      </c>
      <c r="Y265" s="51" t="str">
        <f>IF(N(T265)=0,"",SUMIFS('成交明细'!$K$5:$K$804,'成交明细'!$A$5:$A$804,A265))</f>
        <v/>
      </c>
      <c r="Z265" s="52" t="str">
        <f>IF(X265&lt;&gt;"已平仓","",SUMIFS('成交明细'!$F$5:$F$804,'成交明细'!$A$5:$A$804,A265,'成交明细'!$C$5:$C$804,"卖")-SUMIFS('成交明细'!$F$5:$F$804,'成交明细'!$A$5:$A$804,A265,'成交明细'!$C$5:$C$804,"买")-Y265)</f>
        <v/>
      </c>
      <c r="AA265" s="53" t="str">
        <f>IF(AND(X265="已平仓",ISNUMBER(N265)),(Z265+Y265)/N265,"")</f>
        <v/>
      </c>
      <c r="AB265" s="53" t="str">
        <f>IF(AND(X265="已平仓",ISNUMBER(N265)),Z265/N265,"")</f>
        <v/>
      </c>
      <c r="AC265" s="54" t="str">
        <f>IF(AND(ISNUMBER(U265),ISNUMBER(H265)),U265-H265,"")</f>
        <v/>
      </c>
      <c r="AD265" s="27" t="n"/>
      <c r="AE265" s="27" t="n"/>
      <c r="AF265" s="32" t="n"/>
      <c r="AG265" s="53" t="str">
        <f>IF(A265="","",SUM(AB$5:AB265))</f>
        <v/>
      </c>
      <c r="AH265" s="55" t="str">
        <f>IF(A265="","",MAX(0,MAX(AG$5:AG265))-AG265)</f>
        <v/>
      </c>
    </row>
    <row r="266">
      <c r="A266" s="46" t="n"/>
      <c r="B266" s="31" t="n"/>
      <c r="C266" s="32" t="n"/>
      <c r="D266" s="27" t="n"/>
      <c r="E266" s="47" t="str">
        <f>IF(D266="","",IFERROR(VLOOKUP(D266,'参数'!$B$21:$C$26,2,FALSE),""))</f>
        <v/>
      </c>
      <c r="F266" s="27" t="n"/>
      <c r="G266" s="43" t="str">
        <f>IF(NOT(ISNUMBER(B266)),"",IFERROR(IF(B266-INDEX('每日复盘'!$A$5:$A$264,MATCH(B266-1,'每日复盘'!$A$5:$A$264,1))&gt;7,"",T(INDEX('每日复盘'!$AA$5:$AA$264,MATCH(B266-1,'每日复盘'!$A$5:$A$264,1)))),""))</f>
        <v/>
      </c>
      <c r="H266" s="48" t="n"/>
      <c r="I266" s="48" t="n"/>
      <c r="J266" s="48" t="n"/>
      <c r="K266" s="49" t="str">
        <f>IF(AND(ISNUMBER(H266),ISNUMBER(I266),ISNUMBER(J266)),IF(H266&gt;I266,(J266-H266)/(H266-I266),""),"")</f>
        <v/>
      </c>
      <c r="L266" s="44" t="str">
        <f>IF(AND(ISNUMBER(H266),ISNUMBER(I266)),IF(H266&gt;I266,MIN(INT(ROUND('参数'!$C$7/(H266-I266)/100,6))*100,IF(ISNUMBER(E266),IF(H266-ROUND(ROUND(I266*(1-E266),4),2)&gt;0,INT(ROUND('参数'!$C$8/(H266-ROUND(ROUND(I266*(1-E266),4),2))/100,6))*100,0),INT(ROUND('参数'!$C$7/(H266-I266)/100,6))*100)),""),"")</f>
        <v/>
      </c>
      <c r="M266" s="17" t="n"/>
      <c r="N266" s="20" t="str">
        <f>IF(AND(ISNUMBER(H266),ISNUMBER(I266),ISNUMBER(M266)),IF(AND(H266&gt;I266,M266&gt;0),(H266-I266)*M266,""),"")</f>
        <v/>
      </c>
      <c r="O266" s="20" t="str">
        <f>IF(ISNUMBER(N266),IF(ISNUMBER(E266),(H266-ROUND(ROUND(I266*(1-E266),4),2))*M266,"不设限"),"")</f>
        <v/>
      </c>
      <c r="P266" s="32" t="n"/>
      <c r="Q266" s="27" t="n"/>
      <c r="R266" s="42" t="str">
        <f>IF(N(T266)&gt;0,SUMPRODUCT(LARGE(('成交明细'!$A$5:$A$804=A266)*('成交明细'!$C$5:$C$804="买")*'成交明细'!$B$5:$B$804,COUNTIFS('成交明细'!$A$5:$A$804,A266,'成交明细'!$C$5:$C$804,"买"))),"")</f>
        <v/>
      </c>
      <c r="S266" s="42" t="str">
        <f>IF(AND(N(T266)&gt;0,N(V266)&gt;=N(T266)),SUMPRODUCT(MAX(('成交明细'!$A$5:$A$804=A266)*('成交明细'!$C$5:$C$804="卖")*'成交明细'!$B$5:$B$804)),"")</f>
        <v/>
      </c>
      <c r="T266" s="44" t="str">
        <f>IF(A266="","",SUMIFS('成交明细'!$E$5:$E$804,'成交明细'!$A$5:$A$804,A266,'成交明细'!$C$5:$C$804,"买"))</f>
        <v/>
      </c>
      <c r="U266" s="50" t="str">
        <f>IF(N(T266)&gt;0,SUMIFS('成交明细'!$F$5:$F$804,'成交明细'!$A$5:$A$804,A266,'成交明细'!$C$5:$C$804,"买")/T266,"")</f>
        <v/>
      </c>
      <c r="V266" s="44" t="str">
        <f>IF(A266="","",SUMIFS('成交明细'!$E$5:$E$804,'成交明细'!$A$5:$A$804,A266,'成交明细'!$C$5:$C$804,"卖"))</f>
        <v/>
      </c>
      <c r="W266" s="50" t="str">
        <f>IF(N(V266)&gt;0,SUMIFS('成交明细'!$F$5:$F$804,'成交明细'!$A$5:$A$804,A266,'成交明细'!$C$5:$C$804,"卖")/V266,"")</f>
        <v/>
      </c>
      <c r="X266" s="36" t="str">
        <f>IF(A266="","",IF(Q266&lt;&gt;"已执行",IF(Q266="","未填执行情况",Q266),IF(N(T266)=0,"待录成交",IF(N(V266)&gt;N(T266),"卖出多于买入",IF(N(V266)&lt;N(T266),"持仓中","已平仓")))))</f>
        <v/>
      </c>
      <c r="Y266" s="51" t="str">
        <f>IF(N(T266)=0,"",SUMIFS('成交明细'!$K$5:$K$804,'成交明细'!$A$5:$A$804,A266))</f>
        <v/>
      </c>
      <c r="Z266" s="52" t="str">
        <f>IF(X266&lt;&gt;"已平仓","",SUMIFS('成交明细'!$F$5:$F$804,'成交明细'!$A$5:$A$804,A266,'成交明细'!$C$5:$C$804,"卖")-SUMIFS('成交明细'!$F$5:$F$804,'成交明细'!$A$5:$A$804,A266,'成交明细'!$C$5:$C$804,"买")-Y266)</f>
        <v/>
      </c>
      <c r="AA266" s="53" t="str">
        <f>IF(AND(X266="已平仓",ISNUMBER(N266)),(Z266+Y266)/N266,"")</f>
        <v/>
      </c>
      <c r="AB266" s="53" t="str">
        <f>IF(AND(X266="已平仓",ISNUMBER(N266)),Z266/N266,"")</f>
        <v/>
      </c>
      <c r="AC266" s="54" t="str">
        <f>IF(AND(ISNUMBER(U266),ISNUMBER(H266)),U266-H266,"")</f>
        <v/>
      </c>
      <c r="AD266" s="27" t="n"/>
      <c r="AE266" s="27" t="n"/>
      <c r="AF266" s="32" t="n"/>
      <c r="AG266" s="53" t="str">
        <f>IF(A266="","",SUM(AB$5:AB266))</f>
        <v/>
      </c>
      <c r="AH266" s="55" t="str">
        <f>IF(A266="","",MAX(0,MAX(AG$5:AG266))-AG266)</f>
        <v/>
      </c>
    </row>
    <row r="267">
      <c r="A267" s="46" t="n"/>
      <c r="B267" s="31" t="n"/>
      <c r="C267" s="32" t="n"/>
      <c r="D267" s="27" t="n"/>
      <c r="E267" s="47" t="str">
        <f>IF(D267="","",IFERROR(VLOOKUP(D267,'参数'!$B$21:$C$26,2,FALSE),""))</f>
        <v/>
      </c>
      <c r="F267" s="27" t="n"/>
      <c r="G267" s="43" t="str">
        <f>IF(NOT(ISNUMBER(B267)),"",IFERROR(IF(B267-INDEX('每日复盘'!$A$5:$A$264,MATCH(B267-1,'每日复盘'!$A$5:$A$264,1))&gt;7,"",T(INDEX('每日复盘'!$AA$5:$AA$264,MATCH(B267-1,'每日复盘'!$A$5:$A$264,1)))),""))</f>
        <v/>
      </c>
      <c r="H267" s="48" t="n"/>
      <c r="I267" s="48" t="n"/>
      <c r="J267" s="48" t="n"/>
      <c r="K267" s="49" t="str">
        <f>IF(AND(ISNUMBER(H267),ISNUMBER(I267),ISNUMBER(J267)),IF(H267&gt;I267,(J267-H267)/(H267-I267),""),"")</f>
        <v/>
      </c>
      <c r="L267" s="44" t="str">
        <f>IF(AND(ISNUMBER(H267),ISNUMBER(I267)),IF(H267&gt;I267,MIN(INT(ROUND('参数'!$C$7/(H267-I267)/100,6))*100,IF(ISNUMBER(E267),IF(H267-ROUND(ROUND(I267*(1-E267),4),2)&gt;0,INT(ROUND('参数'!$C$8/(H267-ROUND(ROUND(I267*(1-E267),4),2))/100,6))*100,0),INT(ROUND('参数'!$C$7/(H267-I267)/100,6))*100)),""),"")</f>
        <v/>
      </c>
      <c r="M267" s="17" t="n"/>
      <c r="N267" s="20" t="str">
        <f>IF(AND(ISNUMBER(H267),ISNUMBER(I267),ISNUMBER(M267)),IF(AND(H267&gt;I267,M267&gt;0),(H267-I267)*M267,""),"")</f>
        <v/>
      </c>
      <c r="O267" s="20" t="str">
        <f>IF(ISNUMBER(N267),IF(ISNUMBER(E267),(H267-ROUND(ROUND(I267*(1-E267),4),2))*M267,"不设限"),"")</f>
        <v/>
      </c>
      <c r="P267" s="32" t="n"/>
      <c r="Q267" s="27" t="n"/>
      <c r="R267" s="42" t="str">
        <f>IF(N(T267)&gt;0,SUMPRODUCT(LARGE(('成交明细'!$A$5:$A$804=A267)*('成交明细'!$C$5:$C$804="买")*'成交明细'!$B$5:$B$804,COUNTIFS('成交明细'!$A$5:$A$804,A267,'成交明细'!$C$5:$C$804,"买"))),"")</f>
        <v/>
      </c>
      <c r="S267" s="42" t="str">
        <f>IF(AND(N(T267)&gt;0,N(V267)&gt;=N(T267)),SUMPRODUCT(MAX(('成交明细'!$A$5:$A$804=A267)*('成交明细'!$C$5:$C$804="卖")*'成交明细'!$B$5:$B$804)),"")</f>
        <v/>
      </c>
      <c r="T267" s="44" t="str">
        <f>IF(A267="","",SUMIFS('成交明细'!$E$5:$E$804,'成交明细'!$A$5:$A$804,A267,'成交明细'!$C$5:$C$804,"买"))</f>
        <v/>
      </c>
      <c r="U267" s="50" t="str">
        <f>IF(N(T267)&gt;0,SUMIFS('成交明细'!$F$5:$F$804,'成交明细'!$A$5:$A$804,A267,'成交明细'!$C$5:$C$804,"买")/T267,"")</f>
        <v/>
      </c>
      <c r="V267" s="44" t="str">
        <f>IF(A267="","",SUMIFS('成交明细'!$E$5:$E$804,'成交明细'!$A$5:$A$804,A267,'成交明细'!$C$5:$C$804,"卖"))</f>
        <v/>
      </c>
      <c r="W267" s="50" t="str">
        <f>IF(N(V267)&gt;0,SUMIFS('成交明细'!$F$5:$F$804,'成交明细'!$A$5:$A$804,A267,'成交明细'!$C$5:$C$804,"卖")/V267,"")</f>
        <v/>
      </c>
      <c r="X267" s="36" t="str">
        <f>IF(A267="","",IF(Q267&lt;&gt;"已执行",IF(Q267="","未填执行情况",Q267),IF(N(T267)=0,"待录成交",IF(N(V267)&gt;N(T267),"卖出多于买入",IF(N(V267)&lt;N(T267),"持仓中","已平仓")))))</f>
        <v/>
      </c>
      <c r="Y267" s="51" t="str">
        <f>IF(N(T267)=0,"",SUMIFS('成交明细'!$K$5:$K$804,'成交明细'!$A$5:$A$804,A267))</f>
        <v/>
      </c>
      <c r="Z267" s="52" t="str">
        <f>IF(X267&lt;&gt;"已平仓","",SUMIFS('成交明细'!$F$5:$F$804,'成交明细'!$A$5:$A$804,A267,'成交明细'!$C$5:$C$804,"卖")-SUMIFS('成交明细'!$F$5:$F$804,'成交明细'!$A$5:$A$804,A267,'成交明细'!$C$5:$C$804,"买")-Y267)</f>
        <v/>
      </c>
      <c r="AA267" s="53" t="str">
        <f>IF(AND(X267="已平仓",ISNUMBER(N267)),(Z267+Y267)/N267,"")</f>
        <v/>
      </c>
      <c r="AB267" s="53" t="str">
        <f>IF(AND(X267="已平仓",ISNUMBER(N267)),Z267/N267,"")</f>
        <v/>
      </c>
      <c r="AC267" s="54" t="str">
        <f>IF(AND(ISNUMBER(U267),ISNUMBER(H267)),U267-H267,"")</f>
        <v/>
      </c>
      <c r="AD267" s="27" t="n"/>
      <c r="AE267" s="27" t="n"/>
      <c r="AF267" s="32" t="n"/>
      <c r="AG267" s="53" t="str">
        <f>IF(A267="","",SUM(AB$5:AB267))</f>
        <v/>
      </c>
      <c r="AH267" s="55" t="str">
        <f>IF(A267="","",MAX(0,MAX(AG$5:AG267))-AG267)</f>
        <v/>
      </c>
    </row>
    <row r="268">
      <c r="A268" s="46" t="n"/>
      <c r="B268" s="31" t="n"/>
      <c r="C268" s="32" t="n"/>
      <c r="D268" s="27" t="n"/>
      <c r="E268" s="47" t="str">
        <f>IF(D268="","",IFERROR(VLOOKUP(D268,'参数'!$B$21:$C$26,2,FALSE),""))</f>
        <v/>
      </c>
      <c r="F268" s="27" t="n"/>
      <c r="G268" s="43" t="str">
        <f>IF(NOT(ISNUMBER(B268)),"",IFERROR(IF(B268-INDEX('每日复盘'!$A$5:$A$264,MATCH(B268-1,'每日复盘'!$A$5:$A$264,1))&gt;7,"",T(INDEX('每日复盘'!$AA$5:$AA$264,MATCH(B268-1,'每日复盘'!$A$5:$A$264,1)))),""))</f>
        <v/>
      </c>
      <c r="H268" s="48" t="n"/>
      <c r="I268" s="48" t="n"/>
      <c r="J268" s="48" t="n"/>
      <c r="K268" s="49" t="str">
        <f>IF(AND(ISNUMBER(H268),ISNUMBER(I268),ISNUMBER(J268)),IF(H268&gt;I268,(J268-H268)/(H268-I268),""),"")</f>
        <v/>
      </c>
      <c r="L268" s="44" t="str">
        <f>IF(AND(ISNUMBER(H268),ISNUMBER(I268)),IF(H268&gt;I268,MIN(INT(ROUND('参数'!$C$7/(H268-I268)/100,6))*100,IF(ISNUMBER(E268),IF(H268-ROUND(ROUND(I268*(1-E268),4),2)&gt;0,INT(ROUND('参数'!$C$8/(H268-ROUND(ROUND(I268*(1-E268),4),2))/100,6))*100,0),INT(ROUND('参数'!$C$7/(H268-I268)/100,6))*100)),""),"")</f>
        <v/>
      </c>
      <c r="M268" s="17" t="n"/>
      <c r="N268" s="20" t="str">
        <f>IF(AND(ISNUMBER(H268),ISNUMBER(I268),ISNUMBER(M268)),IF(AND(H268&gt;I268,M268&gt;0),(H268-I268)*M268,""),"")</f>
        <v/>
      </c>
      <c r="O268" s="20" t="str">
        <f>IF(ISNUMBER(N268),IF(ISNUMBER(E268),(H268-ROUND(ROUND(I268*(1-E268),4),2))*M268,"不设限"),"")</f>
        <v/>
      </c>
      <c r="P268" s="32" t="n"/>
      <c r="Q268" s="27" t="n"/>
      <c r="R268" s="42" t="str">
        <f>IF(N(T268)&gt;0,SUMPRODUCT(LARGE(('成交明细'!$A$5:$A$804=A268)*('成交明细'!$C$5:$C$804="买")*'成交明细'!$B$5:$B$804,COUNTIFS('成交明细'!$A$5:$A$804,A268,'成交明细'!$C$5:$C$804,"买"))),"")</f>
        <v/>
      </c>
      <c r="S268" s="42" t="str">
        <f>IF(AND(N(T268)&gt;0,N(V268)&gt;=N(T268)),SUMPRODUCT(MAX(('成交明细'!$A$5:$A$804=A268)*('成交明细'!$C$5:$C$804="卖")*'成交明细'!$B$5:$B$804)),"")</f>
        <v/>
      </c>
      <c r="T268" s="44" t="str">
        <f>IF(A268="","",SUMIFS('成交明细'!$E$5:$E$804,'成交明细'!$A$5:$A$804,A268,'成交明细'!$C$5:$C$804,"买"))</f>
        <v/>
      </c>
      <c r="U268" s="50" t="str">
        <f>IF(N(T268)&gt;0,SUMIFS('成交明细'!$F$5:$F$804,'成交明细'!$A$5:$A$804,A268,'成交明细'!$C$5:$C$804,"买")/T268,"")</f>
        <v/>
      </c>
      <c r="V268" s="44" t="str">
        <f>IF(A268="","",SUMIFS('成交明细'!$E$5:$E$804,'成交明细'!$A$5:$A$804,A268,'成交明细'!$C$5:$C$804,"卖"))</f>
        <v/>
      </c>
      <c r="W268" s="50" t="str">
        <f>IF(N(V268)&gt;0,SUMIFS('成交明细'!$F$5:$F$804,'成交明细'!$A$5:$A$804,A268,'成交明细'!$C$5:$C$804,"卖")/V268,"")</f>
        <v/>
      </c>
      <c r="X268" s="36" t="str">
        <f>IF(A268="","",IF(Q268&lt;&gt;"已执行",IF(Q268="","未填执行情况",Q268),IF(N(T268)=0,"待录成交",IF(N(V268)&gt;N(T268),"卖出多于买入",IF(N(V268)&lt;N(T268),"持仓中","已平仓")))))</f>
        <v/>
      </c>
      <c r="Y268" s="51" t="str">
        <f>IF(N(T268)=0,"",SUMIFS('成交明细'!$K$5:$K$804,'成交明细'!$A$5:$A$804,A268))</f>
        <v/>
      </c>
      <c r="Z268" s="52" t="str">
        <f>IF(X268&lt;&gt;"已平仓","",SUMIFS('成交明细'!$F$5:$F$804,'成交明细'!$A$5:$A$804,A268,'成交明细'!$C$5:$C$804,"卖")-SUMIFS('成交明细'!$F$5:$F$804,'成交明细'!$A$5:$A$804,A268,'成交明细'!$C$5:$C$804,"买")-Y268)</f>
        <v/>
      </c>
      <c r="AA268" s="53" t="str">
        <f>IF(AND(X268="已平仓",ISNUMBER(N268)),(Z268+Y268)/N268,"")</f>
        <v/>
      </c>
      <c r="AB268" s="53" t="str">
        <f>IF(AND(X268="已平仓",ISNUMBER(N268)),Z268/N268,"")</f>
        <v/>
      </c>
      <c r="AC268" s="54" t="str">
        <f>IF(AND(ISNUMBER(U268),ISNUMBER(H268)),U268-H268,"")</f>
        <v/>
      </c>
      <c r="AD268" s="27" t="n"/>
      <c r="AE268" s="27" t="n"/>
      <c r="AF268" s="32" t="n"/>
      <c r="AG268" s="53" t="str">
        <f>IF(A268="","",SUM(AB$5:AB268))</f>
        <v/>
      </c>
      <c r="AH268" s="55" t="str">
        <f>IF(A268="","",MAX(0,MAX(AG$5:AG268))-AG268)</f>
        <v/>
      </c>
    </row>
    <row r="269">
      <c r="A269" s="46" t="n"/>
      <c r="B269" s="31" t="n"/>
      <c r="C269" s="32" t="n"/>
      <c r="D269" s="27" t="n"/>
      <c r="E269" s="47" t="str">
        <f>IF(D269="","",IFERROR(VLOOKUP(D269,'参数'!$B$21:$C$26,2,FALSE),""))</f>
        <v/>
      </c>
      <c r="F269" s="27" t="n"/>
      <c r="G269" s="43" t="str">
        <f>IF(NOT(ISNUMBER(B269)),"",IFERROR(IF(B269-INDEX('每日复盘'!$A$5:$A$264,MATCH(B269-1,'每日复盘'!$A$5:$A$264,1))&gt;7,"",T(INDEX('每日复盘'!$AA$5:$AA$264,MATCH(B269-1,'每日复盘'!$A$5:$A$264,1)))),""))</f>
        <v/>
      </c>
      <c r="H269" s="48" t="n"/>
      <c r="I269" s="48" t="n"/>
      <c r="J269" s="48" t="n"/>
      <c r="K269" s="49" t="str">
        <f>IF(AND(ISNUMBER(H269),ISNUMBER(I269),ISNUMBER(J269)),IF(H269&gt;I269,(J269-H269)/(H269-I269),""),"")</f>
        <v/>
      </c>
      <c r="L269" s="44" t="str">
        <f>IF(AND(ISNUMBER(H269),ISNUMBER(I269)),IF(H269&gt;I269,MIN(INT(ROUND('参数'!$C$7/(H269-I269)/100,6))*100,IF(ISNUMBER(E269),IF(H269-ROUND(ROUND(I269*(1-E269),4),2)&gt;0,INT(ROUND('参数'!$C$8/(H269-ROUND(ROUND(I269*(1-E269),4),2))/100,6))*100,0),INT(ROUND('参数'!$C$7/(H269-I269)/100,6))*100)),""),"")</f>
        <v/>
      </c>
      <c r="M269" s="17" t="n"/>
      <c r="N269" s="20" t="str">
        <f>IF(AND(ISNUMBER(H269),ISNUMBER(I269),ISNUMBER(M269)),IF(AND(H269&gt;I269,M269&gt;0),(H269-I269)*M269,""),"")</f>
        <v/>
      </c>
      <c r="O269" s="20" t="str">
        <f>IF(ISNUMBER(N269),IF(ISNUMBER(E269),(H269-ROUND(ROUND(I269*(1-E269),4),2))*M269,"不设限"),"")</f>
        <v/>
      </c>
      <c r="P269" s="32" t="n"/>
      <c r="Q269" s="27" t="n"/>
      <c r="R269" s="42" t="str">
        <f>IF(N(T269)&gt;0,SUMPRODUCT(LARGE(('成交明细'!$A$5:$A$804=A269)*('成交明细'!$C$5:$C$804="买")*'成交明细'!$B$5:$B$804,COUNTIFS('成交明细'!$A$5:$A$804,A269,'成交明细'!$C$5:$C$804,"买"))),"")</f>
        <v/>
      </c>
      <c r="S269" s="42" t="str">
        <f>IF(AND(N(T269)&gt;0,N(V269)&gt;=N(T269)),SUMPRODUCT(MAX(('成交明细'!$A$5:$A$804=A269)*('成交明细'!$C$5:$C$804="卖")*'成交明细'!$B$5:$B$804)),"")</f>
        <v/>
      </c>
      <c r="T269" s="44" t="str">
        <f>IF(A269="","",SUMIFS('成交明细'!$E$5:$E$804,'成交明细'!$A$5:$A$804,A269,'成交明细'!$C$5:$C$804,"买"))</f>
        <v/>
      </c>
      <c r="U269" s="50" t="str">
        <f>IF(N(T269)&gt;0,SUMIFS('成交明细'!$F$5:$F$804,'成交明细'!$A$5:$A$804,A269,'成交明细'!$C$5:$C$804,"买")/T269,"")</f>
        <v/>
      </c>
      <c r="V269" s="44" t="str">
        <f>IF(A269="","",SUMIFS('成交明细'!$E$5:$E$804,'成交明细'!$A$5:$A$804,A269,'成交明细'!$C$5:$C$804,"卖"))</f>
        <v/>
      </c>
      <c r="W269" s="50" t="str">
        <f>IF(N(V269)&gt;0,SUMIFS('成交明细'!$F$5:$F$804,'成交明细'!$A$5:$A$804,A269,'成交明细'!$C$5:$C$804,"卖")/V269,"")</f>
        <v/>
      </c>
      <c r="X269" s="36" t="str">
        <f>IF(A269="","",IF(Q269&lt;&gt;"已执行",IF(Q269="","未填执行情况",Q269),IF(N(T269)=0,"待录成交",IF(N(V269)&gt;N(T269),"卖出多于买入",IF(N(V269)&lt;N(T269),"持仓中","已平仓")))))</f>
        <v/>
      </c>
      <c r="Y269" s="51" t="str">
        <f>IF(N(T269)=0,"",SUMIFS('成交明细'!$K$5:$K$804,'成交明细'!$A$5:$A$804,A269))</f>
        <v/>
      </c>
      <c r="Z269" s="52" t="str">
        <f>IF(X269&lt;&gt;"已平仓","",SUMIFS('成交明细'!$F$5:$F$804,'成交明细'!$A$5:$A$804,A269,'成交明细'!$C$5:$C$804,"卖")-SUMIFS('成交明细'!$F$5:$F$804,'成交明细'!$A$5:$A$804,A269,'成交明细'!$C$5:$C$804,"买")-Y269)</f>
        <v/>
      </c>
      <c r="AA269" s="53" t="str">
        <f>IF(AND(X269="已平仓",ISNUMBER(N269)),(Z269+Y269)/N269,"")</f>
        <v/>
      </c>
      <c r="AB269" s="53" t="str">
        <f>IF(AND(X269="已平仓",ISNUMBER(N269)),Z269/N269,"")</f>
        <v/>
      </c>
      <c r="AC269" s="54" t="str">
        <f>IF(AND(ISNUMBER(U269),ISNUMBER(H269)),U269-H269,"")</f>
        <v/>
      </c>
      <c r="AD269" s="27" t="n"/>
      <c r="AE269" s="27" t="n"/>
      <c r="AF269" s="32" t="n"/>
      <c r="AG269" s="53" t="str">
        <f>IF(A269="","",SUM(AB$5:AB269))</f>
        <v/>
      </c>
      <c r="AH269" s="55" t="str">
        <f>IF(A269="","",MAX(0,MAX(AG$5:AG269))-AG269)</f>
        <v/>
      </c>
    </row>
    <row r="270">
      <c r="A270" s="46" t="n"/>
      <c r="B270" s="31" t="n"/>
      <c r="C270" s="32" t="n"/>
      <c r="D270" s="27" t="n"/>
      <c r="E270" s="47" t="str">
        <f>IF(D270="","",IFERROR(VLOOKUP(D270,'参数'!$B$21:$C$26,2,FALSE),""))</f>
        <v/>
      </c>
      <c r="F270" s="27" t="n"/>
      <c r="G270" s="43" t="str">
        <f>IF(NOT(ISNUMBER(B270)),"",IFERROR(IF(B270-INDEX('每日复盘'!$A$5:$A$264,MATCH(B270-1,'每日复盘'!$A$5:$A$264,1))&gt;7,"",T(INDEX('每日复盘'!$AA$5:$AA$264,MATCH(B270-1,'每日复盘'!$A$5:$A$264,1)))),""))</f>
        <v/>
      </c>
      <c r="H270" s="48" t="n"/>
      <c r="I270" s="48" t="n"/>
      <c r="J270" s="48" t="n"/>
      <c r="K270" s="49" t="str">
        <f>IF(AND(ISNUMBER(H270),ISNUMBER(I270),ISNUMBER(J270)),IF(H270&gt;I270,(J270-H270)/(H270-I270),""),"")</f>
        <v/>
      </c>
      <c r="L270" s="44" t="str">
        <f>IF(AND(ISNUMBER(H270),ISNUMBER(I270)),IF(H270&gt;I270,MIN(INT(ROUND('参数'!$C$7/(H270-I270)/100,6))*100,IF(ISNUMBER(E270),IF(H270-ROUND(ROUND(I270*(1-E270),4),2)&gt;0,INT(ROUND('参数'!$C$8/(H270-ROUND(ROUND(I270*(1-E270),4),2))/100,6))*100,0),INT(ROUND('参数'!$C$7/(H270-I270)/100,6))*100)),""),"")</f>
        <v/>
      </c>
      <c r="M270" s="17" t="n"/>
      <c r="N270" s="20" t="str">
        <f>IF(AND(ISNUMBER(H270),ISNUMBER(I270),ISNUMBER(M270)),IF(AND(H270&gt;I270,M270&gt;0),(H270-I270)*M270,""),"")</f>
        <v/>
      </c>
      <c r="O270" s="20" t="str">
        <f>IF(ISNUMBER(N270),IF(ISNUMBER(E270),(H270-ROUND(ROUND(I270*(1-E270),4),2))*M270,"不设限"),"")</f>
        <v/>
      </c>
      <c r="P270" s="32" t="n"/>
      <c r="Q270" s="27" t="n"/>
      <c r="R270" s="42" t="str">
        <f>IF(N(T270)&gt;0,SUMPRODUCT(LARGE(('成交明细'!$A$5:$A$804=A270)*('成交明细'!$C$5:$C$804="买")*'成交明细'!$B$5:$B$804,COUNTIFS('成交明细'!$A$5:$A$804,A270,'成交明细'!$C$5:$C$804,"买"))),"")</f>
        <v/>
      </c>
      <c r="S270" s="42" t="str">
        <f>IF(AND(N(T270)&gt;0,N(V270)&gt;=N(T270)),SUMPRODUCT(MAX(('成交明细'!$A$5:$A$804=A270)*('成交明细'!$C$5:$C$804="卖")*'成交明细'!$B$5:$B$804)),"")</f>
        <v/>
      </c>
      <c r="T270" s="44" t="str">
        <f>IF(A270="","",SUMIFS('成交明细'!$E$5:$E$804,'成交明细'!$A$5:$A$804,A270,'成交明细'!$C$5:$C$804,"买"))</f>
        <v/>
      </c>
      <c r="U270" s="50" t="str">
        <f>IF(N(T270)&gt;0,SUMIFS('成交明细'!$F$5:$F$804,'成交明细'!$A$5:$A$804,A270,'成交明细'!$C$5:$C$804,"买")/T270,"")</f>
        <v/>
      </c>
      <c r="V270" s="44" t="str">
        <f>IF(A270="","",SUMIFS('成交明细'!$E$5:$E$804,'成交明细'!$A$5:$A$804,A270,'成交明细'!$C$5:$C$804,"卖"))</f>
        <v/>
      </c>
      <c r="W270" s="50" t="str">
        <f>IF(N(V270)&gt;0,SUMIFS('成交明细'!$F$5:$F$804,'成交明细'!$A$5:$A$804,A270,'成交明细'!$C$5:$C$804,"卖")/V270,"")</f>
        <v/>
      </c>
      <c r="X270" s="36" t="str">
        <f>IF(A270="","",IF(Q270&lt;&gt;"已执行",IF(Q270="","未填执行情况",Q270),IF(N(T270)=0,"待录成交",IF(N(V270)&gt;N(T270),"卖出多于买入",IF(N(V270)&lt;N(T270),"持仓中","已平仓")))))</f>
        <v/>
      </c>
      <c r="Y270" s="51" t="str">
        <f>IF(N(T270)=0,"",SUMIFS('成交明细'!$K$5:$K$804,'成交明细'!$A$5:$A$804,A270))</f>
        <v/>
      </c>
      <c r="Z270" s="52" t="str">
        <f>IF(X270&lt;&gt;"已平仓","",SUMIFS('成交明细'!$F$5:$F$804,'成交明细'!$A$5:$A$804,A270,'成交明细'!$C$5:$C$804,"卖")-SUMIFS('成交明细'!$F$5:$F$804,'成交明细'!$A$5:$A$804,A270,'成交明细'!$C$5:$C$804,"买")-Y270)</f>
        <v/>
      </c>
      <c r="AA270" s="53" t="str">
        <f>IF(AND(X270="已平仓",ISNUMBER(N270)),(Z270+Y270)/N270,"")</f>
        <v/>
      </c>
      <c r="AB270" s="53" t="str">
        <f>IF(AND(X270="已平仓",ISNUMBER(N270)),Z270/N270,"")</f>
        <v/>
      </c>
      <c r="AC270" s="54" t="str">
        <f>IF(AND(ISNUMBER(U270),ISNUMBER(H270)),U270-H270,"")</f>
        <v/>
      </c>
      <c r="AD270" s="27" t="n"/>
      <c r="AE270" s="27" t="n"/>
      <c r="AF270" s="32" t="n"/>
      <c r="AG270" s="53" t="str">
        <f>IF(A270="","",SUM(AB$5:AB270))</f>
        <v/>
      </c>
      <c r="AH270" s="55" t="str">
        <f>IF(A270="","",MAX(0,MAX(AG$5:AG270))-AG270)</f>
        <v/>
      </c>
    </row>
    <row r="271">
      <c r="A271" s="46" t="n"/>
      <c r="B271" s="31" t="n"/>
      <c r="C271" s="32" t="n"/>
      <c r="D271" s="27" t="n"/>
      <c r="E271" s="47" t="str">
        <f>IF(D271="","",IFERROR(VLOOKUP(D271,'参数'!$B$21:$C$26,2,FALSE),""))</f>
        <v/>
      </c>
      <c r="F271" s="27" t="n"/>
      <c r="G271" s="43" t="str">
        <f>IF(NOT(ISNUMBER(B271)),"",IFERROR(IF(B271-INDEX('每日复盘'!$A$5:$A$264,MATCH(B271-1,'每日复盘'!$A$5:$A$264,1))&gt;7,"",T(INDEX('每日复盘'!$AA$5:$AA$264,MATCH(B271-1,'每日复盘'!$A$5:$A$264,1)))),""))</f>
        <v/>
      </c>
      <c r="H271" s="48" t="n"/>
      <c r="I271" s="48" t="n"/>
      <c r="J271" s="48" t="n"/>
      <c r="K271" s="49" t="str">
        <f>IF(AND(ISNUMBER(H271),ISNUMBER(I271),ISNUMBER(J271)),IF(H271&gt;I271,(J271-H271)/(H271-I271),""),"")</f>
        <v/>
      </c>
      <c r="L271" s="44" t="str">
        <f>IF(AND(ISNUMBER(H271),ISNUMBER(I271)),IF(H271&gt;I271,MIN(INT(ROUND('参数'!$C$7/(H271-I271)/100,6))*100,IF(ISNUMBER(E271),IF(H271-ROUND(ROUND(I271*(1-E271),4),2)&gt;0,INT(ROUND('参数'!$C$8/(H271-ROUND(ROUND(I271*(1-E271),4),2))/100,6))*100,0),INT(ROUND('参数'!$C$7/(H271-I271)/100,6))*100)),""),"")</f>
        <v/>
      </c>
      <c r="M271" s="17" t="n"/>
      <c r="N271" s="20" t="str">
        <f>IF(AND(ISNUMBER(H271),ISNUMBER(I271),ISNUMBER(M271)),IF(AND(H271&gt;I271,M271&gt;0),(H271-I271)*M271,""),"")</f>
        <v/>
      </c>
      <c r="O271" s="20" t="str">
        <f>IF(ISNUMBER(N271),IF(ISNUMBER(E271),(H271-ROUND(ROUND(I271*(1-E271),4),2))*M271,"不设限"),"")</f>
        <v/>
      </c>
      <c r="P271" s="32" t="n"/>
      <c r="Q271" s="27" t="n"/>
      <c r="R271" s="42" t="str">
        <f>IF(N(T271)&gt;0,SUMPRODUCT(LARGE(('成交明细'!$A$5:$A$804=A271)*('成交明细'!$C$5:$C$804="买")*'成交明细'!$B$5:$B$804,COUNTIFS('成交明细'!$A$5:$A$804,A271,'成交明细'!$C$5:$C$804,"买"))),"")</f>
        <v/>
      </c>
      <c r="S271" s="42" t="str">
        <f>IF(AND(N(T271)&gt;0,N(V271)&gt;=N(T271)),SUMPRODUCT(MAX(('成交明细'!$A$5:$A$804=A271)*('成交明细'!$C$5:$C$804="卖")*'成交明细'!$B$5:$B$804)),"")</f>
        <v/>
      </c>
      <c r="T271" s="44" t="str">
        <f>IF(A271="","",SUMIFS('成交明细'!$E$5:$E$804,'成交明细'!$A$5:$A$804,A271,'成交明细'!$C$5:$C$804,"买"))</f>
        <v/>
      </c>
      <c r="U271" s="50" t="str">
        <f>IF(N(T271)&gt;0,SUMIFS('成交明细'!$F$5:$F$804,'成交明细'!$A$5:$A$804,A271,'成交明细'!$C$5:$C$804,"买")/T271,"")</f>
        <v/>
      </c>
      <c r="V271" s="44" t="str">
        <f>IF(A271="","",SUMIFS('成交明细'!$E$5:$E$804,'成交明细'!$A$5:$A$804,A271,'成交明细'!$C$5:$C$804,"卖"))</f>
        <v/>
      </c>
      <c r="W271" s="50" t="str">
        <f>IF(N(V271)&gt;0,SUMIFS('成交明细'!$F$5:$F$804,'成交明细'!$A$5:$A$804,A271,'成交明细'!$C$5:$C$804,"卖")/V271,"")</f>
        <v/>
      </c>
      <c r="X271" s="36" t="str">
        <f>IF(A271="","",IF(Q271&lt;&gt;"已执行",IF(Q271="","未填执行情况",Q271),IF(N(T271)=0,"待录成交",IF(N(V271)&gt;N(T271),"卖出多于买入",IF(N(V271)&lt;N(T271),"持仓中","已平仓")))))</f>
        <v/>
      </c>
      <c r="Y271" s="51" t="str">
        <f>IF(N(T271)=0,"",SUMIFS('成交明细'!$K$5:$K$804,'成交明细'!$A$5:$A$804,A271))</f>
        <v/>
      </c>
      <c r="Z271" s="52" t="str">
        <f>IF(X271&lt;&gt;"已平仓","",SUMIFS('成交明细'!$F$5:$F$804,'成交明细'!$A$5:$A$804,A271,'成交明细'!$C$5:$C$804,"卖")-SUMIFS('成交明细'!$F$5:$F$804,'成交明细'!$A$5:$A$804,A271,'成交明细'!$C$5:$C$804,"买")-Y271)</f>
        <v/>
      </c>
      <c r="AA271" s="53" t="str">
        <f>IF(AND(X271="已平仓",ISNUMBER(N271)),(Z271+Y271)/N271,"")</f>
        <v/>
      </c>
      <c r="AB271" s="53" t="str">
        <f>IF(AND(X271="已平仓",ISNUMBER(N271)),Z271/N271,"")</f>
        <v/>
      </c>
      <c r="AC271" s="54" t="str">
        <f>IF(AND(ISNUMBER(U271),ISNUMBER(H271)),U271-H271,"")</f>
        <v/>
      </c>
      <c r="AD271" s="27" t="n"/>
      <c r="AE271" s="27" t="n"/>
      <c r="AF271" s="32" t="n"/>
      <c r="AG271" s="53" t="str">
        <f>IF(A271="","",SUM(AB$5:AB271))</f>
        <v/>
      </c>
      <c r="AH271" s="55" t="str">
        <f>IF(A271="","",MAX(0,MAX(AG$5:AG271))-AG271)</f>
        <v/>
      </c>
    </row>
    <row r="272">
      <c r="A272" s="46" t="n"/>
      <c r="B272" s="31" t="n"/>
      <c r="C272" s="32" t="n"/>
      <c r="D272" s="27" t="n"/>
      <c r="E272" s="47" t="str">
        <f>IF(D272="","",IFERROR(VLOOKUP(D272,'参数'!$B$21:$C$26,2,FALSE),""))</f>
        <v/>
      </c>
      <c r="F272" s="27" t="n"/>
      <c r="G272" s="43" t="str">
        <f>IF(NOT(ISNUMBER(B272)),"",IFERROR(IF(B272-INDEX('每日复盘'!$A$5:$A$264,MATCH(B272-1,'每日复盘'!$A$5:$A$264,1))&gt;7,"",T(INDEX('每日复盘'!$AA$5:$AA$264,MATCH(B272-1,'每日复盘'!$A$5:$A$264,1)))),""))</f>
        <v/>
      </c>
      <c r="H272" s="48" t="n"/>
      <c r="I272" s="48" t="n"/>
      <c r="J272" s="48" t="n"/>
      <c r="K272" s="49" t="str">
        <f>IF(AND(ISNUMBER(H272),ISNUMBER(I272),ISNUMBER(J272)),IF(H272&gt;I272,(J272-H272)/(H272-I272),""),"")</f>
        <v/>
      </c>
      <c r="L272" s="44" t="str">
        <f>IF(AND(ISNUMBER(H272),ISNUMBER(I272)),IF(H272&gt;I272,MIN(INT(ROUND('参数'!$C$7/(H272-I272)/100,6))*100,IF(ISNUMBER(E272),IF(H272-ROUND(ROUND(I272*(1-E272),4),2)&gt;0,INT(ROUND('参数'!$C$8/(H272-ROUND(ROUND(I272*(1-E272),4),2))/100,6))*100,0),INT(ROUND('参数'!$C$7/(H272-I272)/100,6))*100)),""),"")</f>
        <v/>
      </c>
      <c r="M272" s="17" t="n"/>
      <c r="N272" s="20" t="str">
        <f>IF(AND(ISNUMBER(H272),ISNUMBER(I272),ISNUMBER(M272)),IF(AND(H272&gt;I272,M272&gt;0),(H272-I272)*M272,""),"")</f>
        <v/>
      </c>
      <c r="O272" s="20" t="str">
        <f>IF(ISNUMBER(N272),IF(ISNUMBER(E272),(H272-ROUND(ROUND(I272*(1-E272),4),2))*M272,"不设限"),"")</f>
        <v/>
      </c>
      <c r="P272" s="32" t="n"/>
      <c r="Q272" s="27" t="n"/>
      <c r="R272" s="42" t="str">
        <f>IF(N(T272)&gt;0,SUMPRODUCT(LARGE(('成交明细'!$A$5:$A$804=A272)*('成交明细'!$C$5:$C$804="买")*'成交明细'!$B$5:$B$804,COUNTIFS('成交明细'!$A$5:$A$804,A272,'成交明细'!$C$5:$C$804,"买"))),"")</f>
        <v/>
      </c>
      <c r="S272" s="42" t="str">
        <f>IF(AND(N(T272)&gt;0,N(V272)&gt;=N(T272)),SUMPRODUCT(MAX(('成交明细'!$A$5:$A$804=A272)*('成交明细'!$C$5:$C$804="卖")*'成交明细'!$B$5:$B$804)),"")</f>
        <v/>
      </c>
      <c r="T272" s="44" t="str">
        <f>IF(A272="","",SUMIFS('成交明细'!$E$5:$E$804,'成交明细'!$A$5:$A$804,A272,'成交明细'!$C$5:$C$804,"买"))</f>
        <v/>
      </c>
      <c r="U272" s="50" t="str">
        <f>IF(N(T272)&gt;0,SUMIFS('成交明细'!$F$5:$F$804,'成交明细'!$A$5:$A$804,A272,'成交明细'!$C$5:$C$804,"买")/T272,"")</f>
        <v/>
      </c>
      <c r="V272" s="44" t="str">
        <f>IF(A272="","",SUMIFS('成交明细'!$E$5:$E$804,'成交明细'!$A$5:$A$804,A272,'成交明细'!$C$5:$C$804,"卖"))</f>
        <v/>
      </c>
      <c r="W272" s="50" t="str">
        <f>IF(N(V272)&gt;0,SUMIFS('成交明细'!$F$5:$F$804,'成交明细'!$A$5:$A$804,A272,'成交明细'!$C$5:$C$804,"卖")/V272,"")</f>
        <v/>
      </c>
      <c r="X272" s="36" t="str">
        <f>IF(A272="","",IF(Q272&lt;&gt;"已执行",IF(Q272="","未填执行情况",Q272),IF(N(T272)=0,"待录成交",IF(N(V272)&gt;N(T272),"卖出多于买入",IF(N(V272)&lt;N(T272),"持仓中","已平仓")))))</f>
        <v/>
      </c>
      <c r="Y272" s="51" t="str">
        <f>IF(N(T272)=0,"",SUMIFS('成交明细'!$K$5:$K$804,'成交明细'!$A$5:$A$804,A272))</f>
        <v/>
      </c>
      <c r="Z272" s="52" t="str">
        <f>IF(X272&lt;&gt;"已平仓","",SUMIFS('成交明细'!$F$5:$F$804,'成交明细'!$A$5:$A$804,A272,'成交明细'!$C$5:$C$804,"卖")-SUMIFS('成交明细'!$F$5:$F$804,'成交明细'!$A$5:$A$804,A272,'成交明细'!$C$5:$C$804,"买")-Y272)</f>
        <v/>
      </c>
      <c r="AA272" s="53" t="str">
        <f>IF(AND(X272="已平仓",ISNUMBER(N272)),(Z272+Y272)/N272,"")</f>
        <v/>
      </c>
      <c r="AB272" s="53" t="str">
        <f>IF(AND(X272="已平仓",ISNUMBER(N272)),Z272/N272,"")</f>
        <v/>
      </c>
      <c r="AC272" s="54" t="str">
        <f>IF(AND(ISNUMBER(U272),ISNUMBER(H272)),U272-H272,"")</f>
        <v/>
      </c>
      <c r="AD272" s="27" t="n"/>
      <c r="AE272" s="27" t="n"/>
      <c r="AF272" s="32" t="n"/>
      <c r="AG272" s="53" t="str">
        <f>IF(A272="","",SUM(AB$5:AB272))</f>
        <v/>
      </c>
      <c r="AH272" s="55" t="str">
        <f>IF(A272="","",MAX(0,MAX(AG$5:AG272))-AG272)</f>
        <v/>
      </c>
    </row>
    <row r="273">
      <c r="A273" s="46" t="n"/>
      <c r="B273" s="31" t="n"/>
      <c r="C273" s="32" t="n"/>
      <c r="D273" s="27" t="n"/>
      <c r="E273" s="47" t="str">
        <f>IF(D273="","",IFERROR(VLOOKUP(D273,'参数'!$B$21:$C$26,2,FALSE),""))</f>
        <v/>
      </c>
      <c r="F273" s="27" t="n"/>
      <c r="G273" s="43" t="str">
        <f>IF(NOT(ISNUMBER(B273)),"",IFERROR(IF(B273-INDEX('每日复盘'!$A$5:$A$264,MATCH(B273-1,'每日复盘'!$A$5:$A$264,1))&gt;7,"",T(INDEX('每日复盘'!$AA$5:$AA$264,MATCH(B273-1,'每日复盘'!$A$5:$A$264,1)))),""))</f>
        <v/>
      </c>
      <c r="H273" s="48" t="n"/>
      <c r="I273" s="48" t="n"/>
      <c r="J273" s="48" t="n"/>
      <c r="K273" s="49" t="str">
        <f>IF(AND(ISNUMBER(H273),ISNUMBER(I273),ISNUMBER(J273)),IF(H273&gt;I273,(J273-H273)/(H273-I273),""),"")</f>
        <v/>
      </c>
      <c r="L273" s="44" t="str">
        <f>IF(AND(ISNUMBER(H273),ISNUMBER(I273)),IF(H273&gt;I273,MIN(INT(ROUND('参数'!$C$7/(H273-I273)/100,6))*100,IF(ISNUMBER(E273),IF(H273-ROUND(ROUND(I273*(1-E273),4),2)&gt;0,INT(ROUND('参数'!$C$8/(H273-ROUND(ROUND(I273*(1-E273),4),2))/100,6))*100,0),INT(ROUND('参数'!$C$7/(H273-I273)/100,6))*100)),""),"")</f>
        <v/>
      </c>
      <c r="M273" s="17" t="n"/>
      <c r="N273" s="20" t="str">
        <f>IF(AND(ISNUMBER(H273),ISNUMBER(I273),ISNUMBER(M273)),IF(AND(H273&gt;I273,M273&gt;0),(H273-I273)*M273,""),"")</f>
        <v/>
      </c>
      <c r="O273" s="20" t="str">
        <f>IF(ISNUMBER(N273),IF(ISNUMBER(E273),(H273-ROUND(ROUND(I273*(1-E273),4),2))*M273,"不设限"),"")</f>
        <v/>
      </c>
      <c r="P273" s="32" t="n"/>
      <c r="Q273" s="27" t="n"/>
      <c r="R273" s="42" t="str">
        <f>IF(N(T273)&gt;0,SUMPRODUCT(LARGE(('成交明细'!$A$5:$A$804=A273)*('成交明细'!$C$5:$C$804="买")*'成交明细'!$B$5:$B$804,COUNTIFS('成交明细'!$A$5:$A$804,A273,'成交明细'!$C$5:$C$804,"买"))),"")</f>
        <v/>
      </c>
      <c r="S273" s="42" t="str">
        <f>IF(AND(N(T273)&gt;0,N(V273)&gt;=N(T273)),SUMPRODUCT(MAX(('成交明细'!$A$5:$A$804=A273)*('成交明细'!$C$5:$C$804="卖")*'成交明细'!$B$5:$B$804)),"")</f>
        <v/>
      </c>
      <c r="T273" s="44" t="str">
        <f>IF(A273="","",SUMIFS('成交明细'!$E$5:$E$804,'成交明细'!$A$5:$A$804,A273,'成交明细'!$C$5:$C$804,"买"))</f>
        <v/>
      </c>
      <c r="U273" s="50" t="str">
        <f>IF(N(T273)&gt;0,SUMIFS('成交明细'!$F$5:$F$804,'成交明细'!$A$5:$A$804,A273,'成交明细'!$C$5:$C$804,"买")/T273,"")</f>
        <v/>
      </c>
      <c r="V273" s="44" t="str">
        <f>IF(A273="","",SUMIFS('成交明细'!$E$5:$E$804,'成交明细'!$A$5:$A$804,A273,'成交明细'!$C$5:$C$804,"卖"))</f>
        <v/>
      </c>
      <c r="W273" s="50" t="str">
        <f>IF(N(V273)&gt;0,SUMIFS('成交明细'!$F$5:$F$804,'成交明细'!$A$5:$A$804,A273,'成交明细'!$C$5:$C$804,"卖")/V273,"")</f>
        <v/>
      </c>
      <c r="X273" s="36" t="str">
        <f>IF(A273="","",IF(Q273&lt;&gt;"已执行",IF(Q273="","未填执行情况",Q273),IF(N(T273)=0,"待录成交",IF(N(V273)&gt;N(T273),"卖出多于买入",IF(N(V273)&lt;N(T273),"持仓中","已平仓")))))</f>
        <v/>
      </c>
      <c r="Y273" s="51" t="str">
        <f>IF(N(T273)=0,"",SUMIFS('成交明细'!$K$5:$K$804,'成交明细'!$A$5:$A$804,A273))</f>
        <v/>
      </c>
      <c r="Z273" s="52" t="str">
        <f>IF(X273&lt;&gt;"已平仓","",SUMIFS('成交明细'!$F$5:$F$804,'成交明细'!$A$5:$A$804,A273,'成交明细'!$C$5:$C$804,"卖")-SUMIFS('成交明细'!$F$5:$F$804,'成交明细'!$A$5:$A$804,A273,'成交明细'!$C$5:$C$804,"买")-Y273)</f>
        <v/>
      </c>
      <c r="AA273" s="53" t="str">
        <f>IF(AND(X273="已平仓",ISNUMBER(N273)),(Z273+Y273)/N273,"")</f>
        <v/>
      </c>
      <c r="AB273" s="53" t="str">
        <f>IF(AND(X273="已平仓",ISNUMBER(N273)),Z273/N273,"")</f>
        <v/>
      </c>
      <c r="AC273" s="54" t="str">
        <f>IF(AND(ISNUMBER(U273),ISNUMBER(H273)),U273-H273,"")</f>
        <v/>
      </c>
      <c r="AD273" s="27" t="n"/>
      <c r="AE273" s="27" t="n"/>
      <c r="AF273" s="32" t="n"/>
      <c r="AG273" s="53" t="str">
        <f>IF(A273="","",SUM(AB$5:AB273))</f>
        <v/>
      </c>
      <c r="AH273" s="55" t="str">
        <f>IF(A273="","",MAX(0,MAX(AG$5:AG273))-AG273)</f>
        <v/>
      </c>
    </row>
    <row r="274">
      <c r="A274" s="46" t="n"/>
      <c r="B274" s="31" t="n"/>
      <c r="C274" s="32" t="n"/>
      <c r="D274" s="27" t="n"/>
      <c r="E274" s="47" t="str">
        <f>IF(D274="","",IFERROR(VLOOKUP(D274,'参数'!$B$21:$C$26,2,FALSE),""))</f>
        <v/>
      </c>
      <c r="F274" s="27" t="n"/>
      <c r="G274" s="43" t="str">
        <f>IF(NOT(ISNUMBER(B274)),"",IFERROR(IF(B274-INDEX('每日复盘'!$A$5:$A$264,MATCH(B274-1,'每日复盘'!$A$5:$A$264,1))&gt;7,"",T(INDEX('每日复盘'!$AA$5:$AA$264,MATCH(B274-1,'每日复盘'!$A$5:$A$264,1)))),""))</f>
        <v/>
      </c>
      <c r="H274" s="48" t="n"/>
      <c r="I274" s="48" t="n"/>
      <c r="J274" s="48" t="n"/>
      <c r="K274" s="49" t="str">
        <f>IF(AND(ISNUMBER(H274),ISNUMBER(I274),ISNUMBER(J274)),IF(H274&gt;I274,(J274-H274)/(H274-I274),""),"")</f>
        <v/>
      </c>
      <c r="L274" s="44" t="str">
        <f>IF(AND(ISNUMBER(H274),ISNUMBER(I274)),IF(H274&gt;I274,MIN(INT(ROUND('参数'!$C$7/(H274-I274)/100,6))*100,IF(ISNUMBER(E274),IF(H274-ROUND(ROUND(I274*(1-E274),4),2)&gt;0,INT(ROUND('参数'!$C$8/(H274-ROUND(ROUND(I274*(1-E274),4),2))/100,6))*100,0),INT(ROUND('参数'!$C$7/(H274-I274)/100,6))*100)),""),"")</f>
        <v/>
      </c>
      <c r="M274" s="17" t="n"/>
      <c r="N274" s="20" t="str">
        <f>IF(AND(ISNUMBER(H274),ISNUMBER(I274),ISNUMBER(M274)),IF(AND(H274&gt;I274,M274&gt;0),(H274-I274)*M274,""),"")</f>
        <v/>
      </c>
      <c r="O274" s="20" t="str">
        <f>IF(ISNUMBER(N274),IF(ISNUMBER(E274),(H274-ROUND(ROUND(I274*(1-E274),4),2))*M274,"不设限"),"")</f>
        <v/>
      </c>
      <c r="P274" s="32" t="n"/>
      <c r="Q274" s="27" t="n"/>
      <c r="R274" s="42" t="str">
        <f>IF(N(T274)&gt;0,SUMPRODUCT(LARGE(('成交明细'!$A$5:$A$804=A274)*('成交明细'!$C$5:$C$804="买")*'成交明细'!$B$5:$B$804,COUNTIFS('成交明细'!$A$5:$A$804,A274,'成交明细'!$C$5:$C$804,"买"))),"")</f>
        <v/>
      </c>
      <c r="S274" s="42" t="str">
        <f>IF(AND(N(T274)&gt;0,N(V274)&gt;=N(T274)),SUMPRODUCT(MAX(('成交明细'!$A$5:$A$804=A274)*('成交明细'!$C$5:$C$804="卖")*'成交明细'!$B$5:$B$804)),"")</f>
        <v/>
      </c>
      <c r="T274" s="44" t="str">
        <f>IF(A274="","",SUMIFS('成交明细'!$E$5:$E$804,'成交明细'!$A$5:$A$804,A274,'成交明细'!$C$5:$C$804,"买"))</f>
        <v/>
      </c>
      <c r="U274" s="50" t="str">
        <f>IF(N(T274)&gt;0,SUMIFS('成交明细'!$F$5:$F$804,'成交明细'!$A$5:$A$804,A274,'成交明细'!$C$5:$C$804,"买")/T274,"")</f>
        <v/>
      </c>
      <c r="V274" s="44" t="str">
        <f>IF(A274="","",SUMIFS('成交明细'!$E$5:$E$804,'成交明细'!$A$5:$A$804,A274,'成交明细'!$C$5:$C$804,"卖"))</f>
        <v/>
      </c>
      <c r="W274" s="50" t="str">
        <f>IF(N(V274)&gt;0,SUMIFS('成交明细'!$F$5:$F$804,'成交明细'!$A$5:$A$804,A274,'成交明细'!$C$5:$C$804,"卖")/V274,"")</f>
        <v/>
      </c>
      <c r="X274" s="36" t="str">
        <f>IF(A274="","",IF(Q274&lt;&gt;"已执行",IF(Q274="","未填执行情况",Q274),IF(N(T274)=0,"待录成交",IF(N(V274)&gt;N(T274),"卖出多于买入",IF(N(V274)&lt;N(T274),"持仓中","已平仓")))))</f>
        <v/>
      </c>
      <c r="Y274" s="51" t="str">
        <f>IF(N(T274)=0,"",SUMIFS('成交明细'!$K$5:$K$804,'成交明细'!$A$5:$A$804,A274))</f>
        <v/>
      </c>
      <c r="Z274" s="52" t="str">
        <f>IF(X274&lt;&gt;"已平仓","",SUMIFS('成交明细'!$F$5:$F$804,'成交明细'!$A$5:$A$804,A274,'成交明细'!$C$5:$C$804,"卖")-SUMIFS('成交明细'!$F$5:$F$804,'成交明细'!$A$5:$A$804,A274,'成交明细'!$C$5:$C$804,"买")-Y274)</f>
        <v/>
      </c>
      <c r="AA274" s="53" t="str">
        <f>IF(AND(X274="已平仓",ISNUMBER(N274)),(Z274+Y274)/N274,"")</f>
        <v/>
      </c>
      <c r="AB274" s="53" t="str">
        <f>IF(AND(X274="已平仓",ISNUMBER(N274)),Z274/N274,"")</f>
        <v/>
      </c>
      <c r="AC274" s="54" t="str">
        <f>IF(AND(ISNUMBER(U274),ISNUMBER(H274)),U274-H274,"")</f>
        <v/>
      </c>
      <c r="AD274" s="27" t="n"/>
      <c r="AE274" s="27" t="n"/>
      <c r="AF274" s="32" t="n"/>
      <c r="AG274" s="53" t="str">
        <f>IF(A274="","",SUM(AB$5:AB274))</f>
        <v/>
      </c>
      <c r="AH274" s="55" t="str">
        <f>IF(A274="","",MAX(0,MAX(AG$5:AG274))-AG274)</f>
        <v/>
      </c>
    </row>
    <row r="275">
      <c r="A275" s="46" t="n"/>
      <c r="B275" s="31" t="n"/>
      <c r="C275" s="32" t="n"/>
      <c r="D275" s="27" t="n"/>
      <c r="E275" s="47" t="str">
        <f>IF(D275="","",IFERROR(VLOOKUP(D275,'参数'!$B$21:$C$26,2,FALSE),""))</f>
        <v/>
      </c>
      <c r="F275" s="27" t="n"/>
      <c r="G275" s="43" t="str">
        <f>IF(NOT(ISNUMBER(B275)),"",IFERROR(IF(B275-INDEX('每日复盘'!$A$5:$A$264,MATCH(B275-1,'每日复盘'!$A$5:$A$264,1))&gt;7,"",T(INDEX('每日复盘'!$AA$5:$AA$264,MATCH(B275-1,'每日复盘'!$A$5:$A$264,1)))),""))</f>
        <v/>
      </c>
      <c r="H275" s="48" t="n"/>
      <c r="I275" s="48" t="n"/>
      <c r="J275" s="48" t="n"/>
      <c r="K275" s="49" t="str">
        <f>IF(AND(ISNUMBER(H275),ISNUMBER(I275),ISNUMBER(J275)),IF(H275&gt;I275,(J275-H275)/(H275-I275),""),"")</f>
        <v/>
      </c>
      <c r="L275" s="44" t="str">
        <f>IF(AND(ISNUMBER(H275),ISNUMBER(I275)),IF(H275&gt;I275,MIN(INT(ROUND('参数'!$C$7/(H275-I275)/100,6))*100,IF(ISNUMBER(E275),IF(H275-ROUND(ROUND(I275*(1-E275),4),2)&gt;0,INT(ROUND('参数'!$C$8/(H275-ROUND(ROUND(I275*(1-E275),4),2))/100,6))*100,0),INT(ROUND('参数'!$C$7/(H275-I275)/100,6))*100)),""),"")</f>
        <v/>
      </c>
      <c r="M275" s="17" t="n"/>
      <c r="N275" s="20" t="str">
        <f>IF(AND(ISNUMBER(H275),ISNUMBER(I275),ISNUMBER(M275)),IF(AND(H275&gt;I275,M275&gt;0),(H275-I275)*M275,""),"")</f>
        <v/>
      </c>
      <c r="O275" s="20" t="str">
        <f>IF(ISNUMBER(N275),IF(ISNUMBER(E275),(H275-ROUND(ROUND(I275*(1-E275),4),2))*M275,"不设限"),"")</f>
        <v/>
      </c>
      <c r="P275" s="32" t="n"/>
      <c r="Q275" s="27" t="n"/>
      <c r="R275" s="42" t="str">
        <f>IF(N(T275)&gt;0,SUMPRODUCT(LARGE(('成交明细'!$A$5:$A$804=A275)*('成交明细'!$C$5:$C$804="买")*'成交明细'!$B$5:$B$804,COUNTIFS('成交明细'!$A$5:$A$804,A275,'成交明细'!$C$5:$C$804,"买"))),"")</f>
        <v/>
      </c>
      <c r="S275" s="42" t="str">
        <f>IF(AND(N(T275)&gt;0,N(V275)&gt;=N(T275)),SUMPRODUCT(MAX(('成交明细'!$A$5:$A$804=A275)*('成交明细'!$C$5:$C$804="卖")*'成交明细'!$B$5:$B$804)),"")</f>
        <v/>
      </c>
      <c r="T275" s="44" t="str">
        <f>IF(A275="","",SUMIFS('成交明细'!$E$5:$E$804,'成交明细'!$A$5:$A$804,A275,'成交明细'!$C$5:$C$804,"买"))</f>
        <v/>
      </c>
      <c r="U275" s="50" t="str">
        <f>IF(N(T275)&gt;0,SUMIFS('成交明细'!$F$5:$F$804,'成交明细'!$A$5:$A$804,A275,'成交明细'!$C$5:$C$804,"买")/T275,"")</f>
        <v/>
      </c>
      <c r="V275" s="44" t="str">
        <f>IF(A275="","",SUMIFS('成交明细'!$E$5:$E$804,'成交明细'!$A$5:$A$804,A275,'成交明细'!$C$5:$C$804,"卖"))</f>
        <v/>
      </c>
      <c r="W275" s="50" t="str">
        <f>IF(N(V275)&gt;0,SUMIFS('成交明细'!$F$5:$F$804,'成交明细'!$A$5:$A$804,A275,'成交明细'!$C$5:$C$804,"卖")/V275,"")</f>
        <v/>
      </c>
      <c r="X275" s="36" t="str">
        <f>IF(A275="","",IF(Q275&lt;&gt;"已执行",IF(Q275="","未填执行情况",Q275),IF(N(T275)=0,"待录成交",IF(N(V275)&gt;N(T275),"卖出多于买入",IF(N(V275)&lt;N(T275),"持仓中","已平仓")))))</f>
        <v/>
      </c>
      <c r="Y275" s="51" t="str">
        <f>IF(N(T275)=0,"",SUMIFS('成交明细'!$K$5:$K$804,'成交明细'!$A$5:$A$804,A275))</f>
        <v/>
      </c>
      <c r="Z275" s="52" t="str">
        <f>IF(X275&lt;&gt;"已平仓","",SUMIFS('成交明细'!$F$5:$F$804,'成交明细'!$A$5:$A$804,A275,'成交明细'!$C$5:$C$804,"卖")-SUMIFS('成交明细'!$F$5:$F$804,'成交明细'!$A$5:$A$804,A275,'成交明细'!$C$5:$C$804,"买")-Y275)</f>
        <v/>
      </c>
      <c r="AA275" s="53" t="str">
        <f>IF(AND(X275="已平仓",ISNUMBER(N275)),(Z275+Y275)/N275,"")</f>
        <v/>
      </c>
      <c r="AB275" s="53" t="str">
        <f>IF(AND(X275="已平仓",ISNUMBER(N275)),Z275/N275,"")</f>
        <v/>
      </c>
      <c r="AC275" s="54" t="str">
        <f>IF(AND(ISNUMBER(U275),ISNUMBER(H275)),U275-H275,"")</f>
        <v/>
      </c>
      <c r="AD275" s="27" t="n"/>
      <c r="AE275" s="27" t="n"/>
      <c r="AF275" s="32" t="n"/>
      <c r="AG275" s="53" t="str">
        <f>IF(A275="","",SUM(AB$5:AB275))</f>
        <v/>
      </c>
      <c r="AH275" s="55" t="str">
        <f>IF(A275="","",MAX(0,MAX(AG$5:AG275))-AG275)</f>
        <v/>
      </c>
    </row>
    <row r="276">
      <c r="A276" s="46" t="n"/>
      <c r="B276" s="31" t="n"/>
      <c r="C276" s="32" t="n"/>
      <c r="D276" s="27" t="n"/>
      <c r="E276" s="47" t="str">
        <f>IF(D276="","",IFERROR(VLOOKUP(D276,'参数'!$B$21:$C$26,2,FALSE),""))</f>
        <v/>
      </c>
      <c r="F276" s="27" t="n"/>
      <c r="G276" s="43" t="str">
        <f>IF(NOT(ISNUMBER(B276)),"",IFERROR(IF(B276-INDEX('每日复盘'!$A$5:$A$264,MATCH(B276-1,'每日复盘'!$A$5:$A$264,1))&gt;7,"",T(INDEX('每日复盘'!$AA$5:$AA$264,MATCH(B276-1,'每日复盘'!$A$5:$A$264,1)))),""))</f>
        <v/>
      </c>
      <c r="H276" s="48" t="n"/>
      <c r="I276" s="48" t="n"/>
      <c r="J276" s="48" t="n"/>
      <c r="K276" s="49" t="str">
        <f>IF(AND(ISNUMBER(H276),ISNUMBER(I276),ISNUMBER(J276)),IF(H276&gt;I276,(J276-H276)/(H276-I276),""),"")</f>
        <v/>
      </c>
      <c r="L276" s="44" t="str">
        <f>IF(AND(ISNUMBER(H276),ISNUMBER(I276)),IF(H276&gt;I276,MIN(INT(ROUND('参数'!$C$7/(H276-I276)/100,6))*100,IF(ISNUMBER(E276),IF(H276-ROUND(ROUND(I276*(1-E276),4),2)&gt;0,INT(ROUND('参数'!$C$8/(H276-ROUND(ROUND(I276*(1-E276),4),2))/100,6))*100,0),INT(ROUND('参数'!$C$7/(H276-I276)/100,6))*100)),""),"")</f>
        <v/>
      </c>
      <c r="M276" s="17" t="n"/>
      <c r="N276" s="20" t="str">
        <f>IF(AND(ISNUMBER(H276),ISNUMBER(I276),ISNUMBER(M276)),IF(AND(H276&gt;I276,M276&gt;0),(H276-I276)*M276,""),"")</f>
        <v/>
      </c>
      <c r="O276" s="20" t="str">
        <f>IF(ISNUMBER(N276),IF(ISNUMBER(E276),(H276-ROUND(ROUND(I276*(1-E276),4),2))*M276,"不设限"),"")</f>
        <v/>
      </c>
      <c r="P276" s="32" t="n"/>
      <c r="Q276" s="27" t="n"/>
      <c r="R276" s="42" t="str">
        <f>IF(N(T276)&gt;0,SUMPRODUCT(LARGE(('成交明细'!$A$5:$A$804=A276)*('成交明细'!$C$5:$C$804="买")*'成交明细'!$B$5:$B$804,COUNTIFS('成交明细'!$A$5:$A$804,A276,'成交明细'!$C$5:$C$804,"买"))),"")</f>
        <v/>
      </c>
      <c r="S276" s="42" t="str">
        <f>IF(AND(N(T276)&gt;0,N(V276)&gt;=N(T276)),SUMPRODUCT(MAX(('成交明细'!$A$5:$A$804=A276)*('成交明细'!$C$5:$C$804="卖")*'成交明细'!$B$5:$B$804)),"")</f>
        <v/>
      </c>
      <c r="T276" s="44" t="str">
        <f>IF(A276="","",SUMIFS('成交明细'!$E$5:$E$804,'成交明细'!$A$5:$A$804,A276,'成交明细'!$C$5:$C$804,"买"))</f>
        <v/>
      </c>
      <c r="U276" s="50" t="str">
        <f>IF(N(T276)&gt;0,SUMIFS('成交明细'!$F$5:$F$804,'成交明细'!$A$5:$A$804,A276,'成交明细'!$C$5:$C$804,"买")/T276,"")</f>
        <v/>
      </c>
      <c r="V276" s="44" t="str">
        <f>IF(A276="","",SUMIFS('成交明细'!$E$5:$E$804,'成交明细'!$A$5:$A$804,A276,'成交明细'!$C$5:$C$804,"卖"))</f>
        <v/>
      </c>
      <c r="W276" s="50" t="str">
        <f>IF(N(V276)&gt;0,SUMIFS('成交明细'!$F$5:$F$804,'成交明细'!$A$5:$A$804,A276,'成交明细'!$C$5:$C$804,"卖")/V276,"")</f>
        <v/>
      </c>
      <c r="X276" s="36" t="str">
        <f>IF(A276="","",IF(Q276&lt;&gt;"已执行",IF(Q276="","未填执行情况",Q276),IF(N(T276)=0,"待录成交",IF(N(V276)&gt;N(T276),"卖出多于买入",IF(N(V276)&lt;N(T276),"持仓中","已平仓")))))</f>
        <v/>
      </c>
      <c r="Y276" s="51" t="str">
        <f>IF(N(T276)=0,"",SUMIFS('成交明细'!$K$5:$K$804,'成交明细'!$A$5:$A$804,A276))</f>
        <v/>
      </c>
      <c r="Z276" s="52" t="str">
        <f>IF(X276&lt;&gt;"已平仓","",SUMIFS('成交明细'!$F$5:$F$804,'成交明细'!$A$5:$A$804,A276,'成交明细'!$C$5:$C$804,"卖")-SUMIFS('成交明细'!$F$5:$F$804,'成交明细'!$A$5:$A$804,A276,'成交明细'!$C$5:$C$804,"买")-Y276)</f>
        <v/>
      </c>
      <c r="AA276" s="53" t="str">
        <f>IF(AND(X276="已平仓",ISNUMBER(N276)),(Z276+Y276)/N276,"")</f>
        <v/>
      </c>
      <c r="AB276" s="53" t="str">
        <f>IF(AND(X276="已平仓",ISNUMBER(N276)),Z276/N276,"")</f>
        <v/>
      </c>
      <c r="AC276" s="54" t="str">
        <f>IF(AND(ISNUMBER(U276),ISNUMBER(H276)),U276-H276,"")</f>
        <v/>
      </c>
      <c r="AD276" s="27" t="n"/>
      <c r="AE276" s="27" t="n"/>
      <c r="AF276" s="32" t="n"/>
      <c r="AG276" s="53" t="str">
        <f>IF(A276="","",SUM(AB$5:AB276))</f>
        <v/>
      </c>
      <c r="AH276" s="55" t="str">
        <f>IF(A276="","",MAX(0,MAX(AG$5:AG276))-AG276)</f>
        <v/>
      </c>
    </row>
    <row r="277">
      <c r="A277" s="46" t="n"/>
      <c r="B277" s="31" t="n"/>
      <c r="C277" s="32" t="n"/>
      <c r="D277" s="27" t="n"/>
      <c r="E277" s="47" t="str">
        <f>IF(D277="","",IFERROR(VLOOKUP(D277,'参数'!$B$21:$C$26,2,FALSE),""))</f>
        <v/>
      </c>
      <c r="F277" s="27" t="n"/>
      <c r="G277" s="43" t="str">
        <f>IF(NOT(ISNUMBER(B277)),"",IFERROR(IF(B277-INDEX('每日复盘'!$A$5:$A$264,MATCH(B277-1,'每日复盘'!$A$5:$A$264,1))&gt;7,"",T(INDEX('每日复盘'!$AA$5:$AA$264,MATCH(B277-1,'每日复盘'!$A$5:$A$264,1)))),""))</f>
        <v/>
      </c>
      <c r="H277" s="48" t="n"/>
      <c r="I277" s="48" t="n"/>
      <c r="J277" s="48" t="n"/>
      <c r="K277" s="49" t="str">
        <f>IF(AND(ISNUMBER(H277),ISNUMBER(I277),ISNUMBER(J277)),IF(H277&gt;I277,(J277-H277)/(H277-I277),""),"")</f>
        <v/>
      </c>
      <c r="L277" s="44" t="str">
        <f>IF(AND(ISNUMBER(H277),ISNUMBER(I277)),IF(H277&gt;I277,MIN(INT(ROUND('参数'!$C$7/(H277-I277)/100,6))*100,IF(ISNUMBER(E277),IF(H277-ROUND(ROUND(I277*(1-E277),4),2)&gt;0,INT(ROUND('参数'!$C$8/(H277-ROUND(ROUND(I277*(1-E277),4),2))/100,6))*100,0),INT(ROUND('参数'!$C$7/(H277-I277)/100,6))*100)),""),"")</f>
        <v/>
      </c>
      <c r="M277" s="17" t="n"/>
      <c r="N277" s="20" t="str">
        <f>IF(AND(ISNUMBER(H277),ISNUMBER(I277),ISNUMBER(M277)),IF(AND(H277&gt;I277,M277&gt;0),(H277-I277)*M277,""),"")</f>
        <v/>
      </c>
      <c r="O277" s="20" t="str">
        <f>IF(ISNUMBER(N277),IF(ISNUMBER(E277),(H277-ROUND(ROUND(I277*(1-E277),4),2))*M277,"不设限"),"")</f>
        <v/>
      </c>
      <c r="P277" s="32" t="n"/>
      <c r="Q277" s="27" t="n"/>
      <c r="R277" s="42" t="str">
        <f>IF(N(T277)&gt;0,SUMPRODUCT(LARGE(('成交明细'!$A$5:$A$804=A277)*('成交明细'!$C$5:$C$804="买")*'成交明细'!$B$5:$B$804,COUNTIFS('成交明细'!$A$5:$A$804,A277,'成交明细'!$C$5:$C$804,"买"))),"")</f>
        <v/>
      </c>
      <c r="S277" s="42" t="str">
        <f>IF(AND(N(T277)&gt;0,N(V277)&gt;=N(T277)),SUMPRODUCT(MAX(('成交明细'!$A$5:$A$804=A277)*('成交明细'!$C$5:$C$804="卖")*'成交明细'!$B$5:$B$804)),"")</f>
        <v/>
      </c>
      <c r="T277" s="44" t="str">
        <f>IF(A277="","",SUMIFS('成交明细'!$E$5:$E$804,'成交明细'!$A$5:$A$804,A277,'成交明细'!$C$5:$C$804,"买"))</f>
        <v/>
      </c>
      <c r="U277" s="50" t="str">
        <f>IF(N(T277)&gt;0,SUMIFS('成交明细'!$F$5:$F$804,'成交明细'!$A$5:$A$804,A277,'成交明细'!$C$5:$C$804,"买")/T277,"")</f>
        <v/>
      </c>
      <c r="V277" s="44" t="str">
        <f>IF(A277="","",SUMIFS('成交明细'!$E$5:$E$804,'成交明细'!$A$5:$A$804,A277,'成交明细'!$C$5:$C$804,"卖"))</f>
        <v/>
      </c>
      <c r="W277" s="50" t="str">
        <f>IF(N(V277)&gt;0,SUMIFS('成交明细'!$F$5:$F$804,'成交明细'!$A$5:$A$804,A277,'成交明细'!$C$5:$C$804,"卖")/V277,"")</f>
        <v/>
      </c>
      <c r="X277" s="36" t="str">
        <f>IF(A277="","",IF(Q277&lt;&gt;"已执行",IF(Q277="","未填执行情况",Q277),IF(N(T277)=0,"待录成交",IF(N(V277)&gt;N(T277),"卖出多于买入",IF(N(V277)&lt;N(T277),"持仓中","已平仓")))))</f>
        <v/>
      </c>
      <c r="Y277" s="51" t="str">
        <f>IF(N(T277)=0,"",SUMIFS('成交明细'!$K$5:$K$804,'成交明细'!$A$5:$A$804,A277))</f>
        <v/>
      </c>
      <c r="Z277" s="52" t="str">
        <f>IF(X277&lt;&gt;"已平仓","",SUMIFS('成交明细'!$F$5:$F$804,'成交明细'!$A$5:$A$804,A277,'成交明细'!$C$5:$C$804,"卖")-SUMIFS('成交明细'!$F$5:$F$804,'成交明细'!$A$5:$A$804,A277,'成交明细'!$C$5:$C$804,"买")-Y277)</f>
        <v/>
      </c>
      <c r="AA277" s="53" t="str">
        <f>IF(AND(X277="已平仓",ISNUMBER(N277)),(Z277+Y277)/N277,"")</f>
        <v/>
      </c>
      <c r="AB277" s="53" t="str">
        <f>IF(AND(X277="已平仓",ISNUMBER(N277)),Z277/N277,"")</f>
        <v/>
      </c>
      <c r="AC277" s="54" t="str">
        <f>IF(AND(ISNUMBER(U277),ISNUMBER(H277)),U277-H277,"")</f>
        <v/>
      </c>
      <c r="AD277" s="27" t="n"/>
      <c r="AE277" s="27" t="n"/>
      <c r="AF277" s="32" t="n"/>
      <c r="AG277" s="53" t="str">
        <f>IF(A277="","",SUM(AB$5:AB277))</f>
        <v/>
      </c>
      <c r="AH277" s="55" t="str">
        <f>IF(A277="","",MAX(0,MAX(AG$5:AG277))-AG277)</f>
        <v/>
      </c>
    </row>
    <row r="278">
      <c r="A278" s="46" t="n"/>
      <c r="B278" s="31" t="n"/>
      <c r="C278" s="32" t="n"/>
      <c r="D278" s="27" t="n"/>
      <c r="E278" s="47" t="str">
        <f>IF(D278="","",IFERROR(VLOOKUP(D278,'参数'!$B$21:$C$26,2,FALSE),""))</f>
        <v/>
      </c>
      <c r="F278" s="27" t="n"/>
      <c r="G278" s="43" t="str">
        <f>IF(NOT(ISNUMBER(B278)),"",IFERROR(IF(B278-INDEX('每日复盘'!$A$5:$A$264,MATCH(B278-1,'每日复盘'!$A$5:$A$264,1))&gt;7,"",T(INDEX('每日复盘'!$AA$5:$AA$264,MATCH(B278-1,'每日复盘'!$A$5:$A$264,1)))),""))</f>
        <v/>
      </c>
      <c r="H278" s="48" t="n"/>
      <c r="I278" s="48" t="n"/>
      <c r="J278" s="48" t="n"/>
      <c r="K278" s="49" t="str">
        <f>IF(AND(ISNUMBER(H278),ISNUMBER(I278),ISNUMBER(J278)),IF(H278&gt;I278,(J278-H278)/(H278-I278),""),"")</f>
        <v/>
      </c>
      <c r="L278" s="44" t="str">
        <f>IF(AND(ISNUMBER(H278),ISNUMBER(I278)),IF(H278&gt;I278,MIN(INT(ROUND('参数'!$C$7/(H278-I278)/100,6))*100,IF(ISNUMBER(E278),IF(H278-ROUND(ROUND(I278*(1-E278),4),2)&gt;0,INT(ROUND('参数'!$C$8/(H278-ROUND(ROUND(I278*(1-E278),4),2))/100,6))*100,0),INT(ROUND('参数'!$C$7/(H278-I278)/100,6))*100)),""),"")</f>
        <v/>
      </c>
      <c r="M278" s="17" t="n"/>
      <c r="N278" s="20" t="str">
        <f>IF(AND(ISNUMBER(H278),ISNUMBER(I278),ISNUMBER(M278)),IF(AND(H278&gt;I278,M278&gt;0),(H278-I278)*M278,""),"")</f>
        <v/>
      </c>
      <c r="O278" s="20" t="str">
        <f>IF(ISNUMBER(N278),IF(ISNUMBER(E278),(H278-ROUND(ROUND(I278*(1-E278),4),2))*M278,"不设限"),"")</f>
        <v/>
      </c>
      <c r="P278" s="32" t="n"/>
      <c r="Q278" s="27" t="n"/>
      <c r="R278" s="42" t="str">
        <f>IF(N(T278)&gt;0,SUMPRODUCT(LARGE(('成交明细'!$A$5:$A$804=A278)*('成交明细'!$C$5:$C$804="买")*'成交明细'!$B$5:$B$804,COUNTIFS('成交明细'!$A$5:$A$804,A278,'成交明细'!$C$5:$C$804,"买"))),"")</f>
        <v/>
      </c>
      <c r="S278" s="42" t="str">
        <f>IF(AND(N(T278)&gt;0,N(V278)&gt;=N(T278)),SUMPRODUCT(MAX(('成交明细'!$A$5:$A$804=A278)*('成交明细'!$C$5:$C$804="卖")*'成交明细'!$B$5:$B$804)),"")</f>
        <v/>
      </c>
      <c r="T278" s="44" t="str">
        <f>IF(A278="","",SUMIFS('成交明细'!$E$5:$E$804,'成交明细'!$A$5:$A$804,A278,'成交明细'!$C$5:$C$804,"买"))</f>
        <v/>
      </c>
      <c r="U278" s="50" t="str">
        <f>IF(N(T278)&gt;0,SUMIFS('成交明细'!$F$5:$F$804,'成交明细'!$A$5:$A$804,A278,'成交明细'!$C$5:$C$804,"买")/T278,"")</f>
        <v/>
      </c>
      <c r="V278" s="44" t="str">
        <f>IF(A278="","",SUMIFS('成交明细'!$E$5:$E$804,'成交明细'!$A$5:$A$804,A278,'成交明细'!$C$5:$C$804,"卖"))</f>
        <v/>
      </c>
      <c r="W278" s="50" t="str">
        <f>IF(N(V278)&gt;0,SUMIFS('成交明细'!$F$5:$F$804,'成交明细'!$A$5:$A$804,A278,'成交明细'!$C$5:$C$804,"卖")/V278,"")</f>
        <v/>
      </c>
      <c r="X278" s="36" t="str">
        <f>IF(A278="","",IF(Q278&lt;&gt;"已执行",IF(Q278="","未填执行情况",Q278),IF(N(T278)=0,"待录成交",IF(N(V278)&gt;N(T278),"卖出多于买入",IF(N(V278)&lt;N(T278),"持仓中","已平仓")))))</f>
        <v/>
      </c>
      <c r="Y278" s="51" t="str">
        <f>IF(N(T278)=0,"",SUMIFS('成交明细'!$K$5:$K$804,'成交明细'!$A$5:$A$804,A278))</f>
        <v/>
      </c>
      <c r="Z278" s="52" t="str">
        <f>IF(X278&lt;&gt;"已平仓","",SUMIFS('成交明细'!$F$5:$F$804,'成交明细'!$A$5:$A$804,A278,'成交明细'!$C$5:$C$804,"卖")-SUMIFS('成交明细'!$F$5:$F$804,'成交明细'!$A$5:$A$804,A278,'成交明细'!$C$5:$C$804,"买")-Y278)</f>
        <v/>
      </c>
      <c r="AA278" s="53" t="str">
        <f>IF(AND(X278="已平仓",ISNUMBER(N278)),(Z278+Y278)/N278,"")</f>
        <v/>
      </c>
      <c r="AB278" s="53" t="str">
        <f>IF(AND(X278="已平仓",ISNUMBER(N278)),Z278/N278,"")</f>
        <v/>
      </c>
      <c r="AC278" s="54" t="str">
        <f>IF(AND(ISNUMBER(U278),ISNUMBER(H278)),U278-H278,"")</f>
        <v/>
      </c>
      <c r="AD278" s="27" t="n"/>
      <c r="AE278" s="27" t="n"/>
      <c r="AF278" s="32" t="n"/>
      <c r="AG278" s="53" t="str">
        <f>IF(A278="","",SUM(AB$5:AB278))</f>
        <v/>
      </c>
      <c r="AH278" s="55" t="str">
        <f>IF(A278="","",MAX(0,MAX(AG$5:AG278))-AG278)</f>
        <v/>
      </c>
    </row>
    <row r="279">
      <c r="A279" s="46" t="n"/>
      <c r="B279" s="31" t="n"/>
      <c r="C279" s="32" t="n"/>
      <c r="D279" s="27" t="n"/>
      <c r="E279" s="47" t="str">
        <f>IF(D279="","",IFERROR(VLOOKUP(D279,'参数'!$B$21:$C$26,2,FALSE),""))</f>
        <v/>
      </c>
      <c r="F279" s="27" t="n"/>
      <c r="G279" s="43" t="str">
        <f>IF(NOT(ISNUMBER(B279)),"",IFERROR(IF(B279-INDEX('每日复盘'!$A$5:$A$264,MATCH(B279-1,'每日复盘'!$A$5:$A$264,1))&gt;7,"",T(INDEX('每日复盘'!$AA$5:$AA$264,MATCH(B279-1,'每日复盘'!$A$5:$A$264,1)))),""))</f>
        <v/>
      </c>
      <c r="H279" s="48" t="n"/>
      <c r="I279" s="48" t="n"/>
      <c r="J279" s="48" t="n"/>
      <c r="K279" s="49" t="str">
        <f>IF(AND(ISNUMBER(H279),ISNUMBER(I279),ISNUMBER(J279)),IF(H279&gt;I279,(J279-H279)/(H279-I279),""),"")</f>
        <v/>
      </c>
      <c r="L279" s="44" t="str">
        <f>IF(AND(ISNUMBER(H279),ISNUMBER(I279)),IF(H279&gt;I279,MIN(INT(ROUND('参数'!$C$7/(H279-I279)/100,6))*100,IF(ISNUMBER(E279),IF(H279-ROUND(ROUND(I279*(1-E279),4),2)&gt;0,INT(ROUND('参数'!$C$8/(H279-ROUND(ROUND(I279*(1-E279),4),2))/100,6))*100,0),INT(ROUND('参数'!$C$7/(H279-I279)/100,6))*100)),""),"")</f>
        <v/>
      </c>
      <c r="M279" s="17" t="n"/>
      <c r="N279" s="20" t="str">
        <f>IF(AND(ISNUMBER(H279),ISNUMBER(I279),ISNUMBER(M279)),IF(AND(H279&gt;I279,M279&gt;0),(H279-I279)*M279,""),"")</f>
        <v/>
      </c>
      <c r="O279" s="20" t="str">
        <f>IF(ISNUMBER(N279),IF(ISNUMBER(E279),(H279-ROUND(ROUND(I279*(1-E279),4),2))*M279,"不设限"),"")</f>
        <v/>
      </c>
      <c r="P279" s="32" t="n"/>
      <c r="Q279" s="27" t="n"/>
      <c r="R279" s="42" t="str">
        <f>IF(N(T279)&gt;0,SUMPRODUCT(LARGE(('成交明细'!$A$5:$A$804=A279)*('成交明细'!$C$5:$C$804="买")*'成交明细'!$B$5:$B$804,COUNTIFS('成交明细'!$A$5:$A$804,A279,'成交明细'!$C$5:$C$804,"买"))),"")</f>
        <v/>
      </c>
      <c r="S279" s="42" t="str">
        <f>IF(AND(N(T279)&gt;0,N(V279)&gt;=N(T279)),SUMPRODUCT(MAX(('成交明细'!$A$5:$A$804=A279)*('成交明细'!$C$5:$C$804="卖")*'成交明细'!$B$5:$B$804)),"")</f>
        <v/>
      </c>
      <c r="T279" s="44" t="str">
        <f>IF(A279="","",SUMIFS('成交明细'!$E$5:$E$804,'成交明细'!$A$5:$A$804,A279,'成交明细'!$C$5:$C$804,"买"))</f>
        <v/>
      </c>
      <c r="U279" s="50" t="str">
        <f>IF(N(T279)&gt;0,SUMIFS('成交明细'!$F$5:$F$804,'成交明细'!$A$5:$A$804,A279,'成交明细'!$C$5:$C$804,"买")/T279,"")</f>
        <v/>
      </c>
      <c r="V279" s="44" t="str">
        <f>IF(A279="","",SUMIFS('成交明细'!$E$5:$E$804,'成交明细'!$A$5:$A$804,A279,'成交明细'!$C$5:$C$804,"卖"))</f>
        <v/>
      </c>
      <c r="W279" s="50" t="str">
        <f>IF(N(V279)&gt;0,SUMIFS('成交明细'!$F$5:$F$804,'成交明细'!$A$5:$A$804,A279,'成交明细'!$C$5:$C$804,"卖")/V279,"")</f>
        <v/>
      </c>
      <c r="X279" s="36" t="str">
        <f>IF(A279="","",IF(Q279&lt;&gt;"已执行",IF(Q279="","未填执行情况",Q279),IF(N(T279)=0,"待录成交",IF(N(V279)&gt;N(T279),"卖出多于买入",IF(N(V279)&lt;N(T279),"持仓中","已平仓")))))</f>
        <v/>
      </c>
      <c r="Y279" s="51" t="str">
        <f>IF(N(T279)=0,"",SUMIFS('成交明细'!$K$5:$K$804,'成交明细'!$A$5:$A$804,A279))</f>
        <v/>
      </c>
      <c r="Z279" s="52" t="str">
        <f>IF(X279&lt;&gt;"已平仓","",SUMIFS('成交明细'!$F$5:$F$804,'成交明细'!$A$5:$A$804,A279,'成交明细'!$C$5:$C$804,"卖")-SUMIFS('成交明细'!$F$5:$F$804,'成交明细'!$A$5:$A$804,A279,'成交明细'!$C$5:$C$804,"买")-Y279)</f>
        <v/>
      </c>
      <c r="AA279" s="53" t="str">
        <f>IF(AND(X279="已平仓",ISNUMBER(N279)),(Z279+Y279)/N279,"")</f>
        <v/>
      </c>
      <c r="AB279" s="53" t="str">
        <f>IF(AND(X279="已平仓",ISNUMBER(N279)),Z279/N279,"")</f>
        <v/>
      </c>
      <c r="AC279" s="54" t="str">
        <f>IF(AND(ISNUMBER(U279),ISNUMBER(H279)),U279-H279,"")</f>
        <v/>
      </c>
      <c r="AD279" s="27" t="n"/>
      <c r="AE279" s="27" t="n"/>
      <c r="AF279" s="32" t="n"/>
      <c r="AG279" s="53" t="str">
        <f>IF(A279="","",SUM(AB$5:AB279))</f>
        <v/>
      </c>
      <c r="AH279" s="55" t="str">
        <f>IF(A279="","",MAX(0,MAX(AG$5:AG279))-AG279)</f>
        <v/>
      </c>
    </row>
    <row r="280">
      <c r="A280" s="46" t="n"/>
      <c r="B280" s="31" t="n"/>
      <c r="C280" s="32" t="n"/>
      <c r="D280" s="27" t="n"/>
      <c r="E280" s="47" t="str">
        <f>IF(D280="","",IFERROR(VLOOKUP(D280,'参数'!$B$21:$C$26,2,FALSE),""))</f>
        <v/>
      </c>
      <c r="F280" s="27" t="n"/>
      <c r="G280" s="43" t="str">
        <f>IF(NOT(ISNUMBER(B280)),"",IFERROR(IF(B280-INDEX('每日复盘'!$A$5:$A$264,MATCH(B280-1,'每日复盘'!$A$5:$A$264,1))&gt;7,"",T(INDEX('每日复盘'!$AA$5:$AA$264,MATCH(B280-1,'每日复盘'!$A$5:$A$264,1)))),""))</f>
        <v/>
      </c>
      <c r="H280" s="48" t="n"/>
      <c r="I280" s="48" t="n"/>
      <c r="J280" s="48" t="n"/>
      <c r="K280" s="49" t="str">
        <f>IF(AND(ISNUMBER(H280),ISNUMBER(I280),ISNUMBER(J280)),IF(H280&gt;I280,(J280-H280)/(H280-I280),""),"")</f>
        <v/>
      </c>
      <c r="L280" s="44" t="str">
        <f>IF(AND(ISNUMBER(H280),ISNUMBER(I280)),IF(H280&gt;I280,MIN(INT(ROUND('参数'!$C$7/(H280-I280)/100,6))*100,IF(ISNUMBER(E280),IF(H280-ROUND(ROUND(I280*(1-E280),4),2)&gt;0,INT(ROUND('参数'!$C$8/(H280-ROUND(ROUND(I280*(1-E280),4),2))/100,6))*100,0),INT(ROUND('参数'!$C$7/(H280-I280)/100,6))*100)),""),"")</f>
        <v/>
      </c>
      <c r="M280" s="17" t="n"/>
      <c r="N280" s="20" t="str">
        <f>IF(AND(ISNUMBER(H280),ISNUMBER(I280),ISNUMBER(M280)),IF(AND(H280&gt;I280,M280&gt;0),(H280-I280)*M280,""),"")</f>
        <v/>
      </c>
      <c r="O280" s="20" t="str">
        <f>IF(ISNUMBER(N280),IF(ISNUMBER(E280),(H280-ROUND(ROUND(I280*(1-E280),4),2))*M280,"不设限"),"")</f>
        <v/>
      </c>
      <c r="P280" s="32" t="n"/>
      <c r="Q280" s="27" t="n"/>
      <c r="R280" s="42" t="str">
        <f>IF(N(T280)&gt;0,SUMPRODUCT(LARGE(('成交明细'!$A$5:$A$804=A280)*('成交明细'!$C$5:$C$804="买")*'成交明细'!$B$5:$B$804,COUNTIFS('成交明细'!$A$5:$A$804,A280,'成交明细'!$C$5:$C$804,"买"))),"")</f>
        <v/>
      </c>
      <c r="S280" s="42" t="str">
        <f>IF(AND(N(T280)&gt;0,N(V280)&gt;=N(T280)),SUMPRODUCT(MAX(('成交明细'!$A$5:$A$804=A280)*('成交明细'!$C$5:$C$804="卖")*'成交明细'!$B$5:$B$804)),"")</f>
        <v/>
      </c>
      <c r="T280" s="44" t="str">
        <f>IF(A280="","",SUMIFS('成交明细'!$E$5:$E$804,'成交明细'!$A$5:$A$804,A280,'成交明细'!$C$5:$C$804,"买"))</f>
        <v/>
      </c>
      <c r="U280" s="50" t="str">
        <f>IF(N(T280)&gt;0,SUMIFS('成交明细'!$F$5:$F$804,'成交明细'!$A$5:$A$804,A280,'成交明细'!$C$5:$C$804,"买")/T280,"")</f>
        <v/>
      </c>
      <c r="V280" s="44" t="str">
        <f>IF(A280="","",SUMIFS('成交明细'!$E$5:$E$804,'成交明细'!$A$5:$A$804,A280,'成交明细'!$C$5:$C$804,"卖"))</f>
        <v/>
      </c>
      <c r="W280" s="50" t="str">
        <f>IF(N(V280)&gt;0,SUMIFS('成交明细'!$F$5:$F$804,'成交明细'!$A$5:$A$804,A280,'成交明细'!$C$5:$C$804,"卖")/V280,"")</f>
        <v/>
      </c>
      <c r="X280" s="36" t="str">
        <f>IF(A280="","",IF(Q280&lt;&gt;"已执行",IF(Q280="","未填执行情况",Q280),IF(N(T280)=0,"待录成交",IF(N(V280)&gt;N(T280),"卖出多于买入",IF(N(V280)&lt;N(T280),"持仓中","已平仓")))))</f>
        <v/>
      </c>
      <c r="Y280" s="51" t="str">
        <f>IF(N(T280)=0,"",SUMIFS('成交明细'!$K$5:$K$804,'成交明细'!$A$5:$A$804,A280))</f>
        <v/>
      </c>
      <c r="Z280" s="52" t="str">
        <f>IF(X280&lt;&gt;"已平仓","",SUMIFS('成交明细'!$F$5:$F$804,'成交明细'!$A$5:$A$804,A280,'成交明细'!$C$5:$C$804,"卖")-SUMIFS('成交明细'!$F$5:$F$804,'成交明细'!$A$5:$A$804,A280,'成交明细'!$C$5:$C$804,"买")-Y280)</f>
        <v/>
      </c>
      <c r="AA280" s="53" t="str">
        <f>IF(AND(X280="已平仓",ISNUMBER(N280)),(Z280+Y280)/N280,"")</f>
        <v/>
      </c>
      <c r="AB280" s="53" t="str">
        <f>IF(AND(X280="已平仓",ISNUMBER(N280)),Z280/N280,"")</f>
        <v/>
      </c>
      <c r="AC280" s="54" t="str">
        <f>IF(AND(ISNUMBER(U280),ISNUMBER(H280)),U280-H280,"")</f>
        <v/>
      </c>
      <c r="AD280" s="27" t="n"/>
      <c r="AE280" s="27" t="n"/>
      <c r="AF280" s="32" t="n"/>
      <c r="AG280" s="53" t="str">
        <f>IF(A280="","",SUM(AB$5:AB280))</f>
        <v/>
      </c>
      <c r="AH280" s="55" t="str">
        <f>IF(A280="","",MAX(0,MAX(AG$5:AG280))-AG280)</f>
        <v/>
      </c>
    </row>
    <row r="281">
      <c r="A281" s="46" t="n"/>
      <c r="B281" s="31" t="n"/>
      <c r="C281" s="32" t="n"/>
      <c r="D281" s="27" t="n"/>
      <c r="E281" s="47" t="str">
        <f>IF(D281="","",IFERROR(VLOOKUP(D281,'参数'!$B$21:$C$26,2,FALSE),""))</f>
        <v/>
      </c>
      <c r="F281" s="27" t="n"/>
      <c r="G281" s="43" t="str">
        <f>IF(NOT(ISNUMBER(B281)),"",IFERROR(IF(B281-INDEX('每日复盘'!$A$5:$A$264,MATCH(B281-1,'每日复盘'!$A$5:$A$264,1))&gt;7,"",T(INDEX('每日复盘'!$AA$5:$AA$264,MATCH(B281-1,'每日复盘'!$A$5:$A$264,1)))),""))</f>
        <v/>
      </c>
      <c r="H281" s="48" t="n"/>
      <c r="I281" s="48" t="n"/>
      <c r="J281" s="48" t="n"/>
      <c r="K281" s="49" t="str">
        <f>IF(AND(ISNUMBER(H281),ISNUMBER(I281),ISNUMBER(J281)),IF(H281&gt;I281,(J281-H281)/(H281-I281),""),"")</f>
        <v/>
      </c>
      <c r="L281" s="44" t="str">
        <f>IF(AND(ISNUMBER(H281),ISNUMBER(I281)),IF(H281&gt;I281,MIN(INT(ROUND('参数'!$C$7/(H281-I281)/100,6))*100,IF(ISNUMBER(E281),IF(H281-ROUND(ROUND(I281*(1-E281),4),2)&gt;0,INT(ROUND('参数'!$C$8/(H281-ROUND(ROUND(I281*(1-E281),4),2))/100,6))*100,0),INT(ROUND('参数'!$C$7/(H281-I281)/100,6))*100)),""),"")</f>
        <v/>
      </c>
      <c r="M281" s="17" t="n"/>
      <c r="N281" s="20" t="str">
        <f>IF(AND(ISNUMBER(H281),ISNUMBER(I281),ISNUMBER(M281)),IF(AND(H281&gt;I281,M281&gt;0),(H281-I281)*M281,""),"")</f>
        <v/>
      </c>
      <c r="O281" s="20" t="str">
        <f>IF(ISNUMBER(N281),IF(ISNUMBER(E281),(H281-ROUND(ROUND(I281*(1-E281),4),2))*M281,"不设限"),"")</f>
        <v/>
      </c>
      <c r="P281" s="32" t="n"/>
      <c r="Q281" s="27" t="n"/>
      <c r="R281" s="42" t="str">
        <f>IF(N(T281)&gt;0,SUMPRODUCT(LARGE(('成交明细'!$A$5:$A$804=A281)*('成交明细'!$C$5:$C$804="买")*'成交明细'!$B$5:$B$804,COUNTIFS('成交明细'!$A$5:$A$804,A281,'成交明细'!$C$5:$C$804,"买"))),"")</f>
        <v/>
      </c>
      <c r="S281" s="42" t="str">
        <f>IF(AND(N(T281)&gt;0,N(V281)&gt;=N(T281)),SUMPRODUCT(MAX(('成交明细'!$A$5:$A$804=A281)*('成交明细'!$C$5:$C$804="卖")*'成交明细'!$B$5:$B$804)),"")</f>
        <v/>
      </c>
      <c r="T281" s="44" t="str">
        <f>IF(A281="","",SUMIFS('成交明细'!$E$5:$E$804,'成交明细'!$A$5:$A$804,A281,'成交明细'!$C$5:$C$804,"买"))</f>
        <v/>
      </c>
      <c r="U281" s="50" t="str">
        <f>IF(N(T281)&gt;0,SUMIFS('成交明细'!$F$5:$F$804,'成交明细'!$A$5:$A$804,A281,'成交明细'!$C$5:$C$804,"买")/T281,"")</f>
        <v/>
      </c>
      <c r="V281" s="44" t="str">
        <f>IF(A281="","",SUMIFS('成交明细'!$E$5:$E$804,'成交明细'!$A$5:$A$804,A281,'成交明细'!$C$5:$C$804,"卖"))</f>
        <v/>
      </c>
      <c r="W281" s="50" t="str">
        <f>IF(N(V281)&gt;0,SUMIFS('成交明细'!$F$5:$F$804,'成交明细'!$A$5:$A$804,A281,'成交明细'!$C$5:$C$804,"卖")/V281,"")</f>
        <v/>
      </c>
      <c r="X281" s="36" t="str">
        <f>IF(A281="","",IF(Q281&lt;&gt;"已执行",IF(Q281="","未填执行情况",Q281),IF(N(T281)=0,"待录成交",IF(N(V281)&gt;N(T281),"卖出多于买入",IF(N(V281)&lt;N(T281),"持仓中","已平仓")))))</f>
        <v/>
      </c>
      <c r="Y281" s="51" t="str">
        <f>IF(N(T281)=0,"",SUMIFS('成交明细'!$K$5:$K$804,'成交明细'!$A$5:$A$804,A281))</f>
        <v/>
      </c>
      <c r="Z281" s="52" t="str">
        <f>IF(X281&lt;&gt;"已平仓","",SUMIFS('成交明细'!$F$5:$F$804,'成交明细'!$A$5:$A$804,A281,'成交明细'!$C$5:$C$804,"卖")-SUMIFS('成交明细'!$F$5:$F$804,'成交明细'!$A$5:$A$804,A281,'成交明细'!$C$5:$C$804,"买")-Y281)</f>
        <v/>
      </c>
      <c r="AA281" s="53" t="str">
        <f>IF(AND(X281="已平仓",ISNUMBER(N281)),(Z281+Y281)/N281,"")</f>
        <v/>
      </c>
      <c r="AB281" s="53" t="str">
        <f>IF(AND(X281="已平仓",ISNUMBER(N281)),Z281/N281,"")</f>
        <v/>
      </c>
      <c r="AC281" s="54" t="str">
        <f>IF(AND(ISNUMBER(U281),ISNUMBER(H281)),U281-H281,"")</f>
        <v/>
      </c>
      <c r="AD281" s="27" t="n"/>
      <c r="AE281" s="27" t="n"/>
      <c r="AF281" s="32" t="n"/>
      <c r="AG281" s="53" t="str">
        <f>IF(A281="","",SUM(AB$5:AB281))</f>
        <v/>
      </c>
      <c r="AH281" s="55" t="str">
        <f>IF(A281="","",MAX(0,MAX(AG$5:AG281))-AG281)</f>
        <v/>
      </c>
    </row>
    <row r="282">
      <c r="A282" s="46" t="n"/>
      <c r="B282" s="31" t="n"/>
      <c r="C282" s="32" t="n"/>
      <c r="D282" s="27" t="n"/>
      <c r="E282" s="47" t="str">
        <f>IF(D282="","",IFERROR(VLOOKUP(D282,'参数'!$B$21:$C$26,2,FALSE),""))</f>
        <v/>
      </c>
      <c r="F282" s="27" t="n"/>
      <c r="G282" s="43" t="str">
        <f>IF(NOT(ISNUMBER(B282)),"",IFERROR(IF(B282-INDEX('每日复盘'!$A$5:$A$264,MATCH(B282-1,'每日复盘'!$A$5:$A$264,1))&gt;7,"",T(INDEX('每日复盘'!$AA$5:$AA$264,MATCH(B282-1,'每日复盘'!$A$5:$A$264,1)))),""))</f>
        <v/>
      </c>
      <c r="H282" s="48" t="n"/>
      <c r="I282" s="48" t="n"/>
      <c r="J282" s="48" t="n"/>
      <c r="K282" s="49" t="str">
        <f>IF(AND(ISNUMBER(H282),ISNUMBER(I282),ISNUMBER(J282)),IF(H282&gt;I282,(J282-H282)/(H282-I282),""),"")</f>
        <v/>
      </c>
      <c r="L282" s="44" t="str">
        <f>IF(AND(ISNUMBER(H282),ISNUMBER(I282)),IF(H282&gt;I282,MIN(INT(ROUND('参数'!$C$7/(H282-I282)/100,6))*100,IF(ISNUMBER(E282),IF(H282-ROUND(ROUND(I282*(1-E282),4),2)&gt;0,INT(ROUND('参数'!$C$8/(H282-ROUND(ROUND(I282*(1-E282),4),2))/100,6))*100,0),INT(ROUND('参数'!$C$7/(H282-I282)/100,6))*100)),""),"")</f>
        <v/>
      </c>
      <c r="M282" s="17" t="n"/>
      <c r="N282" s="20" t="str">
        <f>IF(AND(ISNUMBER(H282),ISNUMBER(I282),ISNUMBER(M282)),IF(AND(H282&gt;I282,M282&gt;0),(H282-I282)*M282,""),"")</f>
        <v/>
      </c>
      <c r="O282" s="20" t="str">
        <f>IF(ISNUMBER(N282),IF(ISNUMBER(E282),(H282-ROUND(ROUND(I282*(1-E282),4),2))*M282,"不设限"),"")</f>
        <v/>
      </c>
      <c r="P282" s="32" t="n"/>
      <c r="Q282" s="27" t="n"/>
      <c r="R282" s="42" t="str">
        <f>IF(N(T282)&gt;0,SUMPRODUCT(LARGE(('成交明细'!$A$5:$A$804=A282)*('成交明细'!$C$5:$C$804="买")*'成交明细'!$B$5:$B$804,COUNTIFS('成交明细'!$A$5:$A$804,A282,'成交明细'!$C$5:$C$804,"买"))),"")</f>
        <v/>
      </c>
      <c r="S282" s="42" t="str">
        <f>IF(AND(N(T282)&gt;0,N(V282)&gt;=N(T282)),SUMPRODUCT(MAX(('成交明细'!$A$5:$A$804=A282)*('成交明细'!$C$5:$C$804="卖")*'成交明细'!$B$5:$B$804)),"")</f>
        <v/>
      </c>
      <c r="T282" s="44" t="str">
        <f>IF(A282="","",SUMIFS('成交明细'!$E$5:$E$804,'成交明细'!$A$5:$A$804,A282,'成交明细'!$C$5:$C$804,"买"))</f>
        <v/>
      </c>
      <c r="U282" s="50" t="str">
        <f>IF(N(T282)&gt;0,SUMIFS('成交明细'!$F$5:$F$804,'成交明细'!$A$5:$A$804,A282,'成交明细'!$C$5:$C$804,"买")/T282,"")</f>
        <v/>
      </c>
      <c r="V282" s="44" t="str">
        <f>IF(A282="","",SUMIFS('成交明细'!$E$5:$E$804,'成交明细'!$A$5:$A$804,A282,'成交明细'!$C$5:$C$804,"卖"))</f>
        <v/>
      </c>
      <c r="W282" s="50" t="str">
        <f>IF(N(V282)&gt;0,SUMIFS('成交明细'!$F$5:$F$804,'成交明细'!$A$5:$A$804,A282,'成交明细'!$C$5:$C$804,"卖")/V282,"")</f>
        <v/>
      </c>
      <c r="X282" s="36" t="str">
        <f>IF(A282="","",IF(Q282&lt;&gt;"已执行",IF(Q282="","未填执行情况",Q282),IF(N(T282)=0,"待录成交",IF(N(V282)&gt;N(T282),"卖出多于买入",IF(N(V282)&lt;N(T282),"持仓中","已平仓")))))</f>
        <v/>
      </c>
      <c r="Y282" s="51" t="str">
        <f>IF(N(T282)=0,"",SUMIFS('成交明细'!$K$5:$K$804,'成交明细'!$A$5:$A$804,A282))</f>
        <v/>
      </c>
      <c r="Z282" s="52" t="str">
        <f>IF(X282&lt;&gt;"已平仓","",SUMIFS('成交明细'!$F$5:$F$804,'成交明细'!$A$5:$A$804,A282,'成交明细'!$C$5:$C$804,"卖")-SUMIFS('成交明细'!$F$5:$F$804,'成交明细'!$A$5:$A$804,A282,'成交明细'!$C$5:$C$804,"买")-Y282)</f>
        <v/>
      </c>
      <c r="AA282" s="53" t="str">
        <f>IF(AND(X282="已平仓",ISNUMBER(N282)),(Z282+Y282)/N282,"")</f>
        <v/>
      </c>
      <c r="AB282" s="53" t="str">
        <f>IF(AND(X282="已平仓",ISNUMBER(N282)),Z282/N282,"")</f>
        <v/>
      </c>
      <c r="AC282" s="54" t="str">
        <f>IF(AND(ISNUMBER(U282),ISNUMBER(H282)),U282-H282,"")</f>
        <v/>
      </c>
      <c r="AD282" s="27" t="n"/>
      <c r="AE282" s="27" t="n"/>
      <c r="AF282" s="32" t="n"/>
      <c r="AG282" s="53" t="str">
        <f>IF(A282="","",SUM(AB$5:AB282))</f>
        <v/>
      </c>
      <c r="AH282" s="55" t="str">
        <f>IF(A282="","",MAX(0,MAX(AG$5:AG282))-AG282)</f>
        <v/>
      </c>
    </row>
    <row r="283">
      <c r="A283" s="46" t="n"/>
      <c r="B283" s="31" t="n"/>
      <c r="C283" s="32" t="n"/>
      <c r="D283" s="27" t="n"/>
      <c r="E283" s="47" t="str">
        <f>IF(D283="","",IFERROR(VLOOKUP(D283,'参数'!$B$21:$C$26,2,FALSE),""))</f>
        <v/>
      </c>
      <c r="F283" s="27" t="n"/>
      <c r="G283" s="43" t="str">
        <f>IF(NOT(ISNUMBER(B283)),"",IFERROR(IF(B283-INDEX('每日复盘'!$A$5:$A$264,MATCH(B283-1,'每日复盘'!$A$5:$A$264,1))&gt;7,"",T(INDEX('每日复盘'!$AA$5:$AA$264,MATCH(B283-1,'每日复盘'!$A$5:$A$264,1)))),""))</f>
        <v/>
      </c>
      <c r="H283" s="48" t="n"/>
      <c r="I283" s="48" t="n"/>
      <c r="J283" s="48" t="n"/>
      <c r="K283" s="49" t="str">
        <f>IF(AND(ISNUMBER(H283),ISNUMBER(I283),ISNUMBER(J283)),IF(H283&gt;I283,(J283-H283)/(H283-I283),""),"")</f>
        <v/>
      </c>
      <c r="L283" s="44" t="str">
        <f>IF(AND(ISNUMBER(H283),ISNUMBER(I283)),IF(H283&gt;I283,MIN(INT(ROUND('参数'!$C$7/(H283-I283)/100,6))*100,IF(ISNUMBER(E283),IF(H283-ROUND(ROUND(I283*(1-E283),4),2)&gt;0,INT(ROUND('参数'!$C$8/(H283-ROUND(ROUND(I283*(1-E283),4),2))/100,6))*100,0),INT(ROUND('参数'!$C$7/(H283-I283)/100,6))*100)),""),"")</f>
        <v/>
      </c>
      <c r="M283" s="17" t="n"/>
      <c r="N283" s="20" t="str">
        <f>IF(AND(ISNUMBER(H283),ISNUMBER(I283),ISNUMBER(M283)),IF(AND(H283&gt;I283,M283&gt;0),(H283-I283)*M283,""),"")</f>
        <v/>
      </c>
      <c r="O283" s="20" t="str">
        <f>IF(ISNUMBER(N283),IF(ISNUMBER(E283),(H283-ROUND(ROUND(I283*(1-E283),4),2))*M283,"不设限"),"")</f>
        <v/>
      </c>
      <c r="P283" s="32" t="n"/>
      <c r="Q283" s="27" t="n"/>
      <c r="R283" s="42" t="str">
        <f>IF(N(T283)&gt;0,SUMPRODUCT(LARGE(('成交明细'!$A$5:$A$804=A283)*('成交明细'!$C$5:$C$804="买")*'成交明细'!$B$5:$B$804,COUNTIFS('成交明细'!$A$5:$A$804,A283,'成交明细'!$C$5:$C$804,"买"))),"")</f>
        <v/>
      </c>
      <c r="S283" s="42" t="str">
        <f>IF(AND(N(T283)&gt;0,N(V283)&gt;=N(T283)),SUMPRODUCT(MAX(('成交明细'!$A$5:$A$804=A283)*('成交明细'!$C$5:$C$804="卖")*'成交明细'!$B$5:$B$804)),"")</f>
        <v/>
      </c>
      <c r="T283" s="44" t="str">
        <f>IF(A283="","",SUMIFS('成交明细'!$E$5:$E$804,'成交明细'!$A$5:$A$804,A283,'成交明细'!$C$5:$C$804,"买"))</f>
        <v/>
      </c>
      <c r="U283" s="50" t="str">
        <f>IF(N(T283)&gt;0,SUMIFS('成交明细'!$F$5:$F$804,'成交明细'!$A$5:$A$804,A283,'成交明细'!$C$5:$C$804,"买")/T283,"")</f>
        <v/>
      </c>
      <c r="V283" s="44" t="str">
        <f>IF(A283="","",SUMIFS('成交明细'!$E$5:$E$804,'成交明细'!$A$5:$A$804,A283,'成交明细'!$C$5:$C$804,"卖"))</f>
        <v/>
      </c>
      <c r="W283" s="50" t="str">
        <f>IF(N(V283)&gt;0,SUMIFS('成交明细'!$F$5:$F$804,'成交明细'!$A$5:$A$804,A283,'成交明细'!$C$5:$C$804,"卖")/V283,"")</f>
        <v/>
      </c>
      <c r="X283" s="36" t="str">
        <f>IF(A283="","",IF(Q283&lt;&gt;"已执行",IF(Q283="","未填执行情况",Q283),IF(N(T283)=0,"待录成交",IF(N(V283)&gt;N(T283),"卖出多于买入",IF(N(V283)&lt;N(T283),"持仓中","已平仓")))))</f>
        <v/>
      </c>
      <c r="Y283" s="51" t="str">
        <f>IF(N(T283)=0,"",SUMIFS('成交明细'!$K$5:$K$804,'成交明细'!$A$5:$A$804,A283))</f>
        <v/>
      </c>
      <c r="Z283" s="52" t="str">
        <f>IF(X283&lt;&gt;"已平仓","",SUMIFS('成交明细'!$F$5:$F$804,'成交明细'!$A$5:$A$804,A283,'成交明细'!$C$5:$C$804,"卖")-SUMIFS('成交明细'!$F$5:$F$804,'成交明细'!$A$5:$A$804,A283,'成交明细'!$C$5:$C$804,"买")-Y283)</f>
        <v/>
      </c>
      <c r="AA283" s="53" t="str">
        <f>IF(AND(X283="已平仓",ISNUMBER(N283)),(Z283+Y283)/N283,"")</f>
        <v/>
      </c>
      <c r="AB283" s="53" t="str">
        <f>IF(AND(X283="已平仓",ISNUMBER(N283)),Z283/N283,"")</f>
        <v/>
      </c>
      <c r="AC283" s="54" t="str">
        <f>IF(AND(ISNUMBER(U283),ISNUMBER(H283)),U283-H283,"")</f>
        <v/>
      </c>
      <c r="AD283" s="27" t="n"/>
      <c r="AE283" s="27" t="n"/>
      <c r="AF283" s="32" t="n"/>
      <c r="AG283" s="53" t="str">
        <f>IF(A283="","",SUM(AB$5:AB283))</f>
        <v/>
      </c>
      <c r="AH283" s="55" t="str">
        <f>IF(A283="","",MAX(0,MAX(AG$5:AG283))-AG283)</f>
        <v/>
      </c>
    </row>
    <row r="284">
      <c r="A284" s="46" t="n"/>
      <c r="B284" s="31" t="n"/>
      <c r="C284" s="32" t="n"/>
      <c r="D284" s="27" t="n"/>
      <c r="E284" s="47" t="str">
        <f>IF(D284="","",IFERROR(VLOOKUP(D284,'参数'!$B$21:$C$26,2,FALSE),""))</f>
        <v/>
      </c>
      <c r="F284" s="27" t="n"/>
      <c r="G284" s="43" t="str">
        <f>IF(NOT(ISNUMBER(B284)),"",IFERROR(IF(B284-INDEX('每日复盘'!$A$5:$A$264,MATCH(B284-1,'每日复盘'!$A$5:$A$264,1))&gt;7,"",T(INDEX('每日复盘'!$AA$5:$AA$264,MATCH(B284-1,'每日复盘'!$A$5:$A$264,1)))),""))</f>
        <v/>
      </c>
      <c r="H284" s="48" t="n"/>
      <c r="I284" s="48" t="n"/>
      <c r="J284" s="48" t="n"/>
      <c r="K284" s="49" t="str">
        <f>IF(AND(ISNUMBER(H284),ISNUMBER(I284),ISNUMBER(J284)),IF(H284&gt;I284,(J284-H284)/(H284-I284),""),"")</f>
        <v/>
      </c>
      <c r="L284" s="44" t="str">
        <f>IF(AND(ISNUMBER(H284),ISNUMBER(I284)),IF(H284&gt;I284,MIN(INT(ROUND('参数'!$C$7/(H284-I284)/100,6))*100,IF(ISNUMBER(E284),IF(H284-ROUND(ROUND(I284*(1-E284),4),2)&gt;0,INT(ROUND('参数'!$C$8/(H284-ROUND(ROUND(I284*(1-E284),4),2))/100,6))*100,0),INT(ROUND('参数'!$C$7/(H284-I284)/100,6))*100)),""),"")</f>
        <v/>
      </c>
      <c r="M284" s="17" t="n"/>
      <c r="N284" s="20" t="str">
        <f>IF(AND(ISNUMBER(H284),ISNUMBER(I284),ISNUMBER(M284)),IF(AND(H284&gt;I284,M284&gt;0),(H284-I284)*M284,""),"")</f>
        <v/>
      </c>
      <c r="O284" s="20" t="str">
        <f>IF(ISNUMBER(N284),IF(ISNUMBER(E284),(H284-ROUND(ROUND(I284*(1-E284),4),2))*M284,"不设限"),"")</f>
        <v/>
      </c>
      <c r="P284" s="32" t="n"/>
      <c r="Q284" s="27" t="n"/>
      <c r="R284" s="42" t="str">
        <f>IF(N(T284)&gt;0,SUMPRODUCT(LARGE(('成交明细'!$A$5:$A$804=A284)*('成交明细'!$C$5:$C$804="买")*'成交明细'!$B$5:$B$804,COUNTIFS('成交明细'!$A$5:$A$804,A284,'成交明细'!$C$5:$C$804,"买"))),"")</f>
        <v/>
      </c>
      <c r="S284" s="42" t="str">
        <f>IF(AND(N(T284)&gt;0,N(V284)&gt;=N(T284)),SUMPRODUCT(MAX(('成交明细'!$A$5:$A$804=A284)*('成交明细'!$C$5:$C$804="卖")*'成交明细'!$B$5:$B$804)),"")</f>
        <v/>
      </c>
      <c r="T284" s="44" t="str">
        <f>IF(A284="","",SUMIFS('成交明细'!$E$5:$E$804,'成交明细'!$A$5:$A$804,A284,'成交明细'!$C$5:$C$804,"买"))</f>
        <v/>
      </c>
      <c r="U284" s="50" t="str">
        <f>IF(N(T284)&gt;0,SUMIFS('成交明细'!$F$5:$F$804,'成交明细'!$A$5:$A$804,A284,'成交明细'!$C$5:$C$804,"买")/T284,"")</f>
        <v/>
      </c>
      <c r="V284" s="44" t="str">
        <f>IF(A284="","",SUMIFS('成交明细'!$E$5:$E$804,'成交明细'!$A$5:$A$804,A284,'成交明细'!$C$5:$C$804,"卖"))</f>
        <v/>
      </c>
      <c r="W284" s="50" t="str">
        <f>IF(N(V284)&gt;0,SUMIFS('成交明细'!$F$5:$F$804,'成交明细'!$A$5:$A$804,A284,'成交明细'!$C$5:$C$804,"卖")/V284,"")</f>
        <v/>
      </c>
      <c r="X284" s="36" t="str">
        <f>IF(A284="","",IF(Q284&lt;&gt;"已执行",IF(Q284="","未填执行情况",Q284),IF(N(T284)=0,"待录成交",IF(N(V284)&gt;N(T284),"卖出多于买入",IF(N(V284)&lt;N(T284),"持仓中","已平仓")))))</f>
        <v/>
      </c>
      <c r="Y284" s="51" t="str">
        <f>IF(N(T284)=0,"",SUMIFS('成交明细'!$K$5:$K$804,'成交明细'!$A$5:$A$804,A284))</f>
        <v/>
      </c>
      <c r="Z284" s="52" t="str">
        <f>IF(X284&lt;&gt;"已平仓","",SUMIFS('成交明细'!$F$5:$F$804,'成交明细'!$A$5:$A$804,A284,'成交明细'!$C$5:$C$804,"卖")-SUMIFS('成交明细'!$F$5:$F$804,'成交明细'!$A$5:$A$804,A284,'成交明细'!$C$5:$C$804,"买")-Y284)</f>
        <v/>
      </c>
      <c r="AA284" s="53" t="str">
        <f>IF(AND(X284="已平仓",ISNUMBER(N284)),(Z284+Y284)/N284,"")</f>
        <v/>
      </c>
      <c r="AB284" s="53" t="str">
        <f>IF(AND(X284="已平仓",ISNUMBER(N284)),Z284/N284,"")</f>
        <v/>
      </c>
      <c r="AC284" s="54" t="str">
        <f>IF(AND(ISNUMBER(U284),ISNUMBER(H284)),U284-H284,"")</f>
        <v/>
      </c>
      <c r="AD284" s="27" t="n"/>
      <c r="AE284" s="27" t="n"/>
      <c r="AF284" s="32" t="n"/>
      <c r="AG284" s="53" t="str">
        <f>IF(A284="","",SUM(AB$5:AB284))</f>
        <v/>
      </c>
      <c r="AH284" s="55" t="str">
        <f>IF(A284="","",MAX(0,MAX(AG$5:AG284))-AG284)</f>
        <v/>
      </c>
    </row>
    <row r="285">
      <c r="A285" s="46" t="n"/>
      <c r="B285" s="31" t="n"/>
      <c r="C285" s="32" t="n"/>
      <c r="D285" s="27" t="n"/>
      <c r="E285" s="47" t="str">
        <f>IF(D285="","",IFERROR(VLOOKUP(D285,'参数'!$B$21:$C$26,2,FALSE),""))</f>
        <v/>
      </c>
      <c r="F285" s="27" t="n"/>
      <c r="G285" s="43" t="str">
        <f>IF(NOT(ISNUMBER(B285)),"",IFERROR(IF(B285-INDEX('每日复盘'!$A$5:$A$264,MATCH(B285-1,'每日复盘'!$A$5:$A$264,1))&gt;7,"",T(INDEX('每日复盘'!$AA$5:$AA$264,MATCH(B285-1,'每日复盘'!$A$5:$A$264,1)))),""))</f>
        <v/>
      </c>
      <c r="H285" s="48" t="n"/>
      <c r="I285" s="48" t="n"/>
      <c r="J285" s="48" t="n"/>
      <c r="K285" s="49" t="str">
        <f>IF(AND(ISNUMBER(H285),ISNUMBER(I285),ISNUMBER(J285)),IF(H285&gt;I285,(J285-H285)/(H285-I285),""),"")</f>
        <v/>
      </c>
      <c r="L285" s="44" t="str">
        <f>IF(AND(ISNUMBER(H285),ISNUMBER(I285)),IF(H285&gt;I285,MIN(INT(ROUND('参数'!$C$7/(H285-I285)/100,6))*100,IF(ISNUMBER(E285),IF(H285-ROUND(ROUND(I285*(1-E285),4),2)&gt;0,INT(ROUND('参数'!$C$8/(H285-ROUND(ROUND(I285*(1-E285),4),2))/100,6))*100,0),INT(ROUND('参数'!$C$7/(H285-I285)/100,6))*100)),""),"")</f>
        <v/>
      </c>
      <c r="M285" s="17" t="n"/>
      <c r="N285" s="20" t="str">
        <f>IF(AND(ISNUMBER(H285),ISNUMBER(I285),ISNUMBER(M285)),IF(AND(H285&gt;I285,M285&gt;0),(H285-I285)*M285,""),"")</f>
        <v/>
      </c>
      <c r="O285" s="20" t="str">
        <f>IF(ISNUMBER(N285),IF(ISNUMBER(E285),(H285-ROUND(ROUND(I285*(1-E285),4),2))*M285,"不设限"),"")</f>
        <v/>
      </c>
      <c r="P285" s="32" t="n"/>
      <c r="Q285" s="27" t="n"/>
      <c r="R285" s="42" t="str">
        <f>IF(N(T285)&gt;0,SUMPRODUCT(LARGE(('成交明细'!$A$5:$A$804=A285)*('成交明细'!$C$5:$C$804="买")*'成交明细'!$B$5:$B$804,COUNTIFS('成交明细'!$A$5:$A$804,A285,'成交明细'!$C$5:$C$804,"买"))),"")</f>
        <v/>
      </c>
      <c r="S285" s="42" t="str">
        <f>IF(AND(N(T285)&gt;0,N(V285)&gt;=N(T285)),SUMPRODUCT(MAX(('成交明细'!$A$5:$A$804=A285)*('成交明细'!$C$5:$C$804="卖")*'成交明细'!$B$5:$B$804)),"")</f>
        <v/>
      </c>
      <c r="T285" s="44" t="str">
        <f>IF(A285="","",SUMIFS('成交明细'!$E$5:$E$804,'成交明细'!$A$5:$A$804,A285,'成交明细'!$C$5:$C$804,"买"))</f>
        <v/>
      </c>
      <c r="U285" s="50" t="str">
        <f>IF(N(T285)&gt;0,SUMIFS('成交明细'!$F$5:$F$804,'成交明细'!$A$5:$A$804,A285,'成交明细'!$C$5:$C$804,"买")/T285,"")</f>
        <v/>
      </c>
      <c r="V285" s="44" t="str">
        <f>IF(A285="","",SUMIFS('成交明细'!$E$5:$E$804,'成交明细'!$A$5:$A$804,A285,'成交明细'!$C$5:$C$804,"卖"))</f>
        <v/>
      </c>
      <c r="W285" s="50" t="str">
        <f>IF(N(V285)&gt;0,SUMIFS('成交明细'!$F$5:$F$804,'成交明细'!$A$5:$A$804,A285,'成交明细'!$C$5:$C$804,"卖")/V285,"")</f>
        <v/>
      </c>
      <c r="X285" s="36" t="str">
        <f>IF(A285="","",IF(Q285&lt;&gt;"已执行",IF(Q285="","未填执行情况",Q285),IF(N(T285)=0,"待录成交",IF(N(V285)&gt;N(T285),"卖出多于买入",IF(N(V285)&lt;N(T285),"持仓中","已平仓")))))</f>
        <v/>
      </c>
      <c r="Y285" s="51" t="str">
        <f>IF(N(T285)=0,"",SUMIFS('成交明细'!$K$5:$K$804,'成交明细'!$A$5:$A$804,A285))</f>
        <v/>
      </c>
      <c r="Z285" s="52" t="str">
        <f>IF(X285&lt;&gt;"已平仓","",SUMIFS('成交明细'!$F$5:$F$804,'成交明细'!$A$5:$A$804,A285,'成交明细'!$C$5:$C$804,"卖")-SUMIFS('成交明细'!$F$5:$F$804,'成交明细'!$A$5:$A$804,A285,'成交明细'!$C$5:$C$804,"买")-Y285)</f>
        <v/>
      </c>
      <c r="AA285" s="53" t="str">
        <f>IF(AND(X285="已平仓",ISNUMBER(N285)),(Z285+Y285)/N285,"")</f>
        <v/>
      </c>
      <c r="AB285" s="53" t="str">
        <f>IF(AND(X285="已平仓",ISNUMBER(N285)),Z285/N285,"")</f>
        <v/>
      </c>
      <c r="AC285" s="54" t="str">
        <f>IF(AND(ISNUMBER(U285),ISNUMBER(H285)),U285-H285,"")</f>
        <v/>
      </c>
      <c r="AD285" s="27" t="n"/>
      <c r="AE285" s="27" t="n"/>
      <c r="AF285" s="32" t="n"/>
      <c r="AG285" s="53" t="str">
        <f>IF(A285="","",SUM(AB$5:AB285))</f>
        <v/>
      </c>
      <c r="AH285" s="55" t="str">
        <f>IF(A285="","",MAX(0,MAX(AG$5:AG285))-AG285)</f>
        <v/>
      </c>
    </row>
    <row r="286">
      <c r="A286" s="46" t="n"/>
      <c r="B286" s="31" t="n"/>
      <c r="C286" s="32" t="n"/>
      <c r="D286" s="27" t="n"/>
      <c r="E286" s="47" t="str">
        <f>IF(D286="","",IFERROR(VLOOKUP(D286,'参数'!$B$21:$C$26,2,FALSE),""))</f>
        <v/>
      </c>
      <c r="F286" s="27" t="n"/>
      <c r="G286" s="43" t="str">
        <f>IF(NOT(ISNUMBER(B286)),"",IFERROR(IF(B286-INDEX('每日复盘'!$A$5:$A$264,MATCH(B286-1,'每日复盘'!$A$5:$A$264,1))&gt;7,"",T(INDEX('每日复盘'!$AA$5:$AA$264,MATCH(B286-1,'每日复盘'!$A$5:$A$264,1)))),""))</f>
        <v/>
      </c>
      <c r="H286" s="48" t="n"/>
      <c r="I286" s="48" t="n"/>
      <c r="J286" s="48" t="n"/>
      <c r="K286" s="49" t="str">
        <f>IF(AND(ISNUMBER(H286),ISNUMBER(I286),ISNUMBER(J286)),IF(H286&gt;I286,(J286-H286)/(H286-I286),""),"")</f>
        <v/>
      </c>
      <c r="L286" s="44" t="str">
        <f>IF(AND(ISNUMBER(H286),ISNUMBER(I286)),IF(H286&gt;I286,MIN(INT(ROUND('参数'!$C$7/(H286-I286)/100,6))*100,IF(ISNUMBER(E286),IF(H286-ROUND(ROUND(I286*(1-E286),4),2)&gt;0,INT(ROUND('参数'!$C$8/(H286-ROUND(ROUND(I286*(1-E286),4),2))/100,6))*100,0),INT(ROUND('参数'!$C$7/(H286-I286)/100,6))*100)),""),"")</f>
        <v/>
      </c>
      <c r="M286" s="17" t="n"/>
      <c r="N286" s="20" t="str">
        <f>IF(AND(ISNUMBER(H286),ISNUMBER(I286),ISNUMBER(M286)),IF(AND(H286&gt;I286,M286&gt;0),(H286-I286)*M286,""),"")</f>
        <v/>
      </c>
      <c r="O286" s="20" t="str">
        <f>IF(ISNUMBER(N286),IF(ISNUMBER(E286),(H286-ROUND(ROUND(I286*(1-E286),4),2))*M286,"不设限"),"")</f>
        <v/>
      </c>
      <c r="P286" s="32" t="n"/>
      <c r="Q286" s="27" t="n"/>
      <c r="R286" s="42" t="str">
        <f>IF(N(T286)&gt;0,SUMPRODUCT(LARGE(('成交明细'!$A$5:$A$804=A286)*('成交明细'!$C$5:$C$804="买")*'成交明细'!$B$5:$B$804,COUNTIFS('成交明细'!$A$5:$A$804,A286,'成交明细'!$C$5:$C$804,"买"))),"")</f>
        <v/>
      </c>
      <c r="S286" s="42" t="str">
        <f>IF(AND(N(T286)&gt;0,N(V286)&gt;=N(T286)),SUMPRODUCT(MAX(('成交明细'!$A$5:$A$804=A286)*('成交明细'!$C$5:$C$804="卖")*'成交明细'!$B$5:$B$804)),"")</f>
        <v/>
      </c>
      <c r="T286" s="44" t="str">
        <f>IF(A286="","",SUMIFS('成交明细'!$E$5:$E$804,'成交明细'!$A$5:$A$804,A286,'成交明细'!$C$5:$C$804,"买"))</f>
        <v/>
      </c>
      <c r="U286" s="50" t="str">
        <f>IF(N(T286)&gt;0,SUMIFS('成交明细'!$F$5:$F$804,'成交明细'!$A$5:$A$804,A286,'成交明细'!$C$5:$C$804,"买")/T286,"")</f>
        <v/>
      </c>
      <c r="V286" s="44" t="str">
        <f>IF(A286="","",SUMIFS('成交明细'!$E$5:$E$804,'成交明细'!$A$5:$A$804,A286,'成交明细'!$C$5:$C$804,"卖"))</f>
        <v/>
      </c>
      <c r="W286" s="50" t="str">
        <f>IF(N(V286)&gt;0,SUMIFS('成交明细'!$F$5:$F$804,'成交明细'!$A$5:$A$804,A286,'成交明细'!$C$5:$C$804,"卖")/V286,"")</f>
        <v/>
      </c>
      <c r="X286" s="36" t="str">
        <f>IF(A286="","",IF(Q286&lt;&gt;"已执行",IF(Q286="","未填执行情况",Q286),IF(N(T286)=0,"待录成交",IF(N(V286)&gt;N(T286),"卖出多于买入",IF(N(V286)&lt;N(T286),"持仓中","已平仓")))))</f>
        <v/>
      </c>
      <c r="Y286" s="51" t="str">
        <f>IF(N(T286)=0,"",SUMIFS('成交明细'!$K$5:$K$804,'成交明细'!$A$5:$A$804,A286))</f>
        <v/>
      </c>
      <c r="Z286" s="52" t="str">
        <f>IF(X286&lt;&gt;"已平仓","",SUMIFS('成交明细'!$F$5:$F$804,'成交明细'!$A$5:$A$804,A286,'成交明细'!$C$5:$C$804,"卖")-SUMIFS('成交明细'!$F$5:$F$804,'成交明细'!$A$5:$A$804,A286,'成交明细'!$C$5:$C$804,"买")-Y286)</f>
        <v/>
      </c>
      <c r="AA286" s="53" t="str">
        <f>IF(AND(X286="已平仓",ISNUMBER(N286)),(Z286+Y286)/N286,"")</f>
        <v/>
      </c>
      <c r="AB286" s="53" t="str">
        <f>IF(AND(X286="已平仓",ISNUMBER(N286)),Z286/N286,"")</f>
        <v/>
      </c>
      <c r="AC286" s="54" t="str">
        <f>IF(AND(ISNUMBER(U286),ISNUMBER(H286)),U286-H286,"")</f>
        <v/>
      </c>
      <c r="AD286" s="27" t="n"/>
      <c r="AE286" s="27" t="n"/>
      <c r="AF286" s="32" t="n"/>
      <c r="AG286" s="53" t="str">
        <f>IF(A286="","",SUM(AB$5:AB286))</f>
        <v/>
      </c>
      <c r="AH286" s="55" t="str">
        <f>IF(A286="","",MAX(0,MAX(AG$5:AG286))-AG286)</f>
        <v/>
      </c>
    </row>
    <row r="287">
      <c r="A287" s="46" t="n"/>
      <c r="B287" s="31" t="n"/>
      <c r="C287" s="32" t="n"/>
      <c r="D287" s="27" t="n"/>
      <c r="E287" s="47" t="str">
        <f>IF(D287="","",IFERROR(VLOOKUP(D287,'参数'!$B$21:$C$26,2,FALSE),""))</f>
        <v/>
      </c>
      <c r="F287" s="27" t="n"/>
      <c r="G287" s="43" t="str">
        <f>IF(NOT(ISNUMBER(B287)),"",IFERROR(IF(B287-INDEX('每日复盘'!$A$5:$A$264,MATCH(B287-1,'每日复盘'!$A$5:$A$264,1))&gt;7,"",T(INDEX('每日复盘'!$AA$5:$AA$264,MATCH(B287-1,'每日复盘'!$A$5:$A$264,1)))),""))</f>
        <v/>
      </c>
      <c r="H287" s="48" t="n"/>
      <c r="I287" s="48" t="n"/>
      <c r="J287" s="48" t="n"/>
      <c r="K287" s="49" t="str">
        <f>IF(AND(ISNUMBER(H287),ISNUMBER(I287),ISNUMBER(J287)),IF(H287&gt;I287,(J287-H287)/(H287-I287),""),"")</f>
        <v/>
      </c>
      <c r="L287" s="44" t="str">
        <f>IF(AND(ISNUMBER(H287),ISNUMBER(I287)),IF(H287&gt;I287,MIN(INT(ROUND('参数'!$C$7/(H287-I287)/100,6))*100,IF(ISNUMBER(E287),IF(H287-ROUND(ROUND(I287*(1-E287),4),2)&gt;0,INT(ROUND('参数'!$C$8/(H287-ROUND(ROUND(I287*(1-E287),4),2))/100,6))*100,0),INT(ROUND('参数'!$C$7/(H287-I287)/100,6))*100)),""),"")</f>
        <v/>
      </c>
      <c r="M287" s="17" t="n"/>
      <c r="N287" s="20" t="str">
        <f>IF(AND(ISNUMBER(H287),ISNUMBER(I287),ISNUMBER(M287)),IF(AND(H287&gt;I287,M287&gt;0),(H287-I287)*M287,""),"")</f>
        <v/>
      </c>
      <c r="O287" s="20" t="str">
        <f>IF(ISNUMBER(N287),IF(ISNUMBER(E287),(H287-ROUND(ROUND(I287*(1-E287),4),2))*M287,"不设限"),"")</f>
        <v/>
      </c>
      <c r="P287" s="32" t="n"/>
      <c r="Q287" s="27" t="n"/>
      <c r="R287" s="42" t="str">
        <f>IF(N(T287)&gt;0,SUMPRODUCT(LARGE(('成交明细'!$A$5:$A$804=A287)*('成交明细'!$C$5:$C$804="买")*'成交明细'!$B$5:$B$804,COUNTIFS('成交明细'!$A$5:$A$804,A287,'成交明细'!$C$5:$C$804,"买"))),"")</f>
        <v/>
      </c>
      <c r="S287" s="42" t="str">
        <f>IF(AND(N(T287)&gt;0,N(V287)&gt;=N(T287)),SUMPRODUCT(MAX(('成交明细'!$A$5:$A$804=A287)*('成交明细'!$C$5:$C$804="卖")*'成交明细'!$B$5:$B$804)),"")</f>
        <v/>
      </c>
      <c r="T287" s="44" t="str">
        <f>IF(A287="","",SUMIFS('成交明细'!$E$5:$E$804,'成交明细'!$A$5:$A$804,A287,'成交明细'!$C$5:$C$804,"买"))</f>
        <v/>
      </c>
      <c r="U287" s="50" t="str">
        <f>IF(N(T287)&gt;0,SUMIFS('成交明细'!$F$5:$F$804,'成交明细'!$A$5:$A$804,A287,'成交明细'!$C$5:$C$804,"买")/T287,"")</f>
        <v/>
      </c>
      <c r="V287" s="44" t="str">
        <f>IF(A287="","",SUMIFS('成交明细'!$E$5:$E$804,'成交明细'!$A$5:$A$804,A287,'成交明细'!$C$5:$C$804,"卖"))</f>
        <v/>
      </c>
      <c r="W287" s="50" t="str">
        <f>IF(N(V287)&gt;0,SUMIFS('成交明细'!$F$5:$F$804,'成交明细'!$A$5:$A$804,A287,'成交明细'!$C$5:$C$804,"卖")/V287,"")</f>
        <v/>
      </c>
      <c r="X287" s="36" t="str">
        <f>IF(A287="","",IF(Q287&lt;&gt;"已执行",IF(Q287="","未填执行情况",Q287),IF(N(T287)=0,"待录成交",IF(N(V287)&gt;N(T287),"卖出多于买入",IF(N(V287)&lt;N(T287),"持仓中","已平仓")))))</f>
        <v/>
      </c>
      <c r="Y287" s="51" t="str">
        <f>IF(N(T287)=0,"",SUMIFS('成交明细'!$K$5:$K$804,'成交明细'!$A$5:$A$804,A287))</f>
        <v/>
      </c>
      <c r="Z287" s="52" t="str">
        <f>IF(X287&lt;&gt;"已平仓","",SUMIFS('成交明细'!$F$5:$F$804,'成交明细'!$A$5:$A$804,A287,'成交明细'!$C$5:$C$804,"卖")-SUMIFS('成交明细'!$F$5:$F$804,'成交明细'!$A$5:$A$804,A287,'成交明细'!$C$5:$C$804,"买")-Y287)</f>
        <v/>
      </c>
      <c r="AA287" s="53" t="str">
        <f>IF(AND(X287="已平仓",ISNUMBER(N287)),(Z287+Y287)/N287,"")</f>
        <v/>
      </c>
      <c r="AB287" s="53" t="str">
        <f>IF(AND(X287="已平仓",ISNUMBER(N287)),Z287/N287,"")</f>
        <v/>
      </c>
      <c r="AC287" s="54" t="str">
        <f>IF(AND(ISNUMBER(U287),ISNUMBER(H287)),U287-H287,"")</f>
        <v/>
      </c>
      <c r="AD287" s="27" t="n"/>
      <c r="AE287" s="27" t="n"/>
      <c r="AF287" s="32" t="n"/>
      <c r="AG287" s="53" t="str">
        <f>IF(A287="","",SUM(AB$5:AB287))</f>
        <v/>
      </c>
      <c r="AH287" s="55" t="str">
        <f>IF(A287="","",MAX(0,MAX(AG$5:AG287))-AG287)</f>
        <v/>
      </c>
    </row>
    <row r="288">
      <c r="A288" s="46" t="n"/>
      <c r="B288" s="31" t="n"/>
      <c r="C288" s="32" t="n"/>
      <c r="D288" s="27" t="n"/>
      <c r="E288" s="47" t="str">
        <f>IF(D288="","",IFERROR(VLOOKUP(D288,'参数'!$B$21:$C$26,2,FALSE),""))</f>
        <v/>
      </c>
      <c r="F288" s="27" t="n"/>
      <c r="G288" s="43" t="str">
        <f>IF(NOT(ISNUMBER(B288)),"",IFERROR(IF(B288-INDEX('每日复盘'!$A$5:$A$264,MATCH(B288-1,'每日复盘'!$A$5:$A$264,1))&gt;7,"",T(INDEX('每日复盘'!$AA$5:$AA$264,MATCH(B288-1,'每日复盘'!$A$5:$A$264,1)))),""))</f>
        <v/>
      </c>
      <c r="H288" s="48" t="n"/>
      <c r="I288" s="48" t="n"/>
      <c r="J288" s="48" t="n"/>
      <c r="K288" s="49" t="str">
        <f>IF(AND(ISNUMBER(H288),ISNUMBER(I288),ISNUMBER(J288)),IF(H288&gt;I288,(J288-H288)/(H288-I288),""),"")</f>
        <v/>
      </c>
      <c r="L288" s="44" t="str">
        <f>IF(AND(ISNUMBER(H288),ISNUMBER(I288)),IF(H288&gt;I288,MIN(INT(ROUND('参数'!$C$7/(H288-I288)/100,6))*100,IF(ISNUMBER(E288),IF(H288-ROUND(ROUND(I288*(1-E288),4),2)&gt;0,INT(ROUND('参数'!$C$8/(H288-ROUND(ROUND(I288*(1-E288),4),2))/100,6))*100,0),INT(ROUND('参数'!$C$7/(H288-I288)/100,6))*100)),""),"")</f>
        <v/>
      </c>
      <c r="M288" s="17" t="n"/>
      <c r="N288" s="20" t="str">
        <f>IF(AND(ISNUMBER(H288),ISNUMBER(I288),ISNUMBER(M288)),IF(AND(H288&gt;I288,M288&gt;0),(H288-I288)*M288,""),"")</f>
        <v/>
      </c>
      <c r="O288" s="20" t="str">
        <f>IF(ISNUMBER(N288),IF(ISNUMBER(E288),(H288-ROUND(ROUND(I288*(1-E288),4),2))*M288,"不设限"),"")</f>
        <v/>
      </c>
      <c r="P288" s="32" t="n"/>
      <c r="Q288" s="27" t="n"/>
      <c r="R288" s="42" t="str">
        <f>IF(N(T288)&gt;0,SUMPRODUCT(LARGE(('成交明细'!$A$5:$A$804=A288)*('成交明细'!$C$5:$C$804="买")*'成交明细'!$B$5:$B$804,COUNTIFS('成交明细'!$A$5:$A$804,A288,'成交明细'!$C$5:$C$804,"买"))),"")</f>
        <v/>
      </c>
      <c r="S288" s="42" t="str">
        <f>IF(AND(N(T288)&gt;0,N(V288)&gt;=N(T288)),SUMPRODUCT(MAX(('成交明细'!$A$5:$A$804=A288)*('成交明细'!$C$5:$C$804="卖")*'成交明细'!$B$5:$B$804)),"")</f>
        <v/>
      </c>
      <c r="T288" s="44" t="str">
        <f>IF(A288="","",SUMIFS('成交明细'!$E$5:$E$804,'成交明细'!$A$5:$A$804,A288,'成交明细'!$C$5:$C$804,"买"))</f>
        <v/>
      </c>
      <c r="U288" s="50" t="str">
        <f>IF(N(T288)&gt;0,SUMIFS('成交明细'!$F$5:$F$804,'成交明细'!$A$5:$A$804,A288,'成交明细'!$C$5:$C$804,"买")/T288,"")</f>
        <v/>
      </c>
      <c r="V288" s="44" t="str">
        <f>IF(A288="","",SUMIFS('成交明细'!$E$5:$E$804,'成交明细'!$A$5:$A$804,A288,'成交明细'!$C$5:$C$804,"卖"))</f>
        <v/>
      </c>
      <c r="W288" s="50" t="str">
        <f>IF(N(V288)&gt;0,SUMIFS('成交明细'!$F$5:$F$804,'成交明细'!$A$5:$A$804,A288,'成交明细'!$C$5:$C$804,"卖")/V288,"")</f>
        <v/>
      </c>
      <c r="X288" s="36" t="str">
        <f>IF(A288="","",IF(Q288&lt;&gt;"已执行",IF(Q288="","未填执行情况",Q288),IF(N(T288)=0,"待录成交",IF(N(V288)&gt;N(T288),"卖出多于买入",IF(N(V288)&lt;N(T288),"持仓中","已平仓")))))</f>
        <v/>
      </c>
      <c r="Y288" s="51" t="str">
        <f>IF(N(T288)=0,"",SUMIFS('成交明细'!$K$5:$K$804,'成交明细'!$A$5:$A$804,A288))</f>
        <v/>
      </c>
      <c r="Z288" s="52" t="str">
        <f>IF(X288&lt;&gt;"已平仓","",SUMIFS('成交明细'!$F$5:$F$804,'成交明细'!$A$5:$A$804,A288,'成交明细'!$C$5:$C$804,"卖")-SUMIFS('成交明细'!$F$5:$F$804,'成交明细'!$A$5:$A$804,A288,'成交明细'!$C$5:$C$804,"买")-Y288)</f>
        <v/>
      </c>
      <c r="AA288" s="53" t="str">
        <f>IF(AND(X288="已平仓",ISNUMBER(N288)),(Z288+Y288)/N288,"")</f>
        <v/>
      </c>
      <c r="AB288" s="53" t="str">
        <f>IF(AND(X288="已平仓",ISNUMBER(N288)),Z288/N288,"")</f>
        <v/>
      </c>
      <c r="AC288" s="54" t="str">
        <f>IF(AND(ISNUMBER(U288),ISNUMBER(H288)),U288-H288,"")</f>
        <v/>
      </c>
      <c r="AD288" s="27" t="n"/>
      <c r="AE288" s="27" t="n"/>
      <c r="AF288" s="32" t="n"/>
      <c r="AG288" s="53" t="str">
        <f>IF(A288="","",SUM(AB$5:AB288))</f>
        <v/>
      </c>
      <c r="AH288" s="55" t="str">
        <f>IF(A288="","",MAX(0,MAX(AG$5:AG288))-AG288)</f>
        <v/>
      </c>
    </row>
    <row r="289">
      <c r="A289" s="46" t="n"/>
      <c r="B289" s="31" t="n"/>
      <c r="C289" s="32" t="n"/>
      <c r="D289" s="27" t="n"/>
      <c r="E289" s="47" t="str">
        <f>IF(D289="","",IFERROR(VLOOKUP(D289,'参数'!$B$21:$C$26,2,FALSE),""))</f>
        <v/>
      </c>
      <c r="F289" s="27" t="n"/>
      <c r="G289" s="43" t="str">
        <f>IF(NOT(ISNUMBER(B289)),"",IFERROR(IF(B289-INDEX('每日复盘'!$A$5:$A$264,MATCH(B289-1,'每日复盘'!$A$5:$A$264,1))&gt;7,"",T(INDEX('每日复盘'!$AA$5:$AA$264,MATCH(B289-1,'每日复盘'!$A$5:$A$264,1)))),""))</f>
        <v/>
      </c>
      <c r="H289" s="48" t="n"/>
      <c r="I289" s="48" t="n"/>
      <c r="J289" s="48" t="n"/>
      <c r="K289" s="49" t="str">
        <f>IF(AND(ISNUMBER(H289),ISNUMBER(I289),ISNUMBER(J289)),IF(H289&gt;I289,(J289-H289)/(H289-I289),""),"")</f>
        <v/>
      </c>
      <c r="L289" s="44" t="str">
        <f>IF(AND(ISNUMBER(H289),ISNUMBER(I289)),IF(H289&gt;I289,MIN(INT(ROUND('参数'!$C$7/(H289-I289)/100,6))*100,IF(ISNUMBER(E289),IF(H289-ROUND(ROUND(I289*(1-E289),4),2)&gt;0,INT(ROUND('参数'!$C$8/(H289-ROUND(ROUND(I289*(1-E289),4),2))/100,6))*100,0),INT(ROUND('参数'!$C$7/(H289-I289)/100,6))*100)),""),"")</f>
        <v/>
      </c>
      <c r="M289" s="17" t="n"/>
      <c r="N289" s="20" t="str">
        <f>IF(AND(ISNUMBER(H289),ISNUMBER(I289),ISNUMBER(M289)),IF(AND(H289&gt;I289,M289&gt;0),(H289-I289)*M289,""),"")</f>
        <v/>
      </c>
      <c r="O289" s="20" t="str">
        <f>IF(ISNUMBER(N289),IF(ISNUMBER(E289),(H289-ROUND(ROUND(I289*(1-E289),4),2))*M289,"不设限"),"")</f>
        <v/>
      </c>
      <c r="P289" s="32" t="n"/>
      <c r="Q289" s="27" t="n"/>
      <c r="R289" s="42" t="str">
        <f>IF(N(T289)&gt;0,SUMPRODUCT(LARGE(('成交明细'!$A$5:$A$804=A289)*('成交明细'!$C$5:$C$804="买")*'成交明细'!$B$5:$B$804,COUNTIFS('成交明细'!$A$5:$A$804,A289,'成交明细'!$C$5:$C$804,"买"))),"")</f>
        <v/>
      </c>
      <c r="S289" s="42" t="str">
        <f>IF(AND(N(T289)&gt;0,N(V289)&gt;=N(T289)),SUMPRODUCT(MAX(('成交明细'!$A$5:$A$804=A289)*('成交明细'!$C$5:$C$804="卖")*'成交明细'!$B$5:$B$804)),"")</f>
        <v/>
      </c>
      <c r="T289" s="44" t="str">
        <f>IF(A289="","",SUMIFS('成交明细'!$E$5:$E$804,'成交明细'!$A$5:$A$804,A289,'成交明细'!$C$5:$C$804,"买"))</f>
        <v/>
      </c>
      <c r="U289" s="50" t="str">
        <f>IF(N(T289)&gt;0,SUMIFS('成交明细'!$F$5:$F$804,'成交明细'!$A$5:$A$804,A289,'成交明细'!$C$5:$C$804,"买")/T289,"")</f>
        <v/>
      </c>
      <c r="V289" s="44" t="str">
        <f>IF(A289="","",SUMIFS('成交明细'!$E$5:$E$804,'成交明细'!$A$5:$A$804,A289,'成交明细'!$C$5:$C$804,"卖"))</f>
        <v/>
      </c>
      <c r="W289" s="50" t="str">
        <f>IF(N(V289)&gt;0,SUMIFS('成交明细'!$F$5:$F$804,'成交明细'!$A$5:$A$804,A289,'成交明细'!$C$5:$C$804,"卖")/V289,"")</f>
        <v/>
      </c>
      <c r="X289" s="36" t="str">
        <f>IF(A289="","",IF(Q289&lt;&gt;"已执行",IF(Q289="","未填执行情况",Q289),IF(N(T289)=0,"待录成交",IF(N(V289)&gt;N(T289),"卖出多于买入",IF(N(V289)&lt;N(T289),"持仓中","已平仓")))))</f>
        <v/>
      </c>
      <c r="Y289" s="51" t="str">
        <f>IF(N(T289)=0,"",SUMIFS('成交明细'!$K$5:$K$804,'成交明细'!$A$5:$A$804,A289))</f>
        <v/>
      </c>
      <c r="Z289" s="52" t="str">
        <f>IF(X289&lt;&gt;"已平仓","",SUMIFS('成交明细'!$F$5:$F$804,'成交明细'!$A$5:$A$804,A289,'成交明细'!$C$5:$C$804,"卖")-SUMIFS('成交明细'!$F$5:$F$804,'成交明细'!$A$5:$A$804,A289,'成交明细'!$C$5:$C$804,"买")-Y289)</f>
        <v/>
      </c>
      <c r="AA289" s="53" t="str">
        <f>IF(AND(X289="已平仓",ISNUMBER(N289)),(Z289+Y289)/N289,"")</f>
        <v/>
      </c>
      <c r="AB289" s="53" t="str">
        <f>IF(AND(X289="已平仓",ISNUMBER(N289)),Z289/N289,"")</f>
        <v/>
      </c>
      <c r="AC289" s="54" t="str">
        <f>IF(AND(ISNUMBER(U289),ISNUMBER(H289)),U289-H289,"")</f>
        <v/>
      </c>
      <c r="AD289" s="27" t="n"/>
      <c r="AE289" s="27" t="n"/>
      <c r="AF289" s="32" t="n"/>
      <c r="AG289" s="53" t="str">
        <f>IF(A289="","",SUM(AB$5:AB289))</f>
        <v/>
      </c>
      <c r="AH289" s="55" t="str">
        <f>IF(A289="","",MAX(0,MAX(AG$5:AG289))-AG289)</f>
        <v/>
      </c>
    </row>
    <row r="290">
      <c r="A290" s="46" t="n"/>
      <c r="B290" s="31" t="n"/>
      <c r="C290" s="32" t="n"/>
      <c r="D290" s="27" t="n"/>
      <c r="E290" s="47" t="str">
        <f>IF(D290="","",IFERROR(VLOOKUP(D290,'参数'!$B$21:$C$26,2,FALSE),""))</f>
        <v/>
      </c>
      <c r="F290" s="27" t="n"/>
      <c r="G290" s="43" t="str">
        <f>IF(NOT(ISNUMBER(B290)),"",IFERROR(IF(B290-INDEX('每日复盘'!$A$5:$A$264,MATCH(B290-1,'每日复盘'!$A$5:$A$264,1))&gt;7,"",T(INDEX('每日复盘'!$AA$5:$AA$264,MATCH(B290-1,'每日复盘'!$A$5:$A$264,1)))),""))</f>
        <v/>
      </c>
      <c r="H290" s="48" t="n"/>
      <c r="I290" s="48" t="n"/>
      <c r="J290" s="48" t="n"/>
      <c r="K290" s="49" t="str">
        <f>IF(AND(ISNUMBER(H290),ISNUMBER(I290),ISNUMBER(J290)),IF(H290&gt;I290,(J290-H290)/(H290-I290),""),"")</f>
        <v/>
      </c>
      <c r="L290" s="44" t="str">
        <f>IF(AND(ISNUMBER(H290),ISNUMBER(I290)),IF(H290&gt;I290,MIN(INT(ROUND('参数'!$C$7/(H290-I290)/100,6))*100,IF(ISNUMBER(E290),IF(H290-ROUND(ROUND(I290*(1-E290),4),2)&gt;0,INT(ROUND('参数'!$C$8/(H290-ROUND(ROUND(I290*(1-E290),4),2))/100,6))*100,0),INT(ROUND('参数'!$C$7/(H290-I290)/100,6))*100)),""),"")</f>
        <v/>
      </c>
      <c r="M290" s="17" t="n"/>
      <c r="N290" s="20" t="str">
        <f>IF(AND(ISNUMBER(H290),ISNUMBER(I290),ISNUMBER(M290)),IF(AND(H290&gt;I290,M290&gt;0),(H290-I290)*M290,""),"")</f>
        <v/>
      </c>
      <c r="O290" s="20" t="str">
        <f>IF(ISNUMBER(N290),IF(ISNUMBER(E290),(H290-ROUND(ROUND(I290*(1-E290),4),2))*M290,"不设限"),"")</f>
        <v/>
      </c>
      <c r="P290" s="32" t="n"/>
      <c r="Q290" s="27" t="n"/>
      <c r="R290" s="42" t="str">
        <f>IF(N(T290)&gt;0,SUMPRODUCT(LARGE(('成交明细'!$A$5:$A$804=A290)*('成交明细'!$C$5:$C$804="买")*'成交明细'!$B$5:$B$804,COUNTIFS('成交明细'!$A$5:$A$804,A290,'成交明细'!$C$5:$C$804,"买"))),"")</f>
        <v/>
      </c>
      <c r="S290" s="42" t="str">
        <f>IF(AND(N(T290)&gt;0,N(V290)&gt;=N(T290)),SUMPRODUCT(MAX(('成交明细'!$A$5:$A$804=A290)*('成交明细'!$C$5:$C$804="卖")*'成交明细'!$B$5:$B$804)),"")</f>
        <v/>
      </c>
      <c r="T290" s="44" t="str">
        <f>IF(A290="","",SUMIFS('成交明细'!$E$5:$E$804,'成交明细'!$A$5:$A$804,A290,'成交明细'!$C$5:$C$804,"买"))</f>
        <v/>
      </c>
      <c r="U290" s="50" t="str">
        <f>IF(N(T290)&gt;0,SUMIFS('成交明细'!$F$5:$F$804,'成交明细'!$A$5:$A$804,A290,'成交明细'!$C$5:$C$804,"买")/T290,"")</f>
        <v/>
      </c>
      <c r="V290" s="44" t="str">
        <f>IF(A290="","",SUMIFS('成交明细'!$E$5:$E$804,'成交明细'!$A$5:$A$804,A290,'成交明细'!$C$5:$C$804,"卖"))</f>
        <v/>
      </c>
      <c r="W290" s="50" t="str">
        <f>IF(N(V290)&gt;0,SUMIFS('成交明细'!$F$5:$F$804,'成交明细'!$A$5:$A$804,A290,'成交明细'!$C$5:$C$804,"卖")/V290,"")</f>
        <v/>
      </c>
      <c r="X290" s="36" t="str">
        <f>IF(A290="","",IF(Q290&lt;&gt;"已执行",IF(Q290="","未填执行情况",Q290),IF(N(T290)=0,"待录成交",IF(N(V290)&gt;N(T290),"卖出多于买入",IF(N(V290)&lt;N(T290),"持仓中","已平仓")))))</f>
        <v/>
      </c>
      <c r="Y290" s="51" t="str">
        <f>IF(N(T290)=0,"",SUMIFS('成交明细'!$K$5:$K$804,'成交明细'!$A$5:$A$804,A290))</f>
        <v/>
      </c>
      <c r="Z290" s="52" t="str">
        <f>IF(X290&lt;&gt;"已平仓","",SUMIFS('成交明细'!$F$5:$F$804,'成交明细'!$A$5:$A$804,A290,'成交明细'!$C$5:$C$804,"卖")-SUMIFS('成交明细'!$F$5:$F$804,'成交明细'!$A$5:$A$804,A290,'成交明细'!$C$5:$C$804,"买")-Y290)</f>
        <v/>
      </c>
      <c r="AA290" s="53" t="str">
        <f>IF(AND(X290="已平仓",ISNUMBER(N290)),(Z290+Y290)/N290,"")</f>
        <v/>
      </c>
      <c r="AB290" s="53" t="str">
        <f>IF(AND(X290="已平仓",ISNUMBER(N290)),Z290/N290,"")</f>
        <v/>
      </c>
      <c r="AC290" s="54" t="str">
        <f>IF(AND(ISNUMBER(U290),ISNUMBER(H290)),U290-H290,"")</f>
        <v/>
      </c>
      <c r="AD290" s="27" t="n"/>
      <c r="AE290" s="27" t="n"/>
      <c r="AF290" s="32" t="n"/>
      <c r="AG290" s="53" t="str">
        <f>IF(A290="","",SUM(AB$5:AB290))</f>
        <v/>
      </c>
      <c r="AH290" s="55" t="str">
        <f>IF(A290="","",MAX(0,MAX(AG$5:AG290))-AG290)</f>
        <v/>
      </c>
    </row>
    <row r="291">
      <c r="A291" s="46" t="n"/>
      <c r="B291" s="31" t="n"/>
      <c r="C291" s="32" t="n"/>
      <c r="D291" s="27" t="n"/>
      <c r="E291" s="47" t="str">
        <f>IF(D291="","",IFERROR(VLOOKUP(D291,'参数'!$B$21:$C$26,2,FALSE),""))</f>
        <v/>
      </c>
      <c r="F291" s="27" t="n"/>
      <c r="G291" s="43" t="str">
        <f>IF(NOT(ISNUMBER(B291)),"",IFERROR(IF(B291-INDEX('每日复盘'!$A$5:$A$264,MATCH(B291-1,'每日复盘'!$A$5:$A$264,1))&gt;7,"",T(INDEX('每日复盘'!$AA$5:$AA$264,MATCH(B291-1,'每日复盘'!$A$5:$A$264,1)))),""))</f>
        <v/>
      </c>
      <c r="H291" s="48" t="n"/>
      <c r="I291" s="48" t="n"/>
      <c r="J291" s="48" t="n"/>
      <c r="K291" s="49" t="str">
        <f>IF(AND(ISNUMBER(H291),ISNUMBER(I291),ISNUMBER(J291)),IF(H291&gt;I291,(J291-H291)/(H291-I291),""),"")</f>
        <v/>
      </c>
      <c r="L291" s="44" t="str">
        <f>IF(AND(ISNUMBER(H291),ISNUMBER(I291)),IF(H291&gt;I291,MIN(INT(ROUND('参数'!$C$7/(H291-I291)/100,6))*100,IF(ISNUMBER(E291),IF(H291-ROUND(ROUND(I291*(1-E291),4),2)&gt;0,INT(ROUND('参数'!$C$8/(H291-ROUND(ROUND(I291*(1-E291),4),2))/100,6))*100,0),INT(ROUND('参数'!$C$7/(H291-I291)/100,6))*100)),""),"")</f>
        <v/>
      </c>
      <c r="M291" s="17" t="n"/>
      <c r="N291" s="20" t="str">
        <f>IF(AND(ISNUMBER(H291),ISNUMBER(I291),ISNUMBER(M291)),IF(AND(H291&gt;I291,M291&gt;0),(H291-I291)*M291,""),"")</f>
        <v/>
      </c>
      <c r="O291" s="20" t="str">
        <f>IF(ISNUMBER(N291),IF(ISNUMBER(E291),(H291-ROUND(ROUND(I291*(1-E291),4),2))*M291,"不设限"),"")</f>
        <v/>
      </c>
      <c r="P291" s="32" t="n"/>
      <c r="Q291" s="27" t="n"/>
      <c r="R291" s="42" t="str">
        <f>IF(N(T291)&gt;0,SUMPRODUCT(LARGE(('成交明细'!$A$5:$A$804=A291)*('成交明细'!$C$5:$C$804="买")*'成交明细'!$B$5:$B$804,COUNTIFS('成交明细'!$A$5:$A$804,A291,'成交明细'!$C$5:$C$804,"买"))),"")</f>
        <v/>
      </c>
      <c r="S291" s="42" t="str">
        <f>IF(AND(N(T291)&gt;0,N(V291)&gt;=N(T291)),SUMPRODUCT(MAX(('成交明细'!$A$5:$A$804=A291)*('成交明细'!$C$5:$C$804="卖")*'成交明细'!$B$5:$B$804)),"")</f>
        <v/>
      </c>
      <c r="T291" s="44" t="str">
        <f>IF(A291="","",SUMIFS('成交明细'!$E$5:$E$804,'成交明细'!$A$5:$A$804,A291,'成交明细'!$C$5:$C$804,"买"))</f>
        <v/>
      </c>
      <c r="U291" s="50" t="str">
        <f>IF(N(T291)&gt;0,SUMIFS('成交明细'!$F$5:$F$804,'成交明细'!$A$5:$A$804,A291,'成交明细'!$C$5:$C$804,"买")/T291,"")</f>
        <v/>
      </c>
      <c r="V291" s="44" t="str">
        <f>IF(A291="","",SUMIFS('成交明细'!$E$5:$E$804,'成交明细'!$A$5:$A$804,A291,'成交明细'!$C$5:$C$804,"卖"))</f>
        <v/>
      </c>
      <c r="W291" s="50" t="str">
        <f>IF(N(V291)&gt;0,SUMIFS('成交明细'!$F$5:$F$804,'成交明细'!$A$5:$A$804,A291,'成交明细'!$C$5:$C$804,"卖")/V291,"")</f>
        <v/>
      </c>
      <c r="X291" s="36" t="str">
        <f>IF(A291="","",IF(Q291&lt;&gt;"已执行",IF(Q291="","未填执行情况",Q291),IF(N(T291)=0,"待录成交",IF(N(V291)&gt;N(T291),"卖出多于买入",IF(N(V291)&lt;N(T291),"持仓中","已平仓")))))</f>
        <v/>
      </c>
      <c r="Y291" s="51" t="str">
        <f>IF(N(T291)=0,"",SUMIFS('成交明细'!$K$5:$K$804,'成交明细'!$A$5:$A$804,A291))</f>
        <v/>
      </c>
      <c r="Z291" s="52" t="str">
        <f>IF(X291&lt;&gt;"已平仓","",SUMIFS('成交明细'!$F$5:$F$804,'成交明细'!$A$5:$A$804,A291,'成交明细'!$C$5:$C$804,"卖")-SUMIFS('成交明细'!$F$5:$F$804,'成交明细'!$A$5:$A$804,A291,'成交明细'!$C$5:$C$804,"买")-Y291)</f>
        <v/>
      </c>
      <c r="AA291" s="53" t="str">
        <f>IF(AND(X291="已平仓",ISNUMBER(N291)),(Z291+Y291)/N291,"")</f>
        <v/>
      </c>
      <c r="AB291" s="53" t="str">
        <f>IF(AND(X291="已平仓",ISNUMBER(N291)),Z291/N291,"")</f>
        <v/>
      </c>
      <c r="AC291" s="54" t="str">
        <f>IF(AND(ISNUMBER(U291),ISNUMBER(H291)),U291-H291,"")</f>
        <v/>
      </c>
      <c r="AD291" s="27" t="n"/>
      <c r="AE291" s="27" t="n"/>
      <c r="AF291" s="32" t="n"/>
      <c r="AG291" s="53" t="str">
        <f>IF(A291="","",SUM(AB$5:AB291))</f>
        <v/>
      </c>
      <c r="AH291" s="55" t="str">
        <f>IF(A291="","",MAX(0,MAX(AG$5:AG291))-AG291)</f>
        <v/>
      </c>
    </row>
    <row r="292">
      <c r="A292" s="46" t="n"/>
      <c r="B292" s="31" t="n"/>
      <c r="C292" s="32" t="n"/>
      <c r="D292" s="27" t="n"/>
      <c r="E292" s="47" t="str">
        <f>IF(D292="","",IFERROR(VLOOKUP(D292,'参数'!$B$21:$C$26,2,FALSE),""))</f>
        <v/>
      </c>
      <c r="F292" s="27" t="n"/>
      <c r="G292" s="43" t="str">
        <f>IF(NOT(ISNUMBER(B292)),"",IFERROR(IF(B292-INDEX('每日复盘'!$A$5:$A$264,MATCH(B292-1,'每日复盘'!$A$5:$A$264,1))&gt;7,"",T(INDEX('每日复盘'!$AA$5:$AA$264,MATCH(B292-1,'每日复盘'!$A$5:$A$264,1)))),""))</f>
        <v/>
      </c>
      <c r="H292" s="48" t="n"/>
      <c r="I292" s="48" t="n"/>
      <c r="J292" s="48" t="n"/>
      <c r="K292" s="49" t="str">
        <f>IF(AND(ISNUMBER(H292),ISNUMBER(I292),ISNUMBER(J292)),IF(H292&gt;I292,(J292-H292)/(H292-I292),""),"")</f>
        <v/>
      </c>
      <c r="L292" s="44" t="str">
        <f>IF(AND(ISNUMBER(H292),ISNUMBER(I292)),IF(H292&gt;I292,MIN(INT(ROUND('参数'!$C$7/(H292-I292)/100,6))*100,IF(ISNUMBER(E292),IF(H292-ROUND(ROUND(I292*(1-E292),4),2)&gt;0,INT(ROUND('参数'!$C$8/(H292-ROUND(ROUND(I292*(1-E292),4),2))/100,6))*100,0),INT(ROUND('参数'!$C$7/(H292-I292)/100,6))*100)),""),"")</f>
        <v/>
      </c>
      <c r="M292" s="17" t="n"/>
      <c r="N292" s="20" t="str">
        <f>IF(AND(ISNUMBER(H292),ISNUMBER(I292),ISNUMBER(M292)),IF(AND(H292&gt;I292,M292&gt;0),(H292-I292)*M292,""),"")</f>
        <v/>
      </c>
      <c r="O292" s="20" t="str">
        <f>IF(ISNUMBER(N292),IF(ISNUMBER(E292),(H292-ROUND(ROUND(I292*(1-E292),4),2))*M292,"不设限"),"")</f>
        <v/>
      </c>
      <c r="P292" s="32" t="n"/>
      <c r="Q292" s="27" t="n"/>
      <c r="R292" s="42" t="str">
        <f>IF(N(T292)&gt;0,SUMPRODUCT(LARGE(('成交明细'!$A$5:$A$804=A292)*('成交明细'!$C$5:$C$804="买")*'成交明细'!$B$5:$B$804,COUNTIFS('成交明细'!$A$5:$A$804,A292,'成交明细'!$C$5:$C$804,"买"))),"")</f>
        <v/>
      </c>
      <c r="S292" s="42" t="str">
        <f>IF(AND(N(T292)&gt;0,N(V292)&gt;=N(T292)),SUMPRODUCT(MAX(('成交明细'!$A$5:$A$804=A292)*('成交明细'!$C$5:$C$804="卖")*'成交明细'!$B$5:$B$804)),"")</f>
        <v/>
      </c>
      <c r="T292" s="44" t="str">
        <f>IF(A292="","",SUMIFS('成交明细'!$E$5:$E$804,'成交明细'!$A$5:$A$804,A292,'成交明细'!$C$5:$C$804,"买"))</f>
        <v/>
      </c>
      <c r="U292" s="50" t="str">
        <f>IF(N(T292)&gt;0,SUMIFS('成交明细'!$F$5:$F$804,'成交明细'!$A$5:$A$804,A292,'成交明细'!$C$5:$C$804,"买")/T292,"")</f>
        <v/>
      </c>
      <c r="V292" s="44" t="str">
        <f>IF(A292="","",SUMIFS('成交明细'!$E$5:$E$804,'成交明细'!$A$5:$A$804,A292,'成交明细'!$C$5:$C$804,"卖"))</f>
        <v/>
      </c>
      <c r="W292" s="50" t="str">
        <f>IF(N(V292)&gt;0,SUMIFS('成交明细'!$F$5:$F$804,'成交明细'!$A$5:$A$804,A292,'成交明细'!$C$5:$C$804,"卖")/V292,"")</f>
        <v/>
      </c>
      <c r="X292" s="36" t="str">
        <f>IF(A292="","",IF(Q292&lt;&gt;"已执行",IF(Q292="","未填执行情况",Q292),IF(N(T292)=0,"待录成交",IF(N(V292)&gt;N(T292),"卖出多于买入",IF(N(V292)&lt;N(T292),"持仓中","已平仓")))))</f>
        <v/>
      </c>
      <c r="Y292" s="51" t="str">
        <f>IF(N(T292)=0,"",SUMIFS('成交明细'!$K$5:$K$804,'成交明细'!$A$5:$A$804,A292))</f>
        <v/>
      </c>
      <c r="Z292" s="52" t="str">
        <f>IF(X292&lt;&gt;"已平仓","",SUMIFS('成交明细'!$F$5:$F$804,'成交明细'!$A$5:$A$804,A292,'成交明细'!$C$5:$C$804,"卖")-SUMIFS('成交明细'!$F$5:$F$804,'成交明细'!$A$5:$A$804,A292,'成交明细'!$C$5:$C$804,"买")-Y292)</f>
        <v/>
      </c>
      <c r="AA292" s="53" t="str">
        <f>IF(AND(X292="已平仓",ISNUMBER(N292)),(Z292+Y292)/N292,"")</f>
        <v/>
      </c>
      <c r="AB292" s="53" t="str">
        <f>IF(AND(X292="已平仓",ISNUMBER(N292)),Z292/N292,"")</f>
        <v/>
      </c>
      <c r="AC292" s="54" t="str">
        <f>IF(AND(ISNUMBER(U292),ISNUMBER(H292)),U292-H292,"")</f>
        <v/>
      </c>
      <c r="AD292" s="27" t="n"/>
      <c r="AE292" s="27" t="n"/>
      <c r="AF292" s="32" t="n"/>
      <c r="AG292" s="53" t="str">
        <f>IF(A292="","",SUM(AB$5:AB292))</f>
        <v/>
      </c>
      <c r="AH292" s="55" t="str">
        <f>IF(A292="","",MAX(0,MAX(AG$5:AG292))-AG292)</f>
        <v/>
      </c>
    </row>
    <row r="293">
      <c r="A293" s="46" t="n"/>
      <c r="B293" s="31" t="n"/>
      <c r="C293" s="32" t="n"/>
      <c r="D293" s="27" t="n"/>
      <c r="E293" s="47" t="str">
        <f>IF(D293="","",IFERROR(VLOOKUP(D293,'参数'!$B$21:$C$26,2,FALSE),""))</f>
        <v/>
      </c>
      <c r="F293" s="27" t="n"/>
      <c r="G293" s="43" t="str">
        <f>IF(NOT(ISNUMBER(B293)),"",IFERROR(IF(B293-INDEX('每日复盘'!$A$5:$A$264,MATCH(B293-1,'每日复盘'!$A$5:$A$264,1))&gt;7,"",T(INDEX('每日复盘'!$AA$5:$AA$264,MATCH(B293-1,'每日复盘'!$A$5:$A$264,1)))),""))</f>
        <v/>
      </c>
      <c r="H293" s="48" t="n"/>
      <c r="I293" s="48" t="n"/>
      <c r="J293" s="48" t="n"/>
      <c r="K293" s="49" t="str">
        <f>IF(AND(ISNUMBER(H293),ISNUMBER(I293),ISNUMBER(J293)),IF(H293&gt;I293,(J293-H293)/(H293-I293),""),"")</f>
        <v/>
      </c>
      <c r="L293" s="44" t="str">
        <f>IF(AND(ISNUMBER(H293),ISNUMBER(I293)),IF(H293&gt;I293,MIN(INT(ROUND('参数'!$C$7/(H293-I293)/100,6))*100,IF(ISNUMBER(E293),IF(H293-ROUND(ROUND(I293*(1-E293),4),2)&gt;0,INT(ROUND('参数'!$C$8/(H293-ROUND(ROUND(I293*(1-E293),4),2))/100,6))*100,0),INT(ROUND('参数'!$C$7/(H293-I293)/100,6))*100)),""),"")</f>
        <v/>
      </c>
      <c r="M293" s="17" t="n"/>
      <c r="N293" s="20" t="str">
        <f>IF(AND(ISNUMBER(H293),ISNUMBER(I293),ISNUMBER(M293)),IF(AND(H293&gt;I293,M293&gt;0),(H293-I293)*M293,""),"")</f>
        <v/>
      </c>
      <c r="O293" s="20" t="str">
        <f>IF(ISNUMBER(N293),IF(ISNUMBER(E293),(H293-ROUND(ROUND(I293*(1-E293),4),2))*M293,"不设限"),"")</f>
        <v/>
      </c>
      <c r="P293" s="32" t="n"/>
      <c r="Q293" s="27" t="n"/>
      <c r="R293" s="42" t="str">
        <f>IF(N(T293)&gt;0,SUMPRODUCT(LARGE(('成交明细'!$A$5:$A$804=A293)*('成交明细'!$C$5:$C$804="买")*'成交明细'!$B$5:$B$804,COUNTIFS('成交明细'!$A$5:$A$804,A293,'成交明细'!$C$5:$C$804,"买"))),"")</f>
        <v/>
      </c>
      <c r="S293" s="42" t="str">
        <f>IF(AND(N(T293)&gt;0,N(V293)&gt;=N(T293)),SUMPRODUCT(MAX(('成交明细'!$A$5:$A$804=A293)*('成交明细'!$C$5:$C$804="卖")*'成交明细'!$B$5:$B$804)),"")</f>
        <v/>
      </c>
      <c r="T293" s="44" t="str">
        <f>IF(A293="","",SUMIFS('成交明细'!$E$5:$E$804,'成交明细'!$A$5:$A$804,A293,'成交明细'!$C$5:$C$804,"买"))</f>
        <v/>
      </c>
      <c r="U293" s="50" t="str">
        <f>IF(N(T293)&gt;0,SUMIFS('成交明细'!$F$5:$F$804,'成交明细'!$A$5:$A$804,A293,'成交明细'!$C$5:$C$804,"买")/T293,"")</f>
        <v/>
      </c>
      <c r="V293" s="44" t="str">
        <f>IF(A293="","",SUMIFS('成交明细'!$E$5:$E$804,'成交明细'!$A$5:$A$804,A293,'成交明细'!$C$5:$C$804,"卖"))</f>
        <v/>
      </c>
      <c r="W293" s="50" t="str">
        <f>IF(N(V293)&gt;0,SUMIFS('成交明细'!$F$5:$F$804,'成交明细'!$A$5:$A$804,A293,'成交明细'!$C$5:$C$804,"卖")/V293,"")</f>
        <v/>
      </c>
      <c r="X293" s="36" t="str">
        <f>IF(A293="","",IF(Q293&lt;&gt;"已执行",IF(Q293="","未填执行情况",Q293),IF(N(T293)=0,"待录成交",IF(N(V293)&gt;N(T293),"卖出多于买入",IF(N(V293)&lt;N(T293),"持仓中","已平仓")))))</f>
        <v/>
      </c>
      <c r="Y293" s="51" t="str">
        <f>IF(N(T293)=0,"",SUMIFS('成交明细'!$K$5:$K$804,'成交明细'!$A$5:$A$804,A293))</f>
        <v/>
      </c>
      <c r="Z293" s="52" t="str">
        <f>IF(X293&lt;&gt;"已平仓","",SUMIFS('成交明细'!$F$5:$F$804,'成交明细'!$A$5:$A$804,A293,'成交明细'!$C$5:$C$804,"卖")-SUMIFS('成交明细'!$F$5:$F$804,'成交明细'!$A$5:$A$804,A293,'成交明细'!$C$5:$C$804,"买")-Y293)</f>
        <v/>
      </c>
      <c r="AA293" s="53" t="str">
        <f>IF(AND(X293="已平仓",ISNUMBER(N293)),(Z293+Y293)/N293,"")</f>
        <v/>
      </c>
      <c r="AB293" s="53" t="str">
        <f>IF(AND(X293="已平仓",ISNUMBER(N293)),Z293/N293,"")</f>
        <v/>
      </c>
      <c r="AC293" s="54" t="str">
        <f>IF(AND(ISNUMBER(U293),ISNUMBER(H293)),U293-H293,"")</f>
        <v/>
      </c>
      <c r="AD293" s="27" t="n"/>
      <c r="AE293" s="27" t="n"/>
      <c r="AF293" s="32" t="n"/>
      <c r="AG293" s="53" t="str">
        <f>IF(A293="","",SUM(AB$5:AB293))</f>
        <v/>
      </c>
      <c r="AH293" s="55" t="str">
        <f>IF(A293="","",MAX(0,MAX(AG$5:AG293))-AG293)</f>
        <v/>
      </c>
    </row>
    <row r="294">
      <c r="A294" s="46" t="n"/>
      <c r="B294" s="31" t="n"/>
      <c r="C294" s="32" t="n"/>
      <c r="D294" s="27" t="n"/>
      <c r="E294" s="47" t="str">
        <f>IF(D294="","",IFERROR(VLOOKUP(D294,'参数'!$B$21:$C$26,2,FALSE),""))</f>
        <v/>
      </c>
      <c r="F294" s="27" t="n"/>
      <c r="G294" s="43" t="str">
        <f>IF(NOT(ISNUMBER(B294)),"",IFERROR(IF(B294-INDEX('每日复盘'!$A$5:$A$264,MATCH(B294-1,'每日复盘'!$A$5:$A$264,1))&gt;7,"",T(INDEX('每日复盘'!$AA$5:$AA$264,MATCH(B294-1,'每日复盘'!$A$5:$A$264,1)))),""))</f>
        <v/>
      </c>
      <c r="H294" s="48" t="n"/>
      <c r="I294" s="48" t="n"/>
      <c r="J294" s="48" t="n"/>
      <c r="K294" s="49" t="str">
        <f>IF(AND(ISNUMBER(H294),ISNUMBER(I294),ISNUMBER(J294)),IF(H294&gt;I294,(J294-H294)/(H294-I294),""),"")</f>
        <v/>
      </c>
      <c r="L294" s="44" t="str">
        <f>IF(AND(ISNUMBER(H294),ISNUMBER(I294)),IF(H294&gt;I294,MIN(INT(ROUND('参数'!$C$7/(H294-I294)/100,6))*100,IF(ISNUMBER(E294),IF(H294-ROUND(ROUND(I294*(1-E294),4),2)&gt;0,INT(ROUND('参数'!$C$8/(H294-ROUND(ROUND(I294*(1-E294),4),2))/100,6))*100,0),INT(ROUND('参数'!$C$7/(H294-I294)/100,6))*100)),""),"")</f>
        <v/>
      </c>
      <c r="M294" s="17" t="n"/>
      <c r="N294" s="20" t="str">
        <f>IF(AND(ISNUMBER(H294),ISNUMBER(I294),ISNUMBER(M294)),IF(AND(H294&gt;I294,M294&gt;0),(H294-I294)*M294,""),"")</f>
        <v/>
      </c>
      <c r="O294" s="20" t="str">
        <f>IF(ISNUMBER(N294),IF(ISNUMBER(E294),(H294-ROUND(ROUND(I294*(1-E294),4),2))*M294,"不设限"),"")</f>
        <v/>
      </c>
      <c r="P294" s="32" t="n"/>
      <c r="Q294" s="27" t="n"/>
      <c r="R294" s="42" t="str">
        <f>IF(N(T294)&gt;0,SUMPRODUCT(LARGE(('成交明细'!$A$5:$A$804=A294)*('成交明细'!$C$5:$C$804="买")*'成交明细'!$B$5:$B$804,COUNTIFS('成交明细'!$A$5:$A$804,A294,'成交明细'!$C$5:$C$804,"买"))),"")</f>
        <v/>
      </c>
      <c r="S294" s="42" t="str">
        <f>IF(AND(N(T294)&gt;0,N(V294)&gt;=N(T294)),SUMPRODUCT(MAX(('成交明细'!$A$5:$A$804=A294)*('成交明细'!$C$5:$C$804="卖")*'成交明细'!$B$5:$B$804)),"")</f>
        <v/>
      </c>
      <c r="T294" s="44" t="str">
        <f>IF(A294="","",SUMIFS('成交明细'!$E$5:$E$804,'成交明细'!$A$5:$A$804,A294,'成交明细'!$C$5:$C$804,"买"))</f>
        <v/>
      </c>
      <c r="U294" s="50" t="str">
        <f>IF(N(T294)&gt;0,SUMIFS('成交明细'!$F$5:$F$804,'成交明细'!$A$5:$A$804,A294,'成交明细'!$C$5:$C$804,"买")/T294,"")</f>
        <v/>
      </c>
      <c r="V294" s="44" t="str">
        <f>IF(A294="","",SUMIFS('成交明细'!$E$5:$E$804,'成交明细'!$A$5:$A$804,A294,'成交明细'!$C$5:$C$804,"卖"))</f>
        <v/>
      </c>
      <c r="W294" s="50" t="str">
        <f>IF(N(V294)&gt;0,SUMIFS('成交明细'!$F$5:$F$804,'成交明细'!$A$5:$A$804,A294,'成交明细'!$C$5:$C$804,"卖")/V294,"")</f>
        <v/>
      </c>
      <c r="X294" s="36" t="str">
        <f>IF(A294="","",IF(Q294&lt;&gt;"已执行",IF(Q294="","未填执行情况",Q294),IF(N(T294)=0,"待录成交",IF(N(V294)&gt;N(T294),"卖出多于买入",IF(N(V294)&lt;N(T294),"持仓中","已平仓")))))</f>
        <v/>
      </c>
      <c r="Y294" s="51" t="str">
        <f>IF(N(T294)=0,"",SUMIFS('成交明细'!$K$5:$K$804,'成交明细'!$A$5:$A$804,A294))</f>
        <v/>
      </c>
      <c r="Z294" s="52" t="str">
        <f>IF(X294&lt;&gt;"已平仓","",SUMIFS('成交明细'!$F$5:$F$804,'成交明细'!$A$5:$A$804,A294,'成交明细'!$C$5:$C$804,"卖")-SUMIFS('成交明细'!$F$5:$F$804,'成交明细'!$A$5:$A$804,A294,'成交明细'!$C$5:$C$804,"买")-Y294)</f>
        <v/>
      </c>
      <c r="AA294" s="53" t="str">
        <f>IF(AND(X294="已平仓",ISNUMBER(N294)),(Z294+Y294)/N294,"")</f>
        <v/>
      </c>
      <c r="AB294" s="53" t="str">
        <f>IF(AND(X294="已平仓",ISNUMBER(N294)),Z294/N294,"")</f>
        <v/>
      </c>
      <c r="AC294" s="54" t="str">
        <f>IF(AND(ISNUMBER(U294),ISNUMBER(H294)),U294-H294,"")</f>
        <v/>
      </c>
      <c r="AD294" s="27" t="n"/>
      <c r="AE294" s="27" t="n"/>
      <c r="AF294" s="32" t="n"/>
      <c r="AG294" s="53" t="str">
        <f>IF(A294="","",SUM(AB$5:AB294))</f>
        <v/>
      </c>
      <c r="AH294" s="55" t="str">
        <f>IF(A294="","",MAX(0,MAX(AG$5:AG294))-AG294)</f>
        <v/>
      </c>
    </row>
    <row r="295">
      <c r="A295" s="46" t="n"/>
      <c r="B295" s="31" t="n"/>
      <c r="C295" s="32" t="n"/>
      <c r="D295" s="27" t="n"/>
      <c r="E295" s="47" t="str">
        <f>IF(D295="","",IFERROR(VLOOKUP(D295,'参数'!$B$21:$C$26,2,FALSE),""))</f>
        <v/>
      </c>
      <c r="F295" s="27" t="n"/>
      <c r="G295" s="43" t="str">
        <f>IF(NOT(ISNUMBER(B295)),"",IFERROR(IF(B295-INDEX('每日复盘'!$A$5:$A$264,MATCH(B295-1,'每日复盘'!$A$5:$A$264,1))&gt;7,"",T(INDEX('每日复盘'!$AA$5:$AA$264,MATCH(B295-1,'每日复盘'!$A$5:$A$264,1)))),""))</f>
        <v/>
      </c>
      <c r="H295" s="48" t="n"/>
      <c r="I295" s="48" t="n"/>
      <c r="J295" s="48" t="n"/>
      <c r="K295" s="49" t="str">
        <f>IF(AND(ISNUMBER(H295),ISNUMBER(I295),ISNUMBER(J295)),IF(H295&gt;I295,(J295-H295)/(H295-I295),""),"")</f>
        <v/>
      </c>
      <c r="L295" s="44" t="str">
        <f>IF(AND(ISNUMBER(H295),ISNUMBER(I295)),IF(H295&gt;I295,MIN(INT(ROUND('参数'!$C$7/(H295-I295)/100,6))*100,IF(ISNUMBER(E295),IF(H295-ROUND(ROUND(I295*(1-E295),4),2)&gt;0,INT(ROUND('参数'!$C$8/(H295-ROUND(ROUND(I295*(1-E295),4),2))/100,6))*100,0),INT(ROUND('参数'!$C$7/(H295-I295)/100,6))*100)),""),"")</f>
        <v/>
      </c>
      <c r="M295" s="17" t="n"/>
      <c r="N295" s="20" t="str">
        <f>IF(AND(ISNUMBER(H295),ISNUMBER(I295),ISNUMBER(M295)),IF(AND(H295&gt;I295,M295&gt;0),(H295-I295)*M295,""),"")</f>
        <v/>
      </c>
      <c r="O295" s="20" t="str">
        <f>IF(ISNUMBER(N295),IF(ISNUMBER(E295),(H295-ROUND(ROUND(I295*(1-E295),4),2))*M295,"不设限"),"")</f>
        <v/>
      </c>
      <c r="P295" s="32" t="n"/>
      <c r="Q295" s="27" t="n"/>
      <c r="R295" s="42" t="str">
        <f>IF(N(T295)&gt;0,SUMPRODUCT(LARGE(('成交明细'!$A$5:$A$804=A295)*('成交明细'!$C$5:$C$804="买")*'成交明细'!$B$5:$B$804,COUNTIFS('成交明细'!$A$5:$A$804,A295,'成交明细'!$C$5:$C$804,"买"))),"")</f>
        <v/>
      </c>
      <c r="S295" s="42" t="str">
        <f>IF(AND(N(T295)&gt;0,N(V295)&gt;=N(T295)),SUMPRODUCT(MAX(('成交明细'!$A$5:$A$804=A295)*('成交明细'!$C$5:$C$804="卖")*'成交明细'!$B$5:$B$804)),"")</f>
        <v/>
      </c>
      <c r="T295" s="44" t="str">
        <f>IF(A295="","",SUMIFS('成交明细'!$E$5:$E$804,'成交明细'!$A$5:$A$804,A295,'成交明细'!$C$5:$C$804,"买"))</f>
        <v/>
      </c>
      <c r="U295" s="50" t="str">
        <f>IF(N(T295)&gt;0,SUMIFS('成交明细'!$F$5:$F$804,'成交明细'!$A$5:$A$804,A295,'成交明细'!$C$5:$C$804,"买")/T295,"")</f>
        <v/>
      </c>
      <c r="V295" s="44" t="str">
        <f>IF(A295="","",SUMIFS('成交明细'!$E$5:$E$804,'成交明细'!$A$5:$A$804,A295,'成交明细'!$C$5:$C$804,"卖"))</f>
        <v/>
      </c>
      <c r="W295" s="50" t="str">
        <f>IF(N(V295)&gt;0,SUMIFS('成交明细'!$F$5:$F$804,'成交明细'!$A$5:$A$804,A295,'成交明细'!$C$5:$C$804,"卖")/V295,"")</f>
        <v/>
      </c>
      <c r="X295" s="36" t="str">
        <f>IF(A295="","",IF(Q295&lt;&gt;"已执行",IF(Q295="","未填执行情况",Q295),IF(N(T295)=0,"待录成交",IF(N(V295)&gt;N(T295),"卖出多于买入",IF(N(V295)&lt;N(T295),"持仓中","已平仓")))))</f>
        <v/>
      </c>
      <c r="Y295" s="51" t="str">
        <f>IF(N(T295)=0,"",SUMIFS('成交明细'!$K$5:$K$804,'成交明细'!$A$5:$A$804,A295))</f>
        <v/>
      </c>
      <c r="Z295" s="52" t="str">
        <f>IF(X295&lt;&gt;"已平仓","",SUMIFS('成交明细'!$F$5:$F$804,'成交明细'!$A$5:$A$804,A295,'成交明细'!$C$5:$C$804,"卖")-SUMIFS('成交明细'!$F$5:$F$804,'成交明细'!$A$5:$A$804,A295,'成交明细'!$C$5:$C$804,"买")-Y295)</f>
        <v/>
      </c>
      <c r="AA295" s="53" t="str">
        <f>IF(AND(X295="已平仓",ISNUMBER(N295)),(Z295+Y295)/N295,"")</f>
        <v/>
      </c>
      <c r="AB295" s="53" t="str">
        <f>IF(AND(X295="已平仓",ISNUMBER(N295)),Z295/N295,"")</f>
        <v/>
      </c>
      <c r="AC295" s="54" t="str">
        <f>IF(AND(ISNUMBER(U295),ISNUMBER(H295)),U295-H295,"")</f>
        <v/>
      </c>
      <c r="AD295" s="27" t="n"/>
      <c r="AE295" s="27" t="n"/>
      <c r="AF295" s="32" t="n"/>
      <c r="AG295" s="53" t="str">
        <f>IF(A295="","",SUM(AB$5:AB295))</f>
        <v/>
      </c>
      <c r="AH295" s="55" t="str">
        <f>IF(A295="","",MAX(0,MAX(AG$5:AG295))-AG295)</f>
        <v/>
      </c>
    </row>
    <row r="296">
      <c r="A296" s="46" t="n"/>
      <c r="B296" s="31" t="n"/>
      <c r="C296" s="32" t="n"/>
      <c r="D296" s="27" t="n"/>
      <c r="E296" s="47" t="str">
        <f>IF(D296="","",IFERROR(VLOOKUP(D296,'参数'!$B$21:$C$26,2,FALSE),""))</f>
        <v/>
      </c>
      <c r="F296" s="27" t="n"/>
      <c r="G296" s="43" t="str">
        <f>IF(NOT(ISNUMBER(B296)),"",IFERROR(IF(B296-INDEX('每日复盘'!$A$5:$A$264,MATCH(B296-1,'每日复盘'!$A$5:$A$264,1))&gt;7,"",T(INDEX('每日复盘'!$AA$5:$AA$264,MATCH(B296-1,'每日复盘'!$A$5:$A$264,1)))),""))</f>
        <v/>
      </c>
      <c r="H296" s="48" t="n"/>
      <c r="I296" s="48" t="n"/>
      <c r="J296" s="48" t="n"/>
      <c r="K296" s="49" t="str">
        <f>IF(AND(ISNUMBER(H296),ISNUMBER(I296),ISNUMBER(J296)),IF(H296&gt;I296,(J296-H296)/(H296-I296),""),"")</f>
        <v/>
      </c>
      <c r="L296" s="44" t="str">
        <f>IF(AND(ISNUMBER(H296),ISNUMBER(I296)),IF(H296&gt;I296,MIN(INT(ROUND('参数'!$C$7/(H296-I296)/100,6))*100,IF(ISNUMBER(E296),IF(H296-ROUND(ROUND(I296*(1-E296),4),2)&gt;0,INT(ROUND('参数'!$C$8/(H296-ROUND(ROUND(I296*(1-E296),4),2))/100,6))*100,0),INT(ROUND('参数'!$C$7/(H296-I296)/100,6))*100)),""),"")</f>
        <v/>
      </c>
      <c r="M296" s="17" t="n"/>
      <c r="N296" s="20" t="str">
        <f>IF(AND(ISNUMBER(H296),ISNUMBER(I296),ISNUMBER(M296)),IF(AND(H296&gt;I296,M296&gt;0),(H296-I296)*M296,""),"")</f>
        <v/>
      </c>
      <c r="O296" s="20" t="str">
        <f>IF(ISNUMBER(N296),IF(ISNUMBER(E296),(H296-ROUND(ROUND(I296*(1-E296),4),2))*M296,"不设限"),"")</f>
        <v/>
      </c>
      <c r="P296" s="32" t="n"/>
      <c r="Q296" s="27" t="n"/>
      <c r="R296" s="42" t="str">
        <f>IF(N(T296)&gt;0,SUMPRODUCT(LARGE(('成交明细'!$A$5:$A$804=A296)*('成交明细'!$C$5:$C$804="买")*'成交明细'!$B$5:$B$804,COUNTIFS('成交明细'!$A$5:$A$804,A296,'成交明细'!$C$5:$C$804,"买"))),"")</f>
        <v/>
      </c>
      <c r="S296" s="42" t="str">
        <f>IF(AND(N(T296)&gt;0,N(V296)&gt;=N(T296)),SUMPRODUCT(MAX(('成交明细'!$A$5:$A$804=A296)*('成交明细'!$C$5:$C$804="卖")*'成交明细'!$B$5:$B$804)),"")</f>
        <v/>
      </c>
      <c r="T296" s="44" t="str">
        <f>IF(A296="","",SUMIFS('成交明细'!$E$5:$E$804,'成交明细'!$A$5:$A$804,A296,'成交明细'!$C$5:$C$804,"买"))</f>
        <v/>
      </c>
      <c r="U296" s="50" t="str">
        <f>IF(N(T296)&gt;0,SUMIFS('成交明细'!$F$5:$F$804,'成交明细'!$A$5:$A$804,A296,'成交明细'!$C$5:$C$804,"买")/T296,"")</f>
        <v/>
      </c>
      <c r="V296" s="44" t="str">
        <f>IF(A296="","",SUMIFS('成交明细'!$E$5:$E$804,'成交明细'!$A$5:$A$804,A296,'成交明细'!$C$5:$C$804,"卖"))</f>
        <v/>
      </c>
      <c r="W296" s="50" t="str">
        <f>IF(N(V296)&gt;0,SUMIFS('成交明细'!$F$5:$F$804,'成交明细'!$A$5:$A$804,A296,'成交明细'!$C$5:$C$804,"卖")/V296,"")</f>
        <v/>
      </c>
      <c r="X296" s="36" t="str">
        <f>IF(A296="","",IF(Q296&lt;&gt;"已执行",IF(Q296="","未填执行情况",Q296),IF(N(T296)=0,"待录成交",IF(N(V296)&gt;N(T296),"卖出多于买入",IF(N(V296)&lt;N(T296),"持仓中","已平仓")))))</f>
        <v/>
      </c>
      <c r="Y296" s="51" t="str">
        <f>IF(N(T296)=0,"",SUMIFS('成交明细'!$K$5:$K$804,'成交明细'!$A$5:$A$804,A296))</f>
        <v/>
      </c>
      <c r="Z296" s="52" t="str">
        <f>IF(X296&lt;&gt;"已平仓","",SUMIFS('成交明细'!$F$5:$F$804,'成交明细'!$A$5:$A$804,A296,'成交明细'!$C$5:$C$804,"卖")-SUMIFS('成交明细'!$F$5:$F$804,'成交明细'!$A$5:$A$804,A296,'成交明细'!$C$5:$C$804,"买")-Y296)</f>
        <v/>
      </c>
      <c r="AA296" s="53" t="str">
        <f>IF(AND(X296="已平仓",ISNUMBER(N296)),(Z296+Y296)/N296,"")</f>
        <v/>
      </c>
      <c r="AB296" s="53" t="str">
        <f>IF(AND(X296="已平仓",ISNUMBER(N296)),Z296/N296,"")</f>
        <v/>
      </c>
      <c r="AC296" s="54" t="str">
        <f>IF(AND(ISNUMBER(U296),ISNUMBER(H296)),U296-H296,"")</f>
        <v/>
      </c>
      <c r="AD296" s="27" t="n"/>
      <c r="AE296" s="27" t="n"/>
      <c r="AF296" s="32" t="n"/>
      <c r="AG296" s="53" t="str">
        <f>IF(A296="","",SUM(AB$5:AB296))</f>
        <v/>
      </c>
      <c r="AH296" s="55" t="str">
        <f>IF(A296="","",MAX(0,MAX(AG$5:AG296))-AG296)</f>
        <v/>
      </c>
    </row>
    <row r="297">
      <c r="A297" s="46" t="n"/>
      <c r="B297" s="31" t="n"/>
      <c r="C297" s="32" t="n"/>
      <c r="D297" s="27" t="n"/>
      <c r="E297" s="47" t="str">
        <f>IF(D297="","",IFERROR(VLOOKUP(D297,'参数'!$B$21:$C$26,2,FALSE),""))</f>
        <v/>
      </c>
      <c r="F297" s="27" t="n"/>
      <c r="G297" s="43" t="str">
        <f>IF(NOT(ISNUMBER(B297)),"",IFERROR(IF(B297-INDEX('每日复盘'!$A$5:$A$264,MATCH(B297-1,'每日复盘'!$A$5:$A$264,1))&gt;7,"",T(INDEX('每日复盘'!$AA$5:$AA$264,MATCH(B297-1,'每日复盘'!$A$5:$A$264,1)))),""))</f>
        <v/>
      </c>
      <c r="H297" s="48" t="n"/>
      <c r="I297" s="48" t="n"/>
      <c r="J297" s="48" t="n"/>
      <c r="K297" s="49" t="str">
        <f>IF(AND(ISNUMBER(H297),ISNUMBER(I297),ISNUMBER(J297)),IF(H297&gt;I297,(J297-H297)/(H297-I297),""),"")</f>
        <v/>
      </c>
      <c r="L297" s="44" t="str">
        <f>IF(AND(ISNUMBER(H297),ISNUMBER(I297)),IF(H297&gt;I297,MIN(INT(ROUND('参数'!$C$7/(H297-I297)/100,6))*100,IF(ISNUMBER(E297),IF(H297-ROUND(ROUND(I297*(1-E297),4),2)&gt;0,INT(ROUND('参数'!$C$8/(H297-ROUND(ROUND(I297*(1-E297),4),2))/100,6))*100,0),INT(ROUND('参数'!$C$7/(H297-I297)/100,6))*100)),""),"")</f>
        <v/>
      </c>
      <c r="M297" s="17" t="n"/>
      <c r="N297" s="20" t="str">
        <f>IF(AND(ISNUMBER(H297),ISNUMBER(I297),ISNUMBER(M297)),IF(AND(H297&gt;I297,M297&gt;0),(H297-I297)*M297,""),"")</f>
        <v/>
      </c>
      <c r="O297" s="20" t="str">
        <f>IF(ISNUMBER(N297),IF(ISNUMBER(E297),(H297-ROUND(ROUND(I297*(1-E297),4),2))*M297,"不设限"),"")</f>
        <v/>
      </c>
      <c r="P297" s="32" t="n"/>
      <c r="Q297" s="27" t="n"/>
      <c r="R297" s="42" t="str">
        <f>IF(N(T297)&gt;0,SUMPRODUCT(LARGE(('成交明细'!$A$5:$A$804=A297)*('成交明细'!$C$5:$C$804="买")*'成交明细'!$B$5:$B$804,COUNTIFS('成交明细'!$A$5:$A$804,A297,'成交明细'!$C$5:$C$804,"买"))),"")</f>
        <v/>
      </c>
      <c r="S297" s="42" t="str">
        <f>IF(AND(N(T297)&gt;0,N(V297)&gt;=N(T297)),SUMPRODUCT(MAX(('成交明细'!$A$5:$A$804=A297)*('成交明细'!$C$5:$C$804="卖")*'成交明细'!$B$5:$B$804)),"")</f>
        <v/>
      </c>
      <c r="T297" s="44" t="str">
        <f>IF(A297="","",SUMIFS('成交明细'!$E$5:$E$804,'成交明细'!$A$5:$A$804,A297,'成交明细'!$C$5:$C$804,"买"))</f>
        <v/>
      </c>
      <c r="U297" s="50" t="str">
        <f>IF(N(T297)&gt;0,SUMIFS('成交明细'!$F$5:$F$804,'成交明细'!$A$5:$A$804,A297,'成交明细'!$C$5:$C$804,"买")/T297,"")</f>
        <v/>
      </c>
      <c r="V297" s="44" t="str">
        <f>IF(A297="","",SUMIFS('成交明细'!$E$5:$E$804,'成交明细'!$A$5:$A$804,A297,'成交明细'!$C$5:$C$804,"卖"))</f>
        <v/>
      </c>
      <c r="W297" s="50" t="str">
        <f>IF(N(V297)&gt;0,SUMIFS('成交明细'!$F$5:$F$804,'成交明细'!$A$5:$A$804,A297,'成交明细'!$C$5:$C$804,"卖")/V297,"")</f>
        <v/>
      </c>
      <c r="X297" s="36" t="str">
        <f>IF(A297="","",IF(Q297&lt;&gt;"已执行",IF(Q297="","未填执行情况",Q297),IF(N(T297)=0,"待录成交",IF(N(V297)&gt;N(T297),"卖出多于买入",IF(N(V297)&lt;N(T297),"持仓中","已平仓")))))</f>
        <v/>
      </c>
      <c r="Y297" s="51" t="str">
        <f>IF(N(T297)=0,"",SUMIFS('成交明细'!$K$5:$K$804,'成交明细'!$A$5:$A$804,A297))</f>
        <v/>
      </c>
      <c r="Z297" s="52" t="str">
        <f>IF(X297&lt;&gt;"已平仓","",SUMIFS('成交明细'!$F$5:$F$804,'成交明细'!$A$5:$A$804,A297,'成交明细'!$C$5:$C$804,"卖")-SUMIFS('成交明细'!$F$5:$F$804,'成交明细'!$A$5:$A$804,A297,'成交明细'!$C$5:$C$804,"买")-Y297)</f>
        <v/>
      </c>
      <c r="AA297" s="53" t="str">
        <f>IF(AND(X297="已平仓",ISNUMBER(N297)),(Z297+Y297)/N297,"")</f>
        <v/>
      </c>
      <c r="AB297" s="53" t="str">
        <f>IF(AND(X297="已平仓",ISNUMBER(N297)),Z297/N297,"")</f>
        <v/>
      </c>
      <c r="AC297" s="54" t="str">
        <f>IF(AND(ISNUMBER(U297),ISNUMBER(H297)),U297-H297,"")</f>
        <v/>
      </c>
      <c r="AD297" s="27" t="n"/>
      <c r="AE297" s="27" t="n"/>
      <c r="AF297" s="32" t="n"/>
      <c r="AG297" s="53" t="str">
        <f>IF(A297="","",SUM(AB$5:AB297))</f>
        <v/>
      </c>
      <c r="AH297" s="55" t="str">
        <f>IF(A297="","",MAX(0,MAX(AG$5:AG297))-AG297)</f>
        <v/>
      </c>
    </row>
    <row r="298">
      <c r="A298" s="46" t="n"/>
      <c r="B298" s="31" t="n"/>
      <c r="C298" s="32" t="n"/>
      <c r="D298" s="27" t="n"/>
      <c r="E298" s="47" t="str">
        <f>IF(D298="","",IFERROR(VLOOKUP(D298,'参数'!$B$21:$C$26,2,FALSE),""))</f>
        <v/>
      </c>
      <c r="F298" s="27" t="n"/>
      <c r="G298" s="43" t="str">
        <f>IF(NOT(ISNUMBER(B298)),"",IFERROR(IF(B298-INDEX('每日复盘'!$A$5:$A$264,MATCH(B298-1,'每日复盘'!$A$5:$A$264,1))&gt;7,"",T(INDEX('每日复盘'!$AA$5:$AA$264,MATCH(B298-1,'每日复盘'!$A$5:$A$264,1)))),""))</f>
        <v/>
      </c>
      <c r="H298" s="48" t="n"/>
      <c r="I298" s="48" t="n"/>
      <c r="J298" s="48" t="n"/>
      <c r="K298" s="49" t="str">
        <f>IF(AND(ISNUMBER(H298),ISNUMBER(I298),ISNUMBER(J298)),IF(H298&gt;I298,(J298-H298)/(H298-I298),""),"")</f>
        <v/>
      </c>
      <c r="L298" s="44" t="str">
        <f>IF(AND(ISNUMBER(H298),ISNUMBER(I298)),IF(H298&gt;I298,MIN(INT(ROUND('参数'!$C$7/(H298-I298)/100,6))*100,IF(ISNUMBER(E298),IF(H298-ROUND(ROUND(I298*(1-E298),4),2)&gt;0,INT(ROUND('参数'!$C$8/(H298-ROUND(ROUND(I298*(1-E298),4),2))/100,6))*100,0),INT(ROUND('参数'!$C$7/(H298-I298)/100,6))*100)),""),"")</f>
        <v/>
      </c>
      <c r="M298" s="17" t="n"/>
      <c r="N298" s="20" t="str">
        <f>IF(AND(ISNUMBER(H298),ISNUMBER(I298),ISNUMBER(M298)),IF(AND(H298&gt;I298,M298&gt;0),(H298-I298)*M298,""),"")</f>
        <v/>
      </c>
      <c r="O298" s="20" t="str">
        <f>IF(ISNUMBER(N298),IF(ISNUMBER(E298),(H298-ROUND(ROUND(I298*(1-E298),4),2))*M298,"不设限"),"")</f>
        <v/>
      </c>
      <c r="P298" s="32" t="n"/>
      <c r="Q298" s="27" t="n"/>
      <c r="R298" s="42" t="str">
        <f>IF(N(T298)&gt;0,SUMPRODUCT(LARGE(('成交明细'!$A$5:$A$804=A298)*('成交明细'!$C$5:$C$804="买")*'成交明细'!$B$5:$B$804,COUNTIFS('成交明细'!$A$5:$A$804,A298,'成交明细'!$C$5:$C$804,"买"))),"")</f>
        <v/>
      </c>
      <c r="S298" s="42" t="str">
        <f>IF(AND(N(T298)&gt;0,N(V298)&gt;=N(T298)),SUMPRODUCT(MAX(('成交明细'!$A$5:$A$804=A298)*('成交明细'!$C$5:$C$804="卖")*'成交明细'!$B$5:$B$804)),"")</f>
        <v/>
      </c>
      <c r="T298" s="44" t="str">
        <f>IF(A298="","",SUMIFS('成交明细'!$E$5:$E$804,'成交明细'!$A$5:$A$804,A298,'成交明细'!$C$5:$C$804,"买"))</f>
        <v/>
      </c>
      <c r="U298" s="50" t="str">
        <f>IF(N(T298)&gt;0,SUMIFS('成交明细'!$F$5:$F$804,'成交明细'!$A$5:$A$804,A298,'成交明细'!$C$5:$C$804,"买")/T298,"")</f>
        <v/>
      </c>
      <c r="V298" s="44" t="str">
        <f>IF(A298="","",SUMIFS('成交明细'!$E$5:$E$804,'成交明细'!$A$5:$A$804,A298,'成交明细'!$C$5:$C$804,"卖"))</f>
        <v/>
      </c>
      <c r="W298" s="50" t="str">
        <f>IF(N(V298)&gt;0,SUMIFS('成交明细'!$F$5:$F$804,'成交明细'!$A$5:$A$804,A298,'成交明细'!$C$5:$C$804,"卖")/V298,"")</f>
        <v/>
      </c>
      <c r="X298" s="36" t="str">
        <f>IF(A298="","",IF(Q298&lt;&gt;"已执行",IF(Q298="","未填执行情况",Q298),IF(N(T298)=0,"待录成交",IF(N(V298)&gt;N(T298),"卖出多于买入",IF(N(V298)&lt;N(T298),"持仓中","已平仓")))))</f>
        <v/>
      </c>
      <c r="Y298" s="51" t="str">
        <f>IF(N(T298)=0,"",SUMIFS('成交明细'!$K$5:$K$804,'成交明细'!$A$5:$A$804,A298))</f>
        <v/>
      </c>
      <c r="Z298" s="52" t="str">
        <f>IF(X298&lt;&gt;"已平仓","",SUMIFS('成交明细'!$F$5:$F$804,'成交明细'!$A$5:$A$804,A298,'成交明细'!$C$5:$C$804,"卖")-SUMIFS('成交明细'!$F$5:$F$804,'成交明细'!$A$5:$A$804,A298,'成交明细'!$C$5:$C$804,"买")-Y298)</f>
        <v/>
      </c>
      <c r="AA298" s="53" t="str">
        <f>IF(AND(X298="已平仓",ISNUMBER(N298)),(Z298+Y298)/N298,"")</f>
        <v/>
      </c>
      <c r="AB298" s="53" t="str">
        <f>IF(AND(X298="已平仓",ISNUMBER(N298)),Z298/N298,"")</f>
        <v/>
      </c>
      <c r="AC298" s="54" t="str">
        <f>IF(AND(ISNUMBER(U298),ISNUMBER(H298)),U298-H298,"")</f>
        <v/>
      </c>
      <c r="AD298" s="27" t="n"/>
      <c r="AE298" s="27" t="n"/>
      <c r="AF298" s="32" t="n"/>
      <c r="AG298" s="53" t="str">
        <f>IF(A298="","",SUM(AB$5:AB298))</f>
        <v/>
      </c>
      <c r="AH298" s="55" t="str">
        <f>IF(A298="","",MAX(0,MAX(AG$5:AG298))-AG298)</f>
        <v/>
      </c>
    </row>
    <row r="299">
      <c r="A299" s="46" t="n"/>
      <c r="B299" s="31" t="n"/>
      <c r="C299" s="32" t="n"/>
      <c r="D299" s="27" t="n"/>
      <c r="E299" s="47" t="str">
        <f>IF(D299="","",IFERROR(VLOOKUP(D299,'参数'!$B$21:$C$26,2,FALSE),""))</f>
        <v/>
      </c>
      <c r="F299" s="27" t="n"/>
      <c r="G299" s="43" t="str">
        <f>IF(NOT(ISNUMBER(B299)),"",IFERROR(IF(B299-INDEX('每日复盘'!$A$5:$A$264,MATCH(B299-1,'每日复盘'!$A$5:$A$264,1))&gt;7,"",T(INDEX('每日复盘'!$AA$5:$AA$264,MATCH(B299-1,'每日复盘'!$A$5:$A$264,1)))),""))</f>
        <v/>
      </c>
      <c r="H299" s="48" t="n"/>
      <c r="I299" s="48" t="n"/>
      <c r="J299" s="48" t="n"/>
      <c r="K299" s="49" t="str">
        <f>IF(AND(ISNUMBER(H299),ISNUMBER(I299),ISNUMBER(J299)),IF(H299&gt;I299,(J299-H299)/(H299-I299),""),"")</f>
        <v/>
      </c>
      <c r="L299" s="44" t="str">
        <f>IF(AND(ISNUMBER(H299),ISNUMBER(I299)),IF(H299&gt;I299,MIN(INT(ROUND('参数'!$C$7/(H299-I299)/100,6))*100,IF(ISNUMBER(E299),IF(H299-ROUND(ROUND(I299*(1-E299),4),2)&gt;0,INT(ROUND('参数'!$C$8/(H299-ROUND(ROUND(I299*(1-E299),4),2))/100,6))*100,0),INT(ROUND('参数'!$C$7/(H299-I299)/100,6))*100)),""),"")</f>
        <v/>
      </c>
      <c r="M299" s="17" t="n"/>
      <c r="N299" s="20" t="str">
        <f>IF(AND(ISNUMBER(H299),ISNUMBER(I299),ISNUMBER(M299)),IF(AND(H299&gt;I299,M299&gt;0),(H299-I299)*M299,""),"")</f>
        <v/>
      </c>
      <c r="O299" s="20" t="str">
        <f>IF(ISNUMBER(N299),IF(ISNUMBER(E299),(H299-ROUND(ROUND(I299*(1-E299),4),2))*M299,"不设限"),"")</f>
        <v/>
      </c>
      <c r="P299" s="32" t="n"/>
      <c r="Q299" s="27" t="n"/>
      <c r="R299" s="42" t="str">
        <f>IF(N(T299)&gt;0,SUMPRODUCT(LARGE(('成交明细'!$A$5:$A$804=A299)*('成交明细'!$C$5:$C$804="买")*'成交明细'!$B$5:$B$804,COUNTIFS('成交明细'!$A$5:$A$804,A299,'成交明细'!$C$5:$C$804,"买"))),"")</f>
        <v/>
      </c>
      <c r="S299" s="42" t="str">
        <f>IF(AND(N(T299)&gt;0,N(V299)&gt;=N(T299)),SUMPRODUCT(MAX(('成交明细'!$A$5:$A$804=A299)*('成交明细'!$C$5:$C$804="卖")*'成交明细'!$B$5:$B$804)),"")</f>
        <v/>
      </c>
      <c r="T299" s="44" t="str">
        <f>IF(A299="","",SUMIFS('成交明细'!$E$5:$E$804,'成交明细'!$A$5:$A$804,A299,'成交明细'!$C$5:$C$804,"买"))</f>
        <v/>
      </c>
      <c r="U299" s="50" t="str">
        <f>IF(N(T299)&gt;0,SUMIFS('成交明细'!$F$5:$F$804,'成交明细'!$A$5:$A$804,A299,'成交明细'!$C$5:$C$804,"买")/T299,"")</f>
        <v/>
      </c>
      <c r="V299" s="44" t="str">
        <f>IF(A299="","",SUMIFS('成交明细'!$E$5:$E$804,'成交明细'!$A$5:$A$804,A299,'成交明细'!$C$5:$C$804,"卖"))</f>
        <v/>
      </c>
      <c r="W299" s="50" t="str">
        <f>IF(N(V299)&gt;0,SUMIFS('成交明细'!$F$5:$F$804,'成交明细'!$A$5:$A$804,A299,'成交明细'!$C$5:$C$804,"卖")/V299,"")</f>
        <v/>
      </c>
      <c r="X299" s="36" t="str">
        <f>IF(A299="","",IF(Q299&lt;&gt;"已执行",IF(Q299="","未填执行情况",Q299),IF(N(T299)=0,"待录成交",IF(N(V299)&gt;N(T299),"卖出多于买入",IF(N(V299)&lt;N(T299),"持仓中","已平仓")))))</f>
        <v/>
      </c>
      <c r="Y299" s="51" t="str">
        <f>IF(N(T299)=0,"",SUMIFS('成交明细'!$K$5:$K$804,'成交明细'!$A$5:$A$804,A299))</f>
        <v/>
      </c>
      <c r="Z299" s="52" t="str">
        <f>IF(X299&lt;&gt;"已平仓","",SUMIFS('成交明细'!$F$5:$F$804,'成交明细'!$A$5:$A$804,A299,'成交明细'!$C$5:$C$804,"卖")-SUMIFS('成交明细'!$F$5:$F$804,'成交明细'!$A$5:$A$804,A299,'成交明细'!$C$5:$C$804,"买")-Y299)</f>
        <v/>
      </c>
      <c r="AA299" s="53" t="str">
        <f>IF(AND(X299="已平仓",ISNUMBER(N299)),(Z299+Y299)/N299,"")</f>
        <v/>
      </c>
      <c r="AB299" s="53" t="str">
        <f>IF(AND(X299="已平仓",ISNUMBER(N299)),Z299/N299,"")</f>
        <v/>
      </c>
      <c r="AC299" s="54" t="str">
        <f>IF(AND(ISNUMBER(U299),ISNUMBER(H299)),U299-H299,"")</f>
        <v/>
      </c>
      <c r="AD299" s="27" t="n"/>
      <c r="AE299" s="27" t="n"/>
      <c r="AF299" s="32" t="n"/>
      <c r="AG299" s="53" t="str">
        <f>IF(A299="","",SUM(AB$5:AB299))</f>
        <v/>
      </c>
      <c r="AH299" s="55" t="str">
        <f>IF(A299="","",MAX(0,MAX(AG$5:AG299))-AG299)</f>
        <v/>
      </c>
    </row>
    <row r="300">
      <c r="A300" s="46" t="n"/>
      <c r="B300" s="31" t="n"/>
      <c r="C300" s="32" t="n"/>
      <c r="D300" s="27" t="n"/>
      <c r="E300" s="47" t="str">
        <f>IF(D300="","",IFERROR(VLOOKUP(D300,'参数'!$B$21:$C$26,2,FALSE),""))</f>
        <v/>
      </c>
      <c r="F300" s="27" t="n"/>
      <c r="G300" s="43" t="str">
        <f>IF(NOT(ISNUMBER(B300)),"",IFERROR(IF(B300-INDEX('每日复盘'!$A$5:$A$264,MATCH(B300-1,'每日复盘'!$A$5:$A$264,1))&gt;7,"",T(INDEX('每日复盘'!$AA$5:$AA$264,MATCH(B300-1,'每日复盘'!$A$5:$A$264,1)))),""))</f>
        <v/>
      </c>
      <c r="H300" s="48" t="n"/>
      <c r="I300" s="48" t="n"/>
      <c r="J300" s="48" t="n"/>
      <c r="K300" s="49" t="str">
        <f>IF(AND(ISNUMBER(H300),ISNUMBER(I300),ISNUMBER(J300)),IF(H300&gt;I300,(J300-H300)/(H300-I300),""),"")</f>
        <v/>
      </c>
      <c r="L300" s="44" t="str">
        <f>IF(AND(ISNUMBER(H300),ISNUMBER(I300)),IF(H300&gt;I300,MIN(INT(ROUND('参数'!$C$7/(H300-I300)/100,6))*100,IF(ISNUMBER(E300),IF(H300-ROUND(ROUND(I300*(1-E300),4),2)&gt;0,INT(ROUND('参数'!$C$8/(H300-ROUND(ROUND(I300*(1-E300),4),2))/100,6))*100,0),INT(ROUND('参数'!$C$7/(H300-I300)/100,6))*100)),""),"")</f>
        <v/>
      </c>
      <c r="M300" s="17" t="n"/>
      <c r="N300" s="20" t="str">
        <f>IF(AND(ISNUMBER(H300),ISNUMBER(I300),ISNUMBER(M300)),IF(AND(H300&gt;I300,M300&gt;0),(H300-I300)*M300,""),"")</f>
        <v/>
      </c>
      <c r="O300" s="20" t="str">
        <f>IF(ISNUMBER(N300),IF(ISNUMBER(E300),(H300-ROUND(ROUND(I300*(1-E300),4),2))*M300,"不设限"),"")</f>
        <v/>
      </c>
      <c r="P300" s="32" t="n"/>
      <c r="Q300" s="27" t="n"/>
      <c r="R300" s="42" t="str">
        <f>IF(N(T300)&gt;0,SUMPRODUCT(LARGE(('成交明细'!$A$5:$A$804=A300)*('成交明细'!$C$5:$C$804="买")*'成交明细'!$B$5:$B$804,COUNTIFS('成交明细'!$A$5:$A$804,A300,'成交明细'!$C$5:$C$804,"买"))),"")</f>
        <v/>
      </c>
      <c r="S300" s="42" t="str">
        <f>IF(AND(N(T300)&gt;0,N(V300)&gt;=N(T300)),SUMPRODUCT(MAX(('成交明细'!$A$5:$A$804=A300)*('成交明细'!$C$5:$C$804="卖")*'成交明细'!$B$5:$B$804)),"")</f>
        <v/>
      </c>
      <c r="T300" s="44" t="str">
        <f>IF(A300="","",SUMIFS('成交明细'!$E$5:$E$804,'成交明细'!$A$5:$A$804,A300,'成交明细'!$C$5:$C$804,"买"))</f>
        <v/>
      </c>
      <c r="U300" s="50" t="str">
        <f>IF(N(T300)&gt;0,SUMIFS('成交明细'!$F$5:$F$804,'成交明细'!$A$5:$A$804,A300,'成交明细'!$C$5:$C$804,"买")/T300,"")</f>
        <v/>
      </c>
      <c r="V300" s="44" t="str">
        <f>IF(A300="","",SUMIFS('成交明细'!$E$5:$E$804,'成交明细'!$A$5:$A$804,A300,'成交明细'!$C$5:$C$804,"卖"))</f>
        <v/>
      </c>
      <c r="W300" s="50" t="str">
        <f>IF(N(V300)&gt;0,SUMIFS('成交明细'!$F$5:$F$804,'成交明细'!$A$5:$A$804,A300,'成交明细'!$C$5:$C$804,"卖")/V300,"")</f>
        <v/>
      </c>
      <c r="X300" s="36" t="str">
        <f>IF(A300="","",IF(Q300&lt;&gt;"已执行",IF(Q300="","未填执行情况",Q300),IF(N(T300)=0,"待录成交",IF(N(V300)&gt;N(T300),"卖出多于买入",IF(N(V300)&lt;N(T300),"持仓中","已平仓")))))</f>
        <v/>
      </c>
      <c r="Y300" s="51" t="str">
        <f>IF(N(T300)=0,"",SUMIFS('成交明细'!$K$5:$K$804,'成交明细'!$A$5:$A$804,A300))</f>
        <v/>
      </c>
      <c r="Z300" s="52" t="str">
        <f>IF(X300&lt;&gt;"已平仓","",SUMIFS('成交明细'!$F$5:$F$804,'成交明细'!$A$5:$A$804,A300,'成交明细'!$C$5:$C$804,"卖")-SUMIFS('成交明细'!$F$5:$F$804,'成交明细'!$A$5:$A$804,A300,'成交明细'!$C$5:$C$804,"买")-Y300)</f>
        <v/>
      </c>
      <c r="AA300" s="53" t="str">
        <f>IF(AND(X300="已平仓",ISNUMBER(N300)),(Z300+Y300)/N300,"")</f>
        <v/>
      </c>
      <c r="AB300" s="53" t="str">
        <f>IF(AND(X300="已平仓",ISNUMBER(N300)),Z300/N300,"")</f>
        <v/>
      </c>
      <c r="AC300" s="54" t="str">
        <f>IF(AND(ISNUMBER(U300),ISNUMBER(H300)),U300-H300,"")</f>
        <v/>
      </c>
      <c r="AD300" s="27" t="n"/>
      <c r="AE300" s="27" t="n"/>
      <c r="AF300" s="32" t="n"/>
      <c r="AG300" s="53" t="str">
        <f>IF(A300="","",SUM(AB$5:AB300))</f>
        <v/>
      </c>
      <c r="AH300" s="55" t="str">
        <f>IF(A300="","",MAX(0,MAX(AG$5:AG300))-AG300)</f>
        <v/>
      </c>
    </row>
    <row r="301">
      <c r="A301" s="46" t="n"/>
      <c r="B301" s="31" t="n"/>
      <c r="C301" s="32" t="n"/>
      <c r="D301" s="27" t="n"/>
      <c r="E301" s="47" t="str">
        <f>IF(D301="","",IFERROR(VLOOKUP(D301,'参数'!$B$21:$C$26,2,FALSE),""))</f>
        <v/>
      </c>
      <c r="F301" s="27" t="n"/>
      <c r="G301" s="43" t="str">
        <f>IF(NOT(ISNUMBER(B301)),"",IFERROR(IF(B301-INDEX('每日复盘'!$A$5:$A$264,MATCH(B301-1,'每日复盘'!$A$5:$A$264,1))&gt;7,"",T(INDEX('每日复盘'!$AA$5:$AA$264,MATCH(B301-1,'每日复盘'!$A$5:$A$264,1)))),""))</f>
        <v/>
      </c>
      <c r="H301" s="48" t="n"/>
      <c r="I301" s="48" t="n"/>
      <c r="J301" s="48" t="n"/>
      <c r="K301" s="49" t="str">
        <f>IF(AND(ISNUMBER(H301),ISNUMBER(I301),ISNUMBER(J301)),IF(H301&gt;I301,(J301-H301)/(H301-I301),""),"")</f>
        <v/>
      </c>
      <c r="L301" s="44" t="str">
        <f>IF(AND(ISNUMBER(H301),ISNUMBER(I301)),IF(H301&gt;I301,MIN(INT(ROUND('参数'!$C$7/(H301-I301)/100,6))*100,IF(ISNUMBER(E301),IF(H301-ROUND(ROUND(I301*(1-E301),4),2)&gt;0,INT(ROUND('参数'!$C$8/(H301-ROUND(ROUND(I301*(1-E301),4),2))/100,6))*100,0),INT(ROUND('参数'!$C$7/(H301-I301)/100,6))*100)),""),"")</f>
        <v/>
      </c>
      <c r="M301" s="17" t="n"/>
      <c r="N301" s="20" t="str">
        <f>IF(AND(ISNUMBER(H301),ISNUMBER(I301),ISNUMBER(M301)),IF(AND(H301&gt;I301,M301&gt;0),(H301-I301)*M301,""),"")</f>
        <v/>
      </c>
      <c r="O301" s="20" t="str">
        <f>IF(ISNUMBER(N301),IF(ISNUMBER(E301),(H301-ROUND(ROUND(I301*(1-E301),4),2))*M301,"不设限"),"")</f>
        <v/>
      </c>
      <c r="P301" s="32" t="n"/>
      <c r="Q301" s="27" t="n"/>
      <c r="R301" s="42" t="str">
        <f>IF(N(T301)&gt;0,SUMPRODUCT(LARGE(('成交明细'!$A$5:$A$804=A301)*('成交明细'!$C$5:$C$804="买")*'成交明细'!$B$5:$B$804,COUNTIFS('成交明细'!$A$5:$A$804,A301,'成交明细'!$C$5:$C$804,"买"))),"")</f>
        <v/>
      </c>
      <c r="S301" s="42" t="str">
        <f>IF(AND(N(T301)&gt;0,N(V301)&gt;=N(T301)),SUMPRODUCT(MAX(('成交明细'!$A$5:$A$804=A301)*('成交明细'!$C$5:$C$804="卖")*'成交明细'!$B$5:$B$804)),"")</f>
        <v/>
      </c>
      <c r="T301" s="44" t="str">
        <f>IF(A301="","",SUMIFS('成交明细'!$E$5:$E$804,'成交明细'!$A$5:$A$804,A301,'成交明细'!$C$5:$C$804,"买"))</f>
        <v/>
      </c>
      <c r="U301" s="50" t="str">
        <f>IF(N(T301)&gt;0,SUMIFS('成交明细'!$F$5:$F$804,'成交明细'!$A$5:$A$804,A301,'成交明细'!$C$5:$C$804,"买")/T301,"")</f>
        <v/>
      </c>
      <c r="V301" s="44" t="str">
        <f>IF(A301="","",SUMIFS('成交明细'!$E$5:$E$804,'成交明细'!$A$5:$A$804,A301,'成交明细'!$C$5:$C$804,"卖"))</f>
        <v/>
      </c>
      <c r="W301" s="50" t="str">
        <f>IF(N(V301)&gt;0,SUMIFS('成交明细'!$F$5:$F$804,'成交明细'!$A$5:$A$804,A301,'成交明细'!$C$5:$C$804,"卖")/V301,"")</f>
        <v/>
      </c>
      <c r="X301" s="36" t="str">
        <f>IF(A301="","",IF(Q301&lt;&gt;"已执行",IF(Q301="","未填执行情况",Q301),IF(N(T301)=0,"待录成交",IF(N(V301)&gt;N(T301),"卖出多于买入",IF(N(V301)&lt;N(T301),"持仓中","已平仓")))))</f>
        <v/>
      </c>
      <c r="Y301" s="51" t="str">
        <f>IF(N(T301)=0,"",SUMIFS('成交明细'!$K$5:$K$804,'成交明细'!$A$5:$A$804,A301))</f>
        <v/>
      </c>
      <c r="Z301" s="52" t="str">
        <f>IF(X301&lt;&gt;"已平仓","",SUMIFS('成交明细'!$F$5:$F$804,'成交明细'!$A$5:$A$804,A301,'成交明细'!$C$5:$C$804,"卖")-SUMIFS('成交明细'!$F$5:$F$804,'成交明细'!$A$5:$A$804,A301,'成交明细'!$C$5:$C$804,"买")-Y301)</f>
        <v/>
      </c>
      <c r="AA301" s="53" t="str">
        <f>IF(AND(X301="已平仓",ISNUMBER(N301)),(Z301+Y301)/N301,"")</f>
        <v/>
      </c>
      <c r="AB301" s="53" t="str">
        <f>IF(AND(X301="已平仓",ISNUMBER(N301)),Z301/N301,"")</f>
        <v/>
      </c>
      <c r="AC301" s="54" t="str">
        <f>IF(AND(ISNUMBER(U301),ISNUMBER(H301)),U301-H301,"")</f>
        <v/>
      </c>
      <c r="AD301" s="27" t="n"/>
      <c r="AE301" s="27" t="n"/>
      <c r="AF301" s="32" t="n"/>
      <c r="AG301" s="53" t="str">
        <f>IF(A301="","",SUM(AB$5:AB301))</f>
        <v/>
      </c>
      <c r="AH301" s="55" t="str">
        <f>IF(A301="","",MAX(0,MAX(AG$5:AG301))-AG301)</f>
        <v/>
      </c>
    </row>
    <row r="302">
      <c r="A302" s="46" t="n"/>
      <c r="B302" s="31" t="n"/>
      <c r="C302" s="32" t="n"/>
      <c r="D302" s="27" t="n"/>
      <c r="E302" s="47" t="str">
        <f>IF(D302="","",IFERROR(VLOOKUP(D302,'参数'!$B$21:$C$26,2,FALSE),""))</f>
        <v/>
      </c>
      <c r="F302" s="27" t="n"/>
      <c r="G302" s="43" t="str">
        <f>IF(NOT(ISNUMBER(B302)),"",IFERROR(IF(B302-INDEX('每日复盘'!$A$5:$A$264,MATCH(B302-1,'每日复盘'!$A$5:$A$264,1))&gt;7,"",T(INDEX('每日复盘'!$AA$5:$AA$264,MATCH(B302-1,'每日复盘'!$A$5:$A$264,1)))),""))</f>
        <v/>
      </c>
      <c r="H302" s="48" t="n"/>
      <c r="I302" s="48" t="n"/>
      <c r="J302" s="48" t="n"/>
      <c r="K302" s="49" t="str">
        <f>IF(AND(ISNUMBER(H302),ISNUMBER(I302),ISNUMBER(J302)),IF(H302&gt;I302,(J302-H302)/(H302-I302),""),"")</f>
        <v/>
      </c>
      <c r="L302" s="44" t="str">
        <f>IF(AND(ISNUMBER(H302),ISNUMBER(I302)),IF(H302&gt;I302,MIN(INT(ROUND('参数'!$C$7/(H302-I302)/100,6))*100,IF(ISNUMBER(E302),IF(H302-ROUND(ROUND(I302*(1-E302),4),2)&gt;0,INT(ROUND('参数'!$C$8/(H302-ROUND(ROUND(I302*(1-E302),4),2))/100,6))*100,0),INT(ROUND('参数'!$C$7/(H302-I302)/100,6))*100)),""),"")</f>
        <v/>
      </c>
      <c r="M302" s="17" t="n"/>
      <c r="N302" s="20" t="str">
        <f>IF(AND(ISNUMBER(H302),ISNUMBER(I302),ISNUMBER(M302)),IF(AND(H302&gt;I302,M302&gt;0),(H302-I302)*M302,""),"")</f>
        <v/>
      </c>
      <c r="O302" s="20" t="str">
        <f>IF(ISNUMBER(N302),IF(ISNUMBER(E302),(H302-ROUND(ROUND(I302*(1-E302),4),2))*M302,"不设限"),"")</f>
        <v/>
      </c>
      <c r="P302" s="32" t="n"/>
      <c r="Q302" s="27" t="n"/>
      <c r="R302" s="42" t="str">
        <f>IF(N(T302)&gt;0,SUMPRODUCT(LARGE(('成交明细'!$A$5:$A$804=A302)*('成交明细'!$C$5:$C$804="买")*'成交明细'!$B$5:$B$804,COUNTIFS('成交明细'!$A$5:$A$804,A302,'成交明细'!$C$5:$C$804,"买"))),"")</f>
        <v/>
      </c>
      <c r="S302" s="42" t="str">
        <f>IF(AND(N(T302)&gt;0,N(V302)&gt;=N(T302)),SUMPRODUCT(MAX(('成交明细'!$A$5:$A$804=A302)*('成交明细'!$C$5:$C$804="卖")*'成交明细'!$B$5:$B$804)),"")</f>
        <v/>
      </c>
      <c r="T302" s="44" t="str">
        <f>IF(A302="","",SUMIFS('成交明细'!$E$5:$E$804,'成交明细'!$A$5:$A$804,A302,'成交明细'!$C$5:$C$804,"买"))</f>
        <v/>
      </c>
      <c r="U302" s="50" t="str">
        <f>IF(N(T302)&gt;0,SUMIFS('成交明细'!$F$5:$F$804,'成交明细'!$A$5:$A$804,A302,'成交明细'!$C$5:$C$804,"买")/T302,"")</f>
        <v/>
      </c>
      <c r="V302" s="44" t="str">
        <f>IF(A302="","",SUMIFS('成交明细'!$E$5:$E$804,'成交明细'!$A$5:$A$804,A302,'成交明细'!$C$5:$C$804,"卖"))</f>
        <v/>
      </c>
      <c r="W302" s="50" t="str">
        <f>IF(N(V302)&gt;0,SUMIFS('成交明细'!$F$5:$F$804,'成交明细'!$A$5:$A$804,A302,'成交明细'!$C$5:$C$804,"卖")/V302,"")</f>
        <v/>
      </c>
      <c r="X302" s="36" t="str">
        <f>IF(A302="","",IF(Q302&lt;&gt;"已执行",IF(Q302="","未填执行情况",Q302),IF(N(T302)=0,"待录成交",IF(N(V302)&gt;N(T302),"卖出多于买入",IF(N(V302)&lt;N(T302),"持仓中","已平仓")))))</f>
        <v/>
      </c>
      <c r="Y302" s="51" t="str">
        <f>IF(N(T302)=0,"",SUMIFS('成交明细'!$K$5:$K$804,'成交明细'!$A$5:$A$804,A302))</f>
        <v/>
      </c>
      <c r="Z302" s="52" t="str">
        <f>IF(X302&lt;&gt;"已平仓","",SUMIFS('成交明细'!$F$5:$F$804,'成交明细'!$A$5:$A$804,A302,'成交明细'!$C$5:$C$804,"卖")-SUMIFS('成交明细'!$F$5:$F$804,'成交明细'!$A$5:$A$804,A302,'成交明细'!$C$5:$C$804,"买")-Y302)</f>
        <v/>
      </c>
      <c r="AA302" s="53" t="str">
        <f>IF(AND(X302="已平仓",ISNUMBER(N302)),(Z302+Y302)/N302,"")</f>
        <v/>
      </c>
      <c r="AB302" s="53" t="str">
        <f>IF(AND(X302="已平仓",ISNUMBER(N302)),Z302/N302,"")</f>
        <v/>
      </c>
      <c r="AC302" s="54" t="str">
        <f>IF(AND(ISNUMBER(U302),ISNUMBER(H302)),U302-H302,"")</f>
        <v/>
      </c>
      <c r="AD302" s="27" t="n"/>
      <c r="AE302" s="27" t="n"/>
      <c r="AF302" s="32" t="n"/>
      <c r="AG302" s="53" t="str">
        <f>IF(A302="","",SUM(AB$5:AB302))</f>
        <v/>
      </c>
      <c r="AH302" s="55" t="str">
        <f>IF(A302="","",MAX(0,MAX(AG$5:AG302))-AG302)</f>
        <v/>
      </c>
    </row>
    <row r="303">
      <c r="A303" s="46" t="n"/>
      <c r="B303" s="31" t="n"/>
      <c r="C303" s="32" t="n"/>
      <c r="D303" s="27" t="n"/>
      <c r="E303" s="47" t="str">
        <f>IF(D303="","",IFERROR(VLOOKUP(D303,'参数'!$B$21:$C$26,2,FALSE),""))</f>
        <v/>
      </c>
      <c r="F303" s="27" t="n"/>
      <c r="G303" s="43" t="str">
        <f>IF(NOT(ISNUMBER(B303)),"",IFERROR(IF(B303-INDEX('每日复盘'!$A$5:$A$264,MATCH(B303-1,'每日复盘'!$A$5:$A$264,1))&gt;7,"",T(INDEX('每日复盘'!$AA$5:$AA$264,MATCH(B303-1,'每日复盘'!$A$5:$A$264,1)))),""))</f>
        <v/>
      </c>
      <c r="H303" s="48" t="n"/>
      <c r="I303" s="48" t="n"/>
      <c r="J303" s="48" t="n"/>
      <c r="K303" s="49" t="str">
        <f>IF(AND(ISNUMBER(H303),ISNUMBER(I303),ISNUMBER(J303)),IF(H303&gt;I303,(J303-H303)/(H303-I303),""),"")</f>
        <v/>
      </c>
      <c r="L303" s="44" t="str">
        <f>IF(AND(ISNUMBER(H303),ISNUMBER(I303)),IF(H303&gt;I303,MIN(INT(ROUND('参数'!$C$7/(H303-I303)/100,6))*100,IF(ISNUMBER(E303),IF(H303-ROUND(ROUND(I303*(1-E303),4),2)&gt;0,INT(ROUND('参数'!$C$8/(H303-ROUND(ROUND(I303*(1-E303),4),2))/100,6))*100,0),INT(ROUND('参数'!$C$7/(H303-I303)/100,6))*100)),""),"")</f>
        <v/>
      </c>
      <c r="M303" s="17" t="n"/>
      <c r="N303" s="20" t="str">
        <f>IF(AND(ISNUMBER(H303),ISNUMBER(I303),ISNUMBER(M303)),IF(AND(H303&gt;I303,M303&gt;0),(H303-I303)*M303,""),"")</f>
        <v/>
      </c>
      <c r="O303" s="20" t="str">
        <f>IF(ISNUMBER(N303),IF(ISNUMBER(E303),(H303-ROUND(ROUND(I303*(1-E303),4),2))*M303,"不设限"),"")</f>
        <v/>
      </c>
      <c r="P303" s="32" t="n"/>
      <c r="Q303" s="27" t="n"/>
      <c r="R303" s="42" t="str">
        <f>IF(N(T303)&gt;0,SUMPRODUCT(LARGE(('成交明细'!$A$5:$A$804=A303)*('成交明细'!$C$5:$C$804="买")*'成交明细'!$B$5:$B$804,COUNTIFS('成交明细'!$A$5:$A$804,A303,'成交明细'!$C$5:$C$804,"买"))),"")</f>
        <v/>
      </c>
      <c r="S303" s="42" t="str">
        <f>IF(AND(N(T303)&gt;0,N(V303)&gt;=N(T303)),SUMPRODUCT(MAX(('成交明细'!$A$5:$A$804=A303)*('成交明细'!$C$5:$C$804="卖")*'成交明细'!$B$5:$B$804)),"")</f>
        <v/>
      </c>
      <c r="T303" s="44" t="str">
        <f>IF(A303="","",SUMIFS('成交明细'!$E$5:$E$804,'成交明细'!$A$5:$A$804,A303,'成交明细'!$C$5:$C$804,"买"))</f>
        <v/>
      </c>
      <c r="U303" s="50" t="str">
        <f>IF(N(T303)&gt;0,SUMIFS('成交明细'!$F$5:$F$804,'成交明细'!$A$5:$A$804,A303,'成交明细'!$C$5:$C$804,"买")/T303,"")</f>
        <v/>
      </c>
      <c r="V303" s="44" t="str">
        <f>IF(A303="","",SUMIFS('成交明细'!$E$5:$E$804,'成交明细'!$A$5:$A$804,A303,'成交明细'!$C$5:$C$804,"卖"))</f>
        <v/>
      </c>
      <c r="W303" s="50" t="str">
        <f>IF(N(V303)&gt;0,SUMIFS('成交明细'!$F$5:$F$804,'成交明细'!$A$5:$A$804,A303,'成交明细'!$C$5:$C$804,"卖")/V303,"")</f>
        <v/>
      </c>
      <c r="X303" s="36" t="str">
        <f>IF(A303="","",IF(Q303&lt;&gt;"已执行",IF(Q303="","未填执行情况",Q303),IF(N(T303)=0,"待录成交",IF(N(V303)&gt;N(T303),"卖出多于买入",IF(N(V303)&lt;N(T303),"持仓中","已平仓")))))</f>
        <v/>
      </c>
      <c r="Y303" s="51" t="str">
        <f>IF(N(T303)=0,"",SUMIFS('成交明细'!$K$5:$K$804,'成交明细'!$A$5:$A$804,A303))</f>
        <v/>
      </c>
      <c r="Z303" s="52" t="str">
        <f>IF(X303&lt;&gt;"已平仓","",SUMIFS('成交明细'!$F$5:$F$804,'成交明细'!$A$5:$A$804,A303,'成交明细'!$C$5:$C$804,"卖")-SUMIFS('成交明细'!$F$5:$F$804,'成交明细'!$A$5:$A$804,A303,'成交明细'!$C$5:$C$804,"买")-Y303)</f>
        <v/>
      </c>
      <c r="AA303" s="53" t="str">
        <f>IF(AND(X303="已平仓",ISNUMBER(N303)),(Z303+Y303)/N303,"")</f>
        <v/>
      </c>
      <c r="AB303" s="53" t="str">
        <f>IF(AND(X303="已平仓",ISNUMBER(N303)),Z303/N303,"")</f>
        <v/>
      </c>
      <c r="AC303" s="54" t="str">
        <f>IF(AND(ISNUMBER(U303),ISNUMBER(H303)),U303-H303,"")</f>
        <v/>
      </c>
      <c r="AD303" s="27" t="n"/>
      <c r="AE303" s="27" t="n"/>
      <c r="AF303" s="32" t="n"/>
      <c r="AG303" s="53" t="str">
        <f>IF(A303="","",SUM(AB$5:AB303))</f>
        <v/>
      </c>
      <c r="AH303" s="55" t="str">
        <f>IF(A303="","",MAX(0,MAX(AG$5:AG303))-AG303)</f>
        <v/>
      </c>
    </row>
    <row r="304">
      <c r="A304" s="46" t="n"/>
      <c r="B304" s="31" t="n"/>
      <c r="C304" s="32" t="n"/>
      <c r="D304" s="27" t="n"/>
      <c r="E304" s="47" t="str">
        <f>IF(D304="","",IFERROR(VLOOKUP(D304,'参数'!$B$21:$C$26,2,FALSE),""))</f>
        <v/>
      </c>
      <c r="F304" s="27" t="n"/>
      <c r="G304" s="43" t="str">
        <f>IF(NOT(ISNUMBER(B304)),"",IFERROR(IF(B304-INDEX('每日复盘'!$A$5:$A$264,MATCH(B304-1,'每日复盘'!$A$5:$A$264,1))&gt;7,"",T(INDEX('每日复盘'!$AA$5:$AA$264,MATCH(B304-1,'每日复盘'!$A$5:$A$264,1)))),""))</f>
        <v/>
      </c>
      <c r="H304" s="48" t="n"/>
      <c r="I304" s="48" t="n"/>
      <c r="J304" s="48" t="n"/>
      <c r="K304" s="49" t="str">
        <f>IF(AND(ISNUMBER(H304),ISNUMBER(I304),ISNUMBER(J304)),IF(H304&gt;I304,(J304-H304)/(H304-I304),""),"")</f>
        <v/>
      </c>
      <c r="L304" s="44" t="str">
        <f>IF(AND(ISNUMBER(H304),ISNUMBER(I304)),IF(H304&gt;I304,MIN(INT(ROUND('参数'!$C$7/(H304-I304)/100,6))*100,IF(ISNUMBER(E304),IF(H304-ROUND(ROUND(I304*(1-E304),4),2)&gt;0,INT(ROUND('参数'!$C$8/(H304-ROUND(ROUND(I304*(1-E304),4),2))/100,6))*100,0),INT(ROUND('参数'!$C$7/(H304-I304)/100,6))*100)),""),"")</f>
        <v/>
      </c>
      <c r="M304" s="17" t="n"/>
      <c r="N304" s="20" t="str">
        <f>IF(AND(ISNUMBER(H304),ISNUMBER(I304),ISNUMBER(M304)),IF(AND(H304&gt;I304,M304&gt;0),(H304-I304)*M304,""),"")</f>
        <v/>
      </c>
      <c r="O304" s="20" t="str">
        <f>IF(ISNUMBER(N304),IF(ISNUMBER(E304),(H304-ROUND(ROUND(I304*(1-E304),4),2))*M304,"不设限"),"")</f>
        <v/>
      </c>
      <c r="P304" s="32" t="n"/>
      <c r="Q304" s="27" t="n"/>
      <c r="R304" s="42" t="str">
        <f>IF(N(T304)&gt;0,SUMPRODUCT(LARGE(('成交明细'!$A$5:$A$804=A304)*('成交明细'!$C$5:$C$804="买")*'成交明细'!$B$5:$B$804,COUNTIFS('成交明细'!$A$5:$A$804,A304,'成交明细'!$C$5:$C$804,"买"))),"")</f>
        <v/>
      </c>
      <c r="S304" s="42" t="str">
        <f>IF(AND(N(T304)&gt;0,N(V304)&gt;=N(T304)),SUMPRODUCT(MAX(('成交明细'!$A$5:$A$804=A304)*('成交明细'!$C$5:$C$804="卖")*'成交明细'!$B$5:$B$804)),"")</f>
        <v/>
      </c>
      <c r="T304" s="44" t="str">
        <f>IF(A304="","",SUMIFS('成交明细'!$E$5:$E$804,'成交明细'!$A$5:$A$804,A304,'成交明细'!$C$5:$C$804,"买"))</f>
        <v/>
      </c>
      <c r="U304" s="50" t="str">
        <f>IF(N(T304)&gt;0,SUMIFS('成交明细'!$F$5:$F$804,'成交明细'!$A$5:$A$804,A304,'成交明细'!$C$5:$C$804,"买")/T304,"")</f>
        <v/>
      </c>
      <c r="V304" s="44" t="str">
        <f>IF(A304="","",SUMIFS('成交明细'!$E$5:$E$804,'成交明细'!$A$5:$A$804,A304,'成交明细'!$C$5:$C$804,"卖"))</f>
        <v/>
      </c>
      <c r="W304" s="50" t="str">
        <f>IF(N(V304)&gt;0,SUMIFS('成交明细'!$F$5:$F$804,'成交明细'!$A$5:$A$804,A304,'成交明细'!$C$5:$C$804,"卖")/V304,"")</f>
        <v/>
      </c>
      <c r="X304" s="36" t="str">
        <f>IF(A304="","",IF(Q304&lt;&gt;"已执行",IF(Q304="","未填执行情况",Q304),IF(N(T304)=0,"待录成交",IF(N(V304)&gt;N(T304),"卖出多于买入",IF(N(V304)&lt;N(T304),"持仓中","已平仓")))))</f>
        <v/>
      </c>
      <c r="Y304" s="51" t="str">
        <f>IF(N(T304)=0,"",SUMIFS('成交明细'!$K$5:$K$804,'成交明细'!$A$5:$A$804,A304))</f>
        <v/>
      </c>
      <c r="Z304" s="52" t="str">
        <f>IF(X304&lt;&gt;"已平仓","",SUMIFS('成交明细'!$F$5:$F$804,'成交明细'!$A$5:$A$804,A304,'成交明细'!$C$5:$C$804,"卖")-SUMIFS('成交明细'!$F$5:$F$804,'成交明细'!$A$5:$A$804,A304,'成交明细'!$C$5:$C$804,"买")-Y304)</f>
        <v/>
      </c>
      <c r="AA304" s="53" t="str">
        <f>IF(AND(X304="已平仓",ISNUMBER(N304)),(Z304+Y304)/N304,"")</f>
        <v/>
      </c>
      <c r="AB304" s="53" t="str">
        <f>IF(AND(X304="已平仓",ISNUMBER(N304)),Z304/N304,"")</f>
        <v/>
      </c>
      <c r="AC304" s="54" t="str">
        <f>IF(AND(ISNUMBER(U304),ISNUMBER(H304)),U304-H304,"")</f>
        <v/>
      </c>
      <c r="AD304" s="27" t="n"/>
      <c r="AE304" s="27" t="n"/>
      <c r="AF304" s="32" t="n"/>
      <c r="AG304" s="53" t="str">
        <f>IF(A304="","",SUM(AB$5:AB304))</f>
        <v/>
      </c>
      <c r="AH304" s="55" t="str">
        <f>IF(A304="","",MAX(0,MAX(AG$5:AG304))-AG304)</f>
        <v/>
      </c>
    </row>
  </sheetData>
  <mergeCells count="9">
    <mergeCell ref="AF1:AH1"/>
    <mergeCell ref="AG3:AH3"/>
    <mergeCell ref="Q3:X3"/>
    <mergeCell ref="Y3:AC3"/>
    <mergeCell ref="A2:AH2"/>
    <mergeCell ref="A3:G3"/>
    <mergeCell ref="A1:AE1"/>
    <mergeCell ref="AD3:AF3"/>
    <mergeCell ref="H3:P3"/>
  </mergeCells>
  <conditionalFormatting sqref="Z5:Z30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AA5:AA304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AB5:AB304">
    <cfRule type="cellIs" priority="5" operator="greaterThan" dxfId="0">
      <formula>0</formula>
    </cfRule>
    <cfRule type="cellIs" priority="6" operator="lessThan" dxfId="1">
      <formula>0</formula>
    </cfRule>
  </conditionalFormatting>
  <conditionalFormatting sqref="AG5:AG304">
    <cfRule type="cellIs" priority="7" operator="greaterThan" dxfId="0">
      <formula>0</formula>
    </cfRule>
    <cfRule type="cellIs" priority="8" operator="lessThan" dxfId="1">
      <formula>0</formula>
    </cfRule>
  </conditionalFormatting>
  <conditionalFormatting sqref="X5:X304">
    <cfRule type="cellIs" priority="9" operator="equal" dxfId="6">
      <formula>"持仓中"</formula>
    </cfRule>
    <cfRule type="expression" priority="10" dxfId="7">
      <formula>OR($X5="待录成交",$X5="卖出多于买入",$X5="未填执行情况")</formula>
    </cfRule>
  </conditionalFormatting>
  <conditionalFormatting sqref="L5:L304">
    <cfRule type="cellIs" priority="11" operator="equal" dxfId="7">
      <formula>0</formula>
    </cfRule>
  </conditionalFormatting>
  <conditionalFormatting sqref="M5:M304">
    <cfRule type="expression" priority="12" dxfId="4">
      <formula>AND(ISNUMBER($M5),ISNUMBER($L5),$M5&gt;$L5)</formula>
    </cfRule>
  </conditionalFormatting>
  <conditionalFormatting sqref="AD5:AE304">
    <cfRule type="expression" priority="13" dxfId="8">
      <formula>AND(OR($AD5="C",$AD5="D"),N($AB5)&gt;0)</formula>
    </cfRule>
  </conditionalFormatting>
  <conditionalFormatting sqref="AC5:AC304">
    <cfRule type="expression" priority="14" dxfId="4">
      <formula>AND(ISNUMBER($AC5),$AC5&gt;$H5*0.01)</formula>
    </cfRule>
  </conditionalFormatting>
  <dataValidations count="8">
    <dataValidation sqref="A5:A304" showDropDown="0" showInputMessage="1" showErrorMessage="1" allowBlank="1" errorTitle="格式不对" error="编号请用数字（1、2、3…），成交明细里填同一个数字。" promptTitle="怎么填" prompt="用数字编号，成交明细里填同一个数字。" type="whole" errorStyle="stop" operator="greaterThanOrEqual">
      <formula1>1</formula1>
    </dataValidation>
    <dataValidation sqref="B5:B30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D5:D304" showDropDown="0" showInputMessage="1" showErrorMessage="1" allowBlank="1" errorTitle="不在选项里" error="请从下拉里选；要加新选项，先去参数页的下拉选项里加。" promptTitle="怎么填" prompt="板块不同，涨跌幅限制不同，次日跌停情景按它算。" type="list" errorStyle="stop">
      <formula1>'参数'!$B$21:$B$26</formula1>
    </dataValidation>
    <dataValidation sqref="F5:F304" showDropDown="0" showInputMessage="0" showErrorMessage="1" allowBlank="1" errorTitle="不在选项里" error="请从下拉里选；要加新选项，先去参数页的下拉选项里加。" type="list" errorStyle="warning">
      <formula1>'参数'!$B$43:$B$54</formula1>
    </dataValidation>
    <dataValidation sqref="M5:M304" showDropDown="0" showInputMessage="1" showErrorMessage="1" allowBlank="1" errorTitle="格式不对" error="A股按手买，计划股数请填 100 的整数倍。" promptTitle="怎么填" prompt="按手填：100 的整数倍。可以比建议股数少，不要比它多。" type="custom" errorStyle="stop">
      <formula1>MOD(M5,100)=0</formula1>
    </dataValidation>
    <dataValidation sqref="Q5:Q304" showDropDown="0" showInputMessage="1" showErrorMessage="1" allowBlank="1" errorTitle="不在选项里" error="请从下拉里选；要加新选项，先去参数页的下拉选项里加。" promptTitle="怎么填" prompt="已执行：有成交。未成交：挂了没成交。主动放弃：按规则不做。漏单：该做没做。" type="list" errorStyle="stop">
      <formula1>'参数'!$C$43:$C$54</formula1>
    </dataValidation>
    <dataValidation sqref="AD5:AD304" showDropDown="0" showInputMessage="1" showErrorMessage="1" allowBlank="1" errorTitle="不在选项里" error="请从下拉里选；要加新选项，先去参数页的下拉选项里加。" promptTitle="怎么填" prompt="A 完全照计划；B 小偏差；C 违反一条规则；D 没有计划就下单。只看过程，不看赚亏。" type="list" errorStyle="stop">
      <formula1>'参数'!$D$43:$D$54</formula1>
    </dataValidation>
    <dataValidation sqref="AE5:AE304" showDropDown="0" showInputMessage="0" showErrorMessage="1" allowBlank="1" errorTitle="不在选项里" error="请从下拉里选；要加新选项，先去参数页的下拉选项里加。" type="list" errorStyle="warning">
      <formula1>'参数'!$E$43:$E$54</formula1>
    </dataValidation>
  </dataValidations>
  <printOptions horizontalCentered="1"/>
  <pageMargins left="0.35" right="0.35" top="0.45" bottom="0.6" header="0.2" footer="0.25"/>
  <pageSetup orientation="landscape" paperSize="9" scale="70"/>
  <headerFooter>
    <oddHeader/>
    <oddFooter>&amp;L&amp;"Microsoft YaHei"&amp;8 TradeLearn · XtradingTime 交易内训&amp;C&amp;"Microsoft YaHei"&amp;8 trade1469.com/templates/a-share-review/?src=tpl-ashare&amp;R&amp;"Microsoft YaHei"&amp;8 第 &amp;P 页，共 &amp;N 页</oddFooter>
    <evenHeader/>
    <evenFooter>&amp;L&amp;"Microsoft YaHei"&amp;8 TradeLearn · XtradingTime 交易内训&amp;C&amp;"Microsoft YaHei"&amp;8 trade1469.com/templates/a-share-review/?src=tpl-ashare&amp;R&amp;"Microsoft YaHei"&amp;8 第 &amp;P 页，共 &amp;N 页</evenFooter>
    <firstHeader/>
    <firstFooter/>
  </headerFooter>
  <colBreaks count="1" manualBreakCount="1">
    <brk id="16" min="0" max="16383" man="1"/>
  </colBreaks>
</worksheet>
</file>

<file path=xl/worksheets/sheet6.xml><?xml version="1.0" encoding="utf-8"?>
<worksheet xmlns="http://schemas.openxmlformats.org/spreadsheetml/2006/main">
  <sheetPr>
    <tabColor rgb="009D4616"/>
    <outlinePr summaryBelow="1" summaryRight="1"/>
    <pageSetUpPr fitToPage="1"/>
  </sheetPr>
  <dimension ref="A1:O804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0.5" customWidth="1" min="2" max="2"/>
    <col width="5" customWidth="1" min="3" max="3"/>
    <col width="7.5" customWidth="1" min="4" max="4"/>
    <col width="7.5" customWidth="1" min="5" max="5"/>
    <col width="10" customWidth="1" min="6" max="6"/>
    <col width="8" customWidth="1" min="7" max="7"/>
    <col width="8.5" customWidth="1" min="8" max="8"/>
    <col width="8.5" customWidth="1" min="9" max="9"/>
    <col width="10" customWidth="1" min="10" max="10"/>
    <col width="8" customWidth="1" min="11" max="11"/>
    <col width="10" customWidth="1" min="12" max="12"/>
    <col width="10.5" customWidth="1" min="13" max="13"/>
    <col width="10" customWidth="1" min="14" max="14"/>
    <col width="20" customWidth="1" min="15" max="15"/>
  </cols>
  <sheetData>
    <row r="1" ht="30" customHeight="1">
      <c r="A1" s="13" t="inlineStr">
        <is>
          <t>A股成交明细：每成交一笔记一行</t>
        </is>
      </c>
      <c r="M1" s="14" t="inlineStr">
        <is>
          <t>TradeLearn · XtradingTime 交易内训</t>
        </is>
      </c>
    </row>
    <row r="2" ht="20" customHeight="1">
      <c r="A2" s="2" t="inlineStr">
        <is>
          <t>照成交单抄：编号（和交易记录同一个数字）、日期、买卖、价格、股数。分批买卖就记多行。费用按参数页估算；成交单上有实际费用就填实际数。</t>
        </is>
      </c>
    </row>
    <row r="3" ht="18" customHeight="1">
      <c r="A3" s="33" t="inlineStr">
        <is>
          <t>成交（照成交单抄）</t>
        </is>
      </c>
      <c r="B3" s="33" t="n"/>
      <c r="C3" s="33" t="n"/>
      <c r="D3" s="33" t="n"/>
      <c r="E3" s="33" t="n"/>
      <c r="F3" s="33" t="inlineStr">
        <is>
          <t>金额与费用</t>
        </is>
      </c>
      <c r="G3" s="33" t="n"/>
      <c r="H3" s="33" t="n"/>
      <c r="I3" s="33" t="n"/>
      <c r="J3" s="33" t="n"/>
      <c r="K3" s="33" t="n"/>
      <c r="L3" s="33" t="inlineStr">
        <is>
          <t>自动核对</t>
        </is>
      </c>
      <c r="M3" s="33" t="n"/>
      <c r="N3" s="33" t="n"/>
      <c r="O3" s="33" t="inlineStr">
        <is>
          <t>备注</t>
        </is>
      </c>
    </row>
    <row r="4" ht="41.8" customHeight="1">
      <c r="A4" s="25" t="inlineStr">
        <is>
          <t>交易编号</t>
        </is>
      </c>
      <c r="B4" s="25" t="inlineStr">
        <is>
          <t>成交日期</t>
        </is>
      </c>
      <c r="C4" s="25" t="inlineStr">
        <is>
          <t>方向</t>
        </is>
      </c>
      <c r="D4" s="25" t="inlineStr">
        <is>
          <t>成交价</t>
        </is>
      </c>
      <c r="E4" s="25" t="inlineStr">
        <is>
          <t>股数</t>
        </is>
      </c>
      <c r="F4" s="25" t="inlineStr">
        <is>
          <t>成交金额</t>
        </is>
      </c>
      <c r="G4" s="25" t="inlineStr">
        <is>
          <t>佣金估算</t>
        </is>
      </c>
      <c r="H4" s="25" t="inlineStr">
        <is>
          <t>印花税估算</t>
        </is>
      </c>
      <c r="I4" s="25" t="inlineStr">
        <is>
          <t>过户费估算</t>
        </is>
      </c>
      <c r="J4" s="25" t="inlineStr">
        <is>
          <t>实际费用（成交单有就填）</t>
        </is>
      </c>
      <c r="K4" s="25" t="inlineStr">
        <is>
          <t>计入费用</t>
        </is>
      </c>
      <c r="L4" s="25" t="inlineStr">
        <is>
          <t>股票</t>
        </is>
      </c>
      <c r="M4" s="25" t="inlineStr">
        <is>
          <t>最早可卖日</t>
        </is>
      </c>
      <c r="N4" s="25" t="inlineStr">
        <is>
          <t>T+1 检查</t>
        </is>
      </c>
      <c r="O4" s="25" t="inlineStr">
        <is>
          <t>备注</t>
        </is>
      </c>
    </row>
    <row r="5">
      <c r="A5" s="46" t="n"/>
      <c r="B5" s="31" t="n"/>
      <c r="C5" s="27" t="n"/>
      <c r="D5" s="56" t="n"/>
      <c r="E5" s="17" t="n"/>
      <c r="F5" s="20" t="str">
        <f>IF(AND(ISNUMBER(D5),ISNUMBER(E5)),D5*E5,"")</f>
        <v/>
      </c>
      <c r="G5" s="51" t="str">
        <f>IF(ISNUMBER(F5),ROUND(MAX(F5*'参数'!$C$12,'参数'!$C$13),2),"")</f>
        <v/>
      </c>
      <c r="H5" s="51" t="str">
        <f>IF(ISNUMBER(F5),IF(C5="卖",ROUND(F5*'参数'!$C$14,2),0),"")</f>
        <v/>
      </c>
      <c r="I5" s="51" t="str">
        <f>IF(ISNUMBER(F5),ROUND(F5*'参数'!$C$15,2),"")</f>
        <v/>
      </c>
      <c r="J5" s="21" t="n"/>
      <c r="K5" s="20" t="str">
        <f>IF(ISNUMBER(J5),J5,IF(ISNUMBER(F5),G5+H5+I5+ROUND(F5*'参数'!$C$16,2),""))</f>
        <v/>
      </c>
      <c r="L5" s="43" t="str">
        <f>IF(A5="","",IFERROR(T(INDEX('交易记录'!$C$5:$C$304,MATCH(A5,'交易记录'!$A$5:$A$304,0))),"编号没找到"))</f>
        <v/>
      </c>
      <c r="M5" s="57" t="str">
        <f>IF(AND(C5="买",ISNUMBER(B5)),WORKDAY(B5,1,'参数'!$B$58:$B$80),"")</f>
        <v/>
      </c>
      <c r="N5" s="36" t="str">
        <f>IF(C5&lt;&gt;"卖","",IF(AND(ISNUMBER(B5),A5&lt;&gt;""),IF(SUMIFS($E$5:$E$804,$A$5:$A$804,A5,$C$5:$C$804,"卖",$B$5:$B$804,"&lt;="&amp;B5)&gt;SUMIFS($E$5:$E$804,$A$5:$A$804,A5,$C$5:$C$804,"买",$B$5:$B$804,"&lt;"&amp;B5),"超出可卖股数","OK"),""))</f>
        <v/>
      </c>
      <c r="O5" s="32" t="n"/>
    </row>
    <row r="6">
      <c r="A6" s="46" t="n"/>
      <c r="B6" s="31" t="n"/>
      <c r="C6" s="27" t="n"/>
      <c r="D6" s="56" t="n"/>
      <c r="E6" s="17" t="n"/>
      <c r="F6" s="20" t="str">
        <f>IF(AND(ISNUMBER(D6),ISNUMBER(E6)),D6*E6,"")</f>
        <v/>
      </c>
      <c r="G6" s="51" t="str">
        <f>IF(ISNUMBER(F6),ROUND(MAX(F6*'参数'!$C$12,'参数'!$C$13),2),"")</f>
        <v/>
      </c>
      <c r="H6" s="51" t="str">
        <f>IF(ISNUMBER(F6),IF(C6="卖",ROUND(F6*'参数'!$C$14,2),0),"")</f>
        <v/>
      </c>
      <c r="I6" s="51" t="str">
        <f>IF(ISNUMBER(F6),ROUND(F6*'参数'!$C$15,2),"")</f>
        <v/>
      </c>
      <c r="J6" s="21" t="n"/>
      <c r="K6" s="20" t="str">
        <f>IF(ISNUMBER(J6),J6,IF(ISNUMBER(F6),G6+H6+I6+ROUND(F6*'参数'!$C$16,2),""))</f>
        <v/>
      </c>
      <c r="L6" s="43" t="str">
        <f>IF(A6="","",IFERROR(T(INDEX('交易记录'!$C$5:$C$304,MATCH(A6,'交易记录'!$A$5:$A$304,0))),"编号没找到"))</f>
        <v/>
      </c>
      <c r="M6" s="57" t="str">
        <f>IF(AND(C6="买",ISNUMBER(B6)),WORKDAY(B6,1,'参数'!$B$58:$B$80),"")</f>
        <v/>
      </c>
      <c r="N6" s="36" t="str">
        <f>IF(C6&lt;&gt;"卖","",IF(AND(ISNUMBER(B6),A6&lt;&gt;""),IF(SUMIFS($E$5:$E$804,$A$5:$A$804,A6,$C$5:$C$804,"卖",$B$5:$B$804,"&lt;="&amp;B6)&gt;SUMIFS($E$5:$E$804,$A$5:$A$804,A6,$C$5:$C$804,"买",$B$5:$B$804,"&lt;"&amp;B6),"超出可卖股数","OK"),""))</f>
        <v/>
      </c>
      <c r="O6" s="32" t="n"/>
    </row>
    <row r="7">
      <c r="A7" s="46" t="n"/>
      <c r="B7" s="31" t="n"/>
      <c r="C7" s="27" t="n"/>
      <c r="D7" s="56" t="n"/>
      <c r="E7" s="17" t="n"/>
      <c r="F7" s="20" t="str">
        <f>IF(AND(ISNUMBER(D7),ISNUMBER(E7)),D7*E7,"")</f>
        <v/>
      </c>
      <c r="G7" s="51" t="str">
        <f>IF(ISNUMBER(F7),ROUND(MAX(F7*'参数'!$C$12,'参数'!$C$13),2),"")</f>
        <v/>
      </c>
      <c r="H7" s="51" t="str">
        <f>IF(ISNUMBER(F7),IF(C7="卖",ROUND(F7*'参数'!$C$14,2),0),"")</f>
        <v/>
      </c>
      <c r="I7" s="51" t="str">
        <f>IF(ISNUMBER(F7),ROUND(F7*'参数'!$C$15,2),"")</f>
        <v/>
      </c>
      <c r="J7" s="21" t="n"/>
      <c r="K7" s="20" t="str">
        <f>IF(ISNUMBER(J7),J7,IF(ISNUMBER(F7),G7+H7+I7+ROUND(F7*'参数'!$C$16,2),""))</f>
        <v/>
      </c>
      <c r="L7" s="43" t="str">
        <f>IF(A7="","",IFERROR(T(INDEX('交易记录'!$C$5:$C$304,MATCH(A7,'交易记录'!$A$5:$A$304,0))),"编号没找到"))</f>
        <v/>
      </c>
      <c r="M7" s="57" t="str">
        <f>IF(AND(C7="买",ISNUMBER(B7)),WORKDAY(B7,1,'参数'!$B$58:$B$80),"")</f>
        <v/>
      </c>
      <c r="N7" s="36" t="str">
        <f>IF(C7&lt;&gt;"卖","",IF(AND(ISNUMBER(B7),A7&lt;&gt;""),IF(SUMIFS($E$5:$E$804,$A$5:$A$804,A7,$C$5:$C$804,"卖",$B$5:$B$804,"&lt;="&amp;B7)&gt;SUMIFS($E$5:$E$804,$A$5:$A$804,A7,$C$5:$C$804,"买",$B$5:$B$804,"&lt;"&amp;B7),"超出可卖股数","OK"),""))</f>
        <v/>
      </c>
      <c r="O7" s="32" t="n"/>
    </row>
    <row r="8">
      <c r="A8" s="46" t="n"/>
      <c r="B8" s="31" t="n"/>
      <c r="C8" s="27" t="n"/>
      <c r="D8" s="56" t="n"/>
      <c r="E8" s="17" t="n"/>
      <c r="F8" s="20" t="str">
        <f>IF(AND(ISNUMBER(D8),ISNUMBER(E8)),D8*E8,"")</f>
        <v/>
      </c>
      <c r="G8" s="51" t="str">
        <f>IF(ISNUMBER(F8),ROUND(MAX(F8*'参数'!$C$12,'参数'!$C$13),2),"")</f>
        <v/>
      </c>
      <c r="H8" s="51" t="str">
        <f>IF(ISNUMBER(F8),IF(C8="卖",ROUND(F8*'参数'!$C$14,2),0),"")</f>
        <v/>
      </c>
      <c r="I8" s="51" t="str">
        <f>IF(ISNUMBER(F8),ROUND(F8*'参数'!$C$15,2),"")</f>
        <v/>
      </c>
      <c r="J8" s="21" t="n"/>
      <c r="K8" s="20" t="str">
        <f>IF(ISNUMBER(J8),J8,IF(ISNUMBER(F8),G8+H8+I8+ROUND(F8*'参数'!$C$16,2),""))</f>
        <v/>
      </c>
      <c r="L8" s="43" t="str">
        <f>IF(A8="","",IFERROR(T(INDEX('交易记录'!$C$5:$C$304,MATCH(A8,'交易记录'!$A$5:$A$304,0))),"编号没找到"))</f>
        <v/>
      </c>
      <c r="M8" s="57" t="str">
        <f>IF(AND(C8="买",ISNUMBER(B8)),WORKDAY(B8,1,'参数'!$B$58:$B$80),"")</f>
        <v/>
      </c>
      <c r="N8" s="36" t="str">
        <f>IF(C8&lt;&gt;"卖","",IF(AND(ISNUMBER(B8),A8&lt;&gt;""),IF(SUMIFS($E$5:$E$804,$A$5:$A$804,A8,$C$5:$C$804,"卖",$B$5:$B$804,"&lt;="&amp;B8)&gt;SUMIFS($E$5:$E$804,$A$5:$A$804,A8,$C$5:$C$804,"买",$B$5:$B$804,"&lt;"&amp;B8),"超出可卖股数","OK"),""))</f>
        <v/>
      </c>
      <c r="O8" s="32" t="n"/>
    </row>
    <row r="9">
      <c r="A9" s="46" t="n"/>
      <c r="B9" s="31" t="n"/>
      <c r="C9" s="27" t="n"/>
      <c r="D9" s="56" t="n"/>
      <c r="E9" s="17" t="n"/>
      <c r="F9" s="20" t="str">
        <f>IF(AND(ISNUMBER(D9),ISNUMBER(E9)),D9*E9,"")</f>
        <v/>
      </c>
      <c r="G9" s="51" t="str">
        <f>IF(ISNUMBER(F9),ROUND(MAX(F9*'参数'!$C$12,'参数'!$C$13),2),"")</f>
        <v/>
      </c>
      <c r="H9" s="51" t="str">
        <f>IF(ISNUMBER(F9),IF(C9="卖",ROUND(F9*'参数'!$C$14,2),0),"")</f>
        <v/>
      </c>
      <c r="I9" s="51" t="str">
        <f>IF(ISNUMBER(F9),ROUND(F9*'参数'!$C$15,2),"")</f>
        <v/>
      </c>
      <c r="J9" s="21" t="n"/>
      <c r="K9" s="20" t="str">
        <f>IF(ISNUMBER(J9),J9,IF(ISNUMBER(F9),G9+H9+I9+ROUND(F9*'参数'!$C$16,2),""))</f>
        <v/>
      </c>
      <c r="L9" s="43" t="str">
        <f>IF(A9="","",IFERROR(T(INDEX('交易记录'!$C$5:$C$304,MATCH(A9,'交易记录'!$A$5:$A$304,0))),"编号没找到"))</f>
        <v/>
      </c>
      <c r="M9" s="57" t="str">
        <f>IF(AND(C9="买",ISNUMBER(B9)),WORKDAY(B9,1,'参数'!$B$58:$B$80),"")</f>
        <v/>
      </c>
      <c r="N9" s="36" t="str">
        <f>IF(C9&lt;&gt;"卖","",IF(AND(ISNUMBER(B9),A9&lt;&gt;""),IF(SUMIFS($E$5:$E$804,$A$5:$A$804,A9,$C$5:$C$804,"卖",$B$5:$B$804,"&lt;="&amp;B9)&gt;SUMIFS($E$5:$E$804,$A$5:$A$804,A9,$C$5:$C$804,"买",$B$5:$B$804,"&lt;"&amp;B9),"超出可卖股数","OK"),""))</f>
        <v/>
      </c>
      <c r="O9" s="32" t="n"/>
    </row>
    <row r="10">
      <c r="A10" s="46" t="n"/>
      <c r="B10" s="31" t="n"/>
      <c r="C10" s="27" t="n"/>
      <c r="D10" s="56" t="n"/>
      <c r="E10" s="17" t="n"/>
      <c r="F10" s="20" t="str">
        <f>IF(AND(ISNUMBER(D10),ISNUMBER(E10)),D10*E10,"")</f>
        <v/>
      </c>
      <c r="G10" s="51" t="str">
        <f>IF(ISNUMBER(F10),ROUND(MAX(F10*'参数'!$C$12,'参数'!$C$13),2),"")</f>
        <v/>
      </c>
      <c r="H10" s="51" t="str">
        <f>IF(ISNUMBER(F10),IF(C10="卖",ROUND(F10*'参数'!$C$14,2),0),"")</f>
        <v/>
      </c>
      <c r="I10" s="51" t="str">
        <f>IF(ISNUMBER(F10),ROUND(F10*'参数'!$C$15,2),"")</f>
        <v/>
      </c>
      <c r="J10" s="21" t="n"/>
      <c r="K10" s="20" t="str">
        <f>IF(ISNUMBER(J10),J10,IF(ISNUMBER(F10),G10+H10+I10+ROUND(F10*'参数'!$C$16,2),""))</f>
        <v/>
      </c>
      <c r="L10" s="43" t="str">
        <f>IF(A10="","",IFERROR(T(INDEX('交易记录'!$C$5:$C$304,MATCH(A10,'交易记录'!$A$5:$A$304,0))),"编号没找到"))</f>
        <v/>
      </c>
      <c r="M10" s="57" t="str">
        <f>IF(AND(C10="买",ISNUMBER(B10)),WORKDAY(B10,1,'参数'!$B$58:$B$80),"")</f>
        <v/>
      </c>
      <c r="N10" s="36" t="str">
        <f>IF(C10&lt;&gt;"卖","",IF(AND(ISNUMBER(B10),A10&lt;&gt;""),IF(SUMIFS($E$5:$E$804,$A$5:$A$804,A10,$C$5:$C$804,"卖",$B$5:$B$804,"&lt;="&amp;B10)&gt;SUMIFS($E$5:$E$804,$A$5:$A$804,A10,$C$5:$C$804,"买",$B$5:$B$804,"&lt;"&amp;B10),"超出可卖股数","OK"),""))</f>
        <v/>
      </c>
      <c r="O10" s="32" t="n"/>
    </row>
    <row r="11">
      <c r="A11" s="46" t="n"/>
      <c r="B11" s="31" t="n"/>
      <c r="C11" s="27" t="n"/>
      <c r="D11" s="56" t="n"/>
      <c r="E11" s="17" t="n"/>
      <c r="F11" s="20" t="str">
        <f>IF(AND(ISNUMBER(D11),ISNUMBER(E11)),D11*E11,"")</f>
        <v/>
      </c>
      <c r="G11" s="51" t="str">
        <f>IF(ISNUMBER(F11),ROUND(MAX(F11*'参数'!$C$12,'参数'!$C$13),2),"")</f>
        <v/>
      </c>
      <c r="H11" s="51" t="str">
        <f>IF(ISNUMBER(F11),IF(C11="卖",ROUND(F11*'参数'!$C$14,2),0),"")</f>
        <v/>
      </c>
      <c r="I11" s="51" t="str">
        <f>IF(ISNUMBER(F11),ROUND(F11*'参数'!$C$15,2),"")</f>
        <v/>
      </c>
      <c r="J11" s="21" t="n"/>
      <c r="K11" s="20" t="str">
        <f>IF(ISNUMBER(J11),J11,IF(ISNUMBER(F11),G11+H11+I11+ROUND(F11*'参数'!$C$16,2),""))</f>
        <v/>
      </c>
      <c r="L11" s="43" t="str">
        <f>IF(A11="","",IFERROR(T(INDEX('交易记录'!$C$5:$C$304,MATCH(A11,'交易记录'!$A$5:$A$304,0))),"编号没找到"))</f>
        <v/>
      </c>
      <c r="M11" s="57" t="str">
        <f>IF(AND(C11="买",ISNUMBER(B11)),WORKDAY(B11,1,'参数'!$B$58:$B$80),"")</f>
        <v/>
      </c>
      <c r="N11" s="36" t="str">
        <f>IF(C11&lt;&gt;"卖","",IF(AND(ISNUMBER(B11),A11&lt;&gt;""),IF(SUMIFS($E$5:$E$804,$A$5:$A$804,A11,$C$5:$C$804,"卖",$B$5:$B$804,"&lt;="&amp;B11)&gt;SUMIFS($E$5:$E$804,$A$5:$A$804,A11,$C$5:$C$804,"买",$B$5:$B$804,"&lt;"&amp;B11),"超出可卖股数","OK"),""))</f>
        <v/>
      </c>
      <c r="O11" s="32" t="n"/>
    </row>
    <row r="12">
      <c r="A12" s="46" t="n"/>
      <c r="B12" s="31" t="n"/>
      <c r="C12" s="27" t="n"/>
      <c r="D12" s="56" t="n"/>
      <c r="E12" s="17" t="n"/>
      <c r="F12" s="20" t="str">
        <f>IF(AND(ISNUMBER(D12),ISNUMBER(E12)),D12*E12,"")</f>
        <v/>
      </c>
      <c r="G12" s="51" t="str">
        <f>IF(ISNUMBER(F12),ROUND(MAX(F12*'参数'!$C$12,'参数'!$C$13),2),"")</f>
        <v/>
      </c>
      <c r="H12" s="51" t="str">
        <f>IF(ISNUMBER(F12),IF(C12="卖",ROUND(F12*'参数'!$C$14,2),0),"")</f>
        <v/>
      </c>
      <c r="I12" s="51" t="str">
        <f>IF(ISNUMBER(F12),ROUND(F12*'参数'!$C$15,2),"")</f>
        <v/>
      </c>
      <c r="J12" s="21" t="n"/>
      <c r="K12" s="20" t="str">
        <f>IF(ISNUMBER(J12),J12,IF(ISNUMBER(F12),G12+H12+I12+ROUND(F12*'参数'!$C$16,2),""))</f>
        <v/>
      </c>
      <c r="L12" s="43" t="str">
        <f>IF(A12="","",IFERROR(T(INDEX('交易记录'!$C$5:$C$304,MATCH(A12,'交易记录'!$A$5:$A$304,0))),"编号没找到"))</f>
        <v/>
      </c>
      <c r="M12" s="57" t="str">
        <f>IF(AND(C12="买",ISNUMBER(B12)),WORKDAY(B12,1,'参数'!$B$58:$B$80),"")</f>
        <v/>
      </c>
      <c r="N12" s="36" t="str">
        <f>IF(C12&lt;&gt;"卖","",IF(AND(ISNUMBER(B12),A12&lt;&gt;""),IF(SUMIFS($E$5:$E$804,$A$5:$A$804,A12,$C$5:$C$804,"卖",$B$5:$B$804,"&lt;="&amp;B12)&gt;SUMIFS($E$5:$E$804,$A$5:$A$804,A12,$C$5:$C$804,"买",$B$5:$B$804,"&lt;"&amp;B12),"超出可卖股数","OK"),""))</f>
        <v/>
      </c>
      <c r="O12" s="32" t="n"/>
    </row>
    <row r="13">
      <c r="A13" s="46" t="n"/>
      <c r="B13" s="31" t="n"/>
      <c r="C13" s="27" t="n"/>
      <c r="D13" s="56" t="n"/>
      <c r="E13" s="17" t="n"/>
      <c r="F13" s="20" t="str">
        <f>IF(AND(ISNUMBER(D13),ISNUMBER(E13)),D13*E13,"")</f>
        <v/>
      </c>
      <c r="G13" s="51" t="str">
        <f>IF(ISNUMBER(F13),ROUND(MAX(F13*'参数'!$C$12,'参数'!$C$13),2),"")</f>
        <v/>
      </c>
      <c r="H13" s="51" t="str">
        <f>IF(ISNUMBER(F13),IF(C13="卖",ROUND(F13*'参数'!$C$14,2),0),"")</f>
        <v/>
      </c>
      <c r="I13" s="51" t="str">
        <f>IF(ISNUMBER(F13),ROUND(F13*'参数'!$C$15,2),"")</f>
        <v/>
      </c>
      <c r="J13" s="21" t="n"/>
      <c r="K13" s="20" t="str">
        <f>IF(ISNUMBER(J13),J13,IF(ISNUMBER(F13),G13+H13+I13+ROUND(F13*'参数'!$C$16,2),""))</f>
        <v/>
      </c>
      <c r="L13" s="43" t="str">
        <f>IF(A13="","",IFERROR(T(INDEX('交易记录'!$C$5:$C$304,MATCH(A13,'交易记录'!$A$5:$A$304,0))),"编号没找到"))</f>
        <v/>
      </c>
      <c r="M13" s="57" t="str">
        <f>IF(AND(C13="买",ISNUMBER(B13)),WORKDAY(B13,1,'参数'!$B$58:$B$80),"")</f>
        <v/>
      </c>
      <c r="N13" s="36" t="str">
        <f>IF(C13&lt;&gt;"卖","",IF(AND(ISNUMBER(B13),A13&lt;&gt;""),IF(SUMIFS($E$5:$E$804,$A$5:$A$804,A13,$C$5:$C$804,"卖",$B$5:$B$804,"&lt;="&amp;B13)&gt;SUMIFS($E$5:$E$804,$A$5:$A$804,A13,$C$5:$C$804,"买",$B$5:$B$804,"&lt;"&amp;B13),"超出可卖股数","OK"),""))</f>
        <v/>
      </c>
      <c r="O13" s="32" t="n"/>
    </row>
    <row r="14">
      <c r="A14" s="46" t="n"/>
      <c r="B14" s="31" t="n"/>
      <c r="C14" s="27" t="n"/>
      <c r="D14" s="56" t="n"/>
      <c r="E14" s="17" t="n"/>
      <c r="F14" s="20" t="str">
        <f>IF(AND(ISNUMBER(D14),ISNUMBER(E14)),D14*E14,"")</f>
        <v/>
      </c>
      <c r="G14" s="51" t="str">
        <f>IF(ISNUMBER(F14),ROUND(MAX(F14*'参数'!$C$12,'参数'!$C$13),2),"")</f>
        <v/>
      </c>
      <c r="H14" s="51" t="str">
        <f>IF(ISNUMBER(F14),IF(C14="卖",ROUND(F14*'参数'!$C$14,2),0),"")</f>
        <v/>
      </c>
      <c r="I14" s="51" t="str">
        <f>IF(ISNUMBER(F14),ROUND(F14*'参数'!$C$15,2),"")</f>
        <v/>
      </c>
      <c r="J14" s="21" t="n"/>
      <c r="K14" s="20" t="str">
        <f>IF(ISNUMBER(J14),J14,IF(ISNUMBER(F14),G14+H14+I14+ROUND(F14*'参数'!$C$16,2),""))</f>
        <v/>
      </c>
      <c r="L14" s="43" t="str">
        <f>IF(A14="","",IFERROR(T(INDEX('交易记录'!$C$5:$C$304,MATCH(A14,'交易记录'!$A$5:$A$304,0))),"编号没找到"))</f>
        <v/>
      </c>
      <c r="M14" s="57" t="str">
        <f>IF(AND(C14="买",ISNUMBER(B14)),WORKDAY(B14,1,'参数'!$B$58:$B$80),"")</f>
        <v/>
      </c>
      <c r="N14" s="36" t="str">
        <f>IF(C14&lt;&gt;"卖","",IF(AND(ISNUMBER(B14),A14&lt;&gt;""),IF(SUMIFS($E$5:$E$804,$A$5:$A$804,A14,$C$5:$C$804,"卖",$B$5:$B$804,"&lt;="&amp;B14)&gt;SUMIFS($E$5:$E$804,$A$5:$A$804,A14,$C$5:$C$804,"买",$B$5:$B$804,"&lt;"&amp;B14),"超出可卖股数","OK"),""))</f>
        <v/>
      </c>
      <c r="O14" s="32" t="n"/>
    </row>
    <row r="15">
      <c r="A15" s="46" t="n"/>
      <c r="B15" s="31" t="n"/>
      <c r="C15" s="27" t="n"/>
      <c r="D15" s="56" t="n"/>
      <c r="E15" s="17" t="n"/>
      <c r="F15" s="20" t="str">
        <f>IF(AND(ISNUMBER(D15),ISNUMBER(E15)),D15*E15,"")</f>
        <v/>
      </c>
      <c r="G15" s="51" t="str">
        <f>IF(ISNUMBER(F15),ROUND(MAX(F15*'参数'!$C$12,'参数'!$C$13),2),"")</f>
        <v/>
      </c>
      <c r="H15" s="51" t="str">
        <f>IF(ISNUMBER(F15),IF(C15="卖",ROUND(F15*'参数'!$C$14,2),0),"")</f>
        <v/>
      </c>
      <c r="I15" s="51" t="str">
        <f>IF(ISNUMBER(F15),ROUND(F15*'参数'!$C$15,2),"")</f>
        <v/>
      </c>
      <c r="J15" s="21" t="n"/>
      <c r="K15" s="20" t="str">
        <f>IF(ISNUMBER(J15),J15,IF(ISNUMBER(F15),G15+H15+I15+ROUND(F15*'参数'!$C$16,2),""))</f>
        <v/>
      </c>
      <c r="L15" s="43" t="str">
        <f>IF(A15="","",IFERROR(T(INDEX('交易记录'!$C$5:$C$304,MATCH(A15,'交易记录'!$A$5:$A$304,0))),"编号没找到"))</f>
        <v/>
      </c>
      <c r="M15" s="57" t="str">
        <f>IF(AND(C15="买",ISNUMBER(B15)),WORKDAY(B15,1,'参数'!$B$58:$B$80),"")</f>
        <v/>
      </c>
      <c r="N15" s="36" t="str">
        <f>IF(C15&lt;&gt;"卖","",IF(AND(ISNUMBER(B15),A15&lt;&gt;""),IF(SUMIFS($E$5:$E$804,$A$5:$A$804,A15,$C$5:$C$804,"卖",$B$5:$B$804,"&lt;="&amp;B15)&gt;SUMIFS($E$5:$E$804,$A$5:$A$804,A15,$C$5:$C$804,"买",$B$5:$B$804,"&lt;"&amp;B15),"超出可卖股数","OK"),""))</f>
        <v/>
      </c>
      <c r="O15" s="32" t="n"/>
    </row>
    <row r="16">
      <c r="A16" s="46" t="n"/>
      <c r="B16" s="31" t="n"/>
      <c r="C16" s="27" t="n"/>
      <c r="D16" s="56" t="n"/>
      <c r="E16" s="17" t="n"/>
      <c r="F16" s="20" t="str">
        <f>IF(AND(ISNUMBER(D16),ISNUMBER(E16)),D16*E16,"")</f>
        <v/>
      </c>
      <c r="G16" s="51" t="str">
        <f>IF(ISNUMBER(F16),ROUND(MAX(F16*'参数'!$C$12,'参数'!$C$13),2),"")</f>
        <v/>
      </c>
      <c r="H16" s="51" t="str">
        <f>IF(ISNUMBER(F16),IF(C16="卖",ROUND(F16*'参数'!$C$14,2),0),"")</f>
        <v/>
      </c>
      <c r="I16" s="51" t="str">
        <f>IF(ISNUMBER(F16),ROUND(F16*'参数'!$C$15,2),"")</f>
        <v/>
      </c>
      <c r="J16" s="21" t="n"/>
      <c r="K16" s="20" t="str">
        <f>IF(ISNUMBER(J16),J16,IF(ISNUMBER(F16),G16+H16+I16+ROUND(F16*'参数'!$C$16,2),""))</f>
        <v/>
      </c>
      <c r="L16" s="43" t="str">
        <f>IF(A16="","",IFERROR(T(INDEX('交易记录'!$C$5:$C$304,MATCH(A16,'交易记录'!$A$5:$A$304,0))),"编号没找到"))</f>
        <v/>
      </c>
      <c r="M16" s="57" t="str">
        <f>IF(AND(C16="买",ISNUMBER(B16)),WORKDAY(B16,1,'参数'!$B$58:$B$80),"")</f>
        <v/>
      </c>
      <c r="N16" s="36" t="str">
        <f>IF(C16&lt;&gt;"卖","",IF(AND(ISNUMBER(B16),A16&lt;&gt;""),IF(SUMIFS($E$5:$E$804,$A$5:$A$804,A16,$C$5:$C$804,"卖",$B$5:$B$804,"&lt;="&amp;B16)&gt;SUMIFS($E$5:$E$804,$A$5:$A$804,A16,$C$5:$C$804,"买",$B$5:$B$804,"&lt;"&amp;B16),"超出可卖股数","OK"),""))</f>
        <v/>
      </c>
      <c r="O16" s="32" t="n"/>
    </row>
    <row r="17">
      <c r="A17" s="46" t="n"/>
      <c r="B17" s="31" t="n"/>
      <c r="C17" s="27" t="n"/>
      <c r="D17" s="56" t="n"/>
      <c r="E17" s="17" t="n"/>
      <c r="F17" s="20" t="str">
        <f>IF(AND(ISNUMBER(D17),ISNUMBER(E17)),D17*E17,"")</f>
        <v/>
      </c>
      <c r="G17" s="51" t="str">
        <f>IF(ISNUMBER(F17),ROUND(MAX(F17*'参数'!$C$12,'参数'!$C$13),2),"")</f>
        <v/>
      </c>
      <c r="H17" s="51" t="str">
        <f>IF(ISNUMBER(F17),IF(C17="卖",ROUND(F17*'参数'!$C$14,2),0),"")</f>
        <v/>
      </c>
      <c r="I17" s="51" t="str">
        <f>IF(ISNUMBER(F17),ROUND(F17*'参数'!$C$15,2),"")</f>
        <v/>
      </c>
      <c r="J17" s="21" t="n"/>
      <c r="K17" s="20" t="str">
        <f>IF(ISNUMBER(J17),J17,IF(ISNUMBER(F17),G17+H17+I17+ROUND(F17*'参数'!$C$16,2),""))</f>
        <v/>
      </c>
      <c r="L17" s="43" t="str">
        <f>IF(A17="","",IFERROR(T(INDEX('交易记录'!$C$5:$C$304,MATCH(A17,'交易记录'!$A$5:$A$304,0))),"编号没找到"))</f>
        <v/>
      </c>
      <c r="M17" s="57" t="str">
        <f>IF(AND(C17="买",ISNUMBER(B17)),WORKDAY(B17,1,'参数'!$B$58:$B$80),"")</f>
        <v/>
      </c>
      <c r="N17" s="36" t="str">
        <f>IF(C17&lt;&gt;"卖","",IF(AND(ISNUMBER(B17),A17&lt;&gt;""),IF(SUMIFS($E$5:$E$804,$A$5:$A$804,A17,$C$5:$C$804,"卖",$B$5:$B$804,"&lt;="&amp;B17)&gt;SUMIFS($E$5:$E$804,$A$5:$A$804,A17,$C$5:$C$804,"买",$B$5:$B$804,"&lt;"&amp;B17),"超出可卖股数","OK"),""))</f>
        <v/>
      </c>
      <c r="O17" s="32" t="n"/>
    </row>
    <row r="18">
      <c r="A18" s="46" t="n"/>
      <c r="B18" s="31" t="n"/>
      <c r="C18" s="27" t="n"/>
      <c r="D18" s="56" t="n"/>
      <c r="E18" s="17" t="n"/>
      <c r="F18" s="20" t="str">
        <f>IF(AND(ISNUMBER(D18),ISNUMBER(E18)),D18*E18,"")</f>
        <v/>
      </c>
      <c r="G18" s="51" t="str">
        <f>IF(ISNUMBER(F18),ROUND(MAX(F18*'参数'!$C$12,'参数'!$C$13),2),"")</f>
        <v/>
      </c>
      <c r="H18" s="51" t="str">
        <f>IF(ISNUMBER(F18),IF(C18="卖",ROUND(F18*'参数'!$C$14,2),0),"")</f>
        <v/>
      </c>
      <c r="I18" s="51" t="str">
        <f>IF(ISNUMBER(F18),ROUND(F18*'参数'!$C$15,2),"")</f>
        <v/>
      </c>
      <c r="J18" s="21" t="n"/>
      <c r="K18" s="20" t="str">
        <f>IF(ISNUMBER(J18),J18,IF(ISNUMBER(F18),G18+H18+I18+ROUND(F18*'参数'!$C$16,2),""))</f>
        <v/>
      </c>
      <c r="L18" s="43" t="str">
        <f>IF(A18="","",IFERROR(T(INDEX('交易记录'!$C$5:$C$304,MATCH(A18,'交易记录'!$A$5:$A$304,0))),"编号没找到"))</f>
        <v/>
      </c>
      <c r="M18" s="57" t="str">
        <f>IF(AND(C18="买",ISNUMBER(B18)),WORKDAY(B18,1,'参数'!$B$58:$B$80),"")</f>
        <v/>
      </c>
      <c r="N18" s="36" t="str">
        <f>IF(C18&lt;&gt;"卖","",IF(AND(ISNUMBER(B18),A18&lt;&gt;""),IF(SUMIFS($E$5:$E$804,$A$5:$A$804,A18,$C$5:$C$804,"卖",$B$5:$B$804,"&lt;="&amp;B18)&gt;SUMIFS($E$5:$E$804,$A$5:$A$804,A18,$C$5:$C$804,"买",$B$5:$B$804,"&lt;"&amp;B18),"超出可卖股数","OK"),""))</f>
        <v/>
      </c>
      <c r="O18" s="32" t="n"/>
    </row>
    <row r="19">
      <c r="A19" s="46" t="n"/>
      <c r="B19" s="31" t="n"/>
      <c r="C19" s="27" t="n"/>
      <c r="D19" s="56" t="n"/>
      <c r="E19" s="17" t="n"/>
      <c r="F19" s="20" t="str">
        <f>IF(AND(ISNUMBER(D19),ISNUMBER(E19)),D19*E19,"")</f>
        <v/>
      </c>
      <c r="G19" s="51" t="str">
        <f>IF(ISNUMBER(F19),ROUND(MAX(F19*'参数'!$C$12,'参数'!$C$13),2),"")</f>
        <v/>
      </c>
      <c r="H19" s="51" t="str">
        <f>IF(ISNUMBER(F19),IF(C19="卖",ROUND(F19*'参数'!$C$14,2),0),"")</f>
        <v/>
      </c>
      <c r="I19" s="51" t="str">
        <f>IF(ISNUMBER(F19),ROUND(F19*'参数'!$C$15,2),"")</f>
        <v/>
      </c>
      <c r="J19" s="21" t="n"/>
      <c r="K19" s="20" t="str">
        <f>IF(ISNUMBER(J19),J19,IF(ISNUMBER(F19),G19+H19+I19+ROUND(F19*'参数'!$C$16,2),""))</f>
        <v/>
      </c>
      <c r="L19" s="43" t="str">
        <f>IF(A19="","",IFERROR(T(INDEX('交易记录'!$C$5:$C$304,MATCH(A19,'交易记录'!$A$5:$A$304,0))),"编号没找到"))</f>
        <v/>
      </c>
      <c r="M19" s="57" t="str">
        <f>IF(AND(C19="买",ISNUMBER(B19)),WORKDAY(B19,1,'参数'!$B$58:$B$80),"")</f>
        <v/>
      </c>
      <c r="N19" s="36" t="str">
        <f>IF(C19&lt;&gt;"卖","",IF(AND(ISNUMBER(B19),A19&lt;&gt;""),IF(SUMIFS($E$5:$E$804,$A$5:$A$804,A19,$C$5:$C$804,"卖",$B$5:$B$804,"&lt;="&amp;B19)&gt;SUMIFS($E$5:$E$804,$A$5:$A$804,A19,$C$5:$C$804,"买",$B$5:$B$804,"&lt;"&amp;B19),"超出可卖股数","OK"),""))</f>
        <v/>
      </c>
      <c r="O19" s="32" t="n"/>
    </row>
    <row r="20">
      <c r="A20" s="46" t="n"/>
      <c r="B20" s="31" t="n"/>
      <c r="C20" s="27" t="n"/>
      <c r="D20" s="56" t="n"/>
      <c r="E20" s="17" t="n"/>
      <c r="F20" s="20" t="str">
        <f>IF(AND(ISNUMBER(D20),ISNUMBER(E20)),D20*E20,"")</f>
        <v/>
      </c>
      <c r="G20" s="51" t="str">
        <f>IF(ISNUMBER(F20),ROUND(MAX(F20*'参数'!$C$12,'参数'!$C$13),2),"")</f>
        <v/>
      </c>
      <c r="H20" s="51" t="str">
        <f>IF(ISNUMBER(F20),IF(C20="卖",ROUND(F20*'参数'!$C$14,2),0),"")</f>
        <v/>
      </c>
      <c r="I20" s="51" t="str">
        <f>IF(ISNUMBER(F20),ROUND(F20*'参数'!$C$15,2),"")</f>
        <v/>
      </c>
      <c r="J20" s="21" t="n"/>
      <c r="K20" s="20" t="str">
        <f>IF(ISNUMBER(J20),J20,IF(ISNUMBER(F20),G20+H20+I20+ROUND(F20*'参数'!$C$16,2),""))</f>
        <v/>
      </c>
      <c r="L20" s="43" t="str">
        <f>IF(A20="","",IFERROR(T(INDEX('交易记录'!$C$5:$C$304,MATCH(A20,'交易记录'!$A$5:$A$304,0))),"编号没找到"))</f>
        <v/>
      </c>
      <c r="M20" s="57" t="str">
        <f>IF(AND(C20="买",ISNUMBER(B20)),WORKDAY(B20,1,'参数'!$B$58:$B$80),"")</f>
        <v/>
      </c>
      <c r="N20" s="36" t="str">
        <f>IF(C20&lt;&gt;"卖","",IF(AND(ISNUMBER(B20),A20&lt;&gt;""),IF(SUMIFS($E$5:$E$804,$A$5:$A$804,A20,$C$5:$C$804,"卖",$B$5:$B$804,"&lt;="&amp;B20)&gt;SUMIFS($E$5:$E$804,$A$5:$A$804,A20,$C$5:$C$804,"买",$B$5:$B$804,"&lt;"&amp;B20),"超出可卖股数","OK"),""))</f>
        <v/>
      </c>
      <c r="O20" s="32" t="n"/>
    </row>
    <row r="21">
      <c r="A21" s="46" t="n"/>
      <c r="B21" s="31" t="n"/>
      <c r="C21" s="27" t="n"/>
      <c r="D21" s="56" t="n"/>
      <c r="E21" s="17" t="n"/>
      <c r="F21" s="20" t="str">
        <f>IF(AND(ISNUMBER(D21),ISNUMBER(E21)),D21*E21,"")</f>
        <v/>
      </c>
      <c r="G21" s="51" t="str">
        <f>IF(ISNUMBER(F21),ROUND(MAX(F21*'参数'!$C$12,'参数'!$C$13),2),"")</f>
        <v/>
      </c>
      <c r="H21" s="51" t="str">
        <f>IF(ISNUMBER(F21),IF(C21="卖",ROUND(F21*'参数'!$C$14,2),0),"")</f>
        <v/>
      </c>
      <c r="I21" s="51" t="str">
        <f>IF(ISNUMBER(F21),ROUND(F21*'参数'!$C$15,2),"")</f>
        <v/>
      </c>
      <c r="J21" s="21" t="n"/>
      <c r="K21" s="20" t="str">
        <f>IF(ISNUMBER(J21),J21,IF(ISNUMBER(F21),G21+H21+I21+ROUND(F21*'参数'!$C$16,2),""))</f>
        <v/>
      </c>
      <c r="L21" s="43" t="str">
        <f>IF(A21="","",IFERROR(T(INDEX('交易记录'!$C$5:$C$304,MATCH(A21,'交易记录'!$A$5:$A$304,0))),"编号没找到"))</f>
        <v/>
      </c>
      <c r="M21" s="57" t="str">
        <f>IF(AND(C21="买",ISNUMBER(B21)),WORKDAY(B21,1,'参数'!$B$58:$B$80),"")</f>
        <v/>
      </c>
      <c r="N21" s="36" t="str">
        <f>IF(C21&lt;&gt;"卖","",IF(AND(ISNUMBER(B21),A21&lt;&gt;""),IF(SUMIFS($E$5:$E$804,$A$5:$A$804,A21,$C$5:$C$804,"卖",$B$5:$B$804,"&lt;="&amp;B21)&gt;SUMIFS($E$5:$E$804,$A$5:$A$804,A21,$C$5:$C$804,"买",$B$5:$B$804,"&lt;"&amp;B21),"超出可卖股数","OK"),""))</f>
        <v/>
      </c>
      <c r="O21" s="32" t="n"/>
    </row>
    <row r="22">
      <c r="A22" s="46" t="n"/>
      <c r="B22" s="31" t="n"/>
      <c r="C22" s="27" t="n"/>
      <c r="D22" s="56" t="n"/>
      <c r="E22" s="17" t="n"/>
      <c r="F22" s="20" t="str">
        <f>IF(AND(ISNUMBER(D22),ISNUMBER(E22)),D22*E22,"")</f>
        <v/>
      </c>
      <c r="G22" s="51" t="str">
        <f>IF(ISNUMBER(F22),ROUND(MAX(F22*'参数'!$C$12,'参数'!$C$13),2),"")</f>
        <v/>
      </c>
      <c r="H22" s="51" t="str">
        <f>IF(ISNUMBER(F22),IF(C22="卖",ROUND(F22*'参数'!$C$14,2),0),"")</f>
        <v/>
      </c>
      <c r="I22" s="51" t="str">
        <f>IF(ISNUMBER(F22),ROUND(F22*'参数'!$C$15,2),"")</f>
        <v/>
      </c>
      <c r="J22" s="21" t="n"/>
      <c r="K22" s="20" t="str">
        <f>IF(ISNUMBER(J22),J22,IF(ISNUMBER(F22),G22+H22+I22+ROUND(F22*'参数'!$C$16,2),""))</f>
        <v/>
      </c>
      <c r="L22" s="43" t="str">
        <f>IF(A22="","",IFERROR(T(INDEX('交易记录'!$C$5:$C$304,MATCH(A22,'交易记录'!$A$5:$A$304,0))),"编号没找到"))</f>
        <v/>
      </c>
      <c r="M22" s="57" t="str">
        <f>IF(AND(C22="买",ISNUMBER(B22)),WORKDAY(B22,1,'参数'!$B$58:$B$80),"")</f>
        <v/>
      </c>
      <c r="N22" s="36" t="str">
        <f>IF(C22&lt;&gt;"卖","",IF(AND(ISNUMBER(B22),A22&lt;&gt;""),IF(SUMIFS($E$5:$E$804,$A$5:$A$804,A22,$C$5:$C$804,"卖",$B$5:$B$804,"&lt;="&amp;B22)&gt;SUMIFS($E$5:$E$804,$A$5:$A$804,A22,$C$5:$C$804,"买",$B$5:$B$804,"&lt;"&amp;B22),"超出可卖股数","OK"),""))</f>
        <v/>
      </c>
      <c r="O22" s="32" t="n"/>
    </row>
    <row r="23">
      <c r="A23" s="46" t="n"/>
      <c r="B23" s="31" t="n"/>
      <c r="C23" s="27" t="n"/>
      <c r="D23" s="56" t="n"/>
      <c r="E23" s="17" t="n"/>
      <c r="F23" s="20" t="str">
        <f>IF(AND(ISNUMBER(D23),ISNUMBER(E23)),D23*E23,"")</f>
        <v/>
      </c>
      <c r="G23" s="51" t="str">
        <f>IF(ISNUMBER(F23),ROUND(MAX(F23*'参数'!$C$12,'参数'!$C$13),2),"")</f>
        <v/>
      </c>
      <c r="H23" s="51" t="str">
        <f>IF(ISNUMBER(F23),IF(C23="卖",ROUND(F23*'参数'!$C$14,2),0),"")</f>
        <v/>
      </c>
      <c r="I23" s="51" t="str">
        <f>IF(ISNUMBER(F23),ROUND(F23*'参数'!$C$15,2),"")</f>
        <v/>
      </c>
      <c r="J23" s="21" t="n"/>
      <c r="K23" s="20" t="str">
        <f>IF(ISNUMBER(J23),J23,IF(ISNUMBER(F23),G23+H23+I23+ROUND(F23*'参数'!$C$16,2),""))</f>
        <v/>
      </c>
      <c r="L23" s="43" t="str">
        <f>IF(A23="","",IFERROR(T(INDEX('交易记录'!$C$5:$C$304,MATCH(A23,'交易记录'!$A$5:$A$304,0))),"编号没找到"))</f>
        <v/>
      </c>
      <c r="M23" s="57" t="str">
        <f>IF(AND(C23="买",ISNUMBER(B23)),WORKDAY(B23,1,'参数'!$B$58:$B$80),"")</f>
        <v/>
      </c>
      <c r="N23" s="36" t="str">
        <f>IF(C23&lt;&gt;"卖","",IF(AND(ISNUMBER(B23),A23&lt;&gt;""),IF(SUMIFS($E$5:$E$804,$A$5:$A$804,A23,$C$5:$C$804,"卖",$B$5:$B$804,"&lt;="&amp;B23)&gt;SUMIFS($E$5:$E$804,$A$5:$A$804,A23,$C$5:$C$804,"买",$B$5:$B$804,"&lt;"&amp;B23),"超出可卖股数","OK"),""))</f>
        <v/>
      </c>
      <c r="O23" s="32" t="n"/>
    </row>
    <row r="24">
      <c r="A24" s="46" t="n"/>
      <c r="B24" s="31" t="n"/>
      <c r="C24" s="27" t="n"/>
      <c r="D24" s="56" t="n"/>
      <c r="E24" s="17" t="n"/>
      <c r="F24" s="20" t="str">
        <f>IF(AND(ISNUMBER(D24),ISNUMBER(E24)),D24*E24,"")</f>
        <v/>
      </c>
      <c r="G24" s="51" t="str">
        <f>IF(ISNUMBER(F24),ROUND(MAX(F24*'参数'!$C$12,'参数'!$C$13),2),"")</f>
        <v/>
      </c>
      <c r="H24" s="51" t="str">
        <f>IF(ISNUMBER(F24),IF(C24="卖",ROUND(F24*'参数'!$C$14,2),0),"")</f>
        <v/>
      </c>
      <c r="I24" s="51" t="str">
        <f>IF(ISNUMBER(F24),ROUND(F24*'参数'!$C$15,2),"")</f>
        <v/>
      </c>
      <c r="J24" s="21" t="n"/>
      <c r="K24" s="20" t="str">
        <f>IF(ISNUMBER(J24),J24,IF(ISNUMBER(F24),G24+H24+I24+ROUND(F24*'参数'!$C$16,2),""))</f>
        <v/>
      </c>
      <c r="L24" s="43" t="str">
        <f>IF(A24="","",IFERROR(T(INDEX('交易记录'!$C$5:$C$304,MATCH(A24,'交易记录'!$A$5:$A$304,0))),"编号没找到"))</f>
        <v/>
      </c>
      <c r="M24" s="57" t="str">
        <f>IF(AND(C24="买",ISNUMBER(B24)),WORKDAY(B24,1,'参数'!$B$58:$B$80),"")</f>
        <v/>
      </c>
      <c r="N24" s="36" t="str">
        <f>IF(C24&lt;&gt;"卖","",IF(AND(ISNUMBER(B24),A24&lt;&gt;""),IF(SUMIFS($E$5:$E$804,$A$5:$A$804,A24,$C$5:$C$804,"卖",$B$5:$B$804,"&lt;="&amp;B24)&gt;SUMIFS($E$5:$E$804,$A$5:$A$804,A24,$C$5:$C$804,"买",$B$5:$B$804,"&lt;"&amp;B24),"超出可卖股数","OK"),""))</f>
        <v/>
      </c>
      <c r="O24" s="32" t="n"/>
    </row>
    <row r="25">
      <c r="A25" s="46" t="n"/>
      <c r="B25" s="31" t="n"/>
      <c r="C25" s="27" t="n"/>
      <c r="D25" s="56" t="n"/>
      <c r="E25" s="17" t="n"/>
      <c r="F25" s="20" t="str">
        <f>IF(AND(ISNUMBER(D25),ISNUMBER(E25)),D25*E25,"")</f>
        <v/>
      </c>
      <c r="G25" s="51" t="str">
        <f>IF(ISNUMBER(F25),ROUND(MAX(F25*'参数'!$C$12,'参数'!$C$13),2),"")</f>
        <v/>
      </c>
      <c r="H25" s="51" t="str">
        <f>IF(ISNUMBER(F25),IF(C25="卖",ROUND(F25*'参数'!$C$14,2),0),"")</f>
        <v/>
      </c>
      <c r="I25" s="51" t="str">
        <f>IF(ISNUMBER(F25),ROUND(F25*'参数'!$C$15,2),"")</f>
        <v/>
      </c>
      <c r="J25" s="21" t="n"/>
      <c r="K25" s="20" t="str">
        <f>IF(ISNUMBER(J25),J25,IF(ISNUMBER(F25),G25+H25+I25+ROUND(F25*'参数'!$C$16,2),""))</f>
        <v/>
      </c>
      <c r="L25" s="43" t="str">
        <f>IF(A25="","",IFERROR(T(INDEX('交易记录'!$C$5:$C$304,MATCH(A25,'交易记录'!$A$5:$A$304,0))),"编号没找到"))</f>
        <v/>
      </c>
      <c r="M25" s="57" t="str">
        <f>IF(AND(C25="买",ISNUMBER(B25)),WORKDAY(B25,1,'参数'!$B$58:$B$80),"")</f>
        <v/>
      </c>
      <c r="N25" s="36" t="str">
        <f>IF(C25&lt;&gt;"卖","",IF(AND(ISNUMBER(B25),A25&lt;&gt;""),IF(SUMIFS($E$5:$E$804,$A$5:$A$804,A25,$C$5:$C$804,"卖",$B$5:$B$804,"&lt;="&amp;B25)&gt;SUMIFS($E$5:$E$804,$A$5:$A$804,A25,$C$5:$C$804,"买",$B$5:$B$804,"&lt;"&amp;B25),"超出可卖股数","OK"),""))</f>
        <v/>
      </c>
      <c r="O25" s="32" t="n"/>
    </row>
    <row r="26">
      <c r="A26" s="46" t="n"/>
      <c r="B26" s="31" t="n"/>
      <c r="C26" s="27" t="n"/>
      <c r="D26" s="56" t="n"/>
      <c r="E26" s="17" t="n"/>
      <c r="F26" s="20" t="str">
        <f>IF(AND(ISNUMBER(D26),ISNUMBER(E26)),D26*E26,"")</f>
        <v/>
      </c>
      <c r="G26" s="51" t="str">
        <f>IF(ISNUMBER(F26),ROUND(MAX(F26*'参数'!$C$12,'参数'!$C$13),2),"")</f>
        <v/>
      </c>
      <c r="H26" s="51" t="str">
        <f>IF(ISNUMBER(F26),IF(C26="卖",ROUND(F26*'参数'!$C$14,2),0),"")</f>
        <v/>
      </c>
      <c r="I26" s="51" t="str">
        <f>IF(ISNUMBER(F26),ROUND(F26*'参数'!$C$15,2),"")</f>
        <v/>
      </c>
      <c r="J26" s="21" t="n"/>
      <c r="K26" s="20" t="str">
        <f>IF(ISNUMBER(J26),J26,IF(ISNUMBER(F26),G26+H26+I26+ROUND(F26*'参数'!$C$16,2),""))</f>
        <v/>
      </c>
      <c r="L26" s="43" t="str">
        <f>IF(A26="","",IFERROR(T(INDEX('交易记录'!$C$5:$C$304,MATCH(A26,'交易记录'!$A$5:$A$304,0))),"编号没找到"))</f>
        <v/>
      </c>
      <c r="M26" s="57" t="str">
        <f>IF(AND(C26="买",ISNUMBER(B26)),WORKDAY(B26,1,'参数'!$B$58:$B$80),"")</f>
        <v/>
      </c>
      <c r="N26" s="36" t="str">
        <f>IF(C26&lt;&gt;"卖","",IF(AND(ISNUMBER(B26),A26&lt;&gt;""),IF(SUMIFS($E$5:$E$804,$A$5:$A$804,A26,$C$5:$C$804,"卖",$B$5:$B$804,"&lt;="&amp;B26)&gt;SUMIFS($E$5:$E$804,$A$5:$A$804,A26,$C$5:$C$804,"买",$B$5:$B$804,"&lt;"&amp;B26),"超出可卖股数","OK"),""))</f>
        <v/>
      </c>
      <c r="O26" s="32" t="n"/>
    </row>
    <row r="27">
      <c r="A27" s="46" t="n"/>
      <c r="B27" s="31" t="n"/>
      <c r="C27" s="27" t="n"/>
      <c r="D27" s="56" t="n"/>
      <c r="E27" s="17" t="n"/>
      <c r="F27" s="20" t="str">
        <f>IF(AND(ISNUMBER(D27),ISNUMBER(E27)),D27*E27,"")</f>
        <v/>
      </c>
      <c r="G27" s="51" t="str">
        <f>IF(ISNUMBER(F27),ROUND(MAX(F27*'参数'!$C$12,'参数'!$C$13),2),"")</f>
        <v/>
      </c>
      <c r="H27" s="51" t="str">
        <f>IF(ISNUMBER(F27),IF(C27="卖",ROUND(F27*'参数'!$C$14,2),0),"")</f>
        <v/>
      </c>
      <c r="I27" s="51" t="str">
        <f>IF(ISNUMBER(F27),ROUND(F27*'参数'!$C$15,2),"")</f>
        <v/>
      </c>
      <c r="J27" s="21" t="n"/>
      <c r="K27" s="20" t="str">
        <f>IF(ISNUMBER(J27),J27,IF(ISNUMBER(F27),G27+H27+I27+ROUND(F27*'参数'!$C$16,2),""))</f>
        <v/>
      </c>
      <c r="L27" s="43" t="str">
        <f>IF(A27="","",IFERROR(T(INDEX('交易记录'!$C$5:$C$304,MATCH(A27,'交易记录'!$A$5:$A$304,0))),"编号没找到"))</f>
        <v/>
      </c>
      <c r="M27" s="57" t="str">
        <f>IF(AND(C27="买",ISNUMBER(B27)),WORKDAY(B27,1,'参数'!$B$58:$B$80),"")</f>
        <v/>
      </c>
      <c r="N27" s="36" t="str">
        <f>IF(C27&lt;&gt;"卖","",IF(AND(ISNUMBER(B27),A27&lt;&gt;""),IF(SUMIFS($E$5:$E$804,$A$5:$A$804,A27,$C$5:$C$804,"卖",$B$5:$B$804,"&lt;="&amp;B27)&gt;SUMIFS($E$5:$E$804,$A$5:$A$804,A27,$C$5:$C$804,"买",$B$5:$B$804,"&lt;"&amp;B27),"超出可卖股数","OK"),""))</f>
        <v/>
      </c>
      <c r="O27" s="32" t="n"/>
    </row>
    <row r="28">
      <c r="A28" s="46" t="n"/>
      <c r="B28" s="31" t="n"/>
      <c r="C28" s="27" t="n"/>
      <c r="D28" s="56" t="n"/>
      <c r="E28" s="17" t="n"/>
      <c r="F28" s="20" t="str">
        <f>IF(AND(ISNUMBER(D28),ISNUMBER(E28)),D28*E28,"")</f>
        <v/>
      </c>
      <c r="G28" s="51" t="str">
        <f>IF(ISNUMBER(F28),ROUND(MAX(F28*'参数'!$C$12,'参数'!$C$13),2),"")</f>
        <v/>
      </c>
      <c r="H28" s="51" t="str">
        <f>IF(ISNUMBER(F28),IF(C28="卖",ROUND(F28*'参数'!$C$14,2),0),"")</f>
        <v/>
      </c>
      <c r="I28" s="51" t="str">
        <f>IF(ISNUMBER(F28),ROUND(F28*'参数'!$C$15,2),"")</f>
        <v/>
      </c>
      <c r="J28" s="21" t="n"/>
      <c r="K28" s="20" t="str">
        <f>IF(ISNUMBER(J28),J28,IF(ISNUMBER(F28),G28+H28+I28+ROUND(F28*'参数'!$C$16,2),""))</f>
        <v/>
      </c>
      <c r="L28" s="43" t="str">
        <f>IF(A28="","",IFERROR(T(INDEX('交易记录'!$C$5:$C$304,MATCH(A28,'交易记录'!$A$5:$A$304,0))),"编号没找到"))</f>
        <v/>
      </c>
      <c r="M28" s="57" t="str">
        <f>IF(AND(C28="买",ISNUMBER(B28)),WORKDAY(B28,1,'参数'!$B$58:$B$80),"")</f>
        <v/>
      </c>
      <c r="N28" s="36" t="str">
        <f>IF(C28&lt;&gt;"卖","",IF(AND(ISNUMBER(B28),A28&lt;&gt;""),IF(SUMIFS($E$5:$E$804,$A$5:$A$804,A28,$C$5:$C$804,"卖",$B$5:$B$804,"&lt;="&amp;B28)&gt;SUMIFS($E$5:$E$804,$A$5:$A$804,A28,$C$5:$C$804,"买",$B$5:$B$804,"&lt;"&amp;B28),"超出可卖股数","OK"),""))</f>
        <v/>
      </c>
      <c r="O28" s="32" t="n"/>
    </row>
    <row r="29">
      <c r="A29" s="46" t="n"/>
      <c r="B29" s="31" t="n"/>
      <c r="C29" s="27" t="n"/>
      <c r="D29" s="56" t="n"/>
      <c r="E29" s="17" t="n"/>
      <c r="F29" s="20" t="str">
        <f>IF(AND(ISNUMBER(D29),ISNUMBER(E29)),D29*E29,"")</f>
        <v/>
      </c>
      <c r="G29" s="51" t="str">
        <f>IF(ISNUMBER(F29),ROUND(MAX(F29*'参数'!$C$12,'参数'!$C$13),2),"")</f>
        <v/>
      </c>
      <c r="H29" s="51" t="str">
        <f>IF(ISNUMBER(F29),IF(C29="卖",ROUND(F29*'参数'!$C$14,2),0),"")</f>
        <v/>
      </c>
      <c r="I29" s="51" t="str">
        <f>IF(ISNUMBER(F29),ROUND(F29*'参数'!$C$15,2),"")</f>
        <v/>
      </c>
      <c r="J29" s="21" t="n"/>
      <c r="K29" s="20" t="str">
        <f>IF(ISNUMBER(J29),J29,IF(ISNUMBER(F29),G29+H29+I29+ROUND(F29*'参数'!$C$16,2),""))</f>
        <v/>
      </c>
      <c r="L29" s="43" t="str">
        <f>IF(A29="","",IFERROR(T(INDEX('交易记录'!$C$5:$C$304,MATCH(A29,'交易记录'!$A$5:$A$304,0))),"编号没找到"))</f>
        <v/>
      </c>
      <c r="M29" s="57" t="str">
        <f>IF(AND(C29="买",ISNUMBER(B29)),WORKDAY(B29,1,'参数'!$B$58:$B$80),"")</f>
        <v/>
      </c>
      <c r="N29" s="36" t="str">
        <f>IF(C29&lt;&gt;"卖","",IF(AND(ISNUMBER(B29),A29&lt;&gt;""),IF(SUMIFS($E$5:$E$804,$A$5:$A$804,A29,$C$5:$C$804,"卖",$B$5:$B$804,"&lt;="&amp;B29)&gt;SUMIFS($E$5:$E$804,$A$5:$A$804,A29,$C$5:$C$804,"买",$B$5:$B$804,"&lt;"&amp;B29),"超出可卖股数","OK"),""))</f>
        <v/>
      </c>
      <c r="O29" s="32" t="n"/>
    </row>
    <row r="30">
      <c r="A30" s="46" t="n"/>
      <c r="B30" s="31" t="n"/>
      <c r="C30" s="27" t="n"/>
      <c r="D30" s="56" t="n"/>
      <c r="E30" s="17" t="n"/>
      <c r="F30" s="20" t="str">
        <f>IF(AND(ISNUMBER(D30),ISNUMBER(E30)),D30*E30,"")</f>
        <v/>
      </c>
      <c r="G30" s="51" t="str">
        <f>IF(ISNUMBER(F30),ROUND(MAX(F30*'参数'!$C$12,'参数'!$C$13),2),"")</f>
        <v/>
      </c>
      <c r="H30" s="51" t="str">
        <f>IF(ISNUMBER(F30),IF(C30="卖",ROUND(F30*'参数'!$C$14,2),0),"")</f>
        <v/>
      </c>
      <c r="I30" s="51" t="str">
        <f>IF(ISNUMBER(F30),ROUND(F30*'参数'!$C$15,2),"")</f>
        <v/>
      </c>
      <c r="J30" s="21" t="n"/>
      <c r="K30" s="20" t="str">
        <f>IF(ISNUMBER(J30),J30,IF(ISNUMBER(F30),G30+H30+I30+ROUND(F30*'参数'!$C$16,2),""))</f>
        <v/>
      </c>
      <c r="L30" s="43" t="str">
        <f>IF(A30="","",IFERROR(T(INDEX('交易记录'!$C$5:$C$304,MATCH(A30,'交易记录'!$A$5:$A$304,0))),"编号没找到"))</f>
        <v/>
      </c>
      <c r="M30" s="57" t="str">
        <f>IF(AND(C30="买",ISNUMBER(B30)),WORKDAY(B30,1,'参数'!$B$58:$B$80),"")</f>
        <v/>
      </c>
      <c r="N30" s="36" t="str">
        <f>IF(C30&lt;&gt;"卖","",IF(AND(ISNUMBER(B30),A30&lt;&gt;""),IF(SUMIFS($E$5:$E$804,$A$5:$A$804,A30,$C$5:$C$804,"卖",$B$5:$B$804,"&lt;="&amp;B30)&gt;SUMIFS($E$5:$E$804,$A$5:$A$804,A30,$C$5:$C$804,"买",$B$5:$B$804,"&lt;"&amp;B30),"超出可卖股数","OK"),""))</f>
        <v/>
      </c>
      <c r="O30" s="32" t="n"/>
    </row>
    <row r="31">
      <c r="A31" s="46" t="n"/>
      <c r="B31" s="31" t="n"/>
      <c r="C31" s="27" t="n"/>
      <c r="D31" s="56" t="n"/>
      <c r="E31" s="17" t="n"/>
      <c r="F31" s="20" t="str">
        <f>IF(AND(ISNUMBER(D31),ISNUMBER(E31)),D31*E31,"")</f>
        <v/>
      </c>
      <c r="G31" s="51" t="str">
        <f>IF(ISNUMBER(F31),ROUND(MAX(F31*'参数'!$C$12,'参数'!$C$13),2),"")</f>
        <v/>
      </c>
      <c r="H31" s="51" t="str">
        <f>IF(ISNUMBER(F31),IF(C31="卖",ROUND(F31*'参数'!$C$14,2),0),"")</f>
        <v/>
      </c>
      <c r="I31" s="51" t="str">
        <f>IF(ISNUMBER(F31),ROUND(F31*'参数'!$C$15,2),"")</f>
        <v/>
      </c>
      <c r="J31" s="21" t="n"/>
      <c r="K31" s="20" t="str">
        <f>IF(ISNUMBER(J31),J31,IF(ISNUMBER(F31),G31+H31+I31+ROUND(F31*'参数'!$C$16,2),""))</f>
        <v/>
      </c>
      <c r="L31" s="43" t="str">
        <f>IF(A31="","",IFERROR(T(INDEX('交易记录'!$C$5:$C$304,MATCH(A31,'交易记录'!$A$5:$A$304,0))),"编号没找到"))</f>
        <v/>
      </c>
      <c r="M31" s="57" t="str">
        <f>IF(AND(C31="买",ISNUMBER(B31)),WORKDAY(B31,1,'参数'!$B$58:$B$80),"")</f>
        <v/>
      </c>
      <c r="N31" s="36" t="str">
        <f>IF(C31&lt;&gt;"卖","",IF(AND(ISNUMBER(B31),A31&lt;&gt;""),IF(SUMIFS($E$5:$E$804,$A$5:$A$804,A31,$C$5:$C$804,"卖",$B$5:$B$804,"&lt;="&amp;B31)&gt;SUMIFS($E$5:$E$804,$A$5:$A$804,A31,$C$5:$C$804,"买",$B$5:$B$804,"&lt;"&amp;B31),"超出可卖股数","OK"),""))</f>
        <v/>
      </c>
      <c r="O31" s="32" t="n"/>
    </row>
    <row r="32">
      <c r="A32" s="46" t="n"/>
      <c r="B32" s="31" t="n"/>
      <c r="C32" s="27" t="n"/>
      <c r="D32" s="56" t="n"/>
      <c r="E32" s="17" t="n"/>
      <c r="F32" s="20" t="str">
        <f>IF(AND(ISNUMBER(D32),ISNUMBER(E32)),D32*E32,"")</f>
        <v/>
      </c>
      <c r="G32" s="51" t="str">
        <f>IF(ISNUMBER(F32),ROUND(MAX(F32*'参数'!$C$12,'参数'!$C$13),2),"")</f>
        <v/>
      </c>
      <c r="H32" s="51" t="str">
        <f>IF(ISNUMBER(F32),IF(C32="卖",ROUND(F32*'参数'!$C$14,2),0),"")</f>
        <v/>
      </c>
      <c r="I32" s="51" t="str">
        <f>IF(ISNUMBER(F32),ROUND(F32*'参数'!$C$15,2),"")</f>
        <v/>
      </c>
      <c r="J32" s="21" t="n"/>
      <c r="K32" s="20" t="str">
        <f>IF(ISNUMBER(J32),J32,IF(ISNUMBER(F32),G32+H32+I32+ROUND(F32*'参数'!$C$16,2),""))</f>
        <v/>
      </c>
      <c r="L32" s="43" t="str">
        <f>IF(A32="","",IFERROR(T(INDEX('交易记录'!$C$5:$C$304,MATCH(A32,'交易记录'!$A$5:$A$304,0))),"编号没找到"))</f>
        <v/>
      </c>
      <c r="M32" s="57" t="str">
        <f>IF(AND(C32="买",ISNUMBER(B32)),WORKDAY(B32,1,'参数'!$B$58:$B$80),"")</f>
        <v/>
      </c>
      <c r="N32" s="36" t="str">
        <f>IF(C32&lt;&gt;"卖","",IF(AND(ISNUMBER(B32),A32&lt;&gt;""),IF(SUMIFS($E$5:$E$804,$A$5:$A$804,A32,$C$5:$C$804,"卖",$B$5:$B$804,"&lt;="&amp;B32)&gt;SUMIFS($E$5:$E$804,$A$5:$A$804,A32,$C$5:$C$804,"买",$B$5:$B$804,"&lt;"&amp;B32),"超出可卖股数","OK"),""))</f>
        <v/>
      </c>
      <c r="O32" s="32" t="n"/>
    </row>
    <row r="33">
      <c r="A33" s="46" t="n"/>
      <c r="B33" s="31" t="n"/>
      <c r="C33" s="27" t="n"/>
      <c r="D33" s="56" t="n"/>
      <c r="E33" s="17" t="n"/>
      <c r="F33" s="20" t="str">
        <f>IF(AND(ISNUMBER(D33),ISNUMBER(E33)),D33*E33,"")</f>
        <v/>
      </c>
      <c r="G33" s="51" t="str">
        <f>IF(ISNUMBER(F33),ROUND(MAX(F33*'参数'!$C$12,'参数'!$C$13),2),"")</f>
        <v/>
      </c>
      <c r="H33" s="51" t="str">
        <f>IF(ISNUMBER(F33),IF(C33="卖",ROUND(F33*'参数'!$C$14,2),0),"")</f>
        <v/>
      </c>
      <c r="I33" s="51" t="str">
        <f>IF(ISNUMBER(F33),ROUND(F33*'参数'!$C$15,2),"")</f>
        <v/>
      </c>
      <c r="J33" s="21" t="n"/>
      <c r="K33" s="20" t="str">
        <f>IF(ISNUMBER(J33),J33,IF(ISNUMBER(F33),G33+H33+I33+ROUND(F33*'参数'!$C$16,2),""))</f>
        <v/>
      </c>
      <c r="L33" s="43" t="str">
        <f>IF(A33="","",IFERROR(T(INDEX('交易记录'!$C$5:$C$304,MATCH(A33,'交易记录'!$A$5:$A$304,0))),"编号没找到"))</f>
        <v/>
      </c>
      <c r="M33" s="57" t="str">
        <f>IF(AND(C33="买",ISNUMBER(B33)),WORKDAY(B33,1,'参数'!$B$58:$B$80),"")</f>
        <v/>
      </c>
      <c r="N33" s="36" t="str">
        <f>IF(C33&lt;&gt;"卖","",IF(AND(ISNUMBER(B33),A33&lt;&gt;""),IF(SUMIFS($E$5:$E$804,$A$5:$A$804,A33,$C$5:$C$804,"卖",$B$5:$B$804,"&lt;="&amp;B33)&gt;SUMIFS($E$5:$E$804,$A$5:$A$804,A33,$C$5:$C$804,"买",$B$5:$B$804,"&lt;"&amp;B33),"超出可卖股数","OK"),""))</f>
        <v/>
      </c>
      <c r="O33" s="32" t="n"/>
    </row>
    <row r="34">
      <c r="A34" s="46" t="n"/>
      <c r="B34" s="31" t="n"/>
      <c r="C34" s="27" t="n"/>
      <c r="D34" s="56" t="n"/>
      <c r="E34" s="17" t="n"/>
      <c r="F34" s="20" t="str">
        <f>IF(AND(ISNUMBER(D34),ISNUMBER(E34)),D34*E34,"")</f>
        <v/>
      </c>
      <c r="G34" s="51" t="str">
        <f>IF(ISNUMBER(F34),ROUND(MAX(F34*'参数'!$C$12,'参数'!$C$13),2),"")</f>
        <v/>
      </c>
      <c r="H34" s="51" t="str">
        <f>IF(ISNUMBER(F34),IF(C34="卖",ROUND(F34*'参数'!$C$14,2),0),"")</f>
        <v/>
      </c>
      <c r="I34" s="51" t="str">
        <f>IF(ISNUMBER(F34),ROUND(F34*'参数'!$C$15,2),"")</f>
        <v/>
      </c>
      <c r="J34" s="21" t="n"/>
      <c r="K34" s="20" t="str">
        <f>IF(ISNUMBER(J34),J34,IF(ISNUMBER(F34),G34+H34+I34+ROUND(F34*'参数'!$C$16,2),""))</f>
        <v/>
      </c>
      <c r="L34" s="43" t="str">
        <f>IF(A34="","",IFERROR(T(INDEX('交易记录'!$C$5:$C$304,MATCH(A34,'交易记录'!$A$5:$A$304,0))),"编号没找到"))</f>
        <v/>
      </c>
      <c r="M34" s="57" t="str">
        <f>IF(AND(C34="买",ISNUMBER(B34)),WORKDAY(B34,1,'参数'!$B$58:$B$80),"")</f>
        <v/>
      </c>
      <c r="N34" s="36" t="str">
        <f>IF(C34&lt;&gt;"卖","",IF(AND(ISNUMBER(B34),A34&lt;&gt;""),IF(SUMIFS($E$5:$E$804,$A$5:$A$804,A34,$C$5:$C$804,"卖",$B$5:$B$804,"&lt;="&amp;B34)&gt;SUMIFS($E$5:$E$804,$A$5:$A$804,A34,$C$5:$C$804,"买",$B$5:$B$804,"&lt;"&amp;B34),"超出可卖股数","OK"),""))</f>
        <v/>
      </c>
      <c r="O34" s="32" t="n"/>
    </row>
    <row r="35">
      <c r="A35" s="46" t="n"/>
      <c r="B35" s="31" t="n"/>
      <c r="C35" s="27" t="n"/>
      <c r="D35" s="56" t="n"/>
      <c r="E35" s="17" t="n"/>
      <c r="F35" s="20" t="str">
        <f>IF(AND(ISNUMBER(D35),ISNUMBER(E35)),D35*E35,"")</f>
        <v/>
      </c>
      <c r="G35" s="51" t="str">
        <f>IF(ISNUMBER(F35),ROUND(MAX(F35*'参数'!$C$12,'参数'!$C$13),2),"")</f>
        <v/>
      </c>
      <c r="H35" s="51" t="str">
        <f>IF(ISNUMBER(F35),IF(C35="卖",ROUND(F35*'参数'!$C$14,2),0),"")</f>
        <v/>
      </c>
      <c r="I35" s="51" t="str">
        <f>IF(ISNUMBER(F35),ROUND(F35*'参数'!$C$15,2),"")</f>
        <v/>
      </c>
      <c r="J35" s="21" t="n"/>
      <c r="K35" s="20" t="str">
        <f>IF(ISNUMBER(J35),J35,IF(ISNUMBER(F35),G35+H35+I35+ROUND(F35*'参数'!$C$16,2),""))</f>
        <v/>
      </c>
      <c r="L35" s="43" t="str">
        <f>IF(A35="","",IFERROR(T(INDEX('交易记录'!$C$5:$C$304,MATCH(A35,'交易记录'!$A$5:$A$304,0))),"编号没找到"))</f>
        <v/>
      </c>
      <c r="M35" s="57" t="str">
        <f>IF(AND(C35="买",ISNUMBER(B35)),WORKDAY(B35,1,'参数'!$B$58:$B$80),"")</f>
        <v/>
      </c>
      <c r="N35" s="36" t="str">
        <f>IF(C35&lt;&gt;"卖","",IF(AND(ISNUMBER(B35),A35&lt;&gt;""),IF(SUMIFS($E$5:$E$804,$A$5:$A$804,A35,$C$5:$C$804,"卖",$B$5:$B$804,"&lt;="&amp;B35)&gt;SUMIFS($E$5:$E$804,$A$5:$A$804,A35,$C$5:$C$804,"买",$B$5:$B$804,"&lt;"&amp;B35),"超出可卖股数","OK"),""))</f>
        <v/>
      </c>
      <c r="O35" s="32" t="n"/>
    </row>
    <row r="36">
      <c r="A36" s="46" t="n"/>
      <c r="B36" s="31" t="n"/>
      <c r="C36" s="27" t="n"/>
      <c r="D36" s="56" t="n"/>
      <c r="E36" s="17" t="n"/>
      <c r="F36" s="20" t="str">
        <f>IF(AND(ISNUMBER(D36),ISNUMBER(E36)),D36*E36,"")</f>
        <v/>
      </c>
      <c r="G36" s="51" t="str">
        <f>IF(ISNUMBER(F36),ROUND(MAX(F36*'参数'!$C$12,'参数'!$C$13),2),"")</f>
        <v/>
      </c>
      <c r="H36" s="51" t="str">
        <f>IF(ISNUMBER(F36),IF(C36="卖",ROUND(F36*'参数'!$C$14,2),0),"")</f>
        <v/>
      </c>
      <c r="I36" s="51" t="str">
        <f>IF(ISNUMBER(F36),ROUND(F36*'参数'!$C$15,2),"")</f>
        <v/>
      </c>
      <c r="J36" s="21" t="n"/>
      <c r="K36" s="20" t="str">
        <f>IF(ISNUMBER(J36),J36,IF(ISNUMBER(F36),G36+H36+I36+ROUND(F36*'参数'!$C$16,2),""))</f>
        <v/>
      </c>
      <c r="L36" s="43" t="str">
        <f>IF(A36="","",IFERROR(T(INDEX('交易记录'!$C$5:$C$304,MATCH(A36,'交易记录'!$A$5:$A$304,0))),"编号没找到"))</f>
        <v/>
      </c>
      <c r="M36" s="57" t="str">
        <f>IF(AND(C36="买",ISNUMBER(B36)),WORKDAY(B36,1,'参数'!$B$58:$B$80),"")</f>
        <v/>
      </c>
      <c r="N36" s="36" t="str">
        <f>IF(C36&lt;&gt;"卖","",IF(AND(ISNUMBER(B36),A36&lt;&gt;""),IF(SUMIFS($E$5:$E$804,$A$5:$A$804,A36,$C$5:$C$804,"卖",$B$5:$B$804,"&lt;="&amp;B36)&gt;SUMIFS($E$5:$E$804,$A$5:$A$804,A36,$C$5:$C$804,"买",$B$5:$B$804,"&lt;"&amp;B36),"超出可卖股数","OK"),""))</f>
        <v/>
      </c>
      <c r="O36" s="32" t="n"/>
    </row>
    <row r="37">
      <c r="A37" s="46" t="n"/>
      <c r="B37" s="31" t="n"/>
      <c r="C37" s="27" t="n"/>
      <c r="D37" s="56" t="n"/>
      <c r="E37" s="17" t="n"/>
      <c r="F37" s="20" t="str">
        <f>IF(AND(ISNUMBER(D37),ISNUMBER(E37)),D37*E37,"")</f>
        <v/>
      </c>
      <c r="G37" s="51" t="str">
        <f>IF(ISNUMBER(F37),ROUND(MAX(F37*'参数'!$C$12,'参数'!$C$13),2),"")</f>
        <v/>
      </c>
      <c r="H37" s="51" t="str">
        <f>IF(ISNUMBER(F37),IF(C37="卖",ROUND(F37*'参数'!$C$14,2),0),"")</f>
        <v/>
      </c>
      <c r="I37" s="51" t="str">
        <f>IF(ISNUMBER(F37),ROUND(F37*'参数'!$C$15,2),"")</f>
        <v/>
      </c>
      <c r="J37" s="21" t="n"/>
      <c r="K37" s="20" t="str">
        <f>IF(ISNUMBER(J37),J37,IF(ISNUMBER(F37),G37+H37+I37+ROUND(F37*'参数'!$C$16,2),""))</f>
        <v/>
      </c>
      <c r="L37" s="43" t="str">
        <f>IF(A37="","",IFERROR(T(INDEX('交易记录'!$C$5:$C$304,MATCH(A37,'交易记录'!$A$5:$A$304,0))),"编号没找到"))</f>
        <v/>
      </c>
      <c r="M37" s="57" t="str">
        <f>IF(AND(C37="买",ISNUMBER(B37)),WORKDAY(B37,1,'参数'!$B$58:$B$80),"")</f>
        <v/>
      </c>
      <c r="N37" s="36" t="str">
        <f>IF(C37&lt;&gt;"卖","",IF(AND(ISNUMBER(B37),A37&lt;&gt;""),IF(SUMIFS($E$5:$E$804,$A$5:$A$804,A37,$C$5:$C$804,"卖",$B$5:$B$804,"&lt;="&amp;B37)&gt;SUMIFS($E$5:$E$804,$A$5:$A$804,A37,$C$5:$C$804,"买",$B$5:$B$804,"&lt;"&amp;B37),"超出可卖股数","OK"),""))</f>
        <v/>
      </c>
      <c r="O37" s="32" t="n"/>
    </row>
    <row r="38">
      <c r="A38" s="46" t="n"/>
      <c r="B38" s="31" t="n"/>
      <c r="C38" s="27" t="n"/>
      <c r="D38" s="56" t="n"/>
      <c r="E38" s="17" t="n"/>
      <c r="F38" s="20" t="str">
        <f>IF(AND(ISNUMBER(D38),ISNUMBER(E38)),D38*E38,"")</f>
        <v/>
      </c>
      <c r="G38" s="51" t="str">
        <f>IF(ISNUMBER(F38),ROUND(MAX(F38*'参数'!$C$12,'参数'!$C$13),2),"")</f>
        <v/>
      </c>
      <c r="H38" s="51" t="str">
        <f>IF(ISNUMBER(F38),IF(C38="卖",ROUND(F38*'参数'!$C$14,2),0),"")</f>
        <v/>
      </c>
      <c r="I38" s="51" t="str">
        <f>IF(ISNUMBER(F38),ROUND(F38*'参数'!$C$15,2),"")</f>
        <v/>
      </c>
      <c r="J38" s="21" t="n"/>
      <c r="K38" s="20" t="str">
        <f>IF(ISNUMBER(J38),J38,IF(ISNUMBER(F38),G38+H38+I38+ROUND(F38*'参数'!$C$16,2),""))</f>
        <v/>
      </c>
      <c r="L38" s="43" t="str">
        <f>IF(A38="","",IFERROR(T(INDEX('交易记录'!$C$5:$C$304,MATCH(A38,'交易记录'!$A$5:$A$304,0))),"编号没找到"))</f>
        <v/>
      </c>
      <c r="M38" s="57" t="str">
        <f>IF(AND(C38="买",ISNUMBER(B38)),WORKDAY(B38,1,'参数'!$B$58:$B$80),"")</f>
        <v/>
      </c>
      <c r="N38" s="36" t="str">
        <f>IF(C38&lt;&gt;"卖","",IF(AND(ISNUMBER(B38),A38&lt;&gt;""),IF(SUMIFS($E$5:$E$804,$A$5:$A$804,A38,$C$5:$C$804,"卖",$B$5:$B$804,"&lt;="&amp;B38)&gt;SUMIFS($E$5:$E$804,$A$5:$A$804,A38,$C$5:$C$804,"买",$B$5:$B$804,"&lt;"&amp;B38),"超出可卖股数","OK"),""))</f>
        <v/>
      </c>
      <c r="O38" s="32" t="n"/>
    </row>
    <row r="39">
      <c r="A39" s="46" t="n"/>
      <c r="B39" s="31" t="n"/>
      <c r="C39" s="27" t="n"/>
      <c r="D39" s="56" t="n"/>
      <c r="E39" s="17" t="n"/>
      <c r="F39" s="20" t="str">
        <f>IF(AND(ISNUMBER(D39),ISNUMBER(E39)),D39*E39,"")</f>
        <v/>
      </c>
      <c r="G39" s="51" t="str">
        <f>IF(ISNUMBER(F39),ROUND(MAX(F39*'参数'!$C$12,'参数'!$C$13),2),"")</f>
        <v/>
      </c>
      <c r="H39" s="51" t="str">
        <f>IF(ISNUMBER(F39),IF(C39="卖",ROUND(F39*'参数'!$C$14,2),0),"")</f>
        <v/>
      </c>
      <c r="I39" s="51" t="str">
        <f>IF(ISNUMBER(F39),ROUND(F39*'参数'!$C$15,2),"")</f>
        <v/>
      </c>
      <c r="J39" s="21" t="n"/>
      <c r="K39" s="20" t="str">
        <f>IF(ISNUMBER(J39),J39,IF(ISNUMBER(F39),G39+H39+I39+ROUND(F39*'参数'!$C$16,2),""))</f>
        <v/>
      </c>
      <c r="L39" s="43" t="str">
        <f>IF(A39="","",IFERROR(T(INDEX('交易记录'!$C$5:$C$304,MATCH(A39,'交易记录'!$A$5:$A$304,0))),"编号没找到"))</f>
        <v/>
      </c>
      <c r="M39" s="57" t="str">
        <f>IF(AND(C39="买",ISNUMBER(B39)),WORKDAY(B39,1,'参数'!$B$58:$B$80),"")</f>
        <v/>
      </c>
      <c r="N39" s="36" t="str">
        <f>IF(C39&lt;&gt;"卖","",IF(AND(ISNUMBER(B39),A39&lt;&gt;""),IF(SUMIFS($E$5:$E$804,$A$5:$A$804,A39,$C$5:$C$804,"卖",$B$5:$B$804,"&lt;="&amp;B39)&gt;SUMIFS($E$5:$E$804,$A$5:$A$804,A39,$C$5:$C$804,"买",$B$5:$B$804,"&lt;"&amp;B39),"超出可卖股数","OK"),""))</f>
        <v/>
      </c>
      <c r="O39" s="32" t="n"/>
    </row>
    <row r="40">
      <c r="A40" s="46" t="n"/>
      <c r="B40" s="31" t="n"/>
      <c r="C40" s="27" t="n"/>
      <c r="D40" s="56" t="n"/>
      <c r="E40" s="17" t="n"/>
      <c r="F40" s="20" t="str">
        <f>IF(AND(ISNUMBER(D40),ISNUMBER(E40)),D40*E40,"")</f>
        <v/>
      </c>
      <c r="G40" s="51" t="str">
        <f>IF(ISNUMBER(F40),ROUND(MAX(F40*'参数'!$C$12,'参数'!$C$13),2),"")</f>
        <v/>
      </c>
      <c r="H40" s="51" t="str">
        <f>IF(ISNUMBER(F40),IF(C40="卖",ROUND(F40*'参数'!$C$14,2),0),"")</f>
        <v/>
      </c>
      <c r="I40" s="51" t="str">
        <f>IF(ISNUMBER(F40),ROUND(F40*'参数'!$C$15,2),"")</f>
        <v/>
      </c>
      <c r="J40" s="21" t="n"/>
      <c r="K40" s="20" t="str">
        <f>IF(ISNUMBER(J40),J40,IF(ISNUMBER(F40),G40+H40+I40+ROUND(F40*'参数'!$C$16,2),""))</f>
        <v/>
      </c>
      <c r="L40" s="43" t="str">
        <f>IF(A40="","",IFERROR(T(INDEX('交易记录'!$C$5:$C$304,MATCH(A40,'交易记录'!$A$5:$A$304,0))),"编号没找到"))</f>
        <v/>
      </c>
      <c r="M40" s="57" t="str">
        <f>IF(AND(C40="买",ISNUMBER(B40)),WORKDAY(B40,1,'参数'!$B$58:$B$80),"")</f>
        <v/>
      </c>
      <c r="N40" s="36" t="str">
        <f>IF(C40&lt;&gt;"卖","",IF(AND(ISNUMBER(B40),A40&lt;&gt;""),IF(SUMIFS($E$5:$E$804,$A$5:$A$804,A40,$C$5:$C$804,"卖",$B$5:$B$804,"&lt;="&amp;B40)&gt;SUMIFS($E$5:$E$804,$A$5:$A$804,A40,$C$5:$C$804,"买",$B$5:$B$804,"&lt;"&amp;B40),"超出可卖股数","OK"),""))</f>
        <v/>
      </c>
      <c r="O40" s="32" t="n"/>
    </row>
    <row r="41">
      <c r="A41" s="46" t="n"/>
      <c r="B41" s="31" t="n"/>
      <c r="C41" s="27" t="n"/>
      <c r="D41" s="56" t="n"/>
      <c r="E41" s="17" t="n"/>
      <c r="F41" s="20" t="str">
        <f>IF(AND(ISNUMBER(D41),ISNUMBER(E41)),D41*E41,"")</f>
        <v/>
      </c>
      <c r="G41" s="51" t="str">
        <f>IF(ISNUMBER(F41),ROUND(MAX(F41*'参数'!$C$12,'参数'!$C$13),2),"")</f>
        <v/>
      </c>
      <c r="H41" s="51" t="str">
        <f>IF(ISNUMBER(F41),IF(C41="卖",ROUND(F41*'参数'!$C$14,2),0),"")</f>
        <v/>
      </c>
      <c r="I41" s="51" t="str">
        <f>IF(ISNUMBER(F41),ROUND(F41*'参数'!$C$15,2),"")</f>
        <v/>
      </c>
      <c r="J41" s="21" t="n"/>
      <c r="K41" s="20" t="str">
        <f>IF(ISNUMBER(J41),J41,IF(ISNUMBER(F41),G41+H41+I41+ROUND(F41*'参数'!$C$16,2),""))</f>
        <v/>
      </c>
      <c r="L41" s="43" t="str">
        <f>IF(A41="","",IFERROR(T(INDEX('交易记录'!$C$5:$C$304,MATCH(A41,'交易记录'!$A$5:$A$304,0))),"编号没找到"))</f>
        <v/>
      </c>
      <c r="M41" s="57" t="str">
        <f>IF(AND(C41="买",ISNUMBER(B41)),WORKDAY(B41,1,'参数'!$B$58:$B$80),"")</f>
        <v/>
      </c>
      <c r="N41" s="36" t="str">
        <f>IF(C41&lt;&gt;"卖","",IF(AND(ISNUMBER(B41),A41&lt;&gt;""),IF(SUMIFS($E$5:$E$804,$A$5:$A$804,A41,$C$5:$C$804,"卖",$B$5:$B$804,"&lt;="&amp;B41)&gt;SUMIFS($E$5:$E$804,$A$5:$A$804,A41,$C$5:$C$804,"买",$B$5:$B$804,"&lt;"&amp;B41),"超出可卖股数","OK"),""))</f>
        <v/>
      </c>
      <c r="O41" s="32" t="n"/>
    </row>
    <row r="42">
      <c r="A42" s="46" t="n"/>
      <c r="B42" s="31" t="n"/>
      <c r="C42" s="27" t="n"/>
      <c r="D42" s="56" t="n"/>
      <c r="E42" s="17" t="n"/>
      <c r="F42" s="20" t="str">
        <f>IF(AND(ISNUMBER(D42),ISNUMBER(E42)),D42*E42,"")</f>
        <v/>
      </c>
      <c r="G42" s="51" t="str">
        <f>IF(ISNUMBER(F42),ROUND(MAX(F42*'参数'!$C$12,'参数'!$C$13),2),"")</f>
        <v/>
      </c>
      <c r="H42" s="51" t="str">
        <f>IF(ISNUMBER(F42),IF(C42="卖",ROUND(F42*'参数'!$C$14,2),0),"")</f>
        <v/>
      </c>
      <c r="I42" s="51" t="str">
        <f>IF(ISNUMBER(F42),ROUND(F42*'参数'!$C$15,2),"")</f>
        <v/>
      </c>
      <c r="J42" s="21" t="n"/>
      <c r="K42" s="20" t="str">
        <f>IF(ISNUMBER(J42),J42,IF(ISNUMBER(F42),G42+H42+I42+ROUND(F42*'参数'!$C$16,2),""))</f>
        <v/>
      </c>
      <c r="L42" s="43" t="str">
        <f>IF(A42="","",IFERROR(T(INDEX('交易记录'!$C$5:$C$304,MATCH(A42,'交易记录'!$A$5:$A$304,0))),"编号没找到"))</f>
        <v/>
      </c>
      <c r="M42" s="57" t="str">
        <f>IF(AND(C42="买",ISNUMBER(B42)),WORKDAY(B42,1,'参数'!$B$58:$B$80),"")</f>
        <v/>
      </c>
      <c r="N42" s="36" t="str">
        <f>IF(C42&lt;&gt;"卖","",IF(AND(ISNUMBER(B42),A42&lt;&gt;""),IF(SUMIFS($E$5:$E$804,$A$5:$A$804,A42,$C$5:$C$804,"卖",$B$5:$B$804,"&lt;="&amp;B42)&gt;SUMIFS($E$5:$E$804,$A$5:$A$804,A42,$C$5:$C$804,"买",$B$5:$B$804,"&lt;"&amp;B42),"超出可卖股数","OK"),""))</f>
        <v/>
      </c>
      <c r="O42" s="32" t="n"/>
    </row>
    <row r="43">
      <c r="A43" s="46" t="n"/>
      <c r="B43" s="31" t="n"/>
      <c r="C43" s="27" t="n"/>
      <c r="D43" s="56" t="n"/>
      <c r="E43" s="17" t="n"/>
      <c r="F43" s="20" t="str">
        <f>IF(AND(ISNUMBER(D43),ISNUMBER(E43)),D43*E43,"")</f>
        <v/>
      </c>
      <c r="G43" s="51" t="str">
        <f>IF(ISNUMBER(F43),ROUND(MAX(F43*'参数'!$C$12,'参数'!$C$13),2),"")</f>
        <v/>
      </c>
      <c r="H43" s="51" t="str">
        <f>IF(ISNUMBER(F43),IF(C43="卖",ROUND(F43*'参数'!$C$14,2),0),"")</f>
        <v/>
      </c>
      <c r="I43" s="51" t="str">
        <f>IF(ISNUMBER(F43),ROUND(F43*'参数'!$C$15,2),"")</f>
        <v/>
      </c>
      <c r="J43" s="21" t="n"/>
      <c r="K43" s="20" t="str">
        <f>IF(ISNUMBER(J43),J43,IF(ISNUMBER(F43),G43+H43+I43+ROUND(F43*'参数'!$C$16,2),""))</f>
        <v/>
      </c>
      <c r="L43" s="43" t="str">
        <f>IF(A43="","",IFERROR(T(INDEX('交易记录'!$C$5:$C$304,MATCH(A43,'交易记录'!$A$5:$A$304,0))),"编号没找到"))</f>
        <v/>
      </c>
      <c r="M43" s="57" t="str">
        <f>IF(AND(C43="买",ISNUMBER(B43)),WORKDAY(B43,1,'参数'!$B$58:$B$80),"")</f>
        <v/>
      </c>
      <c r="N43" s="36" t="str">
        <f>IF(C43&lt;&gt;"卖","",IF(AND(ISNUMBER(B43),A43&lt;&gt;""),IF(SUMIFS($E$5:$E$804,$A$5:$A$804,A43,$C$5:$C$804,"卖",$B$5:$B$804,"&lt;="&amp;B43)&gt;SUMIFS($E$5:$E$804,$A$5:$A$804,A43,$C$5:$C$804,"买",$B$5:$B$804,"&lt;"&amp;B43),"超出可卖股数","OK"),""))</f>
        <v/>
      </c>
      <c r="O43" s="32" t="n"/>
    </row>
    <row r="44">
      <c r="A44" s="46" t="n"/>
      <c r="B44" s="31" t="n"/>
      <c r="C44" s="27" t="n"/>
      <c r="D44" s="56" t="n"/>
      <c r="E44" s="17" t="n"/>
      <c r="F44" s="20" t="str">
        <f>IF(AND(ISNUMBER(D44),ISNUMBER(E44)),D44*E44,"")</f>
        <v/>
      </c>
      <c r="G44" s="51" t="str">
        <f>IF(ISNUMBER(F44),ROUND(MAX(F44*'参数'!$C$12,'参数'!$C$13),2),"")</f>
        <v/>
      </c>
      <c r="H44" s="51" t="str">
        <f>IF(ISNUMBER(F44),IF(C44="卖",ROUND(F44*'参数'!$C$14,2),0),"")</f>
        <v/>
      </c>
      <c r="I44" s="51" t="str">
        <f>IF(ISNUMBER(F44),ROUND(F44*'参数'!$C$15,2),"")</f>
        <v/>
      </c>
      <c r="J44" s="21" t="n"/>
      <c r="K44" s="20" t="str">
        <f>IF(ISNUMBER(J44),J44,IF(ISNUMBER(F44),G44+H44+I44+ROUND(F44*'参数'!$C$16,2),""))</f>
        <v/>
      </c>
      <c r="L44" s="43" t="str">
        <f>IF(A44="","",IFERROR(T(INDEX('交易记录'!$C$5:$C$304,MATCH(A44,'交易记录'!$A$5:$A$304,0))),"编号没找到"))</f>
        <v/>
      </c>
      <c r="M44" s="57" t="str">
        <f>IF(AND(C44="买",ISNUMBER(B44)),WORKDAY(B44,1,'参数'!$B$58:$B$80),"")</f>
        <v/>
      </c>
      <c r="N44" s="36" t="str">
        <f>IF(C44&lt;&gt;"卖","",IF(AND(ISNUMBER(B44),A44&lt;&gt;""),IF(SUMIFS($E$5:$E$804,$A$5:$A$804,A44,$C$5:$C$804,"卖",$B$5:$B$804,"&lt;="&amp;B44)&gt;SUMIFS($E$5:$E$804,$A$5:$A$804,A44,$C$5:$C$804,"买",$B$5:$B$804,"&lt;"&amp;B44),"超出可卖股数","OK"),""))</f>
        <v/>
      </c>
      <c r="O44" s="32" t="n"/>
    </row>
    <row r="45">
      <c r="A45" s="46" t="n"/>
      <c r="B45" s="31" t="n"/>
      <c r="C45" s="27" t="n"/>
      <c r="D45" s="56" t="n"/>
      <c r="E45" s="17" t="n"/>
      <c r="F45" s="20" t="str">
        <f>IF(AND(ISNUMBER(D45),ISNUMBER(E45)),D45*E45,"")</f>
        <v/>
      </c>
      <c r="G45" s="51" t="str">
        <f>IF(ISNUMBER(F45),ROUND(MAX(F45*'参数'!$C$12,'参数'!$C$13),2),"")</f>
        <v/>
      </c>
      <c r="H45" s="51" t="str">
        <f>IF(ISNUMBER(F45),IF(C45="卖",ROUND(F45*'参数'!$C$14,2),0),"")</f>
        <v/>
      </c>
      <c r="I45" s="51" t="str">
        <f>IF(ISNUMBER(F45),ROUND(F45*'参数'!$C$15,2),"")</f>
        <v/>
      </c>
      <c r="J45" s="21" t="n"/>
      <c r="K45" s="20" t="str">
        <f>IF(ISNUMBER(J45),J45,IF(ISNUMBER(F45),G45+H45+I45+ROUND(F45*'参数'!$C$16,2),""))</f>
        <v/>
      </c>
      <c r="L45" s="43" t="str">
        <f>IF(A45="","",IFERROR(T(INDEX('交易记录'!$C$5:$C$304,MATCH(A45,'交易记录'!$A$5:$A$304,0))),"编号没找到"))</f>
        <v/>
      </c>
      <c r="M45" s="57" t="str">
        <f>IF(AND(C45="买",ISNUMBER(B45)),WORKDAY(B45,1,'参数'!$B$58:$B$80),"")</f>
        <v/>
      </c>
      <c r="N45" s="36" t="str">
        <f>IF(C45&lt;&gt;"卖","",IF(AND(ISNUMBER(B45),A45&lt;&gt;""),IF(SUMIFS($E$5:$E$804,$A$5:$A$804,A45,$C$5:$C$804,"卖",$B$5:$B$804,"&lt;="&amp;B45)&gt;SUMIFS($E$5:$E$804,$A$5:$A$804,A45,$C$5:$C$804,"买",$B$5:$B$804,"&lt;"&amp;B45),"超出可卖股数","OK"),""))</f>
        <v/>
      </c>
      <c r="O45" s="32" t="n"/>
    </row>
    <row r="46">
      <c r="A46" s="46" t="n"/>
      <c r="B46" s="31" t="n"/>
      <c r="C46" s="27" t="n"/>
      <c r="D46" s="56" t="n"/>
      <c r="E46" s="17" t="n"/>
      <c r="F46" s="20" t="str">
        <f>IF(AND(ISNUMBER(D46),ISNUMBER(E46)),D46*E46,"")</f>
        <v/>
      </c>
      <c r="G46" s="51" t="str">
        <f>IF(ISNUMBER(F46),ROUND(MAX(F46*'参数'!$C$12,'参数'!$C$13),2),"")</f>
        <v/>
      </c>
      <c r="H46" s="51" t="str">
        <f>IF(ISNUMBER(F46),IF(C46="卖",ROUND(F46*'参数'!$C$14,2),0),"")</f>
        <v/>
      </c>
      <c r="I46" s="51" t="str">
        <f>IF(ISNUMBER(F46),ROUND(F46*'参数'!$C$15,2),"")</f>
        <v/>
      </c>
      <c r="J46" s="21" t="n"/>
      <c r="K46" s="20" t="str">
        <f>IF(ISNUMBER(J46),J46,IF(ISNUMBER(F46),G46+H46+I46+ROUND(F46*'参数'!$C$16,2),""))</f>
        <v/>
      </c>
      <c r="L46" s="43" t="str">
        <f>IF(A46="","",IFERROR(T(INDEX('交易记录'!$C$5:$C$304,MATCH(A46,'交易记录'!$A$5:$A$304,0))),"编号没找到"))</f>
        <v/>
      </c>
      <c r="M46" s="57" t="str">
        <f>IF(AND(C46="买",ISNUMBER(B46)),WORKDAY(B46,1,'参数'!$B$58:$B$80),"")</f>
        <v/>
      </c>
      <c r="N46" s="36" t="str">
        <f>IF(C46&lt;&gt;"卖","",IF(AND(ISNUMBER(B46),A46&lt;&gt;""),IF(SUMIFS($E$5:$E$804,$A$5:$A$804,A46,$C$5:$C$804,"卖",$B$5:$B$804,"&lt;="&amp;B46)&gt;SUMIFS($E$5:$E$804,$A$5:$A$804,A46,$C$5:$C$804,"买",$B$5:$B$804,"&lt;"&amp;B46),"超出可卖股数","OK"),""))</f>
        <v/>
      </c>
      <c r="O46" s="32" t="n"/>
    </row>
    <row r="47">
      <c r="A47" s="46" t="n"/>
      <c r="B47" s="31" t="n"/>
      <c r="C47" s="27" t="n"/>
      <c r="D47" s="56" t="n"/>
      <c r="E47" s="17" t="n"/>
      <c r="F47" s="20" t="str">
        <f>IF(AND(ISNUMBER(D47),ISNUMBER(E47)),D47*E47,"")</f>
        <v/>
      </c>
      <c r="G47" s="51" t="str">
        <f>IF(ISNUMBER(F47),ROUND(MAX(F47*'参数'!$C$12,'参数'!$C$13),2),"")</f>
        <v/>
      </c>
      <c r="H47" s="51" t="str">
        <f>IF(ISNUMBER(F47),IF(C47="卖",ROUND(F47*'参数'!$C$14,2),0),"")</f>
        <v/>
      </c>
      <c r="I47" s="51" t="str">
        <f>IF(ISNUMBER(F47),ROUND(F47*'参数'!$C$15,2),"")</f>
        <v/>
      </c>
      <c r="J47" s="21" t="n"/>
      <c r="K47" s="20" t="str">
        <f>IF(ISNUMBER(J47),J47,IF(ISNUMBER(F47),G47+H47+I47+ROUND(F47*'参数'!$C$16,2),""))</f>
        <v/>
      </c>
      <c r="L47" s="43" t="str">
        <f>IF(A47="","",IFERROR(T(INDEX('交易记录'!$C$5:$C$304,MATCH(A47,'交易记录'!$A$5:$A$304,0))),"编号没找到"))</f>
        <v/>
      </c>
      <c r="M47" s="57" t="str">
        <f>IF(AND(C47="买",ISNUMBER(B47)),WORKDAY(B47,1,'参数'!$B$58:$B$80),"")</f>
        <v/>
      </c>
      <c r="N47" s="36" t="str">
        <f>IF(C47&lt;&gt;"卖","",IF(AND(ISNUMBER(B47),A47&lt;&gt;""),IF(SUMIFS($E$5:$E$804,$A$5:$A$804,A47,$C$5:$C$804,"卖",$B$5:$B$804,"&lt;="&amp;B47)&gt;SUMIFS($E$5:$E$804,$A$5:$A$804,A47,$C$5:$C$804,"买",$B$5:$B$804,"&lt;"&amp;B47),"超出可卖股数","OK"),""))</f>
        <v/>
      </c>
      <c r="O47" s="32" t="n"/>
    </row>
    <row r="48">
      <c r="A48" s="46" t="n"/>
      <c r="B48" s="31" t="n"/>
      <c r="C48" s="27" t="n"/>
      <c r="D48" s="56" t="n"/>
      <c r="E48" s="17" t="n"/>
      <c r="F48" s="20" t="str">
        <f>IF(AND(ISNUMBER(D48),ISNUMBER(E48)),D48*E48,"")</f>
        <v/>
      </c>
      <c r="G48" s="51" t="str">
        <f>IF(ISNUMBER(F48),ROUND(MAX(F48*'参数'!$C$12,'参数'!$C$13),2),"")</f>
        <v/>
      </c>
      <c r="H48" s="51" t="str">
        <f>IF(ISNUMBER(F48),IF(C48="卖",ROUND(F48*'参数'!$C$14,2),0),"")</f>
        <v/>
      </c>
      <c r="I48" s="51" t="str">
        <f>IF(ISNUMBER(F48),ROUND(F48*'参数'!$C$15,2),"")</f>
        <v/>
      </c>
      <c r="J48" s="21" t="n"/>
      <c r="K48" s="20" t="str">
        <f>IF(ISNUMBER(J48),J48,IF(ISNUMBER(F48),G48+H48+I48+ROUND(F48*'参数'!$C$16,2),""))</f>
        <v/>
      </c>
      <c r="L48" s="43" t="str">
        <f>IF(A48="","",IFERROR(T(INDEX('交易记录'!$C$5:$C$304,MATCH(A48,'交易记录'!$A$5:$A$304,0))),"编号没找到"))</f>
        <v/>
      </c>
      <c r="M48" s="57" t="str">
        <f>IF(AND(C48="买",ISNUMBER(B48)),WORKDAY(B48,1,'参数'!$B$58:$B$80),"")</f>
        <v/>
      </c>
      <c r="N48" s="36" t="str">
        <f>IF(C48&lt;&gt;"卖","",IF(AND(ISNUMBER(B48),A48&lt;&gt;""),IF(SUMIFS($E$5:$E$804,$A$5:$A$804,A48,$C$5:$C$804,"卖",$B$5:$B$804,"&lt;="&amp;B48)&gt;SUMIFS($E$5:$E$804,$A$5:$A$804,A48,$C$5:$C$804,"买",$B$5:$B$804,"&lt;"&amp;B48),"超出可卖股数","OK"),""))</f>
        <v/>
      </c>
      <c r="O48" s="32" t="n"/>
    </row>
    <row r="49">
      <c r="A49" s="46" t="n"/>
      <c r="B49" s="31" t="n"/>
      <c r="C49" s="27" t="n"/>
      <c r="D49" s="56" t="n"/>
      <c r="E49" s="17" t="n"/>
      <c r="F49" s="20" t="str">
        <f>IF(AND(ISNUMBER(D49),ISNUMBER(E49)),D49*E49,"")</f>
        <v/>
      </c>
      <c r="G49" s="51" t="str">
        <f>IF(ISNUMBER(F49),ROUND(MAX(F49*'参数'!$C$12,'参数'!$C$13),2),"")</f>
        <v/>
      </c>
      <c r="H49" s="51" t="str">
        <f>IF(ISNUMBER(F49),IF(C49="卖",ROUND(F49*'参数'!$C$14,2),0),"")</f>
        <v/>
      </c>
      <c r="I49" s="51" t="str">
        <f>IF(ISNUMBER(F49),ROUND(F49*'参数'!$C$15,2),"")</f>
        <v/>
      </c>
      <c r="J49" s="21" t="n"/>
      <c r="K49" s="20" t="str">
        <f>IF(ISNUMBER(J49),J49,IF(ISNUMBER(F49),G49+H49+I49+ROUND(F49*'参数'!$C$16,2),""))</f>
        <v/>
      </c>
      <c r="L49" s="43" t="str">
        <f>IF(A49="","",IFERROR(T(INDEX('交易记录'!$C$5:$C$304,MATCH(A49,'交易记录'!$A$5:$A$304,0))),"编号没找到"))</f>
        <v/>
      </c>
      <c r="M49" s="57" t="str">
        <f>IF(AND(C49="买",ISNUMBER(B49)),WORKDAY(B49,1,'参数'!$B$58:$B$80),"")</f>
        <v/>
      </c>
      <c r="N49" s="36" t="str">
        <f>IF(C49&lt;&gt;"卖","",IF(AND(ISNUMBER(B49),A49&lt;&gt;""),IF(SUMIFS($E$5:$E$804,$A$5:$A$804,A49,$C$5:$C$804,"卖",$B$5:$B$804,"&lt;="&amp;B49)&gt;SUMIFS($E$5:$E$804,$A$5:$A$804,A49,$C$5:$C$804,"买",$B$5:$B$804,"&lt;"&amp;B49),"超出可卖股数","OK"),""))</f>
        <v/>
      </c>
      <c r="O49" s="32" t="n"/>
    </row>
    <row r="50">
      <c r="A50" s="46" t="n"/>
      <c r="B50" s="31" t="n"/>
      <c r="C50" s="27" t="n"/>
      <c r="D50" s="56" t="n"/>
      <c r="E50" s="17" t="n"/>
      <c r="F50" s="20" t="str">
        <f>IF(AND(ISNUMBER(D50),ISNUMBER(E50)),D50*E50,"")</f>
        <v/>
      </c>
      <c r="G50" s="51" t="str">
        <f>IF(ISNUMBER(F50),ROUND(MAX(F50*'参数'!$C$12,'参数'!$C$13),2),"")</f>
        <v/>
      </c>
      <c r="H50" s="51" t="str">
        <f>IF(ISNUMBER(F50),IF(C50="卖",ROUND(F50*'参数'!$C$14,2),0),"")</f>
        <v/>
      </c>
      <c r="I50" s="51" t="str">
        <f>IF(ISNUMBER(F50),ROUND(F50*'参数'!$C$15,2),"")</f>
        <v/>
      </c>
      <c r="J50" s="21" t="n"/>
      <c r="K50" s="20" t="str">
        <f>IF(ISNUMBER(J50),J50,IF(ISNUMBER(F50),G50+H50+I50+ROUND(F50*'参数'!$C$16,2),""))</f>
        <v/>
      </c>
      <c r="L50" s="43" t="str">
        <f>IF(A50="","",IFERROR(T(INDEX('交易记录'!$C$5:$C$304,MATCH(A50,'交易记录'!$A$5:$A$304,0))),"编号没找到"))</f>
        <v/>
      </c>
      <c r="M50" s="57" t="str">
        <f>IF(AND(C50="买",ISNUMBER(B50)),WORKDAY(B50,1,'参数'!$B$58:$B$80),"")</f>
        <v/>
      </c>
      <c r="N50" s="36" t="str">
        <f>IF(C50&lt;&gt;"卖","",IF(AND(ISNUMBER(B50),A50&lt;&gt;""),IF(SUMIFS($E$5:$E$804,$A$5:$A$804,A50,$C$5:$C$804,"卖",$B$5:$B$804,"&lt;="&amp;B50)&gt;SUMIFS($E$5:$E$804,$A$5:$A$804,A50,$C$5:$C$804,"买",$B$5:$B$804,"&lt;"&amp;B50),"超出可卖股数","OK"),""))</f>
        <v/>
      </c>
      <c r="O50" s="32" t="n"/>
    </row>
    <row r="51">
      <c r="A51" s="46" t="n"/>
      <c r="B51" s="31" t="n"/>
      <c r="C51" s="27" t="n"/>
      <c r="D51" s="56" t="n"/>
      <c r="E51" s="17" t="n"/>
      <c r="F51" s="20" t="str">
        <f>IF(AND(ISNUMBER(D51),ISNUMBER(E51)),D51*E51,"")</f>
        <v/>
      </c>
      <c r="G51" s="51" t="str">
        <f>IF(ISNUMBER(F51),ROUND(MAX(F51*'参数'!$C$12,'参数'!$C$13),2),"")</f>
        <v/>
      </c>
      <c r="H51" s="51" t="str">
        <f>IF(ISNUMBER(F51),IF(C51="卖",ROUND(F51*'参数'!$C$14,2),0),"")</f>
        <v/>
      </c>
      <c r="I51" s="51" t="str">
        <f>IF(ISNUMBER(F51),ROUND(F51*'参数'!$C$15,2),"")</f>
        <v/>
      </c>
      <c r="J51" s="21" t="n"/>
      <c r="K51" s="20" t="str">
        <f>IF(ISNUMBER(J51),J51,IF(ISNUMBER(F51),G51+H51+I51+ROUND(F51*'参数'!$C$16,2),""))</f>
        <v/>
      </c>
      <c r="L51" s="43" t="str">
        <f>IF(A51="","",IFERROR(T(INDEX('交易记录'!$C$5:$C$304,MATCH(A51,'交易记录'!$A$5:$A$304,0))),"编号没找到"))</f>
        <v/>
      </c>
      <c r="M51" s="57" t="str">
        <f>IF(AND(C51="买",ISNUMBER(B51)),WORKDAY(B51,1,'参数'!$B$58:$B$80),"")</f>
        <v/>
      </c>
      <c r="N51" s="36" t="str">
        <f>IF(C51&lt;&gt;"卖","",IF(AND(ISNUMBER(B51),A51&lt;&gt;""),IF(SUMIFS($E$5:$E$804,$A$5:$A$804,A51,$C$5:$C$804,"卖",$B$5:$B$804,"&lt;="&amp;B51)&gt;SUMIFS($E$5:$E$804,$A$5:$A$804,A51,$C$5:$C$804,"买",$B$5:$B$804,"&lt;"&amp;B51),"超出可卖股数","OK"),""))</f>
        <v/>
      </c>
      <c r="O51" s="32" t="n"/>
    </row>
    <row r="52">
      <c r="A52" s="46" t="n"/>
      <c r="B52" s="31" t="n"/>
      <c r="C52" s="27" t="n"/>
      <c r="D52" s="56" t="n"/>
      <c r="E52" s="17" t="n"/>
      <c r="F52" s="20" t="str">
        <f>IF(AND(ISNUMBER(D52),ISNUMBER(E52)),D52*E52,"")</f>
        <v/>
      </c>
      <c r="G52" s="51" t="str">
        <f>IF(ISNUMBER(F52),ROUND(MAX(F52*'参数'!$C$12,'参数'!$C$13),2),"")</f>
        <v/>
      </c>
      <c r="H52" s="51" t="str">
        <f>IF(ISNUMBER(F52),IF(C52="卖",ROUND(F52*'参数'!$C$14,2),0),"")</f>
        <v/>
      </c>
      <c r="I52" s="51" t="str">
        <f>IF(ISNUMBER(F52),ROUND(F52*'参数'!$C$15,2),"")</f>
        <v/>
      </c>
      <c r="J52" s="21" t="n"/>
      <c r="K52" s="20" t="str">
        <f>IF(ISNUMBER(J52),J52,IF(ISNUMBER(F52),G52+H52+I52+ROUND(F52*'参数'!$C$16,2),""))</f>
        <v/>
      </c>
      <c r="L52" s="43" t="str">
        <f>IF(A52="","",IFERROR(T(INDEX('交易记录'!$C$5:$C$304,MATCH(A52,'交易记录'!$A$5:$A$304,0))),"编号没找到"))</f>
        <v/>
      </c>
      <c r="M52" s="57" t="str">
        <f>IF(AND(C52="买",ISNUMBER(B52)),WORKDAY(B52,1,'参数'!$B$58:$B$80),"")</f>
        <v/>
      </c>
      <c r="N52" s="36" t="str">
        <f>IF(C52&lt;&gt;"卖","",IF(AND(ISNUMBER(B52),A52&lt;&gt;""),IF(SUMIFS($E$5:$E$804,$A$5:$A$804,A52,$C$5:$C$804,"卖",$B$5:$B$804,"&lt;="&amp;B52)&gt;SUMIFS($E$5:$E$804,$A$5:$A$804,A52,$C$5:$C$804,"买",$B$5:$B$804,"&lt;"&amp;B52),"超出可卖股数","OK"),""))</f>
        <v/>
      </c>
      <c r="O52" s="32" t="n"/>
    </row>
    <row r="53">
      <c r="A53" s="46" t="n"/>
      <c r="B53" s="31" t="n"/>
      <c r="C53" s="27" t="n"/>
      <c r="D53" s="56" t="n"/>
      <c r="E53" s="17" t="n"/>
      <c r="F53" s="20" t="str">
        <f>IF(AND(ISNUMBER(D53),ISNUMBER(E53)),D53*E53,"")</f>
        <v/>
      </c>
      <c r="G53" s="51" t="str">
        <f>IF(ISNUMBER(F53),ROUND(MAX(F53*'参数'!$C$12,'参数'!$C$13),2),"")</f>
        <v/>
      </c>
      <c r="H53" s="51" t="str">
        <f>IF(ISNUMBER(F53),IF(C53="卖",ROUND(F53*'参数'!$C$14,2),0),"")</f>
        <v/>
      </c>
      <c r="I53" s="51" t="str">
        <f>IF(ISNUMBER(F53),ROUND(F53*'参数'!$C$15,2),"")</f>
        <v/>
      </c>
      <c r="J53" s="21" t="n"/>
      <c r="K53" s="20" t="str">
        <f>IF(ISNUMBER(J53),J53,IF(ISNUMBER(F53),G53+H53+I53+ROUND(F53*'参数'!$C$16,2),""))</f>
        <v/>
      </c>
      <c r="L53" s="43" t="str">
        <f>IF(A53="","",IFERROR(T(INDEX('交易记录'!$C$5:$C$304,MATCH(A53,'交易记录'!$A$5:$A$304,0))),"编号没找到"))</f>
        <v/>
      </c>
      <c r="M53" s="57" t="str">
        <f>IF(AND(C53="买",ISNUMBER(B53)),WORKDAY(B53,1,'参数'!$B$58:$B$80),"")</f>
        <v/>
      </c>
      <c r="N53" s="36" t="str">
        <f>IF(C53&lt;&gt;"卖","",IF(AND(ISNUMBER(B53),A53&lt;&gt;""),IF(SUMIFS($E$5:$E$804,$A$5:$A$804,A53,$C$5:$C$804,"卖",$B$5:$B$804,"&lt;="&amp;B53)&gt;SUMIFS($E$5:$E$804,$A$5:$A$804,A53,$C$5:$C$804,"买",$B$5:$B$804,"&lt;"&amp;B53),"超出可卖股数","OK"),""))</f>
        <v/>
      </c>
      <c r="O53" s="32" t="n"/>
    </row>
    <row r="54">
      <c r="A54" s="46" t="n"/>
      <c r="B54" s="31" t="n"/>
      <c r="C54" s="27" t="n"/>
      <c r="D54" s="56" t="n"/>
      <c r="E54" s="17" t="n"/>
      <c r="F54" s="20" t="str">
        <f>IF(AND(ISNUMBER(D54),ISNUMBER(E54)),D54*E54,"")</f>
        <v/>
      </c>
      <c r="G54" s="51" t="str">
        <f>IF(ISNUMBER(F54),ROUND(MAX(F54*'参数'!$C$12,'参数'!$C$13),2),"")</f>
        <v/>
      </c>
      <c r="H54" s="51" t="str">
        <f>IF(ISNUMBER(F54),IF(C54="卖",ROUND(F54*'参数'!$C$14,2),0),"")</f>
        <v/>
      </c>
      <c r="I54" s="51" t="str">
        <f>IF(ISNUMBER(F54),ROUND(F54*'参数'!$C$15,2),"")</f>
        <v/>
      </c>
      <c r="J54" s="21" t="n"/>
      <c r="K54" s="20" t="str">
        <f>IF(ISNUMBER(J54),J54,IF(ISNUMBER(F54),G54+H54+I54+ROUND(F54*'参数'!$C$16,2),""))</f>
        <v/>
      </c>
      <c r="L54" s="43" t="str">
        <f>IF(A54="","",IFERROR(T(INDEX('交易记录'!$C$5:$C$304,MATCH(A54,'交易记录'!$A$5:$A$304,0))),"编号没找到"))</f>
        <v/>
      </c>
      <c r="M54" s="57" t="str">
        <f>IF(AND(C54="买",ISNUMBER(B54)),WORKDAY(B54,1,'参数'!$B$58:$B$80),"")</f>
        <v/>
      </c>
      <c r="N54" s="36" t="str">
        <f>IF(C54&lt;&gt;"卖","",IF(AND(ISNUMBER(B54),A54&lt;&gt;""),IF(SUMIFS($E$5:$E$804,$A$5:$A$804,A54,$C$5:$C$804,"卖",$B$5:$B$804,"&lt;="&amp;B54)&gt;SUMIFS($E$5:$E$804,$A$5:$A$804,A54,$C$5:$C$804,"买",$B$5:$B$804,"&lt;"&amp;B54),"超出可卖股数","OK"),""))</f>
        <v/>
      </c>
      <c r="O54" s="32" t="n"/>
    </row>
    <row r="55">
      <c r="A55" s="46" t="n"/>
      <c r="B55" s="31" t="n"/>
      <c r="C55" s="27" t="n"/>
      <c r="D55" s="56" t="n"/>
      <c r="E55" s="17" t="n"/>
      <c r="F55" s="20" t="str">
        <f>IF(AND(ISNUMBER(D55),ISNUMBER(E55)),D55*E55,"")</f>
        <v/>
      </c>
      <c r="G55" s="51" t="str">
        <f>IF(ISNUMBER(F55),ROUND(MAX(F55*'参数'!$C$12,'参数'!$C$13),2),"")</f>
        <v/>
      </c>
      <c r="H55" s="51" t="str">
        <f>IF(ISNUMBER(F55),IF(C55="卖",ROUND(F55*'参数'!$C$14,2),0),"")</f>
        <v/>
      </c>
      <c r="I55" s="51" t="str">
        <f>IF(ISNUMBER(F55),ROUND(F55*'参数'!$C$15,2),"")</f>
        <v/>
      </c>
      <c r="J55" s="21" t="n"/>
      <c r="K55" s="20" t="str">
        <f>IF(ISNUMBER(J55),J55,IF(ISNUMBER(F55),G55+H55+I55+ROUND(F55*'参数'!$C$16,2),""))</f>
        <v/>
      </c>
      <c r="L55" s="43" t="str">
        <f>IF(A55="","",IFERROR(T(INDEX('交易记录'!$C$5:$C$304,MATCH(A55,'交易记录'!$A$5:$A$304,0))),"编号没找到"))</f>
        <v/>
      </c>
      <c r="M55" s="57" t="str">
        <f>IF(AND(C55="买",ISNUMBER(B55)),WORKDAY(B55,1,'参数'!$B$58:$B$80),"")</f>
        <v/>
      </c>
      <c r="N55" s="36" t="str">
        <f>IF(C55&lt;&gt;"卖","",IF(AND(ISNUMBER(B55),A55&lt;&gt;""),IF(SUMIFS($E$5:$E$804,$A$5:$A$804,A55,$C$5:$C$804,"卖",$B$5:$B$804,"&lt;="&amp;B55)&gt;SUMIFS($E$5:$E$804,$A$5:$A$804,A55,$C$5:$C$804,"买",$B$5:$B$804,"&lt;"&amp;B55),"超出可卖股数","OK"),""))</f>
        <v/>
      </c>
      <c r="O55" s="32" t="n"/>
    </row>
    <row r="56">
      <c r="A56" s="46" t="n"/>
      <c r="B56" s="31" t="n"/>
      <c r="C56" s="27" t="n"/>
      <c r="D56" s="56" t="n"/>
      <c r="E56" s="17" t="n"/>
      <c r="F56" s="20" t="str">
        <f>IF(AND(ISNUMBER(D56),ISNUMBER(E56)),D56*E56,"")</f>
        <v/>
      </c>
      <c r="G56" s="51" t="str">
        <f>IF(ISNUMBER(F56),ROUND(MAX(F56*'参数'!$C$12,'参数'!$C$13),2),"")</f>
        <v/>
      </c>
      <c r="H56" s="51" t="str">
        <f>IF(ISNUMBER(F56),IF(C56="卖",ROUND(F56*'参数'!$C$14,2),0),"")</f>
        <v/>
      </c>
      <c r="I56" s="51" t="str">
        <f>IF(ISNUMBER(F56),ROUND(F56*'参数'!$C$15,2),"")</f>
        <v/>
      </c>
      <c r="J56" s="21" t="n"/>
      <c r="K56" s="20" t="str">
        <f>IF(ISNUMBER(J56),J56,IF(ISNUMBER(F56),G56+H56+I56+ROUND(F56*'参数'!$C$16,2),""))</f>
        <v/>
      </c>
      <c r="L56" s="43" t="str">
        <f>IF(A56="","",IFERROR(T(INDEX('交易记录'!$C$5:$C$304,MATCH(A56,'交易记录'!$A$5:$A$304,0))),"编号没找到"))</f>
        <v/>
      </c>
      <c r="M56" s="57" t="str">
        <f>IF(AND(C56="买",ISNUMBER(B56)),WORKDAY(B56,1,'参数'!$B$58:$B$80),"")</f>
        <v/>
      </c>
      <c r="N56" s="36" t="str">
        <f>IF(C56&lt;&gt;"卖","",IF(AND(ISNUMBER(B56),A56&lt;&gt;""),IF(SUMIFS($E$5:$E$804,$A$5:$A$804,A56,$C$5:$C$804,"卖",$B$5:$B$804,"&lt;="&amp;B56)&gt;SUMIFS($E$5:$E$804,$A$5:$A$804,A56,$C$5:$C$804,"买",$B$5:$B$804,"&lt;"&amp;B56),"超出可卖股数","OK"),""))</f>
        <v/>
      </c>
      <c r="O56" s="32" t="n"/>
    </row>
    <row r="57">
      <c r="A57" s="46" t="n"/>
      <c r="B57" s="31" t="n"/>
      <c r="C57" s="27" t="n"/>
      <c r="D57" s="56" t="n"/>
      <c r="E57" s="17" t="n"/>
      <c r="F57" s="20" t="str">
        <f>IF(AND(ISNUMBER(D57),ISNUMBER(E57)),D57*E57,"")</f>
        <v/>
      </c>
      <c r="G57" s="51" t="str">
        <f>IF(ISNUMBER(F57),ROUND(MAX(F57*'参数'!$C$12,'参数'!$C$13),2),"")</f>
        <v/>
      </c>
      <c r="H57" s="51" t="str">
        <f>IF(ISNUMBER(F57),IF(C57="卖",ROUND(F57*'参数'!$C$14,2),0),"")</f>
        <v/>
      </c>
      <c r="I57" s="51" t="str">
        <f>IF(ISNUMBER(F57),ROUND(F57*'参数'!$C$15,2),"")</f>
        <v/>
      </c>
      <c r="J57" s="21" t="n"/>
      <c r="K57" s="20" t="str">
        <f>IF(ISNUMBER(J57),J57,IF(ISNUMBER(F57),G57+H57+I57+ROUND(F57*'参数'!$C$16,2),""))</f>
        <v/>
      </c>
      <c r="L57" s="43" t="str">
        <f>IF(A57="","",IFERROR(T(INDEX('交易记录'!$C$5:$C$304,MATCH(A57,'交易记录'!$A$5:$A$304,0))),"编号没找到"))</f>
        <v/>
      </c>
      <c r="M57" s="57" t="str">
        <f>IF(AND(C57="买",ISNUMBER(B57)),WORKDAY(B57,1,'参数'!$B$58:$B$80),"")</f>
        <v/>
      </c>
      <c r="N57" s="36" t="str">
        <f>IF(C57&lt;&gt;"卖","",IF(AND(ISNUMBER(B57),A57&lt;&gt;""),IF(SUMIFS($E$5:$E$804,$A$5:$A$804,A57,$C$5:$C$804,"卖",$B$5:$B$804,"&lt;="&amp;B57)&gt;SUMIFS($E$5:$E$804,$A$5:$A$804,A57,$C$5:$C$804,"买",$B$5:$B$804,"&lt;"&amp;B57),"超出可卖股数","OK"),""))</f>
        <v/>
      </c>
      <c r="O57" s="32" t="n"/>
    </row>
    <row r="58">
      <c r="A58" s="46" t="n"/>
      <c r="B58" s="31" t="n"/>
      <c r="C58" s="27" t="n"/>
      <c r="D58" s="56" t="n"/>
      <c r="E58" s="17" t="n"/>
      <c r="F58" s="20" t="str">
        <f>IF(AND(ISNUMBER(D58),ISNUMBER(E58)),D58*E58,"")</f>
        <v/>
      </c>
      <c r="G58" s="51" t="str">
        <f>IF(ISNUMBER(F58),ROUND(MAX(F58*'参数'!$C$12,'参数'!$C$13),2),"")</f>
        <v/>
      </c>
      <c r="H58" s="51" t="str">
        <f>IF(ISNUMBER(F58),IF(C58="卖",ROUND(F58*'参数'!$C$14,2),0),"")</f>
        <v/>
      </c>
      <c r="I58" s="51" t="str">
        <f>IF(ISNUMBER(F58),ROUND(F58*'参数'!$C$15,2),"")</f>
        <v/>
      </c>
      <c r="J58" s="21" t="n"/>
      <c r="K58" s="20" t="str">
        <f>IF(ISNUMBER(J58),J58,IF(ISNUMBER(F58),G58+H58+I58+ROUND(F58*'参数'!$C$16,2),""))</f>
        <v/>
      </c>
      <c r="L58" s="43" t="str">
        <f>IF(A58="","",IFERROR(T(INDEX('交易记录'!$C$5:$C$304,MATCH(A58,'交易记录'!$A$5:$A$304,0))),"编号没找到"))</f>
        <v/>
      </c>
      <c r="M58" s="57" t="str">
        <f>IF(AND(C58="买",ISNUMBER(B58)),WORKDAY(B58,1,'参数'!$B$58:$B$80),"")</f>
        <v/>
      </c>
      <c r="N58" s="36" t="str">
        <f>IF(C58&lt;&gt;"卖","",IF(AND(ISNUMBER(B58),A58&lt;&gt;""),IF(SUMIFS($E$5:$E$804,$A$5:$A$804,A58,$C$5:$C$804,"卖",$B$5:$B$804,"&lt;="&amp;B58)&gt;SUMIFS($E$5:$E$804,$A$5:$A$804,A58,$C$5:$C$804,"买",$B$5:$B$804,"&lt;"&amp;B58),"超出可卖股数","OK"),""))</f>
        <v/>
      </c>
      <c r="O58" s="32" t="n"/>
    </row>
    <row r="59">
      <c r="A59" s="46" t="n"/>
      <c r="B59" s="31" t="n"/>
      <c r="C59" s="27" t="n"/>
      <c r="D59" s="56" t="n"/>
      <c r="E59" s="17" t="n"/>
      <c r="F59" s="20" t="str">
        <f>IF(AND(ISNUMBER(D59),ISNUMBER(E59)),D59*E59,"")</f>
        <v/>
      </c>
      <c r="G59" s="51" t="str">
        <f>IF(ISNUMBER(F59),ROUND(MAX(F59*'参数'!$C$12,'参数'!$C$13),2),"")</f>
        <v/>
      </c>
      <c r="H59" s="51" t="str">
        <f>IF(ISNUMBER(F59),IF(C59="卖",ROUND(F59*'参数'!$C$14,2),0),"")</f>
        <v/>
      </c>
      <c r="I59" s="51" t="str">
        <f>IF(ISNUMBER(F59),ROUND(F59*'参数'!$C$15,2),"")</f>
        <v/>
      </c>
      <c r="J59" s="21" t="n"/>
      <c r="K59" s="20" t="str">
        <f>IF(ISNUMBER(J59),J59,IF(ISNUMBER(F59),G59+H59+I59+ROUND(F59*'参数'!$C$16,2),""))</f>
        <v/>
      </c>
      <c r="L59" s="43" t="str">
        <f>IF(A59="","",IFERROR(T(INDEX('交易记录'!$C$5:$C$304,MATCH(A59,'交易记录'!$A$5:$A$304,0))),"编号没找到"))</f>
        <v/>
      </c>
      <c r="M59" s="57" t="str">
        <f>IF(AND(C59="买",ISNUMBER(B59)),WORKDAY(B59,1,'参数'!$B$58:$B$80),"")</f>
        <v/>
      </c>
      <c r="N59" s="36" t="str">
        <f>IF(C59&lt;&gt;"卖","",IF(AND(ISNUMBER(B59),A59&lt;&gt;""),IF(SUMIFS($E$5:$E$804,$A$5:$A$804,A59,$C$5:$C$804,"卖",$B$5:$B$804,"&lt;="&amp;B59)&gt;SUMIFS($E$5:$E$804,$A$5:$A$804,A59,$C$5:$C$804,"买",$B$5:$B$804,"&lt;"&amp;B59),"超出可卖股数","OK"),""))</f>
        <v/>
      </c>
      <c r="O59" s="32" t="n"/>
    </row>
    <row r="60">
      <c r="A60" s="46" t="n"/>
      <c r="B60" s="31" t="n"/>
      <c r="C60" s="27" t="n"/>
      <c r="D60" s="56" t="n"/>
      <c r="E60" s="17" t="n"/>
      <c r="F60" s="20" t="str">
        <f>IF(AND(ISNUMBER(D60),ISNUMBER(E60)),D60*E60,"")</f>
        <v/>
      </c>
      <c r="G60" s="51" t="str">
        <f>IF(ISNUMBER(F60),ROUND(MAX(F60*'参数'!$C$12,'参数'!$C$13),2),"")</f>
        <v/>
      </c>
      <c r="H60" s="51" t="str">
        <f>IF(ISNUMBER(F60),IF(C60="卖",ROUND(F60*'参数'!$C$14,2),0),"")</f>
        <v/>
      </c>
      <c r="I60" s="51" t="str">
        <f>IF(ISNUMBER(F60),ROUND(F60*'参数'!$C$15,2),"")</f>
        <v/>
      </c>
      <c r="J60" s="21" t="n"/>
      <c r="K60" s="20" t="str">
        <f>IF(ISNUMBER(J60),J60,IF(ISNUMBER(F60),G60+H60+I60+ROUND(F60*'参数'!$C$16,2),""))</f>
        <v/>
      </c>
      <c r="L60" s="43" t="str">
        <f>IF(A60="","",IFERROR(T(INDEX('交易记录'!$C$5:$C$304,MATCH(A60,'交易记录'!$A$5:$A$304,0))),"编号没找到"))</f>
        <v/>
      </c>
      <c r="M60" s="57" t="str">
        <f>IF(AND(C60="买",ISNUMBER(B60)),WORKDAY(B60,1,'参数'!$B$58:$B$80),"")</f>
        <v/>
      </c>
      <c r="N60" s="36" t="str">
        <f>IF(C60&lt;&gt;"卖","",IF(AND(ISNUMBER(B60),A60&lt;&gt;""),IF(SUMIFS($E$5:$E$804,$A$5:$A$804,A60,$C$5:$C$804,"卖",$B$5:$B$804,"&lt;="&amp;B60)&gt;SUMIFS($E$5:$E$804,$A$5:$A$804,A60,$C$5:$C$804,"买",$B$5:$B$804,"&lt;"&amp;B60),"超出可卖股数","OK"),""))</f>
        <v/>
      </c>
      <c r="O60" s="32" t="n"/>
    </row>
    <row r="61">
      <c r="A61" s="46" t="n"/>
      <c r="B61" s="31" t="n"/>
      <c r="C61" s="27" t="n"/>
      <c r="D61" s="56" t="n"/>
      <c r="E61" s="17" t="n"/>
      <c r="F61" s="20" t="str">
        <f>IF(AND(ISNUMBER(D61),ISNUMBER(E61)),D61*E61,"")</f>
        <v/>
      </c>
      <c r="G61" s="51" t="str">
        <f>IF(ISNUMBER(F61),ROUND(MAX(F61*'参数'!$C$12,'参数'!$C$13),2),"")</f>
        <v/>
      </c>
      <c r="H61" s="51" t="str">
        <f>IF(ISNUMBER(F61),IF(C61="卖",ROUND(F61*'参数'!$C$14,2),0),"")</f>
        <v/>
      </c>
      <c r="I61" s="51" t="str">
        <f>IF(ISNUMBER(F61),ROUND(F61*'参数'!$C$15,2),"")</f>
        <v/>
      </c>
      <c r="J61" s="21" t="n"/>
      <c r="K61" s="20" t="str">
        <f>IF(ISNUMBER(J61),J61,IF(ISNUMBER(F61),G61+H61+I61+ROUND(F61*'参数'!$C$16,2),""))</f>
        <v/>
      </c>
      <c r="L61" s="43" t="str">
        <f>IF(A61="","",IFERROR(T(INDEX('交易记录'!$C$5:$C$304,MATCH(A61,'交易记录'!$A$5:$A$304,0))),"编号没找到"))</f>
        <v/>
      </c>
      <c r="M61" s="57" t="str">
        <f>IF(AND(C61="买",ISNUMBER(B61)),WORKDAY(B61,1,'参数'!$B$58:$B$80),"")</f>
        <v/>
      </c>
      <c r="N61" s="36" t="str">
        <f>IF(C61&lt;&gt;"卖","",IF(AND(ISNUMBER(B61),A61&lt;&gt;""),IF(SUMIFS($E$5:$E$804,$A$5:$A$804,A61,$C$5:$C$804,"卖",$B$5:$B$804,"&lt;="&amp;B61)&gt;SUMIFS($E$5:$E$804,$A$5:$A$804,A61,$C$5:$C$804,"买",$B$5:$B$804,"&lt;"&amp;B61),"超出可卖股数","OK"),""))</f>
        <v/>
      </c>
      <c r="O61" s="32" t="n"/>
    </row>
    <row r="62">
      <c r="A62" s="46" t="n"/>
      <c r="B62" s="31" t="n"/>
      <c r="C62" s="27" t="n"/>
      <c r="D62" s="56" t="n"/>
      <c r="E62" s="17" t="n"/>
      <c r="F62" s="20" t="str">
        <f>IF(AND(ISNUMBER(D62),ISNUMBER(E62)),D62*E62,"")</f>
        <v/>
      </c>
      <c r="G62" s="51" t="str">
        <f>IF(ISNUMBER(F62),ROUND(MAX(F62*'参数'!$C$12,'参数'!$C$13),2),"")</f>
        <v/>
      </c>
      <c r="H62" s="51" t="str">
        <f>IF(ISNUMBER(F62),IF(C62="卖",ROUND(F62*'参数'!$C$14,2),0),"")</f>
        <v/>
      </c>
      <c r="I62" s="51" t="str">
        <f>IF(ISNUMBER(F62),ROUND(F62*'参数'!$C$15,2),"")</f>
        <v/>
      </c>
      <c r="J62" s="21" t="n"/>
      <c r="K62" s="20" t="str">
        <f>IF(ISNUMBER(J62),J62,IF(ISNUMBER(F62),G62+H62+I62+ROUND(F62*'参数'!$C$16,2),""))</f>
        <v/>
      </c>
      <c r="L62" s="43" t="str">
        <f>IF(A62="","",IFERROR(T(INDEX('交易记录'!$C$5:$C$304,MATCH(A62,'交易记录'!$A$5:$A$304,0))),"编号没找到"))</f>
        <v/>
      </c>
      <c r="M62" s="57" t="str">
        <f>IF(AND(C62="买",ISNUMBER(B62)),WORKDAY(B62,1,'参数'!$B$58:$B$80),"")</f>
        <v/>
      </c>
      <c r="N62" s="36" t="str">
        <f>IF(C62&lt;&gt;"卖","",IF(AND(ISNUMBER(B62),A62&lt;&gt;""),IF(SUMIFS($E$5:$E$804,$A$5:$A$804,A62,$C$5:$C$804,"卖",$B$5:$B$804,"&lt;="&amp;B62)&gt;SUMIFS($E$5:$E$804,$A$5:$A$804,A62,$C$5:$C$804,"买",$B$5:$B$804,"&lt;"&amp;B62),"超出可卖股数","OK"),""))</f>
        <v/>
      </c>
      <c r="O62" s="32" t="n"/>
    </row>
    <row r="63">
      <c r="A63" s="46" t="n"/>
      <c r="B63" s="31" t="n"/>
      <c r="C63" s="27" t="n"/>
      <c r="D63" s="56" t="n"/>
      <c r="E63" s="17" t="n"/>
      <c r="F63" s="20" t="str">
        <f>IF(AND(ISNUMBER(D63),ISNUMBER(E63)),D63*E63,"")</f>
        <v/>
      </c>
      <c r="G63" s="51" t="str">
        <f>IF(ISNUMBER(F63),ROUND(MAX(F63*'参数'!$C$12,'参数'!$C$13),2),"")</f>
        <v/>
      </c>
      <c r="H63" s="51" t="str">
        <f>IF(ISNUMBER(F63),IF(C63="卖",ROUND(F63*'参数'!$C$14,2),0),"")</f>
        <v/>
      </c>
      <c r="I63" s="51" t="str">
        <f>IF(ISNUMBER(F63),ROUND(F63*'参数'!$C$15,2),"")</f>
        <v/>
      </c>
      <c r="J63" s="21" t="n"/>
      <c r="K63" s="20" t="str">
        <f>IF(ISNUMBER(J63),J63,IF(ISNUMBER(F63),G63+H63+I63+ROUND(F63*'参数'!$C$16,2),""))</f>
        <v/>
      </c>
      <c r="L63" s="43" t="str">
        <f>IF(A63="","",IFERROR(T(INDEX('交易记录'!$C$5:$C$304,MATCH(A63,'交易记录'!$A$5:$A$304,0))),"编号没找到"))</f>
        <v/>
      </c>
      <c r="M63" s="57" t="str">
        <f>IF(AND(C63="买",ISNUMBER(B63)),WORKDAY(B63,1,'参数'!$B$58:$B$80),"")</f>
        <v/>
      </c>
      <c r="N63" s="36" t="str">
        <f>IF(C63&lt;&gt;"卖","",IF(AND(ISNUMBER(B63),A63&lt;&gt;""),IF(SUMIFS($E$5:$E$804,$A$5:$A$804,A63,$C$5:$C$804,"卖",$B$5:$B$804,"&lt;="&amp;B63)&gt;SUMIFS($E$5:$E$804,$A$5:$A$804,A63,$C$5:$C$804,"买",$B$5:$B$804,"&lt;"&amp;B63),"超出可卖股数","OK"),""))</f>
        <v/>
      </c>
      <c r="O63" s="32" t="n"/>
    </row>
    <row r="64">
      <c r="A64" s="46" t="n"/>
      <c r="B64" s="31" t="n"/>
      <c r="C64" s="27" t="n"/>
      <c r="D64" s="56" t="n"/>
      <c r="E64" s="17" t="n"/>
      <c r="F64" s="20" t="str">
        <f>IF(AND(ISNUMBER(D64),ISNUMBER(E64)),D64*E64,"")</f>
        <v/>
      </c>
      <c r="G64" s="51" t="str">
        <f>IF(ISNUMBER(F64),ROUND(MAX(F64*'参数'!$C$12,'参数'!$C$13),2),"")</f>
        <v/>
      </c>
      <c r="H64" s="51" t="str">
        <f>IF(ISNUMBER(F64),IF(C64="卖",ROUND(F64*'参数'!$C$14,2),0),"")</f>
        <v/>
      </c>
      <c r="I64" s="51" t="str">
        <f>IF(ISNUMBER(F64),ROUND(F64*'参数'!$C$15,2),"")</f>
        <v/>
      </c>
      <c r="J64" s="21" t="n"/>
      <c r="K64" s="20" t="str">
        <f>IF(ISNUMBER(J64),J64,IF(ISNUMBER(F64),G64+H64+I64+ROUND(F64*'参数'!$C$16,2),""))</f>
        <v/>
      </c>
      <c r="L64" s="43" t="str">
        <f>IF(A64="","",IFERROR(T(INDEX('交易记录'!$C$5:$C$304,MATCH(A64,'交易记录'!$A$5:$A$304,0))),"编号没找到"))</f>
        <v/>
      </c>
      <c r="M64" s="57" t="str">
        <f>IF(AND(C64="买",ISNUMBER(B64)),WORKDAY(B64,1,'参数'!$B$58:$B$80),"")</f>
        <v/>
      </c>
      <c r="N64" s="36" t="str">
        <f>IF(C64&lt;&gt;"卖","",IF(AND(ISNUMBER(B64),A64&lt;&gt;""),IF(SUMIFS($E$5:$E$804,$A$5:$A$804,A64,$C$5:$C$804,"卖",$B$5:$B$804,"&lt;="&amp;B64)&gt;SUMIFS($E$5:$E$804,$A$5:$A$804,A64,$C$5:$C$804,"买",$B$5:$B$804,"&lt;"&amp;B64),"超出可卖股数","OK"),""))</f>
        <v/>
      </c>
      <c r="O64" s="32" t="n"/>
    </row>
    <row r="65">
      <c r="A65" s="46" t="n"/>
      <c r="B65" s="31" t="n"/>
      <c r="C65" s="27" t="n"/>
      <c r="D65" s="56" t="n"/>
      <c r="E65" s="17" t="n"/>
      <c r="F65" s="20" t="str">
        <f>IF(AND(ISNUMBER(D65),ISNUMBER(E65)),D65*E65,"")</f>
        <v/>
      </c>
      <c r="G65" s="51" t="str">
        <f>IF(ISNUMBER(F65),ROUND(MAX(F65*'参数'!$C$12,'参数'!$C$13),2),"")</f>
        <v/>
      </c>
      <c r="H65" s="51" t="str">
        <f>IF(ISNUMBER(F65),IF(C65="卖",ROUND(F65*'参数'!$C$14,2),0),"")</f>
        <v/>
      </c>
      <c r="I65" s="51" t="str">
        <f>IF(ISNUMBER(F65),ROUND(F65*'参数'!$C$15,2),"")</f>
        <v/>
      </c>
      <c r="J65" s="21" t="n"/>
      <c r="K65" s="20" t="str">
        <f>IF(ISNUMBER(J65),J65,IF(ISNUMBER(F65),G65+H65+I65+ROUND(F65*'参数'!$C$16,2),""))</f>
        <v/>
      </c>
      <c r="L65" s="43" t="str">
        <f>IF(A65="","",IFERROR(T(INDEX('交易记录'!$C$5:$C$304,MATCH(A65,'交易记录'!$A$5:$A$304,0))),"编号没找到"))</f>
        <v/>
      </c>
      <c r="M65" s="57" t="str">
        <f>IF(AND(C65="买",ISNUMBER(B65)),WORKDAY(B65,1,'参数'!$B$58:$B$80),"")</f>
        <v/>
      </c>
      <c r="N65" s="36" t="str">
        <f>IF(C65&lt;&gt;"卖","",IF(AND(ISNUMBER(B65),A65&lt;&gt;""),IF(SUMIFS($E$5:$E$804,$A$5:$A$804,A65,$C$5:$C$804,"卖",$B$5:$B$804,"&lt;="&amp;B65)&gt;SUMIFS($E$5:$E$804,$A$5:$A$804,A65,$C$5:$C$804,"买",$B$5:$B$804,"&lt;"&amp;B65),"超出可卖股数","OK"),""))</f>
        <v/>
      </c>
      <c r="O65" s="32" t="n"/>
    </row>
    <row r="66">
      <c r="A66" s="46" t="n"/>
      <c r="B66" s="31" t="n"/>
      <c r="C66" s="27" t="n"/>
      <c r="D66" s="56" t="n"/>
      <c r="E66" s="17" t="n"/>
      <c r="F66" s="20" t="str">
        <f>IF(AND(ISNUMBER(D66),ISNUMBER(E66)),D66*E66,"")</f>
        <v/>
      </c>
      <c r="G66" s="51" t="str">
        <f>IF(ISNUMBER(F66),ROUND(MAX(F66*'参数'!$C$12,'参数'!$C$13),2),"")</f>
        <v/>
      </c>
      <c r="H66" s="51" t="str">
        <f>IF(ISNUMBER(F66),IF(C66="卖",ROUND(F66*'参数'!$C$14,2),0),"")</f>
        <v/>
      </c>
      <c r="I66" s="51" t="str">
        <f>IF(ISNUMBER(F66),ROUND(F66*'参数'!$C$15,2),"")</f>
        <v/>
      </c>
      <c r="J66" s="21" t="n"/>
      <c r="K66" s="20" t="str">
        <f>IF(ISNUMBER(J66),J66,IF(ISNUMBER(F66),G66+H66+I66+ROUND(F66*'参数'!$C$16,2),""))</f>
        <v/>
      </c>
      <c r="L66" s="43" t="str">
        <f>IF(A66="","",IFERROR(T(INDEX('交易记录'!$C$5:$C$304,MATCH(A66,'交易记录'!$A$5:$A$304,0))),"编号没找到"))</f>
        <v/>
      </c>
      <c r="M66" s="57" t="str">
        <f>IF(AND(C66="买",ISNUMBER(B66)),WORKDAY(B66,1,'参数'!$B$58:$B$80),"")</f>
        <v/>
      </c>
      <c r="N66" s="36" t="str">
        <f>IF(C66&lt;&gt;"卖","",IF(AND(ISNUMBER(B66),A66&lt;&gt;""),IF(SUMIFS($E$5:$E$804,$A$5:$A$804,A66,$C$5:$C$804,"卖",$B$5:$B$804,"&lt;="&amp;B66)&gt;SUMIFS($E$5:$E$804,$A$5:$A$804,A66,$C$5:$C$804,"买",$B$5:$B$804,"&lt;"&amp;B66),"超出可卖股数","OK"),""))</f>
        <v/>
      </c>
      <c r="O66" s="32" t="n"/>
    </row>
    <row r="67">
      <c r="A67" s="46" t="n"/>
      <c r="B67" s="31" t="n"/>
      <c r="C67" s="27" t="n"/>
      <c r="D67" s="56" t="n"/>
      <c r="E67" s="17" t="n"/>
      <c r="F67" s="20" t="str">
        <f>IF(AND(ISNUMBER(D67),ISNUMBER(E67)),D67*E67,"")</f>
        <v/>
      </c>
      <c r="G67" s="51" t="str">
        <f>IF(ISNUMBER(F67),ROUND(MAX(F67*'参数'!$C$12,'参数'!$C$13),2),"")</f>
        <v/>
      </c>
      <c r="H67" s="51" t="str">
        <f>IF(ISNUMBER(F67),IF(C67="卖",ROUND(F67*'参数'!$C$14,2),0),"")</f>
        <v/>
      </c>
      <c r="I67" s="51" t="str">
        <f>IF(ISNUMBER(F67),ROUND(F67*'参数'!$C$15,2),"")</f>
        <v/>
      </c>
      <c r="J67" s="21" t="n"/>
      <c r="K67" s="20" t="str">
        <f>IF(ISNUMBER(J67),J67,IF(ISNUMBER(F67),G67+H67+I67+ROUND(F67*'参数'!$C$16,2),""))</f>
        <v/>
      </c>
      <c r="L67" s="43" t="str">
        <f>IF(A67="","",IFERROR(T(INDEX('交易记录'!$C$5:$C$304,MATCH(A67,'交易记录'!$A$5:$A$304,0))),"编号没找到"))</f>
        <v/>
      </c>
      <c r="M67" s="57" t="str">
        <f>IF(AND(C67="买",ISNUMBER(B67)),WORKDAY(B67,1,'参数'!$B$58:$B$80),"")</f>
        <v/>
      </c>
      <c r="N67" s="36" t="str">
        <f>IF(C67&lt;&gt;"卖","",IF(AND(ISNUMBER(B67),A67&lt;&gt;""),IF(SUMIFS($E$5:$E$804,$A$5:$A$804,A67,$C$5:$C$804,"卖",$B$5:$B$804,"&lt;="&amp;B67)&gt;SUMIFS($E$5:$E$804,$A$5:$A$804,A67,$C$5:$C$804,"买",$B$5:$B$804,"&lt;"&amp;B67),"超出可卖股数","OK"),""))</f>
        <v/>
      </c>
      <c r="O67" s="32" t="n"/>
    </row>
    <row r="68">
      <c r="A68" s="46" t="n"/>
      <c r="B68" s="31" t="n"/>
      <c r="C68" s="27" t="n"/>
      <c r="D68" s="56" t="n"/>
      <c r="E68" s="17" t="n"/>
      <c r="F68" s="20" t="str">
        <f>IF(AND(ISNUMBER(D68),ISNUMBER(E68)),D68*E68,"")</f>
        <v/>
      </c>
      <c r="G68" s="51" t="str">
        <f>IF(ISNUMBER(F68),ROUND(MAX(F68*'参数'!$C$12,'参数'!$C$13),2),"")</f>
        <v/>
      </c>
      <c r="H68" s="51" t="str">
        <f>IF(ISNUMBER(F68),IF(C68="卖",ROUND(F68*'参数'!$C$14,2),0),"")</f>
        <v/>
      </c>
      <c r="I68" s="51" t="str">
        <f>IF(ISNUMBER(F68),ROUND(F68*'参数'!$C$15,2),"")</f>
        <v/>
      </c>
      <c r="J68" s="21" t="n"/>
      <c r="K68" s="20" t="str">
        <f>IF(ISNUMBER(J68),J68,IF(ISNUMBER(F68),G68+H68+I68+ROUND(F68*'参数'!$C$16,2),""))</f>
        <v/>
      </c>
      <c r="L68" s="43" t="str">
        <f>IF(A68="","",IFERROR(T(INDEX('交易记录'!$C$5:$C$304,MATCH(A68,'交易记录'!$A$5:$A$304,0))),"编号没找到"))</f>
        <v/>
      </c>
      <c r="M68" s="57" t="str">
        <f>IF(AND(C68="买",ISNUMBER(B68)),WORKDAY(B68,1,'参数'!$B$58:$B$80),"")</f>
        <v/>
      </c>
      <c r="N68" s="36" t="str">
        <f>IF(C68&lt;&gt;"卖","",IF(AND(ISNUMBER(B68),A68&lt;&gt;""),IF(SUMIFS($E$5:$E$804,$A$5:$A$804,A68,$C$5:$C$804,"卖",$B$5:$B$804,"&lt;="&amp;B68)&gt;SUMIFS($E$5:$E$804,$A$5:$A$804,A68,$C$5:$C$804,"买",$B$5:$B$804,"&lt;"&amp;B68),"超出可卖股数","OK"),""))</f>
        <v/>
      </c>
      <c r="O68" s="32" t="n"/>
    </row>
    <row r="69">
      <c r="A69" s="46" t="n"/>
      <c r="B69" s="31" t="n"/>
      <c r="C69" s="27" t="n"/>
      <c r="D69" s="56" t="n"/>
      <c r="E69" s="17" t="n"/>
      <c r="F69" s="20" t="str">
        <f>IF(AND(ISNUMBER(D69),ISNUMBER(E69)),D69*E69,"")</f>
        <v/>
      </c>
      <c r="G69" s="51" t="str">
        <f>IF(ISNUMBER(F69),ROUND(MAX(F69*'参数'!$C$12,'参数'!$C$13),2),"")</f>
        <v/>
      </c>
      <c r="H69" s="51" t="str">
        <f>IF(ISNUMBER(F69),IF(C69="卖",ROUND(F69*'参数'!$C$14,2),0),"")</f>
        <v/>
      </c>
      <c r="I69" s="51" t="str">
        <f>IF(ISNUMBER(F69),ROUND(F69*'参数'!$C$15,2),"")</f>
        <v/>
      </c>
      <c r="J69" s="21" t="n"/>
      <c r="K69" s="20" t="str">
        <f>IF(ISNUMBER(J69),J69,IF(ISNUMBER(F69),G69+H69+I69+ROUND(F69*'参数'!$C$16,2),""))</f>
        <v/>
      </c>
      <c r="L69" s="43" t="str">
        <f>IF(A69="","",IFERROR(T(INDEX('交易记录'!$C$5:$C$304,MATCH(A69,'交易记录'!$A$5:$A$304,0))),"编号没找到"))</f>
        <v/>
      </c>
      <c r="M69" s="57" t="str">
        <f>IF(AND(C69="买",ISNUMBER(B69)),WORKDAY(B69,1,'参数'!$B$58:$B$80),"")</f>
        <v/>
      </c>
      <c r="N69" s="36" t="str">
        <f>IF(C69&lt;&gt;"卖","",IF(AND(ISNUMBER(B69),A69&lt;&gt;""),IF(SUMIFS($E$5:$E$804,$A$5:$A$804,A69,$C$5:$C$804,"卖",$B$5:$B$804,"&lt;="&amp;B69)&gt;SUMIFS($E$5:$E$804,$A$5:$A$804,A69,$C$5:$C$804,"买",$B$5:$B$804,"&lt;"&amp;B69),"超出可卖股数","OK"),""))</f>
        <v/>
      </c>
      <c r="O69" s="32" t="n"/>
    </row>
    <row r="70">
      <c r="A70" s="46" t="n"/>
      <c r="B70" s="31" t="n"/>
      <c r="C70" s="27" t="n"/>
      <c r="D70" s="56" t="n"/>
      <c r="E70" s="17" t="n"/>
      <c r="F70" s="20" t="str">
        <f>IF(AND(ISNUMBER(D70),ISNUMBER(E70)),D70*E70,"")</f>
        <v/>
      </c>
      <c r="G70" s="51" t="str">
        <f>IF(ISNUMBER(F70),ROUND(MAX(F70*'参数'!$C$12,'参数'!$C$13),2),"")</f>
        <v/>
      </c>
      <c r="H70" s="51" t="str">
        <f>IF(ISNUMBER(F70),IF(C70="卖",ROUND(F70*'参数'!$C$14,2),0),"")</f>
        <v/>
      </c>
      <c r="I70" s="51" t="str">
        <f>IF(ISNUMBER(F70),ROUND(F70*'参数'!$C$15,2),"")</f>
        <v/>
      </c>
      <c r="J70" s="21" t="n"/>
      <c r="K70" s="20" t="str">
        <f>IF(ISNUMBER(J70),J70,IF(ISNUMBER(F70),G70+H70+I70+ROUND(F70*'参数'!$C$16,2),""))</f>
        <v/>
      </c>
      <c r="L70" s="43" t="str">
        <f>IF(A70="","",IFERROR(T(INDEX('交易记录'!$C$5:$C$304,MATCH(A70,'交易记录'!$A$5:$A$304,0))),"编号没找到"))</f>
        <v/>
      </c>
      <c r="M70" s="57" t="str">
        <f>IF(AND(C70="买",ISNUMBER(B70)),WORKDAY(B70,1,'参数'!$B$58:$B$80),"")</f>
        <v/>
      </c>
      <c r="N70" s="36" t="str">
        <f>IF(C70&lt;&gt;"卖","",IF(AND(ISNUMBER(B70),A70&lt;&gt;""),IF(SUMIFS($E$5:$E$804,$A$5:$A$804,A70,$C$5:$C$804,"卖",$B$5:$B$804,"&lt;="&amp;B70)&gt;SUMIFS($E$5:$E$804,$A$5:$A$804,A70,$C$5:$C$804,"买",$B$5:$B$804,"&lt;"&amp;B70),"超出可卖股数","OK"),""))</f>
        <v/>
      </c>
      <c r="O70" s="32" t="n"/>
    </row>
    <row r="71">
      <c r="A71" s="46" t="n"/>
      <c r="B71" s="31" t="n"/>
      <c r="C71" s="27" t="n"/>
      <c r="D71" s="56" t="n"/>
      <c r="E71" s="17" t="n"/>
      <c r="F71" s="20" t="str">
        <f>IF(AND(ISNUMBER(D71),ISNUMBER(E71)),D71*E71,"")</f>
        <v/>
      </c>
      <c r="G71" s="51" t="str">
        <f>IF(ISNUMBER(F71),ROUND(MAX(F71*'参数'!$C$12,'参数'!$C$13),2),"")</f>
        <v/>
      </c>
      <c r="H71" s="51" t="str">
        <f>IF(ISNUMBER(F71),IF(C71="卖",ROUND(F71*'参数'!$C$14,2),0),"")</f>
        <v/>
      </c>
      <c r="I71" s="51" t="str">
        <f>IF(ISNUMBER(F71),ROUND(F71*'参数'!$C$15,2),"")</f>
        <v/>
      </c>
      <c r="J71" s="21" t="n"/>
      <c r="K71" s="20" t="str">
        <f>IF(ISNUMBER(J71),J71,IF(ISNUMBER(F71),G71+H71+I71+ROUND(F71*'参数'!$C$16,2),""))</f>
        <v/>
      </c>
      <c r="L71" s="43" t="str">
        <f>IF(A71="","",IFERROR(T(INDEX('交易记录'!$C$5:$C$304,MATCH(A71,'交易记录'!$A$5:$A$304,0))),"编号没找到"))</f>
        <v/>
      </c>
      <c r="M71" s="57" t="str">
        <f>IF(AND(C71="买",ISNUMBER(B71)),WORKDAY(B71,1,'参数'!$B$58:$B$80),"")</f>
        <v/>
      </c>
      <c r="N71" s="36" t="str">
        <f>IF(C71&lt;&gt;"卖","",IF(AND(ISNUMBER(B71),A71&lt;&gt;""),IF(SUMIFS($E$5:$E$804,$A$5:$A$804,A71,$C$5:$C$804,"卖",$B$5:$B$804,"&lt;="&amp;B71)&gt;SUMIFS($E$5:$E$804,$A$5:$A$804,A71,$C$5:$C$804,"买",$B$5:$B$804,"&lt;"&amp;B71),"超出可卖股数","OK"),""))</f>
        <v/>
      </c>
      <c r="O71" s="32" t="n"/>
    </row>
    <row r="72">
      <c r="A72" s="46" t="n"/>
      <c r="B72" s="31" t="n"/>
      <c r="C72" s="27" t="n"/>
      <c r="D72" s="56" t="n"/>
      <c r="E72" s="17" t="n"/>
      <c r="F72" s="20" t="str">
        <f>IF(AND(ISNUMBER(D72),ISNUMBER(E72)),D72*E72,"")</f>
        <v/>
      </c>
      <c r="G72" s="51" t="str">
        <f>IF(ISNUMBER(F72),ROUND(MAX(F72*'参数'!$C$12,'参数'!$C$13),2),"")</f>
        <v/>
      </c>
      <c r="H72" s="51" t="str">
        <f>IF(ISNUMBER(F72),IF(C72="卖",ROUND(F72*'参数'!$C$14,2),0),"")</f>
        <v/>
      </c>
      <c r="I72" s="51" t="str">
        <f>IF(ISNUMBER(F72),ROUND(F72*'参数'!$C$15,2),"")</f>
        <v/>
      </c>
      <c r="J72" s="21" t="n"/>
      <c r="K72" s="20" t="str">
        <f>IF(ISNUMBER(J72),J72,IF(ISNUMBER(F72),G72+H72+I72+ROUND(F72*'参数'!$C$16,2),""))</f>
        <v/>
      </c>
      <c r="L72" s="43" t="str">
        <f>IF(A72="","",IFERROR(T(INDEX('交易记录'!$C$5:$C$304,MATCH(A72,'交易记录'!$A$5:$A$304,0))),"编号没找到"))</f>
        <v/>
      </c>
      <c r="M72" s="57" t="str">
        <f>IF(AND(C72="买",ISNUMBER(B72)),WORKDAY(B72,1,'参数'!$B$58:$B$80),"")</f>
        <v/>
      </c>
      <c r="N72" s="36" t="str">
        <f>IF(C72&lt;&gt;"卖","",IF(AND(ISNUMBER(B72),A72&lt;&gt;""),IF(SUMIFS($E$5:$E$804,$A$5:$A$804,A72,$C$5:$C$804,"卖",$B$5:$B$804,"&lt;="&amp;B72)&gt;SUMIFS($E$5:$E$804,$A$5:$A$804,A72,$C$5:$C$804,"买",$B$5:$B$804,"&lt;"&amp;B72),"超出可卖股数","OK"),""))</f>
        <v/>
      </c>
      <c r="O72" s="32" t="n"/>
    </row>
    <row r="73">
      <c r="A73" s="46" t="n"/>
      <c r="B73" s="31" t="n"/>
      <c r="C73" s="27" t="n"/>
      <c r="D73" s="56" t="n"/>
      <c r="E73" s="17" t="n"/>
      <c r="F73" s="20" t="str">
        <f>IF(AND(ISNUMBER(D73),ISNUMBER(E73)),D73*E73,"")</f>
        <v/>
      </c>
      <c r="G73" s="51" t="str">
        <f>IF(ISNUMBER(F73),ROUND(MAX(F73*'参数'!$C$12,'参数'!$C$13),2),"")</f>
        <v/>
      </c>
      <c r="H73" s="51" t="str">
        <f>IF(ISNUMBER(F73),IF(C73="卖",ROUND(F73*'参数'!$C$14,2),0),"")</f>
        <v/>
      </c>
      <c r="I73" s="51" t="str">
        <f>IF(ISNUMBER(F73),ROUND(F73*'参数'!$C$15,2),"")</f>
        <v/>
      </c>
      <c r="J73" s="21" t="n"/>
      <c r="K73" s="20" t="str">
        <f>IF(ISNUMBER(J73),J73,IF(ISNUMBER(F73),G73+H73+I73+ROUND(F73*'参数'!$C$16,2),""))</f>
        <v/>
      </c>
      <c r="L73" s="43" t="str">
        <f>IF(A73="","",IFERROR(T(INDEX('交易记录'!$C$5:$C$304,MATCH(A73,'交易记录'!$A$5:$A$304,0))),"编号没找到"))</f>
        <v/>
      </c>
      <c r="M73" s="57" t="str">
        <f>IF(AND(C73="买",ISNUMBER(B73)),WORKDAY(B73,1,'参数'!$B$58:$B$80),"")</f>
        <v/>
      </c>
      <c r="N73" s="36" t="str">
        <f>IF(C73&lt;&gt;"卖","",IF(AND(ISNUMBER(B73),A73&lt;&gt;""),IF(SUMIFS($E$5:$E$804,$A$5:$A$804,A73,$C$5:$C$804,"卖",$B$5:$B$804,"&lt;="&amp;B73)&gt;SUMIFS($E$5:$E$804,$A$5:$A$804,A73,$C$5:$C$804,"买",$B$5:$B$804,"&lt;"&amp;B73),"超出可卖股数","OK"),""))</f>
        <v/>
      </c>
      <c r="O73" s="32" t="n"/>
    </row>
    <row r="74">
      <c r="A74" s="46" t="n"/>
      <c r="B74" s="31" t="n"/>
      <c r="C74" s="27" t="n"/>
      <c r="D74" s="56" t="n"/>
      <c r="E74" s="17" t="n"/>
      <c r="F74" s="20" t="str">
        <f>IF(AND(ISNUMBER(D74),ISNUMBER(E74)),D74*E74,"")</f>
        <v/>
      </c>
      <c r="G74" s="51" t="str">
        <f>IF(ISNUMBER(F74),ROUND(MAX(F74*'参数'!$C$12,'参数'!$C$13),2),"")</f>
        <v/>
      </c>
      <c r="H74" s="51" t="str">
        <f>IF(ISNUMBER(F74),IF(C74="卖",ROUND(F74*'参数'!$C$14,2),0),"")</f>
        <v/>
      </c>
      <c r="I74" s="51" t="str">
        <f>IF(ISNUMBER(F74),ROUND(F74*'参数'!$C$15,2),"")</f>
        <v/>
      </c>
      <c r="J74" s="21" t="n"/>
      <c r="K74" s="20" t="str">
        <f>IF(ISNUMBER(J74),J74,IF(ISNUMBER(F74),G74+H74+I74+ROUND(F74*'参数'!$C$16,2),""))</f>
        <v/>
      </c>
      <c r="L74" s="43" t="str">
        <f>IF(A74="","",IFERROR(T(INDEX('交易记录'!$C$5:$C$304,MATCH(A74,'交易记录'!$A$5:$A$304,0))),"编号没找到"))</f>
        <v/>
      </c>
      <c r="M74" s="57" t="str">
        <f>IF(AND(C74="买",ISNUMBER(B74)),WORKDAY(B74,1,'参数'!$B$58:$B$80),"")</f>
        <v/>
      </c>
      <c r="N74" s="36" t="str">
        <f>IF(C74&lt;&gt;"卖","",IF(AND(ISNUMBER(B74),A74&lt;&gt;""),IF(SUMIFS($E$5:$E$804,$A$5:$A$804,A74,$C$5:$C$804,"卖",$B$5:$B$804,"&lt;="&amp;B74)&gt;SUMIFS($E$5:$E$804,$A$5:$A$804,A74,$C$5:$C$804,"买",$B$5:$B$804,"&lt;"&amp;B74),"超出可卖股数","OK"),""))</f>
        <v/>
      </c>
      <c r="O74" s="32" t="n"/>
    </row>
    <row r="75">
      <c r="A75" s="46" t="n"/>
      <c r="B75" s="31" t="n"/>
      <c r="C75" s="27" t="n"/>
      <c r="D75" s="56" t="n"/>
      <c r="E75" s="17" t="n"/>
      <c r="F75" s="20" t="str">
        <f>IF(AND(ISNUMBER(D75),ISNUMBER(E75)),D75*E75,"")</f>
        <v/>
      </c>
      <c r="G75" s="51" t="str">
        <f>IF(ISNUMBER(F75),ROUND(MAX(F75*'参数'!$C$12,'参数'!$C$13),2),"")</f>
        <v/>
      </c>
      <c r="H75" s="51" t="str">
        <f>IF(ISNUMBER(F75),IF(C75="卖",ROUND(F75*'参数'!$C$14,2),0),"")</f>
        <v/>
      </c>
      <c r="I75" s="51" t="str">
        <f>IF(ISNUMBER(F75),ROUND(F75*'参数'!$C$15,2),"")</f>
        <v/>
      </c>
      <c r="J75" s="21" t="n"/>
      <c r="K75" s="20" t="str">
        <f>IF(ISNUMBER(J75),J75,IF(ISNUMBER(F75),G75+H75+I75+ROUND(F75*'参数'!$C$16,2),""))</f>
        <v/>
      </c>
      <c r="L75" s="43" t="str">
        <f>IF(A75="","",IFERROR(T(INDEX('交易记录'!$C$5:$C$304,MATCH(A75,'交易记录'!$A$5:$A$304,0))),"编号没找到"))</f>
        <v/>
      </c>
      <c r="M75" s="57" t="str">
        <f>IF(AND(C75="买",ISNUMBER(B75)),WORKDAY(B75,1,'参数'!$B$58:$B$80),"")</f>
        <v/>
      </c>
      <c r="N75" s="36" t="str">
        <f>IF(C75&lt;&gt;"卖","",IF(AND(ISNUMBER(B75),A75&lt;&gt;""),IF(SUMIFS($E$5:$E$804,$A$5:$A$804,A75,$C$5:$C$804,"卖",$B$5:$B$804,"&lt;="&amp;B75)&gt;SUMIFS($E$5:$E$804,$A$5:$A$804,A75,$C$5:$C$804,"买",$B$5:$B$804,"&lt;"&amp;B75),"超出可卖股数","OK"),""))</f>
        <v/>
      </c>
      <c r="O75" s="32" t="n"/>
    </row>
    <row r="76">
      <c r="A76" s="46" t="n"/>
      <c r="B76" s="31" t="n"/>
      <c r="C76" s="27" t="n"/>
      <c r="D76" s="56" t="n"/>
      <c r="E76" s="17" t="n"/>
      <c r="F76" s="20" t="str">
        <f>IF(AND(ISNUMBER(D76),ISNUMBER(E76)),D76*E76,"")</f>
        <v/>
      </c>
      <c r="G76" s="51" t="str">
        <f>IF(ISNUMBER(F76),ROUND(MAX(F76*'参数'!$C$12,'参数'!$C$13),2),"")</f>
        <v/>
      </c>
      <c r="H76" s="51" t="str">
        <f>IF(ISNUMBER(F76),IF(C76="卖",ROUND(F76*'参数'!$C$14,2),0),"")</f>
        <v/>
      </c>
      <c r="I76" s="51" t="str">
        <f>IF(ISNUMBER(F76),ROUND(F76*'参数'!$C$15,2),"")</f>
        <v/>
      </c>
      <c r="J76" s="21" t="n"/>
      <c r="K76" s="20" t="str">
        <f>IF(ISNUMBER(J76),J76,IF(ISNUMBER(F76),G76+H76+I76+ROUND(F76*'参数'!$C$16,2),""))</f>
        <v/>
      </c>
      <c r="L76" s="43" t="str">
        <f>IF(A76="","",IFERROR(T(INDEX('交易记录'!$C$5:$C$304,MATCH(A76,'交易记录'!$A$5:$A$304,0))),"编号没找到"))</f>
        <v/>
      </c>
      <c r="M76" s="57" t="str">
        <f>IF(AND(C76="买",ISNUMBER(B76)),WORKDAY(B76,1,'参数'!$B$58:$B$80),"")</f>
        <v/>
      </c>
      <c r="N76" s="36" t="str">
        <f>IF(C76&lt;&gt;"卖","",IF(AND(ISNUMBER(B76),A76&lt;&gt;""),IF(SUMIFS($E$5:$E$804,$A$5:$A$804,A76,$C$5:$C$804,"卖",$B$5:$B$804,"&lt;="&amp;B76)&gt;SUMIFS($E$5:$E$804,$A$5:$A$804,A76,$C$5:$C$804,"买",$B$5:$B$804,"&lt;"&amp;B76),"超出可卖股数","OK"),""))</f>
        <v/>
      </c>
      <c r="O76" s="32" t="n"/>
    </row>
    <row r="77">
      <c r="A77" s="46" t="n"/>
      <c r="B77" s="31" t="n"/>
      <c r="C77" s="27" t="n"/>
      <c r="D77" s="56" t="n"/>
      <c r="E77" s="17" t="n"/>
      <c r="F77" s="20" t="str">
        <f>IF(AND(ISNUMBER(D77),ISNUMBER(E77)),D77*E77,"")</f>
        <v/>
      </c>
      <c r="G77" s="51" t="str">
        <f>IF(ISNUMBER(F77),ROUND(MAX(F77*'参数'!$C$12,'参数'!$C$13),2),"")</f>
        <v/>
      </c>
      <c r="H77" s="51" t="str">
        <f>IF(ISNUMBER(F77),IF(C77="卖",ROUND(F77*'参数'!$C$14,2),0),"")</f>
        <v/>
      </c>
      <c r="I77" s="51" t="str">
        <f>IF(ISNUMBER(F77),ROUND(F77*'参数'!$C$15,2),"")</f>
        <v/>
      </c>
      <c r="J77" s="21" t="n"/>
      <c r="K77" s="20" t="str">
        <f>IF(ISNUMBER(J77),J77,IF(ISNUMBER(F77),G77+H77+I77+ROUND(F77*'参数'!$C$16,2),""))</f>
        <v/>
      </c>
      <c r="L77" s="43" t="str">
        <f>IF(A77="","",IFERROR(T(INDEX('交易记录'!$C$5:$C$304,MATCH(A77,'交易记录'!$A$5:$A$304,0))),"编号没找到"))</f>
        <v/>
      </c>
      <c r="M77" s="57" t="str">
        <f>IF(AND(C77="买",ISNUMBER(B77)),WORKDAY(B77,1,'参数'!$B$58:$B$80),"")</f>
        <v/>
      </c>
      <c r="N77" s="36" t="str">
        <f>IF(C77&lt;&gt;"卖","",IF(AND(ISNUMBER(B77),A77&lt;&gt;""),IF(SUMIFS($E$5:$E$804,$A$5:$A$804,A77,$C$5:$C$804,"卖",$B$5:$B$804,"&lt;="&amp;B77)&gt;SUMIFS($E$5:$E$804,$A$5:$A$804,A77,$C$5:$C$804,"买",$B$5:$B$804,"&lt;"&amp;B77),"超出可卖股数","OK"),""))</f>
        <v/>
      </c>
      <c r="O77" s="32" t="n"/>
    </row>
    <row r="78">
      <c r="A78" s="46" t="n"/>
      <c r="B78" s="31" t="n"/>
      <c r="C78" s="27" t="n"/>
      <c r="D78" s="56" t="n"/>
      <c r="E78" s="17" t="n"/>
      <c r="F78" s="20" t="str">
        <f>IF(AND(ISNUMBER(D78),ISNUMBER(E78)),D78*E78,"")</f>
        <v/>
      </c>
      <c r="G78" s="51" t="str">
        <f>IF(ISNUMBER(F78),ROUND(MAX(F78*'参数'!$C$12,'参数'!$C$13),2),"")</f>
        <v/>
      </c>
      <c r="H78" s="51" t="str">
        <f>IF(ISNUMBER(F78),IF(C78="卖",ROUND(F78*'参数'!$C$14,2),0),"")</f>
        <v/>
      </c>
      <c r="I78" s="51" t="str">
        <f>IF(ISNUMBER(F78),ROUND(F78*'参数'!$C$15,2),"")</f>
        <v/>
      </c>
      <c r="J78" s="21" t="n"/>
      <c r="K78" s="20" t="str">
        <f>IF(ISNUMBER(J78),J78,IF(ISNUMBER(F78),G78+H78+I78+ROUND(F78*'参数'!$C$16,2),""))</f>
        <v/>
      </c>
      <c r="L78" s="43" t="str">
        <f>IF(A78="","",IFERROR(T(INDEX('交易记录'!$C$5:$C$304,MATCH(A78,'交易记录'!$A$5:$A$304,0))),"编号没找到"))</f>
        <v/>
      </c>
      <c r="M78" s="57" t="str">
        <f>IF(AND(C78="买",ISNUMBER(B78)),WORKDAY(B78,1,'参数'!$B$58:$B$80),"")</f>
        <v/>
      </c>
      <c r="N78" s="36" t="str">
        <f>IF(C78&lt;&gt;"卖","",IF(AND(ISNUMBER(B78),A78&lt;&gt;""),IF(SUMIFS($E$5:$E$804,$A$5:$A$804,A78,$C$5:$C$804,"卖",$B$5:$B$804,"&lt;="&amp;B78)&gt;SUMIFS($E$5:$E$804,$A$5:$A$804,A78,$C$5:$C$804,"买",$B$5:$B$804,"&lt;"&amp;B78),"超出可卖股数","OK"),""))</f>
        <v/>
      </c>
      <c r="O78" s="32" t="n"/>
    </row>
    <row r="79">
      <c r="A79" s="46" t="n"/>
      <c r="B79" s="31" t="n"/>
      <c r="C79" s="27" t="n"/>
      <c r="D79" s="56" t="n"/>
      <c r="E79" s="17" t="n"/>
      <c r="F79" s="20" t="str">
        <f>IF(AND(ISNUMBER(D79),ISNUMBER(E79)),D79*E79,"")</f>
        <v/>
      </c>
      <c r="G79" s="51" t="str">
        <f>IF(ISNUMBER(F79),ROUND(MAX(F79*'参数'!$C$12,'参数'!$C$13),2),"")</f>
        <v/>
      </c>
      <c r="H79" s="51" t="str">
        <f>IF(ISNUMBER(F79),IF(C79="卖",ROUND(F79*'参数'!$C$14,2),0),"")</f>
        <v/>
      </c>
      <c r="I79" s="51" t="str">
        <f>IF(ISNUMBER(F79),ROUND(F79*'参数'!$C$15,2),"")</f>
        <v/>
      </c>
      <c r="J79" s="21" t="n"/>
      <c r="K79" s="20" t="str">
        <f>IF(ISNUMBER(J79),J79,IF(ISNUMBER(F79),G79+H79+I79+ROUND(F79*'参数'!$C$16,2),""))</f>
        <v/>
      </c>
      <c r="L79" s="43" t="str">
        <f>IF(A79="","",IFERROR(T(INDEX('交易记录'!$C$5:$C$304,MATCH(A79,'交易记录'!$A$5:$A$304,0))),"编号没找到"))</f>
        <v/>
      </c>
      <c r="M79" s="57" t="str">
        <f>IF(AND(C79="买",ISNUMBER(B79)),WORKDAY(B79,1,'参数'!$B$58:$B$80),"")</f>
        <v/>
      </c>
      <c r="N79" s="36" t="str">
        <f>IF(C79&lt;&gt;"卖","",IF(AND(ISNUMBER(B79),A79&lt;&gt;""),IF(SUMIFS($E$5:$E$804,$A$5:$A$804,A79,$C$5:$C$804,"卖",$B$5:$B$804,"&lt;="&amp;B79)&gt;SUMIFS($E$5:$E$804,$A$5:$A$804,A79,$C$5:$C$804,"买",$B$5:$B$804,"&lt;"&amp;B79),"超出可卖股数","OK"),""))</f>
        <v/>
      </c>
      <c r="O79" s="32" t="n"/>
    </row>
    <row r="80">
      <c r="A80" s="46" t="n"/>
      <c r="B80" s="31" t="n"/>
      <c r="C80" s="27" t="n"/>
      <c r="D80" s="56" t="n"/>
      <c r="E80" s="17" t="n"/>
      <c r="F80" s="20" t="str">
        <f>IF(AND(ISNUMBER(D80),ISNUMBER(E80)),D80*E80,"")</f>
        <v/>
      </c>
      <c r="G80" s="51" t="str">
        <f>IF(ISNUMBER(F80),ROUND(MAX(F80*'参数'!$C$12,'参数'!$C$13),2),"")</f>
        <v/>
      </c>
      <c r="H80" s="51" t="str">
        <f>IF(ISNUMBER(F80),IF(C80="卖",ROUND(F80*'参数'!$C$14,2),0),"")</f>
        <v/>
      </c>
      <c r="I80" s="51" t="str">
        <f>IF(ISNUMBER(F80),ROUND(F80*'参数'!$C$15,2),"")</f>
        <v/>
      </c>
      <c r="J80" s="21" t="n"/>
      <c r="K80" s="20" t="str">
        <f>IF(ISNUMBER(J80),J80,IF(ISNUMBER(F80),G80+H80+I80+ROUND(F80*'参数'!$C$16,2),""))</f>
        <v/>
      </c>
      <c r="L80" s="43" t="str">
        <f>IF(A80="","",IFERROR(T(INDEX('交易记录'!$C$5:$C$304,MATCH(A80,'交易记录'!$A$5:$A$304,0))),"编号没找到"))</f>
        <v/>
      </c>
      <c r="M80" s="57" t="str">
        <f>IF(AND(C80="买",ISNUMBER(B80)),WORKDAY(B80,1,'参数'!$B$58:$B$80),"")</f>
        <v/>
      </c>
      <c r="N80" s="36" t="str">
        <f>IF(C80&lt;&gt;"卖","",IF(AND(ISNUMBER(B80),A80&lt;&gt;""),IF(SUMIFS($E$5:$E$804,$A$5:$A$804,A80,$C$5:$C$804,"卖",$B$5:$B$804,"&lt;="&amp;B80)&gt;SUMIFS($E$5:$E$804,$A$5:$A$804,A80,$C$5:$C$804,"买",$B$5:$B$804,"&lt;"&amp;B80),"超出可卖股数","OK"),""))</f>
        <v/>
      </c>
      <c r="O80" s="32" t="n"/>
    </row>
    <row r="81">
      <c r="A81" s="46" t="n"/>
      <c r="B81" s="31" t="n"/>
      <c r="C81" s="27" t="n"/>
      <c r="D81" s="56" t="n"/>
      <c r="E81" s="17" t="n"/>
      <c r="F81" s="20" t="str">
        <f>IF(AND(ISNUMBER(D81),ISNUMBER(E81)),D81*E81,"")</f>
        <v/>
      </c>
      <c r="G81" s="51" t="str">
        <f>IF(ISNUMBER(F81),ROUND(MAX(F81*'参数'!$C$12,'参数'!$C$13),2),"")</f>
        <v/>
      </c>
      <c r="H81" s="51" t="str">
        <f>IF(ISNUMBER(F81),IF(C81="卖",ROUND(F81*'参数'!$C$14,2),0),"")</f>
        <v/>
      </c>
      <c r="I81" s="51" t="str">
        <f>IF(ISNUMBER(F81),ROUND(F81*'参数'!$C$15,2),"")</f>
        <v/>
      </c>
      <c r="J81" s="21" t="n"/>
      <c r="K81" s="20" t="str">
        <f>IF(ISNUMBER(J81),J81,IF(ISNUMBER(F81),G81+H81+I81+ROUND(F81*'参数'!$C$16,2),""))</f>
        <v/>
      </c>
      <c r="L81" s="43" t="str">
        <f>IF(A81="","",IFERROR(T(INDEX('交易记录'!$C$5:$C$304,MATCH(A81,'交易记录'!$A$5:$A$304,0))),"编号没找到"))</f>
        <v/>
      </c>
      <c r="M81" s="57" t="str">
        <f>IF(AND(C81="买",ISNUMBER(B81)),WORKDAY(B81,1,'参数'!$B$58:$B$80),"")</f>
        <v/>
      </c>
      <c r="N81" s="36" t="str">
        <f>IF(C81&lt;&gt;"卖","",IF(AND(ISNUMBER(B81),A81&lt;&gt;""),IF(SUMIFS($E$5:$E$804,$A$5:$A$804,A81,$C$5:$C$804,"卖",$B$5:$B$804,"&lt;="&amp;B81)&gt;SUMIFS($E$5:$E$804,$A$5:$A$804,A81,$C$5:$C$804,"买",$B$5:$B$804,"&lt;"&amp;B81),"超出可卖股数","OK"),""))</f>
        <v/>
      </c>
      <c r="O81" s="32" t="n"/>
    </row>
    <row r="82">
      <c r="A82" s="46" t="n"/>
      <c r="B82" s="31" t="n"/>
      <c r="C82" s="27" t="n"/>
      <c r="D82" s="56" t="n"/>
      <c r="E82" s="17" t="n"/>
      <c r="F82" s="20" t="str">
        <f>IF(AND(ISNUMBER(D82),ISNUMBER(E82)),D82*E82,"")</f>
        <v/>
      </c>
      <c r="G82" s="51" t="str">
        <f>IF(ISNUMBER(F82),ROUND(MAX(F82*'参数'!$C$12,'参数'!$C$13),2),"")</f>
        <v/>
      </c>
      <c r="H82" s="51" t="str">
        <f>IF(ISNUMBER(F82),IF(C82="卖",ROUND(F82*'参数'!$C$14,2),0),"")</f>
        <v/>
      </c>
      <c r="I82" s="51" t="str">
        <f>IF(ISNUMBER(F82),ROUND(F82*'参数'!$C$15,2),"")</f>
        <v/>
      </c>
      <c r="J82" s="21" t="n"/>
      <c r="K82" s="20" t="str">
        <f>IF(ISNUMBER(J82),J82,IF(ISNUMBER(F82),G82+H82+I82+ROUND(F82*'参数'!$C$16,2),""))</f>
        <v/>
      </c>
      <c r="L82" s="43" t="str">
        <f>IF(A82="","",IFERROR(T(INDEX('交易记录'!$C$5:$C$304,MATCH(A82,'交易记录'!$A$5:$A$304,0))),"编号没找到"))</f>
        <v/>
      </c>
      <c r="M82" s="57" t="str">
        <f>IF(AND(C82="买",ISNUMBER(B82)),WORKDAY(B82,1,'参数'!$B$58:$B$80),"")</f>
        <v/>
      </c>
      <c r="N82" s="36" t="str">
        <f>IF(C82&lt;&gt;"卖","",IF(AND(ISNUMBER(B82),A82&lt;&gt;""),IF(SUMIFS($E$5:$E$804,$A$5:$A$804,A82,$C$5:$C$804,"卖",$B$5:$B$804,"&lt;="&amp;B82)&gt;SUMIFS($E$5:$E$804,$A$5:$A$804,A82,$C$5:$C$804,"买",$B$5:$B$804,"&lt;"&amp;B82),"超出可卖股数","OK"),""))</f>
        <v/>
      </c>
      <c r="O82" s="32" t="n"/>
    </row>
    <row r="83">
      <c r="A83" s="46" t="n"/>
      <c r="B83" s="31" t="n"/>
      <c r="C83" s="27" t="n"/>
      <c r="D83" s="56" t="n"/>
      <c r="E83" s="17" t="n"/>
      <c r="F83" s="20" t="str">
        <f>IF(AND(ISNUMBER(D83),ISNUMBER(E83)),D83*E83,"")</f>
        <v/>
      </c>
      <c r="G83" s="51" t="str">
        <f>IF(ISNUMBER(F83),ROUND(MAX(F83*'参数'!$C$12,'参数'!$C$13),2),"")</f>
        <v/>
      </c>
      <c r="H83" s="51" t="str">
        <f>IF(ISNUMBER(F83),IF(C83="卖",ROUND(F83*'参数'!$C$14,2),0),"")</f>
        <v/>
      </c>
      <c r="I83" s="51" t="str">
        <f>IF(ISNUMBER(F83),ROUND(F83*'参数'!$C$15,2),"")</f>
        <v/>
      </c>
      <c r="J83" s="21" t="n"/>
      <c r="K83" s="20" t="str">
        <f>IF(ISNUMBER(J83),J83,IF(ISNUMBER(F83),G83+H83+I83+ROUND(F83*'参数'!$C$16,2),""))</f>
        <v/>
      </c>
      <c r="L83" s="43" t="str">
        <f>IF(A83="","",IFERROR(T(INDEX('交易记录'!$C$5:$C$304,MATCH(A83,'交易记录'!$A$5:$A$304,0))),"编号没找到"))</f>
        <v/>
      </c>
      <c r="M83" s="57" t="str">
        <f>IF(AND(C83="买",ISNUMBER(B83)),WORKDAY(B83,1,'参数'!$B$58:$B$80),"")</f>
        <v/>
      </c>
      <c r="N83" s="36" t="str">
        <f>IF(C83&lt;&gt;"卖","",IF(AND(ISNUMBER(B83),A83&lt;&gt;""),IF(SUMIFS($E$5:$E$804,$A$5:$A$804,A83,$C$5:$C$804,"卖",$B$5:$B$804,"&lt;="&amp;B83)&gt;SUMIFS($E$5:$E$804,$A$5:$A$804,A83,$C$5:$C$804,"买",$B$5:$B$804,"&lt;"&amp;B83),"超出可卖股数","OK"),""))</f>
        <v/>
      </c>
      <c r="O83" s="32" t="n"/>
    </row>
    <row r="84">
      <c r="A84" s="46" t="n"/>
      <c r="B84" s="31" t="n"/>
      <c r="C84" s="27" t="n"/>
      <c r="D84" s="56" t="n"/>
      <c r="E84" s="17" t="n"/>
      <c r="F84" s="20" t="str">
        <f>IF(AND(ISNUMBER(D84),ISNUMBER(E84)),D84*E84,"")</f>
        <v/>
      </c>
      <c r="G84" s="51" t="str">
        <f>IF(ISNUMBER(F84),ROUND(MAX(F84*'参数'!$C$12,'参数'!$C$13),2),"")</f>
        <v/>
      </c>
      <c r="H84" s="51" t="str">
        <f>IF(ISNUMBER(F84),IF(C84="卖",ROUND(F84*'参数'!$C$14,2),0),"")</f>
        <v/>
      </c>
      <c r="I84" s="51" t="str">
        <f>IF(ISNUMBER(F84),ROUND(F84*'参数'!$C$15,2),"")</f>
        <v/>
      </c>
      <c r="J84" s="21" t="n"/>
      <c r="K84" s="20" t="str">
        <f>IF(ISNUMBER(J84),J84,IF(ISNUMBER(F84),G84+H84+I84+ROUND(F84*'参数'!$C$16,2),""))</f>
        <v/>
      </c>
      <c r="L84" s="43" t="str">
        <f>IF(A84="","",IFERROR(T(INDEX('交易记录'!$C$5:$C$304,MATCH(A84,'交易记录'!$A$5:$A$304,0))),"编号没找到"))</f>
        <v/>
      </c>
      <c r="M84" s="57" t="str">
        <f>IF(AND(C84="买",ISNUMBER(B84)),WORKDAY(B84,1,'参数'!$B$58:$B$80),"")</f>
        <v/>
      </c>
      <c r="N84" s="36" t="str">
        <f>IF(C84&lt;&gt;"卖","",IF(AND(ISNUMBER(B84),A84&lt;&gt;""),IF(SUMIFS($E$5:$E$804,$A$5:$A$804,A84,$C$5:$C$804,"卖",$B$5:$B$804,"&lt;="&amp;B84)&gt;SUMIFS($E$5:$E$804,$A$5:$A$804,A84,$C$5:$C$804,"买",$B$5:$B$804,"&lt;"&amp;B84),"超出可卖股数","OK"),""))</f>
        <v/>
      </c>
      <c r="O84" s="32" t="n"/>
    </row>
    <row r="85">
      <c r="A85" s="46" t="n"/>
      <c r="B85" s="31" t="n"/>
      <c r="C85" s="27" t="n"/>
      <c r="D85" s="56" t="n"/>
      <c r="E85" s="17" t="n"/>
      <c r="F85" s="20" t="str">
        <f>IF(AND(ISNUMBER(D85),ISNUMBER(E85)),D85*E85,"")</f>
        <v/>
      </c>
      <c r="G85" s="51" t="str">
        <f>IF(ISNUMBER(F85),ROUND(MAX(F85*'参数'!$C$12,'参数'!$C$13),2),"")</f>
        <v/>
      </c>
      <c r="H85" s="51" t="str">
        <f>IF(ISNUMBER(F85),IF(C85="卖",ROUND(F85*'参数'!$C$14,2),0),"")</f>
        <v/>
      </c>
      <c r="I85" s="51" t="str">
        <f>IF(ISNUMBER(F85),ROUND(F85*'参数'!$C$15,2),"")</f>
        <v/>
      </c>
      <c r="J85" s="21" t="n"/>
      <c r="K85" s="20" t="str">
        <f>IF(ISNUMBER(J85),J85,IF(ISNUMBER(F85),G85+H85+I85+ROUND(F85*'参数'!$C$16,2),""))</f>
        <v/>
      </c>
      <c r="L85" s="43" t="str">
        <f>IF(A85="","",IFERROR(T(INDEX('交易记录'!$C$5:$C$304,MATCH(A85,'交易记录'!$A$5:$A$304,0))),"编号没找到"))</f>
        <v/>
      </c>
      <c r="M85" s="57" t="str">
        <f>IF(AND(C85="买",ISNUMBER(B85)),WORKDAY(B85,1,'参数'!$B$58:$B$80),"")</f>
        <v/>
      </c>
      <c r="N85" s="36" t="str">
        <f>IF(C85&lt;&gt;"卖","",IF(AND(ISNUMBER(B85),A85&lt;&gt;""),IF(SUMIFS($E$5:$E$804,$A$5:$A$804,A85,$C$5:$C$804,"卖",$B$5:$B$804,"&lt;="&amp;B85)&gt;SUMIFS($E$5:$E$804,$A$5:$A$804,A85,$C$5:$C$804,"买",$B$5:$B$804,"&lt;"&amp;B85),"超出可卖股数","OK"),""))</f>
        <v/>
      </c>
      <c r="O85" s="32" t="n"/>
    </row>
    <row r="86">
      <c r="A86" s="46" t="n"/>
      <c r="B86" s="31" t="n"/>
      <c r="C86" s="27" t="n"/>
      <c r="D86" s="56" t="n"/>
      <c r="E86" s="17" t="n"/>
      <c r="F86" s="20" t="str">
        <f>IF(AND(ISNUMBER(D86),ISNUMBER(E86)),D86*E86,"")</f>
        <v/>
      </c>
      <c r="G86" s="51" t="str">
        <f>IF(ISNUMBER(F86),ROUND(MAX(F86*'参数'!$C$12,'参数'!$C$13),2),"")</f>
        <v/>
      </c>
      <c r="H86" s="51" t="str">
        <f>IF(ISNUMBER(F86),IF(C86="卖",ROUND(F86*'参数'!$C$14,2),0),"")</f>
        <v/>
      </c>
      <c r="I86" s="51" t="str">
        <f>IF(ISNUMBER(F86),ROUND(F86*'参数'!$C$15,2),"")</f>
        <v/>
      </c>
      <c r="J86" s="21" t="n"/>
      <c r="K86" s="20" t="str">
        <f>IF(ISNUMBER(J86),J86,IF(ISNUMBER(F86),G86+H86+I86+ROUND(F86*'参数'!$C$16,2),""))</f>
        <v/>
      </c>
      <c r="L86" s="43" t="str">
        <f>IF(A86="","",IFERROR(T(INDEX('交易记录'!$C$5:$C$304,MATCH(A86,'交易记录'!$A$5:$A$304,0))),"编号没找到"))</f>
        <v/>
      </c>
      <c r="M86" s="57" t="str">
        <f>IF(AND(C86="买",ISNUMBER(B86)),WORKDAY(B86,1,'参数'!$B$58:$B$80),"")</f>
        <v/>
      </c>
      <c r="N86" s="36" t="str">
        <f>IF(C86&lt;&gt;"卖","",IF(AND(ISNUMBER(B86),A86&lt;&gt;""),IF(SUMIFS($E$5:$E$804,$A$5:$A$804,A86,$C$5:$C$804,"卖",$B$5:$B$804,"&lt;="&amp;B86)&gt;SUMIFS($E$5:$E$804,$A$5:$A$804,A86,$C$5:$C$804,"买",$B$5:$B$804,"&lt;"&amp;B86),"超出可卖股数","OK"),""))</f>
        <v/>
      </c>
      <c r="O86" s="32" t="n"/>
    </row>
    <row r="87">
      <c r="A87" s="46" t="n"/>
      <c r="B87" s="31" t="n"/>
      <c r="C87" s="27" t="n"/>
      <c r="D87" s="56" t="n"/>
      <c r="E87" s="17" t="n"/>
      <c r="F87" s="20" t="str">
        <f>IF(AND(ISNUMBER(D87),ISNUMBER(E87)),D87*E87,"")</f>
        <v/>
      </c>
      <c r="G87" s="51" t="str">
        <f>IF(ISNUMBER(F87),ROUND(MAX(F87*'参数'!$C$12,'参数'!$C$13),2),"")</f>
        <v/>
      </c>
      <c r="H87" s="51" t="str">
        <f>IF(ISNUMBER(F87),IF(C87="卖",ROUND(F87*'参数'!$C$14,2),0),"")</f>
        <v/>
      </c>
      <c r="I87" s="51" t="str">
        <f>IF(ISNUMBER(F87),ROUND(F87*'参数'!$C$15,2),"")</f>
        <v/>
      </c>
      <c r="J87" s="21" t="n"/>
      <c r="K87" s="20" t="str">
        <f>IF(ISNUMBER(J87),J87,IF(ISNUMBER(F87),G87+H87+I87+ROUND(F87*'参数'!$C$16,2),""))</f>
        <v/>
      </c>
      <c r="L87" s="43" t="str">
        <f>IF(A87="","",IFERROR(T(INDEX('交易记录'!$C$5:$C$304,MATCH(A87,'交易记录'!$A$5:$A$304,0))),"编号没找到"))</f>
        <v/>
      </c>
      <c r="M87" s="57" t="str">
        <f>IF(AND(C87="买",ISNUMBER(B87)),WORKDAY(B87,1,'参数'!$B$58:$B$80),"")</f>
        <v/>
      </c>
      <c r="N87" s="36" t="str">
        <f>IF(C87&lt;&gt;"卖","",IF(AND(ISNUMBER(B87),A87&lt;&gt;""),IF(SUMIFS($E$5:$E$804,$A$5:$A$804,A87,$C$5:$C$804,"卖",$B$5:$B$804,"&lt;="&amp;B87)&gt;SUMIFS($E$5:$E$804,$A$5:$A$804,A87,$C$5:$C$804,"买",$B$5:$B$804,"&lt;"&amp;B87),"超出可卖股数","OK"),""))</f>
        <v/>
      </c>
      <c r="O87" s="32" t="n"/>
    </row>
    <row r="88">
      <c r="A88" s="46" t="n"/>
      <c r="B88" s="31" t="n"/>
      <c r="C88" s="27" t="n"/>
      <c r="D88" s="56" t="n"/>
      <c r="E88" s="17" t="n"/>
      <c r="F88" s="20" t="str">
        <f>IF(AND(ISNUMBER(D88),ISNUMBER(E88)),D88*E88,"")</f>
        <v/>
      </c>
      <c r="G88" s="51" t="str">
        <f>IF(ISNUMBER(F88),ROUND(MAX(F88*'参数'!$C$12,'参数'!$C$13),2),"")</f>
        <v/>
      </c>
      <c r="H88" s="51" t="str">
        <f>IF(ISNUMBER(F88),IF(C88="卖",ROUND(F88*'参数'!$C$14,2),0),"")</f>
        <v/>
      </c>
      <c r="I88" s="51" t="str">
        <f>IF(ISNUMBER(F88),ROUND(F88*'参数'!$C$15,2),"")</f>
        <v/>
      </c>
      <c r="J88" s="21" t="n"/>
      <c r="K88" s="20" t="str">
        <f>IF(ISNUMBER(J88),J88,IF(ISNUMBER(F88),G88+H88+I88+ROUND(F88*'参数'!$C$16,2),""))</f>
        <v/>
      </c>
      <c r="L88" s="43" t="str">
        <f>IF(A88="","",IFERROR(T(INDEX('交易记录'!$C$5:$C$304,MATCH(A88,'交易记录'!$A$5:$A$304,0))),"编号没找到"))</f>
        <v/>
      </c>
      <c r="M88" s="57" t="str">
        <f>IF(AND(C88="买",ISNUMBER(B88)),WORKDAY(B88,1,'参数'!$B$58:$B$80),"")</f>
        <v/>
      </c>
      <c r="N88" s="36" t="str">
        <f>IF(C88&lt;&gt;"卖","",IF(AND(ISNUMBER(B88),A88&lt;&gt;""),IF(SUMIFS($E$5:$E$804,$A$5:$A$804,A88,$C$5:$C$804,"卖",$B$5:$B$804,"&lt;="&amp;B88)&gt;SUMIFS($E$5:$E$804,$A$5:$A$804,A88,$C$5:$C$804,"买",$B$5:$B$804,"&lt;"&amp;B88),"超出可卖股数","OK"),""))</f>
        <v/>
      </c>
      <c r="O88" s="32" t="n"/>
    </row>
    <row r="89">
      <c r="A89" s="46" t="n"/>
      <c r="B89" s="31" t="n"/>
      <c r="C89" s="27" t="n"/>
      <c r="D89" s="56" t="n"/>
      <c r="E89" s="17" t="n"/>
      <c r="F89" s="20" t="str">
        <f>IF(AND(ISNUMBER(D89),ISNUMBER(E89)),D89*E89,"")</f>
        <v/>
      </c>
      <c r="G89" s="51" t="str">
        <f>IF(ISNUMBER(F89),ROUND(MAX(F89*'参数'!$C$12,'参数'!$C$13),2),"")</f>
        <v/>
      </c>
      <c r="H89" s="51" t="str">
        <f>IF(ISNUMBER(F89),IF(C89="卖",ROUND(F89*'参数'!$C$14,2),0),"")</f>
        <v/>
      </c>
      <c r="I89" s="51" t="str">
        <f>IF(ISNUMBER(F89),ROUND(F89*'参数'!$C$15,2),"")</f>
        <v/>
      </c>
      <c r="J89" s="21" t="n"/>
      <c r="K89" s="20" t="str">
        <f>IF(ISNUMBER(J89),J89,IF(ISNUMBER(F89),G89+H89+I89+ROUND(F89*'参数'!$C$16,2),""))</f>
        <v/>
      </c>
      <c r="L89" s="43" t="str">
        <f>IF(A89="","",IFERROR(T(INDEX('交易记录'!$C$5:$C$304,MATCH(A89,'交易记录'!$A$5:$A$304,0))),"编号没找到"))</f>
        <v/>
      </c>
      <c r="M89" s="57" t="str">
        <f>IF(AND(C89="买",ISNUMBER(B89)),WORKDAY(B89,1,'参数'!$B$58:$B$80),"")</f>
        <v/>
      </c>
      <c r="N89" s="36" t="str">
        <f>IF(C89&lt;&gt;"卖","",IF(AND(ISNUMBER(B89),A89&lt;&gt;""),IF(SUMIFS($E$5:$E$804,$A$5:$A$804,A89,$C$5:$C$804,"卖",$B$5:$B$804,"&lt;="&amp;B89)&gt;SUMIFS($E$5:$E$804,$A$5:$A$804,A89,$C$5:$C$804,"买",$B$5:$B$804,"&lt;"&amp;B89),"超出可卖股数","OK"),""))</f>
        <v/>
      </c>
      <c r="O89" s="32" t="n"/>
    </row>
    <row r="90">
      <c r="A90" s="46" t="n"/>
      <c r="B90" s="31" t="n"/>
      <c r="C90" s="27" t="n"/>
      <c r="D90" s="56" t="n"/>
      <c r="E90" s="17" t="n"/>
      <c r="F90" s="20" t="str">
        <f>IF(AND(ISNUMBER(D90),ISNUMBER(E90)),D90*E90,"")</f>
        <v/>
      </c>
      <c r="G90" s="51" t="str">
        <f>IF(ISNUMBER(F90),ROUND(MAX(F90*'参数'!$C$12,'参数'!$C$13),2),"")</f>
        <v/>
      </c>
      <c r="H90" s="51" t="str">
        <f>IF(ISNUMBER(F90),IF(C90="卖",ROUND(F90*'参数'!$C$14,2),0),"")</f>
        <v/>
      </c>
      <c r="I90" s="51" t="str">
        <f>IF(ISNUMBER(F90),ROUND(F90*'参数'!$C$15,2),"")</f>
        <v/>
      </c>
      <c r="J90" s="21" t="n"/>
      <c r="K90" s="20" t="str">
        <f>IF(ISNUMBER(J90),J90,IF(ISNUMBER(F90),G90+H90+I90+ROUND(F90*'参数'!$C$16,2),""))</f>
        <v/>
      </c>
      <c r="L90" s="43" t="str">
        <f>IF(A90="","",IFERROR(T(INDEX('交易记录'!$C$5:$C$304,MATCH(A90,'交易记录'!$A$5:$A$304,0))),"编号没找到"))</f>
        <v/>
      </c>
      <c r="M90" s="57" t="str">
        <f>IF(AND(C90="买",ISNUMBER(B90)),WORKDAY(B90,1,'参数'!$B$58:$B$80),"")</f>
        <v/>
      </c>
      <c r="N90" s="36" t="str">
        <f>IF(C90&lt;&gt;"卖","",IF(AND(ISNUMBER(B90),A90&lt;&gt;""),IF(SUMIFS($E$5:$E$804,$A$5:$A$804,A90,$C$5:$C$804,"卖",$B$5:$B$804,"&lt;="&amp;B90)&gt;SUMIFS($E$5:$E$804,$A$5:$A$804,A90,$C$5:$C$804,"买",$B$5:$B$804,"&lt;"&amp;B90),"超出可卖股数","OK"),""))</f>
        <v/>
      </c>
      <c r="O90" s="32" t="n"/>
    </row>
    <row r="91">
      <c r="A91" s="46" t="n"/>
      <c r="B91" s="31" t="n"/>
      <c r="C91" s="27" t="n"/>
      <c r="D91" s="56" t="n"/>
      <c r="E91" s="17" t="n"/>
      <c r="F91" s="20" t="str">
        <f>IF(AND(ISNUMBER(D91),ISNUMBER(E91)),D91*E91,"")</f>
        <v/>
      </c>
      <c r="G91" s="51" t="str">
        <f>IF(ISNUMBER(F91),ROUND(MAX(F91*'参数'!$C$12,'参数'!$C$13),2),"")</f>
        <v/>
      </c>
      <c r="H91" s="51" t="str">
        <f>IF(ISNUMBER(F91),IF(C91="卖",ROUND(F91*'参数'!$C$14,2),0),"")</f>
        <v/>
      </c>
      <c r="I91" s="51" t="str">
        <f>IF(ISNUMBER(F91),ROUND(F91*'参数'!$C$15,2),"")</f>
        <v/>
      </c>
      <c r="J91" s="21" t="n"/>
      <c r="K91" s="20" t="str">
        <f>IF(ISNUMBER(J91),J91,IF(ISNUMBER(F91),G91+H91+I91+ROUND(F91*'参数'!$C$16,2),""))</f>
        <v/>
      </c>
      <c r="L91" s="43" t="str">
        <f>IF(A91="","",IFERROR(T(INDEX('交易记录'!$C$5:$C$304,MATCH(A91,'交易记录'!$A$5:$A$304,0))),"编号没找到"))</f>
        <v/>
      </c>
      <c r="M91" s="57" t="str">
        <f>IF(AND(C91="买",ISNUMBER(B91)),WORKDAY(B91,1,'参数'!$B$58:$B$80),"")</f>
        <v/>
      </c>
      <c r="N91" s="36" t="str">
        <f>IF(C91&lt;&gt;"卖","",IF(AND(ISNUMBER(B91),A91&lt;&gt;""),IF(SUMIFS($E$5:$E$804,$A$5:$A$804,A91,$C$5:$C$804,"卖",$B$5:$B$804,"&lt;="&amp;B91)&gt;SUMIFS($E$5:$E$804,$A$5:$A$804,A91,$C$5:$C$804,"买",$B$5:$B$804,"&lt;"&amp;B91),"超出可卖股数","OK"),""))</f>
        <v/>
      </c>
      <c r="O91" s="32" t="n"/>
    </row>
    <row r="92">
      <c r="A92" s="46" t="n"/>
      <c r="B92" s="31" t="n"/>
      <c r="C92" s="27" t="n"/>
      <c r="D92" s="56" t="n"/>
      <c r="E92" s="17" t="n"/>
      <c r="F92" s="20" t="str">
        <f>IF(AND(ISNUMBER(D92),ISNUMBER(E92)),D92*E92,"")</f>
        <v/>
      </c>
      <c r="G92" s="51" t="str">
        <f>IF(ISNUMBER(F92),ROUND(MAX(F92*'参数'!$C$12,'参数'!$C$13),2),"")</f>
        <v/>
      </c>
      <c r="H92" s="51" t="str">
        <f>IF(ISNUMBER(F92),IF(C92="卖",ROUND(F92*'参数'!$C$14,2),0),"")</f>
        <v/>
      </c>
      <c r="I92" s="51" t="str">
        <f>IF(ISNUMBER(F92),ROUND(F92*'参数'!$C$15,2),"")</f>
        <v/>
      </c>
      <c r="J92" s="21" t="n"/>
      <c r="K92" s="20" t="str">
        <f>IF(ISNUMBER(J92),J92,IF(ISNUMBER(F92),G92+H92+I92+ROUND(F92*'参数'!$C$16,2),""))</f>
        <v/>
      </c>
      <c r="L92" s="43" t="str">
        <f>IF(A92="","",IFERROR(T(INDEX('交易记录'!$C$5:$C$304,MATCH(A92,'交易记录'!$A$5:$A$304,0))),"编号没找到"))</f>
        <v/>
      </c>
      <c r="M92" s="57" t="str">
        <f>IF(AND(C92="买",ISNUMBER(B92)),WORKDAY(B92,1,'参数'!$B$58:$B$80),"")</f>
        <v/>
      </c>
      <c r="N92" s="36" t="str">
        <f>IF(C92&lt;&gt;"卖","",IF(AND(ISNUMBER(B92),A92&lt;&gt;""),IF(SUMIFS($E$5:$E$804,$A$5:$A$804,A92,$C$5:$C$804,"卖",$B$5:$B$804,"&lt;="&amp;B92)&gt;SUMIFS($E$5:$E$804,$A$5:$A$804,A92,$C$5:$C$804,"买",$B$5:$B$804,"&lt;"&amp;B92),"超出可卖股数","OK"),""))</f>
        <v/>
      </c>
      <c r="O92" s="32" t="n"/>
    </row>
    <row r="93">
      <c r="A93" s="46" t="n"/>
      <c r="B93" s="31" t="n"/>
      <c r="C93" s="27" t="n"/>
      <c r="D93" s="56" t="n"/>
      <c r="E93" s="17" t="n"/>
      <c r="F93" s="20" t="str">
        <f>IF(AND(ISNUMBER(D93),ISNUMBER(E93)),D93*E93,"")</f>
        <v/>
      </c>
      <c r="G93" s="51" t="str">
        <f>IF(ISNUMBER(F93),ROUND(MAX(F93*'参数'!$C$12,'参数'!$C$13),2),"")</f>
        <v/>
      </c>
      <c r="H93" s="51" t="str">
        <f>IF(ISNUMBER(F93),IF(C93="卖",ROUND(F93*'参数'!$C$14,2),0),"")</f>
        <v/>
      </c>
      <c r="I93" s="51" t="str">
        <f>IF(ISNUMBER(F93),ROUND(F93*'参数'!$C$15,2),"")</f>
        <v/>
      </c>
      <c r="J93" s="21" t="n"/>
      <c r="K93" s="20" t="str">
        <f>IF(ISNUMBER(J93),J93,IF(ISNUMBER(F93),G93+H93+I93+ROUND(F93*'参数'!$C$16,2),""))</f>
        <v/>
      </c>
      <c r="L93" s="43" t="str">
        <f>IF(A93="","",IFERROR(T(INDEX('交易记录'!$C$5:$C$304,MATCH(A93,'交易记录'!$A$5:$A$304,0))),"编号没找到"))</f>
        <v/>
      </c>
      <c r="M93" s="57" t="str">
        <f>IF(AND(C93="买",ISNUMBER(B93)),WORKDAY(B93,1,'参数'!$B$58:$B$80),"")</f>
        <v/>
      </c>
      <c r="N93" s="36" t="str">
        <f>IF(C93&lt;&gt;"卖","",IF(AND(ISNUMBER(B93),A93&lt;&gt;""),IF(SUMIFS($E$5:$E$804,$A$5:$A$804,A93,$C$5:$C$804,"卖",$B$5:$B$804,"&lt;="&amp;B93)&gt;SUMIFS($E$5:$E$804,$A$5:$A$804,A93,$C$5:$C$804,"买",$B$5:$B$804,"&lt;"&amp;B93),"超出可卖股数","OK"),""))</f>
        <v/>
      </c>
      <c r="O93" s="32" t="n"/>
    </row>
    <row r="94">
      <c r="A94" s="46" t="n"/>
      <c r="B94" s="31" t="n"/>
      <c r="C94" s="27" t="n"/>
      <c r="D94" s="56" t="n"/>
      <c r="E94" s="17" t="n"/>
      <c r="F94" s="20" t="str">
        <f>IF(AND(ISNUMBER(D94),ISNUMBER(E94)),D94*E94,"")</f>
        <v/>
      </c>
      <c r="G94" s="51" t="str">
        <f>IF(ISNUMBER(F94),ROUND(MAX(F94*'参数'!$C$12,'参数'!$C$13),2),"")</f>
        <v/>
      </c>
      <c r="H94" s="51" t="str">
        <f>IF(ISNUMBER(F94),IF(C94="卖",ROUND(F94*'参数'!$C$14,2),0),"")</f>
        <v/>
      </c>
      <c r="I94" s="51" t="str">
        <f>IF(ISNUMBER(F94),ROUND(F94*'参数'!$C$15,2),"")</f>
        <v/>
      </c>
      <c r="J94" s="21" t="n"/>
      <c r="K94" s="20" t="str">
        <f>IF(ISNUMBER(J94),J94,IF(ISNUMBER(F94),G94+H94+I94+ROUND(F94*'参数'!$C$16,2),""))</f>
        <v/>
      </c>
      <c r="L94" s="43" t="str">
        <f>IF(A94="","",IFERROR(T(INDEX('交易记录'!$C$5:$C$304,MATCH(A94,'交易记录'!$A$5:$A$304,0))),"编号没找到"))</f>
        <v/>
      </c>
      <c r="M94" s="57" t="str">
        <f>IF(AND(C94="买",ISNUMBER(B94)),WORKDAY(B94,1,'参数'!$B$58:$B$80),"")</f>
        <v/>
      </c>
      <c r="N94" s="36" t="str">
        <f>IF(C94&lt;&gt;"卖","",IF(AND(ISNUMBER(B94),A94&lt;&gt;""),IF(SUMIFS($E$5:$E$804,$A$5:$A$804,A94,$C$5:$C$804,"卖",$B$5:$B$804,"&lt;="&amp;B94)&gt;SUMIFS($E$5:$E$804,$A$5:$A$804,A94,$C$5:$C$804,"买",$B$5:$B$804,"&lt;"&amp;B94),"超出可卖股数","OK"),""))</f>
        <v/>
      </c>
      <c r="O94" s="32" t="n"/>
    </row>
    <row r="95">
      <c r="A95" s="46" t="n"/>
      <c r="B95" s="31" t="n"/>
      <c r="C95" s="27" t="n"/>
      <c r="D95" s="56" t="n"/>
      <c r="E95" s="17" t="n"/>
      <c r="F95" s="20" t="str">
        <f>IF(AND(ISNUMBER(D95),ISNUMBER(E95)),D95*E95,"")</f>
        <v/>
      </c>
      <c r="G95" s="51" t="str">
        <f>IF(ISNUMBER(F95),ROUND(MAX(F95*'参数'!$C$12,'参数'!$C$13),2),"")</f>
        <v/>
      </c>
      <c r="H95" s="51" t="str">
        <f>IF(ISNUMBER(F95),IF(C95="卖",ROUND(F95*'参数'!$C$14,2),0),"")</f>
        <v/>
      </c>
      <c r="I95" s="51" t="str">
        <f>IF(ISNUMBER(F95),ROUND(F95*'参数'!$C$15,2),"")</f>
        <v/>
      </c>
      <c r="J95" s="21" t="n"/>
      <c r="K95" s="20" t="str">
        <f>IF(ISNUMBER(J95),J95,IF(ISNUMBER(F95),G95+H95+I95+ROUND(F95*'参数'!$C$16,2),""))</f>
        <v/>
      </c>
      <c r="L95" s="43" t="str">
        <f>IF(A95="","",IFERROR(T(INDEX('交易记录'!$C$5:$C$304,MATCH(A95,'交易记录'!$A$5:$A$304,0))),"编号没找到"))</f>
        <v/>
      </c>
      <c r="M95" s="57" t="str">
        <f>IF(AND(C95="买",ISNUMBER(B95)),WORKDAY(B95,1,'参数'!$B$58:$B$80),"")</f>
        <v/>
      </c>
      <c r="N95" s="36" t="str">
        <f>IF(C95&lt;&gt;"卖","",IF(AND(ISNUMBER(B95),A95&lt;&gt;""),IF(SUMIFS($E$5:$E$804,$A$5:$A$804,A95,$C$5:$C$804,"卖",$B$5:$B$804,"&lt;="&amp;B95)&gt;SUMIFS($E$5:$E$804,$A$5:$A$804,A95,$C$5:$C$804,"买",$B$5:$B$804,"&lt;"&amp;B95),"超出可卖股数","OK"),""))</f>
        <v/>
      </c>
      <c r="O95" s="32" t="n"/>
    </row>
    <row r="96">
      <c r="A96" s="46" t="n"/>
      <c r="B96" s="31" t="n"/>
      <c r="C96" s="27" t="n"/>
      <c r="D96" s="56" t="n"/>
      <c r="E96" s="17" t="n"/>
      <c r="F96" s="20" t="str">
        <f>IF(AND(ISNUMBER(D96),ISNUMBER(E96)),D96*E96,"")</f>
        <v/>
      </c>
      <c r="G96" s="51" t="str">
        <f>IF(ISNUMBER(F96),ROUND(MAX(F96*'参数'!$C$12,'参数'!$C$13),2),"")</f>
        <v/>
      </c>
      <c r="H96" s="51" t="str">
        <f>IF(ISNUMBER(F96),IF(C96="卖",ROUND(F96*'参数'!$C$14,2),0),"")</f>
        <v/>
      </c>
      <c r="I96" s="51" t="str">
        <f>IF(ISNUMBER(F96),ROUND(F96*'参数'!$C$15,2),"")</f>
        <v/>
      </c>
      <c r="J96" s="21" t="n"/>
      <c r="K96" s="20" t="str">
        <f>IF(ISNUMBER(J96),J96,IF(ISNUMBER(F96),G96+H96+I96+ROUND(F96*'参数'!$C$16,2),""))</f>
        <v/>
      </c>
      <c r="L96" s="43" t="str">
        <f>IF(A96="","",IFERROR(T(INDEX('交易记录'!$C$5:$C$304,MATCH(A96,'交易记录'!$A$5:$A$304,0))),"编号没找到"))</f>
        <v/>
      </c>
      <c r="M96" s="57" t="str">
        <f>IF(AND(C96="买",ISNUMBER(B96)),WORKDAY(B96,1,'参数'!$B$58:$B$80),"")</f>
        <v/>
      </c>
      <c r="N96" s="36" t="str">
        <f>IF(C96&lt;&gt;"卖","",IF(AND(ISNUMBER(B96),A96&lt;&gt;""),IF(SUMIFS($E$5:$E$804,$A$5:$A$804,A96,$C$5:$C$804,"卖",$B$5:$B$804,"&lt;="&amp;B96)&gt;SUMIFS($E$5:$E$804,$A$5:$A$804,A96,$C$5:$C$804,"买",$B$5:$B$804,"&lt;"&amp;B96),"超出可卖股数","OK"),""))</f>
        <v/>
      </c>
      <c r="O96" s="32" t="n"/>
    </row>
    <row r="97">
      <c r="A97" s="46" t="n"/>
      <c r="B97" s="31" t="n"/>
      <c r="C97" s="27" t="n"/>
      <c r="D97" s="56" t="n"/>
      <c r="E97" s="17" t="n"/>
      <c r="F97" s="20" t="str">
        <f>IF(AND(ISNUMBER(D97),ISNUMBER(E97)),D97*E97,"")</f>
        <v/>
      </c>
      <c r="G97" s="51" t="str">
        <f>IF(ISNUMBER(F97),ROUND(MAX(F97*'参数'!$C$12,'参数'!$C$13),2),"")</f>
        <v/>
      </c>
      <c r="H97" s="51" t="str">
        <f>IF(ISNUMBER(F97),IF(C97="卖",ROUND(F97*'参数'!$C$14,2),0),"")</f>
        <v/>
      </c>
      <c r="I97" s="51" t="str">
        <f>IF(ISNUMBER(F97),ROUND(F97*'参数'!$C$15,2),"")</f>
        <v/>
      </c>
      <c r="J97" s="21" t="n"/>
      <c r="K97" s="20" t="str">
        <f>IF(ISNUMBER(J97),J97,IF(ISNUMBER(F97),G97+H97+I97+ROUND(F97*'参数'!$C$16,2),""))</f>
        <v/>
      </c>
      <c r="L97" s="43" t="str">
        <f>IF(A97="","",IFERROR(T(INDEX('交易记录'!$C$5:$C$304,MATCH(A97,'交易记录'!$A$5:$A$304,0))),"编号没找到"))</f>
        <v/>
      </c>
      <c r="M97" s="57" t="str">
        <f>IF(AND(C97="买",ISNUMBER(B97)),WORKDAY(B97,1,'参数'!$B$58:$B$80),"")</f>
        <v/>
      </c>
      <c r="N97" s="36" t="str">
        <f>IF(C97&lt;&gt;"卖","",IF(AND(ISNUMBER(B97),A97&lt;&gt;""),IF(SUMIFS($E$5:$E$804,$A$5:$A$804,A97,$C$5:$C$804,"卖",$B$5:$B$804,"&lt;="&amp;B97)&gt;SUMIFS($E$5:$E$804,$A$5:$A$804,A97,$C$5:$C$804,"买",$B$5:$B$804,"&lt;"&amp;B97),"超出可卖股数","OK"),""))</f>
        <v/>
      </c>
      <c r="O97" s="32" t="n"/>
    </row>
    <row r="98">
      <c r="A98" s="46" t="n"/>
      <c r="B98" s="31" t="n"/>
      <c r="C98" s="27" t="n"/>
      <c r="D98" s="56" t="n"/>
      <c r="E98" s="17" t="n"/>
      <c r="F98" s="20" t="str">
        <f>IF(AND(ISNUMBER(D98),ISNUMBER(E98)),D98*E98,"")</f>
        <v/>
      </c>
      <c r="G98" s="51" t="str">
        <f>IF(ISNUMBER(F98),ROUND(MAX(F98*'参数'!$C$12,'参数'!$C$13),2),"")</f>
        <v/>
      </c>
      <c r="H98" s="51" t="str">
        <f>IF(ISNUMBER(F98),IF(C98="卖",ROUND(F98*'参数'!$C$14,2),0),"")</f>
        <v/>
      </c>
      <c r="I98" s="51" t="str">
        <f>IF(ISNUMBER(F98),ROUND(F98*'参数'!$C$15,2),"")</f>
        <v/>
      </c>
      <c r="J98" s="21" t="n"/>
      <c r="K98" s="20" t="str">
        <f>IF(ISNUMBER(J98),J98,IF(ISNUMBER(F98),G98+H98+I98+ROUND(F98*'参数'!$C$16,2),""))</f>
        <v/>
      </c>
      <c r="L98" s="43" t="str">
        <f>IF(A98="","",IFERROR(T(INDEX('交易记录'!$C$5:$C$304,MATCH(A98,'交易记录'!$A$5:$A$304,0))),"编号没找到"))</f>
        <v/>
      </c>
      <c r="M98" s="57" t="str">
        <f>IF(AND(C98="买",ISNUMBER(B98)),WORKDAY(B98,1,'参数'!$B$58:$B$80),"")</f>
        <v/>
      </c>
      <c r="N98" s="36" t="str">
        <f>IF(C98&lt;&gt;"卖","",IF(AND(ISNUMBER(B98),A98&lt;&gt;""),IF(SUMIFS($E$5:$E$804,$A$5:$A$804,A98,$C$5:$C$804,"卖",$B$5:$B$804,"&lt;="&amp;B98)&gt;SUMIFS($E$5:$E$804,$A$5:$A$804,A98,$C$5:$C$804,"买",$B$5:$B$804,"&lt;"&amp;B98),"超出可卖股数","OK"),""))</f>
        <v/>
      </c>
      <c r="O98" s="32" t="n"/>
    </row>
    <row r="99">
      <c r="A99" s="46" t="n"/>
      <c r="B99" s="31" t="n"/>
      <c r="C99" s="27" t="n"/>
      <c r="D99" s="56" t="n"/>
      <c r="E99" s="17" t="n"/>
      <c r="F99" s="20" t="str">
        <f>IF(AND(ISNUMBER(D99),ISNUMBER(E99)),D99*E99,"")</f>
        <v/>
      </c>
      <c r="G99" s="51" t="str">
        <f>IF(ISNUMBER(F99),ROUND(MAX(F99*'参数'!$C$12,'参数'!$C$13),2),"")</f>
        <v/>
      </c>
      <c r="H99" s="51" t="str">
        <f>IF(ISNUMBER(F99),IF(C99="卖",ROUND(F99*'参数'!$C$14,2),0),"")</f>
        <v/>
      </c>
      <c r="I99" s="51" t="str">
        <f>IF(ISNUMBER(F99),ROUND(F99*'参数'!$C$15,2),"")</f>
        <v/>
      </c>
      <c r="J99" s="21" t="n"/>
      <c r="K99" s="20" t="str">
        <f>IF(ISNUMBER(J99),J99,IF(ISNUMBER(F99),G99+H99+I99+ROUND(F99*'参数'!$C$16,2),""))</f>
        <v/>
      </c>
      <c r="L99" s="43" t="str">
        <f>IF(A99="","",IFERROR(T(INDEX('交易记录'!$C$5:$C$304,MATCH(A99,'交易记录'!$A$5:$A$304,0))),"编号没找到"))</f>
        <v/>
      </c>
      <c r="M99" s="57" t="str">
        <f>IF(AND(C99="买",ISNUMBER(B99)),WORKDAY(B99,1,'参数'!$B$58:$B$80),"")</f>
        <v/>
      </c>
      <c r="N99" s="36" t="str">
        <f>IF(C99&lt;&gt;"卖","",IF(AND(ISNUMBER(B99),A99&lt;&gt;""),IF(SUMIFS($E$5:$E$804,$A$5:$A$804,A99,$C$5:$C$804,"卖",$B$5:$B$804,"&lt;="&amp;B99)&gt;SUMIFS($E$5:$E$804,$A$5:$A$804,A99,$C$5:$C$804,"买",$B$5:$B$804,"&lt;"&amp;B99),"超出可卖股数","OK"),""))</f>
        <v/>
      </c>
      <c r="O99" s="32" t="n"/>
    </row>
    <row r="100">
      <c r="A100" s="46" t="n"/>
      <c r="B100" s="31" t="n"/>
      <c r="C100" s="27" t="n"/>
      <c r="D100" s="56" t="n"/>
      <c r="E100" s="17" t="n"/>
      <c r="F100" s="20" t="str">
        <f>IF(AND(ISNUMBER(D100),ISNUMBER(E100)),D100*E100,"")</f>
        <v/>
      </c>
      <c r="G100" s="51" t="str">
        <f>IF(ISNUMBER(F100),ROUND(MAX(F100*'参数'!$C$12,'参数'!$C$13),2),"")</f>
        <v/>
      </c>
      <c r="H100" s="51" t="str">
        <f>IF(ISNUMBER(F100),IF(C100="卖",ROUND(F100*'参数'!$C$14,2),0),"")</f>
        <v/>
      </c>
      <c r="I100" s="51" t="str">
        <f>IF(ISNUMBER(F100),ROUND(F100*'参数'!$C$15,2),"")</f>
        <v/>
      </c>
      <c r="J100" s="21" t="n"/>
      <c r="K100" s="20" t="str">
        <f>IF(ISNUMBER(J100),J100,IF(ISNUMBER(F100),G100+H100+I100+ROUND(F100*'参数'!$C$16,2),""))</f>
        <v/>
      </c>
      <c r="L100" s="43" t="str">
        <f>IF(A100="","",IFERROR(T(INDEX('交易记录'!$C$5:$C$304,MATCH(A100,'交易记录'!$A$5:$A$304,0))),"编号没找到"))</f>
        <v/>
      </c>
      <c r="M100" s="57" t="str">
        <f>IF(AND(C100="买",ISNUMBER(B100)),WORKDAY(B100,1,'参数'!$B$58:$B$80),"")</f>
        <v/>
      </c>
      <c r="N100" s="36" t="str">
        <f>IF(C100&lt;&gt;"卖","",IF(AND(ISNUMBER(B100),A100&lt;&gt;""),IF(SUMIFS($E$5:$E$804,$A$5:$A$804,A100,$C$5:$C$804,"卖",$B$5:$B$804,"&lt;="&amp;B100)&gt;SUMIFS($E$5:$E$804,$A$5:$A$804,A100,$C$5:$C$804,"买",$B$5:$B$804,"&lt;"&amp;B100),"超出可卖股数","OK"),""))</f>
        <v/>
      </c>
      <c r="O100" s="32" t="n"/>
    </row>
    <row r="101">
      <c r="A101" s="46" t="n"/>
      <c r="B101" s="31" t="n"/>
      <c r="C101" s="27" t="n"/>
      <c r="D101" s="56" t="n"/>
      <c r="E101" s="17" t="n"/>
      <c r="F101" s="20" t="str">
        <f>IF(AND(ISNUMBER(D101),ISNUMBER(E101)),D101*E101,"")</f>
        <v/>
      </c>
      <c r="G101" s="51" t="str">
        <f>IF(ISNUMBER(F101),ROUND(MAX(F101*'参数'!$C$12,'参数'!$C$13),2),"")</f>
        <v/>
      </c>
      <c r="H101" s="51" t="str">
        <f>IF(ISNUMBER(F101),IF(C101="卖",ROUND(F101*'参数'!$C$14,2),0),"")</f>
        <v/>
      </c>
      <c r="I101" s="51" t="str">
        <f>IF(ISNUMBER(F101),ROUND(F101*'参数'!$C$15,2),"")</f>
        <v/>
      </c>
      <c r="J101" s="21" t="n"/>
      <c r="K101" s="20" t="str">
        <f>IF(ISNUMBER(J101),J101,IF(ISNUMBER(F101),G101+H101+I101+ROUND(F101*'参数'!$C$16,2),""))</f>
        <v/>
      </c>
      <c r="L101" s="43" t="str">
        <f>IF(A101="","",IFERROR(T(INDEX('交易记录'!$C$5:$C$304,MATCH(A101,'交易记录'!$A$5:$A$304,0))),"编号没找到"))</f>
        <v/>
      </c>
      <c r="M101" s="57" t="str">
        <f>IF(AND(C101="买",ISNUMBER(B101)),WORKDAY(B101,1,'参数'!$B$58:$B$80),"")</f>
        <v/>
      </c>
      <c r="N101" s="36" t="str">
        <f>IF(C101&lt;&gt;"卖","",IF(AND(ISNUMBER(B101),A101&lt;&gt;""),IF(SUMIFS($E$5:$E$804,$A$5:$A$804,A101,$C$5:$C$804,"卖",$B$5:$B$804,"&lt;="&amp;B101)&gt;SUMIFS($E$5:$E$804,$A$5:$A$804,A101,$C$5:$C$804,"买",$B$5:$B$804,"&lt;"&amp;B101),"超出可卖股数","OK"),""))</f>
        <v/>
      </c>
      <c r="O101" s="32" t="n"/>
    </row>
    <row r="102">
      <c r="A102" s="46" t="n"/>
      <c r="B102" s="31" t="n"/>
      <c r="C102" s="27" t="n"/>
      <c r="D102" s="56" t="n"/>
      <c r="E102" s="17" t="n"/>
      <c r="F102" s="20" t="str">
        <f>IF(AND(ISNUMBER(D102),ISNUMBER(E102)),D102*E102,"")</f>
        <v/>
      </c>
      <c r="G102" s="51" t="str">
        <f>IF(ISNUMBER(F102),ROUND(MAX(F102*'参数'!$C$12,'参数'!$C$13),2),"")</f>
        <v/>
      </c>
      <c r="H102" s="51" t="str">
        <f>IF(ISNUMBER(F102),IF(C102="卖",ROUND(F102*'参数'!$C$14,2),0),"")</f>
        <v/>
      </c>
      <c r="I102" s="51" t="str">
        <f>IF(ISNUMBER(F102),ROUND(F102*'参数'!$C$15,2),"")</f>
        <v/>
      </c>
      <c r="J102" s="21" t="n"/>
      <c r="K102" s="20" t="str">
        <f>IF(ISNUMBER(J102),J102,IF(ISNUMBER(F102),G102+H102+I102+ROUND(F102*'参数'!$C$16,2),""))</f>
        <v/>
      </c>
      <c r="L102" s="43" t="str">
        <f>IF(A102="","",IFERROR(T(INDEX('交易记录'!$C$5:$C$304,MATCH(A102,'交易记录'!$A$5:$A$304,0))),"编号没找到"))</f>
        <v/>
      </c>
      <c r="M102" s="57" t="str">
        <f>IF(AND(C102="买",ISNUMBER(B102)),WORKDAY(B102,1,'参数'!$B$58:$B$80),"")</f>
        <v/>
      </c>
      <c r="N102" s="36" t="str">
        <f>IF(C102&lt;&gt;"卖","",IF(AND(ISNUMBER(B102),A102&lt;&gt;""),IF(SUMIFS($E$5:$E$804,$A$5:$A$804,A102,$C$5:$C$804,"卖",$B$5:$B$804,"&lt;="&amp;B102)&gt;SUMIFS($E$5:$E$804,$A$5:$A$804,A102,$C$5:$C$804,"买",$B$5:$B$804,"&lt;"&amp;B102),"超出可卖股数","OK"),""))</f>
        <v/>
      </c>
      <c r="O102" s="32" t="n"/>
    </row>
    <row r="103">
      <c r="A103" s="46" t="n"/>
      <c r="B103" s="31" t="n"/>
      <c r="C103" s="27" t="n"/>
      <c r="D103" s="56" t="n"/>
      <c r="E103" s="17" t="n"/>
      <c r="F103" s="20" t="str">
        <f>IF(AND(ISNUMBER(D103),ISNUMBER(E103)),D103*E103,"")</f>
        <v/>
      </c>
      <c r="G103" s="51" t="str">
        <f>IF(ISNUMBER(F103),ROUND(MAX(F103*'参数'!$C$12,'参数'!$C$13),2),"")</f>
        <v/>
      </c>
      <c r="H103" s="51" t="str">
        <f>IF(ISNUMBER(F103),IF(C103="卖",ROUND(F103*'参数'!$C$14,2),0),"")</f>
        <v/>
      </c>
      <c r="I103" s="51" t="str">
        <f>IF(ISNUMBER(F103),ROUND(F103*'参数'!$C$15,2),"")</f>
        <v/>
      </c>
      <c r="J103" s="21" t="n"/>
      <c r="K103" s="20" t="str">
        <f>IF(ISNUMBER(J103),J103,IF(ISNUMBER(F103),G103+H103+I103+ROUND(F103*'参数'!$C$16,2),""))</f>
        <v/>
      </c>
      <c r="L103" s="43" t="str">
        <f>IF(A103="","",IFERROR(T(INDEX('交易记录'!$C$5:$C$304,MATCH(A103,'交易记录'!$A$5:$A$304,0))),"编号没找到"))</f>
        <v/>
      </c>
      <c r="M103" s="57" t="str">
        <f>IF(AND(C103="买",ISNUMBER(B103)),WORKDAY(B103,1,'参数'!$B$58:$B$80),"")</f>
        <v/>
      </c>
      <c r="N103" s="36" t="str">
        <f>IF(C103&lt;&gt;"卖","",IF(AND(ISNUMBER(B103),A103&lt;&gt;""),IF(SUMIFS($E$5:$E$804,$A$5:$A$804,A103,$C$5:$C$804,"卖",$B$5:$B$804,"&lt;="&amp;B103)&gt;SUMIFS($E$5:$E$804,$A$5:$A$804,A103,$C$5:$C$804,"买",$B$5:$B$804,"&lt;"&amp;B103),"超出可卖股数","OK"),""))</f>
        <v/>
      </c>
      <c r="O103" s="32" t="n"/>
    </row>
    <row r="104">
      <c r="A104" s="46" t="n"/>
      <c r="B104" s="31" t="n"/>
      <c r="C104" s="27" t="n"/>
      <c r="D104" s="56" t="n"/>
      <c r="E104" s="17" t="n"/>
      <c r="F104" s="20" t="str">
        <f>IF(AND(ISNUMBER(D104),ISNUMBER(E104)),D104*E104,"")</f>
        <v/>
      </c>
      <c r="G104" s="51" t="str">
        <f>IF(ISNUMBER(F104),ROUND(MAX(F104*'参数'!$C$12,'参数'!$C$13),2),"")</f>
        <v/>
      </c>
      <c r="H104" s="51" t="str">
        <f>IF(ISNUMBER(F104),IF(C104="卖",ROUND(F104*'参数'!$C$14,2),0),"")</f>
        <v/>
      </c>
      <c r="I104" s="51" t="str">
        <f>IF(ISNUMBER(F104),ROUND(F104*'参数'!$C$15,2),"")</f>
        <v/>
      </c>
      <c r="J104" s="21" t="n"/>
      <c r="K104" s="20" t="str">
        <f>IF(ISNUMBER(J104),J104,IF(ISNUMBER(F104),G104+H104+I104+ROUND(F104*'参数'!$C$16,2),""))</f>
        <v/>
      </c>
      <c r="L104" s="43" t="str">
        <f>IF(A104="","",IFERROR(T(INDEX('交易记录'!$C$5:$C$304,MATCH(A104,'交易记录'!$A$5:$A$304,0))),"编号没找到"))</f>
        <v/>
      </c>
      <c r="M104" s="57" t="str">
        <f>IF(AND(C104="买",ISNUMBER(B104)),WORKDAY(B104,1,'参数'!$B$58:$B$80),"")</f>
        <v/>
      </c>
      <c r="N104" s="36" t="str">
        <f>IF(C104&lt;&gt;"卖","",IF(AND(ISNUMBER(B104),A104&lt;&gt;""),IF(SUMIFS($E$5:$E$804,$A$5:$A$804,A104,$C$5:$C$804,"卖",$B$5:$B$804,"&lt;="&amp;B104)&gt;SUMIFS($E$5:$E$804,$A$5:$A$804,A104,$C$5:$C$804,"买",$B$5:$B$804,"&lt;"&amp;B104),"超出可卖股数","OK"),""))</f>
        <v/>
      </c>
      <c r="O104" s="32" t="n"/>
    </row>
    <row r="105">
      <c r="A105" s="46" t="n"/>
      <c r="B105" s="31" t="n"/>
      <c r="C105" s="27" t="n"/>
      <c r="D105" s="56" t="n"/>
      <c r="E105" s="17" t="n"/>
      <c r="F105" s="20" t="str">
        <f>IF(AND(ISNUMBER(D105),ISNUMBER(E105)),D105*E105,"")</f>
        <v/>
      </c>
      <c r="G105" s="51" t="str">
        <f>IF(ISNUMBER(F105),ROUND(MAX(F105*'参数'!$C$12,'参数'!$C$13),2),"")</f>
        <v/>
      </c>
      <c r="H105" s="51" t="str">
        <f>IF(ISNUMBER(F105),IF(C105="卖",ROUND(F105*'参数'!$C$14,2),0),"")</f>
        <v/>
      </c>
      <c r="I105" s="51" t="str">
        <f>IF(ISNUMBER(F105),ROUND(F105*'参数'!$C$15,2),"")</f>
        <v/>
      </c>
      <c r="J105" s="21" t="n"/>
      <c r="K105" s="20" t="str">
        <f>IF(ISNUMBER(J105),J105,IF(ISNUMBER(F105),G105+H105+I105+ROUND(F105*'参数'!$C$16,2),""))</f>
        <v/>
      </c>
      <c r="L105" s="43" t="str">
        <f>IF(A105="","",IFERROR(T(INDEX('交易记录'!$C$5:$C$304,MATCH(A105,'交易记录'!$A$5:$A$304,0))),"编号没找到"))</f>
        <v/>
      </c>
      <c r="M105" s="57" t="str">
        <f>IF(AND(C105="买",ISNUMBER(B105)),WORKDAY(B105,1,'参数'!$B$58:$B$80),"")</f>
        <v/>
      </c>
      <c r="N105" s="36" t="str">
        <f>IF(C105&lt;&gt;"卖","",IF(AND(ISNUMBER(B105),A105&lt;&gt;""),IF(SUMIFS($E$5:$E$804,$A$5:$A$804,A105,$C$5:$C$804,"卖",$B$5:$B$804,"&lt;="&amp;B105)&gt;SUMIFS($E$5:$E$804,$A$5:$A$804,A105,$C$5:$C$804,"买",$B$5:$B$804,"&lt;"&amp;B105),"超出可卖股数","OK"),""))</f>
        <v/>
      </c>
      <c r="O105" s="32" t="n"/>
    </row>
    <row r="106">
      <c r="A106" s="46" t="n"/>
      <c r="B106" s="31" t="n"/>
      <c r="C106" s="27" t="n"/>
      <c r="D106" s="56" t="n"/>
      <c r="E106" s="17" t="n"/>
      <c r="F106" s="20" t="str">
        <f>IF(AND(ISNUMBER(D106),ISNUMBER(E106)),D106*E106,"")</f>
        <v/>
      </c>
      <c r="G106" s="51" t="str">
        <f>IF(ISNUMBER(F106),ROUND(MAX(F106*'参数'!$C$12,'参数'!$C$13),2),"")</f>
        <v/>
      </c>
      <c r="H106" s="51" t="str">
        <f>IF(ISNUMBER(F106),IF(C106="卖",ROUND(F106*'参数'!$C$14,2),0),"")</f>
        <v/>
      </c>
      <c r="I106" s="51" t="str">
        <f>IF(ISNUMBER(F106),ROUND(F106*'参数'!$C$15,2),"")</f>
        <v/>
      </c>
      <c r="J106" s="21" t="n"/>
      <c r="K106" s="20" t="str">
        <f>IF(ISNUMBER(J106),J106,IF(ISNUMBER(F106),G106+H106+I106+ROUND(F106*'参数'!$C$16,2),""))</f>
        <v/>
      </c>
      <c r="L106" s="43" t="str">
        <f>IF(A106="","",IFERROR(T(INDEX('交易记录'!$C$5:$C$304,MATCH(A106,'交易记录'!$A$5:$A$304,0))),"编号没找到"))</f>
        <v/>
      </c>
      <c r="M106" s="57" t="str">
        <f>IF(AND(C106="买",ISNUMBER(B106)),WORKDAY(B106,1,'参数'!$B$58:$B$80),"")</f>
        <v/>
      </c>
      <c r="N106" s="36" t="str">
        <f>IF(C106&lt;&gt;"卖","",IF(AND(ISNUMBER(B106),A106&lt;&gt;""),IF(SUMIFS($E$5:$E$804,$A$5:$A$804,A106,$C$5:$C$804,"卖",$B$5:$B$804,"&lt;="&amp;B106)&gt;SUMIFS($E$5:$E$804,$A$5:$A$804,A106,$C$5:$C$804,"买",$B$5:$B$804,"&lt;"&amp;B106),"超出可卖股数","OK"),""))</f>
        <v/>
      </c>
      <c r="O106" s="32" t="n"/>
    </row>
    <row r="107">
      <c r="A107" s="46" t="n"/>
      <c r="B107" s="31" t="n"/>
      <c r="C107" s="27" t="n"/>
      <c r="D107" s="56" t="n"/>
      <c r="E107" s="17" t="n"/>
      <c r="F107" s="20" t="str">
        <f>IF(AND(ISNUMBER(D107),ISNUMBER(E107)),D107*E107,"")</f>
        <v/>
      </c>
      <c r="G107" s="51" t="str">
        <f>IF(ISNUMBER(F107),ROUND(MAX(F107*'参数'!$C$12,'参数'!$C$13),2),"")</f>
        <v/>
      </c>
      <c r="H107" s="51" t="str">
        <f>IF(ISNUMBER(F107),IF(C107="卖",ROUND(F107*'参数'!$C$14,2),0),"")</f>
        <v/>
      </c>
      <c r="I107" s="51" t="str">
        <f>IF(ISNUMBER(F107),ROUND(F107*'参数'!$C$15,2),"")</f>
        <v/>
      </c>
      <c r="J107" s="21" t="n"/>
      <c r="K107" s="20" t="str">
        <f>IF(ISNUMBER(J107),J107,IF(ISNUMBER(F107),G107+H107+I107+ROUND(F107*'参数'!$C$16,2),""))</f>
        <v/>
      </c>
      <c r="L107" s="43" t="str">
        <f>IF(A107="","",IFERROR(T(INDEX('交易记录'!$C$5:$C$304,MATCH(A107,'交易记录'!$A$5:$A$304,0))),"编号没找到"))</f>
        <v/>
      </c>
      <c r="M107" s="57" t="str">
        <f>IF(AND(C107="买",ISNUMBER(B107)),WORKDAY(B107,1,'参数'!$B$58:$B$80),"")</f>
        <v/>
      </c>
      <c r="N107" s="36" t="str">
        <f>IF(C107&lt;&gt;"卖","",IF(AND(ISNUMBER(B107),A107&lt;&gt;""),IF(SUMIFS($E$5:$E$804,$A$5:$A$804,A107,$C$5:$C$804,"卖",$B$5:$B$804,"&lt;="&amp;B107)&gt;SUMIFS($E$5:$E$804,$A$5:$A$804,A107,$C$5:$C$804,"买",$B$5:$B$804,"&lt;"&amp;B107),"超出可卖股数","OK"),""))</f>
        <v/>
      </c>
      <c r="O107" s="32" t="n"/>
    </row>
    <row r="108">
      <c r="A108" s="46" t="n"/>
      <c r="B108" s="31" t="n"/>
      <c r="C108" s="27" t="n"/>
      <c r="D108" s="56" t="n"/>
      <c r="E108" s="17" t="n"/>
      <c r="F108" s="20" t="str">
        <f>IF(AND(ISNUMBER(D108),ISNUMBER(E108)),D108*E108,"")</f>
        <v/>
      </c>
      <c r="G108" s="51" t="str">
        <f>IF(ISNUMBER(F108),ROUND(MAX(F108*'参数'!$C$12,'参数'!$C$13),2),"")</f>
        <v/>
      </c>
      <c r="H108" s="51" t="str">
        <f>IF(ISNUMBER(F108),IF(C108="卖",ROUND(F108*'参数'!$C$14,2),0),"")</f>
        <v/>
      </c>
      <c r="I108" s="51" t="str">
        <f>IF(ISNUMBER(F108),ROUND(F108*'参数'!$C$15,2),"")</f>
        <v/>
      </c>
      <c r="J108" s="21" t="n"/>
      <c r="K108" s="20" t="str">
        <f>IF(ISNUMBER(J108),J108,IF(ISNUMBER(F108),G108+H108+I108+ROUND(F108*'参数'!$C$16,2),""))</f>
        <v/>
      </c>
      <c r="L108" s="43" t="str">
        <f>IF(A108="","",IFERROR(T(INDEX('交易记录'!$C$5:$C$304,MATCH(A108,'交易记录'!$A$5:$A$304,0))),"编号没找到"))</f>
        <v/>
      </c>
      <c r="M108" s="57" t="str">
        <f>IF(AND(C108="买",ISNUMBER(B108)),WORKDAY(B108,1,'参数'!$B$58:$B$80),"")</f>
        <v/>
      </c>
      <c r="N108" s="36" t="str">
        <f>IF(C108&lt;&gt;"卖","",IF(AND(ISNUMBER(B108),A108&lt;&gt;""),IF(SUMIFS($E$5:$E$804,$A$5:$A$804,A108,$C$5:$C$804,"卖",$B$5:$B$804,"&lt;="&amp;B108)&gt;SUMIFS($E$5:$E$804,$A$5:$A$804,A108,$C$5:$C$804,"买",$B$5:$B$804,"&lt;"&amp;B108),"超出可卖股数","OK"),""))</f>
        <v/>
      </c>
      <c r="O108" s="32" t="n"/>
    </row>
    <row r="109">
      <c r="A109" s="46" t="n"/>
      <c r="B109" s="31" t="n"/>
      <c r="C109" s="27" t="n"/>
      <c r="D109" s="56" t="n"/>
      <c r="E109" s="17" t="n"/>
      <c r="F109" s="20" t="str">
        <f>IF(AND(ISNUMBER(D109),ISNUMBER(E109)),D109*E109,"")</f>
        <v/>
      </c>
      <c r="G109" s="51" t="str">
        <f>IF(ISNUMBER(F109),ROUND(MAX(F109*'参数'!$C$12,'参数'!$C$13),2),"")</f>
        <v/>
      </c>
      <c r="H109" s="51" t="str">
        <f>IF(ISNUMBER(F109),IF(C109="卖",ROUND(F109*'参数'!$C$14,2),0),"")</f>
        <v/>
      </c>
      <c r="I109" s="51" t="str">
        <f>IF(ISNUMBER(F109),ROUND(F109*'参数'!$C$15,2),"")</f>
        <v/>
      </c>
      <c r="J109" s="21" t="n"/>
      <c r="K109" s="20" t="str">
        <f>IF(ISNUMBER(J109),J109,IF(ISNUMBER(F109),G109+H109+I109+ROUND(F109*'参数'!$C$16,2),""))</f>
        <v/>
      </c>
      <c r="L109" s="43" t="str">
        <f>IF(A109="","",IFERROR(T(INDEX('交易记录'!$C$5:$C$304,MATCH(A109,'交易记录'!$A$5:$A$304,0))),"编号没找到"))</f>
        <v/>
      </c>
      <c r="M109" s="57" t="str">
        <f>IF(AND(C109="买",ISNUMBER(B109)),WORKDAY(B109,1,'参数'!$B$58:$B$80),"")</f>
        <v/>
      </c>
      <c r="N109" s="36" t="str">
        <f>IF(C109&lt;&gt;"卖","",IF(AND(ISNUMBER(B109),A109&lt;&gt;""),IF(SUMIFS($E$5:$E$804,$A$5:$A$804,A109,$C$5:$C$804,"卖",$B$5:$B$804,"&lt;="&amp;B109)&gt;SUMIFS($E$5:$E$804,$A$5:$A$804,A109,$C$5:$C$804,"买",$B$5:$B$804,"&lt;"&amp;B109),"超出可卖股数","OK"),""))</f>
        <v/>
      </c>
      <c r="O109" s="32" t="n"/>
    </row>
    <row r="110">
      <c r="A110" s="46" t="n"/>
      <c r="B110" s="31" t="n"/>
      <c r="C110" s="27" t="n"/>
      <c r="D110" s="56" t="n"/>
      <c r="E110" s="17" t="n"/>
      <c r="F110" s="20" t="str">
        <f>IF(AND(ISNUMBER(D110),ISNUMBER(E110)),D110*E110,"")</f>
        <v/>
      </c>
      <c r="G110" s="51" t="str">
        <f>IF(ISNUMBER(F110),ROUND(MAX(F110*'参数'!$C$12,'参数'!$C$13),2),"")</f>
        <v/>
      </c>
      <c r="H110" s="51" t="str">
        <f>IF(ISNUMBER(F110),IF(C110="卖",ROUND(F110*'参数'!$C$14,2),0),"")</f>
        <v/>
      </c>
      <c r="I110" s="51" t="str">
        <f>IF(ISNUMBER(F110),ROUND(F110*'参数'!$C$15,2),"")</f>
        <v/>
      </c>
      <c r="J110" s="21" t="n"/>
      <c r="K110" s="20" t="str">
        <f>IF(ISNUMBER(J110),J110,IF(ISNUMBER(F110),G110+H110+I110+ROUND(F110*'参数'!$C$16,2),""))</f>
        <v/>
      </c>
      <c r="L110" s="43" t="str">
        <f>IF(A110="","",IFERROR(T(INDEX('交易记录'!$C$5:$C$304,MATCH(A110,'交易记录'!$A$5:$A$304,0))),"编号没找到"))</f>
        <v/>
      </c>
      <c r="M110" s="57" t="str">
        <f>IF(AND(C110="买",ISNUMBER(B110)),WORKDAY(B110,1,'参数'!$B$58:$B$80),"")</f>
        <v/>
      </c>
      <c r="N110" s="36" t="str">
        <f>IF(C110&lt;&gt;"卖","",IF(AND(ISNUMBER(B110),A110&lt;&gt;""),IF(SUMIFS($E$5:$E$804,$A$5:$A$804,A110,$C$5:$C$804,"卖",$B$5:$B$804,"&lt;="&amp;B110)&gt;SUMIFS($E$5:$E$804,$A$5:$A$804,A110,$C$5:$C$804,"买",$B$5:$B$804,"&lt;"&amp;B110),"超出可卖股数","OK"),""))</f>
        <v/>
      </c>
      <c r="O110" s="32" t="n"/>
    </row>
    <row r="111">
      <c r="A111" s="46" t="n"/>
      <c r="B111" s="31" t="n"/>
      <c r="C111" s="27" t="n"/>
      <c r="D111" s="56" t="n"/>
      <c r="E111" s="17" t="n"/>
      <c r="F111" s="20" t="str">
        <f>IF(AND(ISNUMBER(D111),ISNUMBER(E111)),D111*E111,"")</f>
        <v/>
      </c>
      <c r="G111" s="51" t="str">
        <f>IF(ISNUMBER(F111),ROUND(MAX(F111*'参数'!$C$12,'参数'!$C$13),2),"")</f>
        <v/>
      </c>
      <c r="H111" s="51" t="str">
        <f>IF(ISNUMBER(F111),IF(C111="卖",ROUND(F111*'参数'!$C$14,2),0),"")</f>
        <v/>
      </c>
      <c r="I111" s="51" t="str">
        <f>IF(ISNUMBER(F111),ROUND(F111*'参数'!$C$15,2),"")</f>
        <v/>
      </c>
      <c r="J111" s="21" t="n"/>
      <c r="K111" s="20" t="str">
        <f>IF(ISNUMBER(J111),J111,IF(ISNUMBER(F111),G111+H111+I111+ROUND(F111*'参数'!$C$16,2),""))</f>
        <v/>
      </c>
      <c r="L111" s="43" t="str">
        <f>IF(A111="","",IFERROR(T(INDEX('交易记录'!$C$5:$C$304,MATCH(A111,'交易记录'!$A$5:$A$304,0))),"编号没找到"))</f>
        <v/>
      </c>
      <c r="M111" s="57" t="str">
        <f>IF(AND(C111="买",ISNUMBER(B111)),WORKDAY(B111,1,'参数'!$B$58:$B$80),"")</f>
        <v/>
      </c>
      <c r="N111" s="36" t="str">
        <f>IF(C111&lt;&gt;"卖","",IF(AND(ISNUMBER(B111),A111&lt;&gt;""),IF(SUMIFS($E$5:$E$804,$A$5:$A$804,A111,$C$5:$C$804,"卖",$B$5:$B$804,"&lt;="&amp;B111)&gt;SUMIFS($E$5:$E$804,$A$5:$A$804,A111,$C$5:$C$804,"买",$B$5:$B$804,"&lt;"&amp;B111),"超出可卖股数","OK"),""))</f>
        <v/>
      </c>
      <c r="O111" s="32" t="n"/>
    </row>
    <row r="112">
      <c r="A112" s="46" t="n"/>
      <c r="B112" s="31" t="n"/>
      <c r="C112" s="27" t="n"/>
      <c r="D112" s="56" t="n"/>
      <c r="E112" s="17" t="n"/>
      <c r="F112" s="20" t="str">
        <f>IF(AND(ISNUMBER(D112),ISNUMBER(E112)),D112*E112,"")</f>
        <v/>
      </c>
      <c r="G112" s="51" t="str">
        <f>IF(ISNUMBER(F112),ROUND(MAX(F112*'参数'!$C$12,'参数'!$C$13),2),"")</f>
        <v/>
      </c>
      <c r="H112" s="51" t="str">
        <f>IF(ISNUMBER(F112),IF(C112="卖",ROUND(F112*'参数'!$C$14,2),0),"")</f>
        <v/>
      </c>
      <c r="I112" s="51" t="str">
        <f>IF(ISNUMBER(F112),ROUND(F112*'参数'!$C$15,2),"")</f>
        <v/>
      </c>
      <c r="J112" s="21" t="n"/>
      <c r="K112" s="20" t="str">
        <f>IF(ISNUMBER(J112),J112,IF(ISNUMBER(F112),G112+H112+I112+ROUND(F112*'参数'!$C$16,2),""))</f>
        <v/>
      </c>
      <c r="L112" s="43" t="str">
        <f>IF(A112="","",IFERROR(T(INDEX('交易记录'!$C$5:$C$304,MATCH(A112,'交易记录'!$A$5:$A$304,0))),"编号没找到"))</f>
        <v/>
      </c>
      <c r="M112" s="57" t="str">
        <f>IF(AND(C112="买",ISNUMBER(B112)),WORKDAY(B112,1,'参数'!$B$58:$B$80),"")</f>
        <v/>
      </c>
      <c r="N112" s="36" t="str">
        <f>IF(C112&lt;&gt;"卖","",IF(AND(ISNUMBER(B112),A112&lt;&gt;""),IF(SUMIFS($E$5:$E$804,$A$5:$A$804,A112,$C$5:$C$804,"卖",$B$5:$B$804,"&lt;="&amp;B112)&gt;SUMIFS($E$5:$E$804,$A$5:$A$804,A112,$C$5:$C$804,"买",$B$5:$B$804,"&lt;"&amp;B112),"超出可卖股数","OK"),""))</f>
        <v/>
      </c>
      <c r="O112" s="32" t="n"/>
    </row>
    <row r="113">
      <c r="A113" s="46" t="n"/>
      <c r="B113" s="31" t="n"/>
      <c r="C113" s="27" t="n"/>
      <c r="D113" s="56" t="n"/>
      <c r="E113" s="17" t="n"/>
      <c r="F113" s="20" t="str">
        <f>IF(AND(ISNUMBER(D113),ISNUMBER(E113)),D113*E113,"")</f>
        <v/>
      </c>
      <c r="G113" s="51" t="str">
        <f>IF(ISNUMBER(F113),ROUND(MAX(F113*'参数'!$C$12,'参数'!$C$13),2),"")</f>
        <v/>
      </c>
      <c r="H113" s="51" t="str">
        <f>IF(ISNUMBER(F113),IF(C113="卖",ROUND(F113*'参数'!$C$14,2),0),"")</f>
        <v/>
      </c>
      <c r="I113" s="51" t="str">
        <f>IF(ISNUMBER(F113),ROUND(F113*'参数'!$C$15,2),"")</f>
        <v/>
      </c>
      <c r="J113" s="21" t="n"/>
      <c r="K113" s="20" t="str">
        <f>IF(ISNUMBER(J113),J113,IF(ISNUMBER(F113),G113+H113+I113+ROUND(F113*'参数'!$C$16,2),""))</f>
        <v/>
      </c>
      <c r="L113" s="43" t="str">
        <f>IF(A113="","",IFERROR(T(INDEX('交易记录'!$C$5:$C$304,MATCH(A113,'交易记录'!$A$5:$A$304,0))),"编号没找到"))</f>
        <v/>
      </c>
      <c r="M113" s="57" t="str">
        <f>IF(AND(C113="买",ISNUMBER(B113)),WORKDAY(B113,1,'参数'!$B$58:$B$80),"")</f>
        <v/>
      </c>
      <c r="N113" s="36" t="str">
        <f>IF(C113&lt;&gt;"卖","",IF(AND(ISNUMBER(B113),A113&lt;&gt;""),IF(SUMIFS($E$5:$E$804,$A$5:$A$804,A113,$C$5:$C$804,"卖",$B$5:$B$804,"&lt;="&amp;B113)&gt;SUMIFS($E$5:$E$804,$A$5:$A$804,A113,$C$5:$C$804,"买",$B$5:$B$804,"&lt;"&amp;B113),"超出可卖股数","OK"),""))</f>
        <v/>
      </c>
      <c r="O113" s="32" t="n"/>
    </row>
    <row r="114">
      <c r="A114" s="46" t="n"/>
      <c r="B114" s="31" t="n"/>
      <c r="C114" s="27" t="n"/>
      <c r="D114" s="56" t="n"/>
      <c r="E114" s="17" t="n"/>
      <c r="F114" s="20" t="str">
        <f>IF(AND(ISNUMBER(D114),ISNUMBER(E114)),D114*E114,"")</f>
        <v/>
      </c>
      <c r="G114" s="51" t="str">
        <f>IF(ISNUMBER(F114),ROUND(MAX(F114*'参数'!$C$12,'参数'!$C$13),2),"")</f>
        <v/>
      </c>
      <c r="H114" s="51" t="str">
        <f>IF(ISNUMBER(F114),IF(C114="卖",ROUND(F114*'参数'!$C$14,2),0),"")</f>
        <v/>
      </c>
      <c r="I114" s="51" t="str">
        <f>IF(ISNUMBER(F114),ROUND(F114*'参数'!$C$15,2),"")</f>
        <v/>
      </c>
      <c r="J114" s="21" t="n"/>
      <c r="K114" s="20" t="str">
        <f>IF(ISNUMBER(J114),J114,IF(ISNUMBER(F114),G114+H114+I114+ROUND(F114*'参数'!$C$16,2),""))</f>
        <v/>
      </c>
      <c r="L114" s="43" t="str">
        <f>IF(A114="","",IFERROR(T(INDEX('交易记录'!$C$5:$C$304,MATCH(A114,'交易记录'!$A$5:$A$304,0))),"编号没找到"))</f>
        <v/>
      </c>
      <c r="M114" s="57" t="str">
        <f>IF(AND(C114="买",ISNUMBER(B114)),WORKDAY(B114,1,'参数'!$B$58:$B$80),"")</f>
        <v/>
      </c>
      <c r="N114" s="36" t="str">
        <f>IF(C114&lt;&gt;"卖","",IF(AND(ISNUMBER(B114),A114&lt;&gt;""),IF(SUMIFS($E$5:$E$804,$A$5:$A$804,A114,$C$5:$C$804,"卖",$B$5:$B$804,"&lt;="&amp;B114)&gt;SUMIFS($E$5:$E$804,$A$5:$A$804,A114,$C$5:$C$804,"买",$B$5:$B$804,"&lt;"&amp;B114),"超出可卖股数","OK"),""))</f>
        <v/>
      </c>
      <c r="O114" s="32" t="n"/>
    </row>
    <row r="115">
      <c r="A115" s="46" t="n"/>
      <c r="B115" s="31" t="n"/>
      <c r="C115" s="27" t="n"/>
      <c r="D115" s="56" t="n"/>
      <c r="E115" s="17" t="n"/>
      <c r="F115" s="20" t="str">
        <f>IF(AND(ISNUMBER(D115),ISNUMBER(E115)),D115*E115,"")</f>
        <v/>
      </c>
      <c r="G115" s="51" t="str">
        <f>IF(ISNUMBER(F115),ROUND(MAX(F115*'参数'!$C$12,'参数'!$C$13),2),"")</f>
        <v/>
      </c>
      <c r="H115" s="51" t="str">
        <f>IF(ISNUMBER(F115),IF(C115="卖",ROUND(F115*'参数'!$C$14,2),0),"")</f>
        <v/>
      </c>
      <c r="I115" s="51" t="str">
        <f>IF(ISNUMBER(F115),ROUND(F115*'参数'!$C$15,2),"")</f>
        <v/>
      </c>
      <c r="J115" s="21" t="n"/>
      <c r="K115" s="20" t="str">
        <f>IF(ISNUMBER(J115),J115,IF(ISNUMBER(F115),G115+H115+I115+ROUND(F115*'参数'!$C$16,2),""))</f>
        <v/>
      </c>
      <c r="L115" s="43" t="str">
        <f>IF(A115="","",IFERROR(T(INDEX('交易记录'!$C$5:$C$304,MATCH(A115,'交易记录'!$A$5:$A$304,0))),"编号没找到"))</f>
        <v/>
      </c>
      <c r="M115" s="57" t="str">
        <f>IF(AND(C115="买",ISNUMBER(B115)),WORKDAY(B115,1,'参数'!$B$58:$B$80),"")</f>
        <v/>
      </c>
      <c r="N115" s="36" t="str">
        <f>IF(C115&lt;&gt;"卖","",IF(AND(ISNUMBER(B115),A115&lt;&gt;""),IF(SUMIFS($E$5:$E$804,$A$5:$A$804,A115,$C$5:$C$804,"卖",$B$5:$B$804,"&lt;="&amp;B115)&gt;SUMIFS($E$5:$E$804,$A$5:$A$804,A115,$C$5:$C$804,"买",$B$5:$B$804,"&lt;"&amp;B115),"超出可卖股数","OK"),""))</f>
        <v/>
      </c>
      <c r="O115" s="32" t="n"/>
    </row>
    <row r="116">
      <c r="A116" s="46" t="n"/>
      <c r="B116" s="31" t="n"/>
      <c r="C116" s="27" t="n"/>
      <c r="D116" s="56" t="n"/>
      <c r="E116" s="17" t="n"/>
      <c r="F116" s="20" t="str">
        <f>IF(AND(ISNUMBER(D116),ISNUMBER(E116)),D116*E116,"")</f>
        <v/>
      </c>
      <c r="G116" s="51" t="str">
        <f>IF(ISNUMBER(F116),ROUND(MAX(F116*'参数'!$C$12,'参数'!$C$13),2),"")</f>
        <v/>
      </c>
      <c r="H116" s="51" t="str">
        <f>IF(ISNUMBER(F116),IF(C116="卖",ROUND(F116*'参数'!$C$14,2),0),"")</f>
        <v/>
      </c>
      <c r="I116" s="51" t="str">
        <f>IF(ISNUMBER(F116),ROUND(F116*'参数'!$C$15,2),"")</f>
        <v/>
      </c>
      <c r="J116" s="21" t="n"/>
      <c r="K116" s="20" t="str">
        <f>IF(ISNUMBER(J116),J116,IF(ISNUMBER(F116),G116+H116+I116+ROUND(F116*'参数'!$C$16,2),""))</f>
        <v/>
      </c>
      <c r="L116" s="43" t="str">
        <f>IF(A116="","",IFERROR(T(INDEX('交易记录'!$C$5:$C$304,MATCH(A116,'交易记录'!$A$5:$A$304,0))),"编号没找到"))</f>
        <v/>
      </c>
      <c r="M116" s="57" t="str">
        <f>IF(AND(C116="买",ISNUMBER(B116)),WORKDAY(B116,1,'参数'!$B$58:$B$80),"")</f>
        <v/>
      </c>
      <c r="N116" s="36" t="str">
        <f>IF(C116&lt;&gt;"卖","",IF(AND(ISNUMBER(B116),A116&lt;&gt;""),IF(SUMIFS($E$5:$E$804,$A$5:$A$804,A116,$C$5:$C$804,"卖",$B$5:$B$804,"&lt;="&amp;B116)&gt;SUMIFS($E$5:$E$804,$A$5:$A$804,A116,$C$5:$C$804,"买",$B$5:$B$804,"&lt;"&amp;B116),"超出可卖股数","OK"),""))</f>
        <v/>
      </c>
      <c r="O116" s="32" t="n"/>
    </row>
    <row r="117">
      <c r="A117" s="46" t="n"/>
      <c r="B117" s="31" t="n"/>
      <c r="C117" s="27" t="n"/>
      <c r="D117" s="56" t="n"/>
      <c r="E117" s="17" t="n"/>
      <c r="F117" s="20" t="str">
        <f>IF(AND(ISNUMBER(D117),ISNUMBER(E117)),D117*E117,"")</f>
        <v/>
      </c>
      <c r="G117" s="51" t="str">
        <f>IF(ISNUMBER(F117),ROUND(MAX(F117*'参数'!$C$12,'参数'!$C$13),2),"")</f>
        <v/>
      </c>
      <c r="H117" s="51" t="str">
        <f>IF(ISNUMBER(F117),IF(C117="卖",ROUND(F117*'参数'!$C$14,2),0),"")</f>
        <v/>
      </c>
      <c r="I117" s="51" t="str">
        <f>IF(ISNUMBER(F117),ROUND(F117*'参数'!$C$15,2),"")</f>
        <v/>
      </c>
      <c r="J117" s="21" t="n"/>
      <c r="K117" s="20" t="str">
        <f>IF(ISNUMBER(J117),J117,IF(ISNUMBER(F117),G117+H117+I117+ROUND(F117*'参数'!$C$16,2),""))</f>
        <v/>
      </c>
      <c r="L117" s="43" t="str">
        <f>IF(A117="","",IFERROR(T(INDEX('交易记录'!$C$5:$C$304,MATCH(A117,'交易记录'!$A$5:$A$304,0))),"编号没找到"))</f>
        <v/>
      </c>
      <c r="M117" s="57" t="str">
        <f>IF(AND(C117="买",ISNUMBER(B117)),WORKDAY(B117,1,'参数'!$B$58:$B$80),"")</f>
        <v/>
      </c>
      <c r="N117" s="36" t="str">
        <f>IF(C117&lt;&gt;"卖","",IF(AND(ISNUMBER(B117),A117&lt;&gt;""),IF(SUMIFS($E$5:$E$804,$A$5:$A$804,A117,$C$5:$C$804,"卖",$B$5:$B$804,"&lt;="&amp;B117)&gt;SUMIFS($E$5:$E$804,$A$5:$A$804,A117,$C$5:$C$804,"买",$B$5:$B$804,"&lt;"&amp;B117),"超出可卖股数","OK"),""))</f>
        <v/>
      </c>
      <c r="O117" s="32" t="n"/>
    </row>
    <row r="118">
      <c r="A118" s="46" t="n"/>
      <c r="B118" s="31" t="n"/>
      <c r="C118" s="27" t="n"/>
      <c r="D118" s="56" t="n"/>
      <c r="E118" s="17" t="n"/>
      <c r="F118" s="20" t="str">
        <f>IF(AND(ISNUMBER(D118),ISNUMBER(E118)),D118*E118,"")</f>
        <v/>
      </c>
      <c r="G118" s="51" t="str">
        <f>IF(ISNUMBER(F118),ROUND(MAX(F118*'参数'!$C$12,'参数'!$C$13),2),"")</f>
        <v/>
      </c>
      <c r="H118" s="51" t="str">
        <f>IF(ISNUMBER(F118),IF(C118="卖",ROUND(F118*'参数'!$C$14,2),0),"")</f>
        <v/>
      </c>
      <c r="I118" s="51" t="str">
        <f>IF(ISNUMBER(F118),ROUND(F118*'参数'!$C$15,2),"")</f>
        <v/>
      </c>
      <c r="J118" s="21" t="n"/>
      <c r="K118" s="20" t="str">
        <f>IF(ISNUMBER(J118),J118,IF(ISNUMBER(F118),G118+H118+I118+ROUND(F118*'参数'!$C$16,2),""))</f>
        <v/>
      </c>
      <c r="L118" s="43" t="str">
        <f>IF(A118="","",IFERROR(T(INDEX('交易记录'!$C$5:$C$304,MATCH(A118,'交易记录'!$A$5:$A$304,0))),"编号没找到"))</f>
        <v/>
      </c>
      <c r="M118" s="57" t="str">
        <f>IF(AND(C118="买",ISNUMBER(B118)),WORKDAY(B118,1,'参数'!$B$58:$B$80),"")</f>
        <v/>
      </c>
      <c r="N118" s="36" t="str">
        <f>IF(C118&lt;&gt;"卖","",IF(AND(ISNUMBER(B118),A118&lt;&gt;""),IF(SUMIFS($E$5:$E$804,$A$5:$A$804,A118,$C$5:$C$804,"卖",$B$5:$B$804,"&lt;="&amp;B118)&gt;SUMIFS($E$5:$E$804,$A$5:$A$804,A118,$C$5:$C$804,"买",$B$5:$B$804,"&lt;"&amp;B118),"超出可卖股数","OK"),""))</f>
        <v/>
      </c>
      <c r="O118" s="32" t="n"/>
    </row>
    <row r="119">
      <c r="A119" s="46" t="n"/>
      <c r="B119" s="31" t="n"/>
      <c r="C119" s="27" t="n"/>
      <c r="D119" s="56" t="n"/>
      <c r="E119" s="17" t="n"/>
      <c r="F119" s="20" t="str">
        <f>IF(AND(ISNUMBER(D119),ISNUMBER(E119)),D119*E119,"")</f>
        <v/>
      </c>
      <c r="G119" s="51" t="str">
        <f>IF(ISNUMBER(F119),ROUND(MAX(F119*'参数'!$C$12,'参数'!$C$13),2),"")</f>
        <v/>
      </c>
      <c r="H119" s="51" t="str">
        <f>IF(ISNUMBER(F119),IF(C119="卖",ROUND(F119*'参数'!$C$14,2),0),"")</f>
        <v/>
      </c>
      <c r="I119" s="51" t="str">
        <f>IF(ISNUMBER(F119),ROUND(F119*'参数'!$C$15,2),"")</f>
        <v/>
      </c>
      <c r="J119" s="21" t="n"/>
      <c r="K119" s="20" t="str">
        <f>IF(ISNUMBER(J119),J119,IF(ISNUMBER(F119),G119+H119+I119+ROUND(F119*'参数'!$C$16,2),""))</f>
        <v/>
      </c>
      <c r="L119" s="43" t="str">
        <f>IF(A119="","",IFERROR(T(INDEX('交易记录'!$C$5:$C$304,MATCH(A119,'交易记录'!$A$5:$A$304,0))),"编号没找到"))</f>
        <v/>
      </c>
      <c r="M119" s="57" t="str">
        <f>IF(AND(C119="买",ISNUMBER(B119)),WORKDAY(B119,1,'参数'!$B$58:$B$80),"")</f>
        <v/>
      </c>
      <c r="N119" s="36" t="str">
        <f>IF(C119&lt;&gt;"卖","",IF(AND(ISNUMBER(B119),A119&lt;&gt;""),IF(SUMIFS($E$5:$E$804,$A$5:$A$804,A119,$C$5:$C$804,"卖",$B$5:$B$804,"&lt;="&amp;B119)&gt;SUMIFS($E$5:$E$804,$A$5:$A$804,A119,$C$5:$C$804,"买",$B$5:$B$804,"&lt;"&amp;B119),"超出可卖股数","OK"),""))</f>
        <v/>
      </c>
      <c r="O119" s="32" t="n"/>
    </row>
    <row r="120">
      <c r="A120" s="46" t="n"/>
      <c r="B120" s="31" t="n"/>
      <c r="C120" s="27" t="n"/>
      <c r="D120" s="56" t="n"/>
      <c r="E120" s="17" t="n"/>
      <c r="F120" s="20" t="str">
        <f>IF(AND(ISNUMBER(D120),ISNUMBER(E120)),D120*E120,"")</f>
        <v/>
      </c>
      <c r="G120" s="51" t="str">
        <f>IF(ISNUMBER(F120),ROUND(MAX(F120*'参数'!$C$12,'参数'!$C$13),2),"")</f>
        <v/>
      </c>
      <c r="H120" s="51" t="str">
        <f>IF(ISNUMBER(F120),IF(C120="卖",ROUND(F120*'参数'!$C$14,2),0),"")</f>
        <v/>
      </c>
      <c r="I120" s="51" t="str">
        <f>IF(ISNUMBER(F120),ROUND(F120*'参数'!$C$15,2),"")</f>
        <v/>
      </c>
      <c r="J120" s="21" t="n"/>
      <c r="K120" s="20" t="str">
        <f>IF(ISNUMBER(J120),J120,IF(ISNUMBER(F120),G120+H120+I120+ROUND(F120*'参数'!$C$16,2),""))</f>
        <v/>
      </c>
      <c r="L120" s="43" t="str">
        <f>IF(A120="","",IFERROR(T(INDEX('交易记录'!$C$5:$C$304,MATCH(A120,'交易记录'!$A$5:$A$304,0))),"编号没找到"))</f>
        <v/>
      </c>
      <c r="M120" s="57" t="str">
        <f>IF(AND(C120="买",ISNUMBER(B120)),WORKDAY(B120,1,'参数'!$B$58:$B$80),"")</f>
        <v/>
      </c>
      <c r="N120" s="36" t="str">
        <f>IF(C120&lt;&gt;"卖","",IF(AND(ISNUMBER(B120),A120&lt;&gt;""),IF(SUMIFS($E$5:$E$804,$A$5:$A$804,A120,$C$5:$C$804,"卖",$B$5:$B$804,"&lt;="&amp;B120)&gt;SUMIFS($E$5:$E$804,$A$5:$A$804,A120,$C$5:$C$804,"买",$B$5:$B$804,"&lt;"&amp;B120),"超出可卖股数","OK"),""))</f>
        <v/>
      </c>
      <c r="O120" s="32" t="n"/>
    </row>
    <row r="121">
      <c r="A121" s="46" t="n"/>
      <c r="B121" s="31" t="n"/>
      <c r="C121" s="27" t="n"/>
      <c r="D121" s="56" t="n"/>
      <c r="E121" s="17" t="n"/>
      <c r="F121" s="20" t="str">
        <f>IF(AND(ISNUMBER(D121),ISNUMBER(E121)),D121*E121,"")</f>
        <v/>
      </c>
      <c r="G121" s="51" t="str">
        <f>IF(ISNUMBER(F121),ROUND(MAX(F121*'参数'!$C$12,'参数'!$C$13),2),"")</f>
        <v/>
      </c>
      <c r="H121" s="51" t="str">
        <f>IF(ISNUMBER(F121),IF(C121="卖",ROUND(F121*'参数'!$C$14,2),0),"")</f>
        <v/>
      </c>
      <c r="I121" s="51" t="str">
        <f>IF(ISNUMBER(F121),ROUND(F121*'参数'!$C$15,2),"")</f>
        <v/>
      </c>
      <c r="J121" s="21" t="n"/>
      <c r="K121" s="20" t="str">
        <f>IF(ISNUMBER(J121),J121,IF(ISNUMBER(F121),G121+H121+I121+ROUND(F121*'参数'!$C$16,2),""))</f>
        <v/>
      </c>
      <c r="L121" s="43" t="str">
        <f>IF(A121="","",IFERROR(T(INDEX('交易记录'!$C$5:$C$304,MATCH(A121,'交易记录'!$A$5:$A$304,0))),"编号没找到"))</f>
        <v/>
      </c>
      <c r="M121" s="57" t="str">
        <f>IF(AND(C121="买",ISNUMBER(B121)),WORKDAY(B121,1,'参数'!$B$58:$B$80),"")</f>
        <v/>
      </c>
      <c r="N121" s="36" t="str">
        <f>IF(C121&lt;&gt;"卖","",IF(AND(ISNUMBER(B121),A121&lt;&gt;""),IF(SUMIFS($E$5:$E$804,$A$5:$A$804,A121,$C$5:$C$804,"卖",$B$5:$B$804,"&lt;="&amp;B121)&gt;SUMIFS($E$5:$E$804,$A$5:$A$804,A121,$C$5:$C$804,"买",$B$5:$B$804,"&lt;"&amp;B121),"超出可卖股数","OK"),""))</f>
        <v/>
      </c>
      <c r="O121" s="32" t="n"/>
    </row>
    <row r="122">
      <c r="A122" s="46" t="n"/>
      <c r="B122" s="31" t="n"/>
      <c r="C122" s="27" t="n"/>
      <c r="D122" s="56" t="n"/>
      <c r="E122" s="17" t="n"/>
      <c r="F122" s="20" t="str">
        <f>IF(AND(ISNUMBER(D122),ISNUMBER(E122)),D122*E122,"")</f>
        <v/>
      </c>
      <c r="G122" s="51" t="str">
        <f>IF(ISNUMBER(F122),ROUND(MAX(F122*'参数'!$C$12,'参数'!$C$13),2),"")</f>
        <v/>
      </c>
      <c r="H122" s="51" t="str">
        <f>IF(ISNUMBER(F122),IF(C122="卖",ROUND(F122*'参数'!$C$14,2),0),"")</f>
        <v/>
      </c>
      <c r="I122" s="51" t="str">
        <f>IF(ISNUMBER(F122),ROUND(F122*'参数'!$C$15,2),"")</f>
        <v/>
      </c>
      <c r="J122" s="21" t="n"/>
      <c r="K122" s="20" t="str">
        <f>IF(ISNUMBER(J122),J122,IF(ISNUMBER(F122),G122+H122+I122+ROUND(F122*'参数'!$C$16,2),""))</f>
        <v/>
      </c>
      <c r="L122" s="43" t="str">
        <f>IF(A122="","",IFERROR(T(INDEX('交易记录'!$C$5:$C$304,MATCH(A122,'交易记录'!$A$5:$A$304,0))),"编号没找到"))</f>
        <v/>
      </c>
      <c r="M122" s="57" t="str">
        <f>IF(AND(C122="买",ISNUMBER(B122)),WORKDAY(B122,1,'参数'!$B$58:$B$80),"")</f>
        <v/>
      </c>
      <c r="N122" s="36" t="str">
        <f>IF(C122&lt;&gt;"卖","",IF(AND(ISNUMBER(B122),A122&lt;&gt;""),IF(SUMIFS($E$5:$E$804,$A$5:$A$804,A122,$C$5:$C$804,"卖",$B$5:$B$804,"&lt;="&amp;B122)&gt;SUMIFS($E$5:$E$804,$A$5:$A$804,A122,$C$5:$C$804,"买",$B$5:$B$804,"&lt;"&amp;B122),"超出可卖股数","OK"),""))</f>
        <v/>
      </c>
      <c r="O122" s="32" t="n"/>
    </row>
    <row r="123">
      <c r="A123" s="46" t="n"/>
      <c r="B123" s="31" t="n"/>
      <c r="C123" s="27" t="n"/>
      <c r="D123" s="56" t="n"/>
      <c r="E123" s="17" t="n"/>
      <c r="F123" s="20" t="str">
        <f>IF(AND(ISNUMBER(D123),ISNUMBER(E123)),D123*E123,"")</f>
        <v/>
      </c>
      <c r="G123" s="51" t="str">
        <f>IF(ISNUMBER(F123),ROUND(MAX(F123*'参数'!$C$12,'参数'!$C$13),2),"")</f>
        <v/>
      </c>
      <c r="H123" s="51" t="str">
        <f>IF(ISNUMBER(F123),IF(C123="卖",ROUND(F123*'参数'!$C$14,2),0),"")</f>
        <v/>
      </c>
      <c r="I123" s="51" t="str">
        <f>IF(ISNUMBER(F123),ROUND(F123*'参数'!$C$15,2),"")</f>
        <v/>
      </c>
      <c r="J123" s="21" t="n"/>
      <c r="K123" s="20" t="str">
        <f>IF(ISNUMBER(J123),J123,IF(ISNUMBER(F123),G123+H123+I123+ROUND(F123*'参数'!$C$16,2),""))</f>
        <v/>
      </c>
      <c r="L123" s="43" t="str">
        <f>IF(A123="","",IFERROR(T(INDEX('交易记录'!$C$5:$C$304,MATCH(A123,'交易记录'!$A$5:$A$304,0))),"编号没找到"))</f>
        <v/>
      </c>
      <c r="M123" s="57" t="str">
        <f>IF(AND(C123="买",ISNUMBER(B123)),WORKDAY(B123,1,'参数'!$B$58:$B$80),"")</f>
        <v/>
      </c>
      <c r="N123" s="36" t="str">
        <f>IF(C123&lt;&gt;"卖","",IF(AND(ISNUMBER(B123),A123&lt;&gt;""),IF(SUMIFS($E$5:$E$804,$A$5:$A$804,A123,$C$5:$C$804,"卖",$B$5:$B$804,"&lt;="&amp;B123)&gt;SUMIFS($E$5:$E$804,$A$5:$A$804,A123,$C$5:$C$804,"买",$B$5:$B$804,"&lt;"&amp;B123),"超出可卖股数","OK"),""))</f>
        <v/>
      </c>
      <c r="O123" s="32" t="n"/>
    </row>
    <row r="124">
      <c r="A124" s="46" t="n"/>
      <c r="B124" s="31" t="n"/>
      <c r="C124" s="27" t="n"/>
      <c r="D124" s="56" t="n"/>
      <c r="E124" s="17" t="n"/>
      <c r="F124" s="20" t="str">
        <f>IF(AND(ISNUMBER(D124),ISNUMBER(E124)),D124*E124,"")</f>
        <v/>
      </c>
      <c r="G124" s="51" t="str">
        <f>IF(ISNUMBER(F124),ROUND(MAX(F124*'参数'!$C$12,'参数'!$C$13),2),"")</f>
        <v/>
      </c>
      <c r="H124" s="51" t="str">
        <f>IF(ISNUMBER(F124),IF(C124="卖",ROUND(F124*'参数'!$C$14,2),0),"")</f>
        <v/>
      </c>
      <c r="I124" s="51" t="str">
        <f>IF(ISNUMBER(F124),ROUND(F124*'参数'!$C$15,2),"")</f>
        <v/>
      </c>
      <c r="J124" s="21" t="n"/>
      <c r="K124" s="20" t="str">
        <f>IF(ISNUMBER(J124),J124,IF(ISNUMBER(F124),G124+H124+I124+ROUND(F124*'参数'!$C$16,2),""))</f>
        <v/>
      </c>
      <c r="L124" s="43" t="str">
        <f>IF(A124="","",IFERROR(T(INDEX('交易记录'!$C$5:$C$304,MATCH(A124,'交易记录'!$A$5:$A$304,0))),"编号没找到"))</f>
        <v/>
      </c>
      <c r="M124" s="57" t="str">
        <f>IF(AND(C124="买",ISNUMBER(B124)),WORKDAY(B124,1,'参数'!$B$58:$B$80),"")</f>
        <v/>
      </c>
      <c r="N124" s="36" t="str">
        <f>IF(C124&lt;&gt;"卖","",IF(AND(ISNUMBER(B124),A124&lt;&gt;""),IF(SUMIFS($E$5:$E$804,$A$5:$A$804,A124,$C$5:$C$804,"卖",$B$5:$B$804,"&lt;="&amp;B124)&gt;SUMIFS($E$5:$E$804,$A$5:$A$804,A124,$C$5:$C$804,"买",$B$5:$B$804,"&lt;"&amp;B124),"超出可卖股数","OK"),""))</f>
        <v/>
      </c>
      <c r="O124" s="32" t="n"/>
    </row>
    <row r="125">
      <c r="A125" s="46" t="n"/>
      <c r="B125" s="31" t="n"/>
      <c r="C125" s="27" t="n"/>
      <c r="D125" s="56" t="n"/>
      <c r="E125" s="17" t="n"/>
      <c r="F125" s="20" t="str">
        <f>IF(AND(ISNUMBER(D125),ISNUMBER(E125)),D125*E125,"")</f>
        <v/>
      </c>
      <c r="G125" s="51" t="str">
        <f>IF(ISNUMBER(F125),ROUND(MAX(F125*'参数'!$C$12,'参数'!$C$13),2),"")</f>
        <v/>
      </c>
      <c r="H125" s="51" t="str">
        <f>IF(ISNUMBER(F125),IF(C125="卖",ROUND(F125*'参数'!$C$14,2),0),"")</f>
        <v/>
      </c>
      <c r="I125" s="51" t="str">
        <f>IF(ISNUMBER(F125),ROUND(F125*'参数'!$C$15,2),"")</f>
        <v/>
      </c>
      <c r="J125" s="21" t="n"/>
      <c r="K125" s="20" t="str">
        <f>IF(ISNUMBER(J125),J125,IF(ISNUMBER(F125),G125+H125+I125+ROUND(F125*'参数'!$C$16,2),""))</f>
        <v/>
      </c>
      <c r="L125" s="43" t="str">
        <f>IF(A125="","",IFERROR(T(INDEX('交易记录'!$C$5:$C$304,MATCH(A125,'交易记录'!$A$5:$A$304,0))),"编号没找到"))</f>
        <v/>
      </c>
      <c r="M125" s="57" t="str">
        <f>IF(AND(C125="买",ISNUMBER(B125)),WORKDAY(B125,1,'参数'!$B$58:$B$80),"")</f>
        <v/>
      </c>
      <c r="N125" s="36" t="str">
        <f>IF(C125&lt;&gt;"卖","",IF(AND(ISNUMBER(B125),A125&lt;&gt;""),IF(SUMIFS($E$5:$E$804,$A$5:$A$804,A125,$C$5:$C$804,"卖",$B$5:$B$804,"&lt;="&amp;B125)&gt;SUMIFS($E$5:$E$804,$A$5:$A$804,A125,$C$5:$C$804,"买",$B$5:$B$804,"&lt;"&amp;B125),"超出可卖股数","OK"),""))</f>
        <v/>
      </c>
      <c r="O125" s="32" t="n"/>
    </row>
    <row r="126">
      <c r="A126" s="46" t="n"/>
      <c r="B126" s="31" t="n"/>
      <c r="C126" s="27" t="n"/>
      <c r="D126" s="56" t="n"/>
      <c r="E126" s="17" t="n"/>
      <c r="F126" s="20" t="str">
        <f>IF(AND(ISNUMBER(D126),ISNUMBER(E126)),D126*E126,"")</f>
        <v/>
      </c>
      <c r="G126" s="51" t="str">
        <f>IF(ISNUMBER(F126),ROUND(MAX(F126*'参数'!$C$12,'参数'!$C$13),2),"")</f>
        <v/>
      </c>
      <c r="H126" s="51" t="str">
        <f>IF(ISNUMBER(F126),IF(C126="卖",ROUND(F126*'参数'!$C$14,2),0),"")</f>
        <v/>
      </c>
      <c r="I126" s="51" t="str">
        <f>IF(ISNUMBER(F126),ROUND(F126*'参数'!$C$15,2),"")</f>
        <v/>
      </c>
      <c r="J126" s="21" t="n"/>
      <c r="K126" s="20" t="str">
        <f>IF(ISNUMBER(J126),J126,IF(ISNUMBER(F126),G126+H126+I126+ROUND(F126*'参数'!$C$16,2),""))</f>
        <v/>
      </c>
      <c r="L126" s="43" t="str">
        <f>IF(A126="","",IFERROR(T(INDEX('交易记录'!$C$5:$C$304,MATCH(A126,'交易记录'!$A$5:$A$304,0))),"编号没找到"))</f>
        <v/>
      </c>
      <c r="M126" s="57" t="str">
        <f>IF(AND(C126="买",ISNUMBER(B126)),WORKDAY(B126,1,'参数'!$B$58:$B$80),"")</f>
        <v/>
      </c>
      <c r="N126" s="36" t="str">
        <f>IF(C126&lt;&gt;"卖","",IF(AND(ISNUMBER(B126),A126&lt;&gt;""),IF(SUMIFS($E$5:$E$804,$A$5:$A$804,A126,$C$5:$C$804,"卖",$B$5:$B$804,"&lt;="&amp;B126)&gt;SUMIFS($E$5:$E$804,$A$5:$A$804,A126,$C$5:$C$804,"买",$B$5:$B$804,"&lt;"&amp;B126),"超出可卖股数","OK"),""))</f>
        <v/>
      </c>
      <c r="O126" s="32" t="n"/>
    </row>
    <row r="127">
      <c r="A127" s="46" t="n"/>
      <c r="B127" s="31" t="n"/>
      <c r="C127" s="27" t="n"/>
      <c r="D127" s="56" t="n"/>
      <c r="E127" s="17" t="n"/>
      <c r="F127" s="20" t="str">
        <f>IF(AND(ISNUMBER(D127),ISNUMBER(E127)),D127*E127,"")</f>
        <v/>
      </c>
      <c r="G127" s="51" t="str">
        <f>IF(ISNUMBER(F127),ROUND(MAX(F127*'参数'!$C$12,'参数'!$C$13),2),"")</f>
        <v/>
      </c>
      <c r="H127" s="51" t="str">
        <f>IF(ISNUMBER(F127),IF(C127="卖",ROUND(F127*'参数'!$C$14,2),0),"")</f>
        <v/>
      </c>
      <c r="I127" s="51" t="str">
        <f>IF(ISNUMBER(F127),ROUND(F127*'参数'!$C$15,2),"")</f>
        <v/>
      </c>
      <c r="J127" s="21" t="n"/>
      <c r="K127" s="20" t="str">
        <f>IF(ISNUMBER(J127),J127,IF(ISNUMBER(F127),G127+H127+I127+ROUND(F127*'参数'!$C$16,2),""))</f>
        <v/>
      </c>
      <c r="L127" s="43" t="str">
        <f>IF(A127="","",IFERROR(T(INDEX('交易记录'!$C$5:$C$304,MATCH(A127,'交易记录'!$A$5:$A$304,0))),"编号没找到"))</f>
        <v/>
      </c>
      <c r="M127" s="57" t="str">
        <f>IF(AND(C127="买",ISNUMBER(B127)),WORKDAY(B127,1,'参数'!$B$58:$B$80),"")</f>
        <v/>
      </c>
      <c r="N127" s="36" t="str">
        <f>IF(C127&lt;&gt;"卖","",IF(AND(ISNUMBER(B127),A127&lt;&gt;""),IF(SUMIFS($E$5:$E$804,$A$5:$A$804,A127,$C$5:$C$804,"卖",$B$5:$B$804,"&lt;="&amp;B127)&gt;SUMIFS($E$5:$E$804,$A$5:$A$804,A127,$C$5:$C$804,"买",$B$5:$B$804,"&lt;"&amp;B127),"超出可卖股数","OK"),""))</f>
        <v/>
      </c>
      <c r="O127" s="32" t="n"/>
    </row>
    <row r="128">
      <c r="A128" s="46" t="n"/>
      <c r="B128" s="31" t="n"/>
      <c r="C128" s="27" t="n"/>
      <c r="D128" s="56" t="n"/>
      <c r="E128" s="17" t="n"/>
      <c r="F128" s="20" t="str">
        <f>IF(AND(ISNUMBER(D128),ISNUMBER(E128)),D128*E128,"")</f>
        <v/>
      </c>
      <c r="G128" s="51" t="str">
        <f>IF(ISNUMBER(F128),ROUND(MAX(F128*'参数'!$C$12,'参数'!$C$13),2),"")</f>
        <v/>
      </c>
      <c r="H128" s="51" t="str">
        <f>IF(ISNUMBER(F128),IF(C128="卖",ROUND(F128*'参数'!$C$14,2),0),"")</f>
        <v/>
      </c>
      <c r="I128" s="51" t="str">
        <f>IF(ISNUMBER(F128),ROUND(F128*'参数'!$C$15,2),"")</f>
        <v/>
      </c>
      <c r="J128" s="21" t="n"/>
      <c r="K128" s="20" t="str">
        <f>IF(ISNUMBER(J128),J128,IF(ISNUMBER(F128),G128+H128+I128+ROUND(F128*'参数'!$C$16,2),""))</f>
        <v/>
      </c>
      <c r="L128" s="43" t="str">
        <f>IF(A128="","",IFERROR(T(INDEX('交易记录'!$C$5:$C$304,MATCH(A128,'交易记录'!$A$5:$A$304,0))),"编号没找到"))</f>
        <v/>
      </c>
      <c r="M128" s="57" t="str">
        <f>IF(AND(C128="买",ISNUMBER(B128)),WORKDAY(B128,1,'参数'!$B$58:$B$80),"")</f>
        <v/>
      </c>
      <c r="N128" s="36" t="str">
        <f>IF(C128&lt;&gt;"卖","",IF(AND(ISNUMBER(B128),A128&lt;&gt;""),IF(SUMIFS($E$5:$E$804,$A$5:$A$804,A128,$C$5:$C$804,"卖",$B$5:$B$804,"&lt;="&amp;B128)&gt;SUMIFS($E$5:$E$804,$A$5:$A$804,A128,$C$5:$C$804,"买",$B$5:$B$804,"&lt;"&amp;B128),"超出可卖股数","OK"),""))</f>
        <v/>
      </c>
      <c r="O128" s="32" t="n"/>
    </row>
    <row r="129">
      <c r="A129" s="46" t="n"/>
      <c r="B129" s="31" t="n"/>
      <c r="C129" s="27" t="n"/>
      <c r="D129" s="56" t="n"/>
      <c r="E129" s="17" t="n"/>
      <c r="F129" s="20" t="str">
        <f>IF(AND(ISNUMBER(D129),ISNUMBER(E129)),D129*E129,"")</f>
        <v/>
      </c>
      <c r="G129" s="51" t="str">
        <f>IF(ISNUMBER(F129),ROUND(MAX(F129*'参数'!$C$12,'参数'!$C$13),2),"")</f>
        <v/>
      </c>
      <c r="H129" s="51" t="str">
        <f>IF(ISNUMBER(F129),IF(C129="卖",ROUND(F129*'参数'!$C$14,2),0),"")</f>
        <v/>
      </c>
      <c r="I129" s="51" t="str">
        <f>IF(ISNUMBER(F129),ROUND(F129*'参数'!$C$15,2),"")</f>
        <v/>
      </c>
      <c r="J129" s="21" t="n"/>
      <c r="K129" s="20" t="str">
        <f>IF(ISNUMBER(J129),J129,IF(ISNUMBER(F129),G129+H129+I129+ROUND(F129*'参数'!$C$16,2),""))</f>
        <v/>
      </c>
      <c r="L129" s="43" t="str">
        <f>IF(A129="","",IFERROR(T(INDEX('交易记录'!$C$5:$C$304,MATCH(A129,'交易记录'!$A$5:$A$304,0))),"编号没找到"))</f>
        <v/>
      </c>
      <c r="M129" s="57" t="str">
        <f>IF(AND(C129="买",ISNUMBER(B129)),WORKDAY(B129,1,'参数'!$B$58:$B$80),"")</f>
        <v/>
      </c>
      <c r="N129" s="36" t="str">
        <f>IF(C129&lt;&gt;"卖","",IF(AND(ISNUMBER(B129),A129&lt;&gt;""),IF(SUMIFS($E$5:$E$804,$A$5:$A$804,A129,$C$5:$C$804,"卖",$B$5:$B$804,"&lt;="&amp;B129)&gt;SUMIFS($E$5:$E$804,$A$5:$A$804,A129,$C$5:$C$804,"买",$B$5:$B$804,"&lt;"&amp;B129),"超出可卖股数","OK"),""))</f>
        <v/>
      </c>
      <c r="O129" s="32" t="n"/>
    </row>
    <row r="130">
      <c r="A130" s="46" t="n"/>
      <c r="B130" s="31" t="n"/>
      <c r="C130" s="27" t="n"/>
      <c r="D130" s="56" t="n"/>
      <c r="E130" s="17" t="n"/>
      <c r="F130" s="20" t="str">
        <f>IF(AND(ISNUMBER(D130),ISNUMBER(E130)),D130*E130,"")</f>
        <v/>
      </c>
      <c r="G130" s="51" t="str">
        <f>IF(ISNUMBER(F130),ROUND(MAX(F130*'参数'!$C$12,'参数'!$C$13),2),"")</f>
        <v/>
      </c>
      <c r="H130" s="51" t="str">
        <f>IF(ISNUMBER(F130),IF(C130="卖",ROUND(F130*'参数'!$C$14,2),0),"")</f>
        <v/>
      </c>
      <c r="I130" s="51" t="str">
        <f>IF(ISNUMBER(F130),ROUND(F130*'参数'!$C$15,2),"")</f>
        <v/>
      </c>
      <c r="J130" s="21" t="n"/>
      <c r="K130" s="20" t="str">
        <f>IF(ISNUMBER(J130),J130,IF(ISNUMBER(F130),G130+H130+I130+ROUND(F130*'参数'!$C$16,2),""))</f>
        <v/>
      </c>
      <c r="L130" s="43" t="str">
        <f>IF(A130="","",IFERROR(T(INDEX('交易记录'!$C$5:$C$304,MATCH(A130,'交易记录'!$A$5:$A$304,0))),"编号没找到"))</f>
        <v/>
      </c>
      <c r="M130" s="57" t="str">
        <f>IF(AND(C130="买",ISNUMBER(B130)),WORKDAY(B130,1,'参数'!$B$58:$B$80),"")</f>
        <v/>
      </c>
      <c r="N130" s="36" t="str">
        <f>IF(C130&lt;&gt;"卖","",IF(AND(ISNUMBER(B130),A130&lt;&gt;""),IF(SUMIFS($E$5:$E$804,$A$5:$A$804,A130,$C$5:$C$804,"卖",$B$5:$B$804,"&lt;="&amp;B130)&gt;SUMIFS($E$5:$E$804,$A$5:$A$804,A130,$C$5:$C$804,"买",$B$5:$B$804,"&lt;"&amp;B130),"超出可卖股数","OK"),""))</f>
        <v/>
      </c>
      <c r="O130" s="32" t="n"/>
    </row>
    <row r="131">
      <c r="A131" s="46" t="n"/>
      <c r="B131" s="31" t="n"/>
      <c r="C131" s="27" t="n"/>
      <c r="D131" s="56" t="n"/>
      <c r="E131" s="17" t="n"/>
      <c r="F131" s="20" t="str">
        <f>IF(AND(ISNUMBER(D131),ISNUMBER(E131)),D131*E131,"")</f>
        <v/>
      </c>
      <c r="G131" s="51" t="str">
        <f>IF(ISNUMBER(F131),ROUND(MAX(F131*'参数'!$C$12,'参数'!$C$13),2),"")</f>
        <v/>
      </c>
      <c r="H131" s="51" t="str">
        <f>IF(ISNUMBER(F131),IF(C131="卖",ROUND(F131*'参数'!$C$14,2),0),"")</f>
        <v/>
      </c>
      <c r="I131" s="51" t="str">
        <f>IF(ISNUMBER(F131),ROUND(F131*'参数'!$C$15,2),"")</f>
        <v/>
      </c>
      <c r="J131" s="21" t="n"/>
      <c r="K131" s="20" t="str">
        <f>IF(ISNUMBER(J131),J131,IF(ISNUMBER(F131),G131+H131+I131+ROUND(F131*'参数'!$C$16,2),""))</f>
        <v/>
      </c>
      <c r="L131" s="43" t="str">
        <f>IF(A131="","",IFERROR(T(INDEX('交易记录'!$C$5:$C$304,MATCH(A131,'交易记录'!$A$5:$A$304,0))),"编号没找到"))</f>
        <v/>
      </c>
      <c r="M131" s="57" t="str">
        <f>IF(AND(C131="买",ISNUMBER(B131)),WORKDAY(B131,1,'参数'!$B$58:$B$80),"")</f>
        <v/>
      </c>
      <c r="N131" s="36" t="str">
        <f>IF(C131&lt;&gt;"卖","",IF(AND(ISNUMBER(B131),A131&lt;&gt;""),IF(SUMIFS($E$5:$E$804,$A$5:$A$804,A131,$C$5:$C$804,"卖",$B$5:$B$804,"&lt;="&amp;B131)&gt;SUMIFS($E$5:$E$804,$A$5:$A$804,A131,$C$5:$C$804,"买",$B$5:$B$804,"&lt;"&amp;B131),"超出可卖股数","OK"),""))</f>
        <v/>
      </c>
      <c r="O131" s="32" t="n"/>
    </row>
    <row r="132">
      <c r="A132" s="46" t="n"/>
      <c r="B132" s="31" t="n"/>
      <c r="C132" s="27" t="n"/>
      <c r="D132" s="56" t="n"/>
      <c r="E132" s="17" t="n"/>
      <c r="F132" s="20" t="str">
        <f>IF(AND(ISNUMBER(D132),ISNUMBER(E132)),D132*E132,"")</f>
        <v/>
      </c>
      <c r="G132" s="51" t="str">
        <f>IF(ISNUMBER(F132),ROUND(MAX(F132*'参数'!$C$12,'参数'!$C$13),2),"")</f>
        <v/>
      </c>
      <c r="H132" s="51" t="str">
        <f>IF(ISNUMBER(F132),IF(C132="卖",ROUND(F132*'参数'!$C$14,2),0),"")</f>
        <v/>
      </c>
      <c r="I132" s="51" t="str">
        <f>IF(ISNUMBER(F132),ROUND(F132*'参数'!$C$15,2),"")</f>
        <v/>
      </c>
      <c r="J132" s="21" t="n"/>
      <c r="K132" s="20" t="str">
        <f>IF(ISNUMBER(J132),J132,IF(ISNUMBER(F132),G132+H132+I132+ROUND(F132*'参数'!$C$16,2),""))</f>
        <v/>
      </c>
      <c r="L132" s="43" t="str">
        <f>IF(A132="","",IFERROR(T(INDEX('交易记录'!$C$5:$C$304,MATCH(A132,'交易记录'!$A$5:$A$304,0))),"编号没找到"))</f>
        <v/>
      </c>
      <c r="M132" s="57" t="str">
        <f>IF(AND(C132="买",ISNUMBER(B132)),WORKDAY(B132,1,'参数'!$B$58:$B$80),"")</f>
        <v/>
      </c>
      <c r="N132" s="36" t="str">
        <f>IF(C132&lt;&gt;"卖","",IF(AND(ISNUMBER(B132),A132&lt;&gt;""),IF(SUMIFS($E$5:$E$804,$A$5:$A$804,A132,$C$5:$C$804,"卖",$B$5:$B$804,"&lt;="&amp;B132)&gt;SUMIFS($E$5:$E$804,$A$5:$A$804,A132,$C$5:$C$804,"买",$B$5:$B$804,"&lt;"&amp;B132),"超出可卖股数","OK"),""))</f>
        <v/>
      </c>
      <c r="O132" s="32" t="n"/>
    </row>
    <row r="133">
      <c r="A133" s="46" t="n"/>
      <c r="B133" s="31" t="n"/>
      <c r="C133" s="27" t="n"/>
      <c r="D133" s="56" t="n"/>
      <c r="E133" s="17" t="n"/>
      <c r="F133" s="20" t="str">
        <f>IF(AND(ISNUMBER(D133),ISNUMBER(E133)),D133*E133,"")</f>
        <v/>
      </c>
      <c r="G133" s="51" t="str">
        <f>IF(ISNUMBER(F133),ROUND(MAX(F133*'参数'!$C$12,'参数'!$C$13),2),"")</f>
        <v/>
      </c>
      <c r="H133" s="51" t="str">
        <f>IF(ISNUMBER(F133),IF(C133="卖",ROUND(F133*'参数'!$C$14,2),0),"")</f>
        <v/>
      </c>
      <c r="I133" s="51" t="str">
        <f>IF(ISNUMBER(F133),ROUND(F133*'参数'!$C$15,2),"")</f>
        <v/>
      </c>
      <c r="J133" s="21" t="n"/>
      <c r="K133" s="20" t="str">
        <f>IF(ISNUMBER(J133),J133,IF(ISNUMBER(F133),G133+H133+I133+ROUND(F133*'参数'!$C$16,2),""))</f>
        <v/>
      </c>
      <c r="L133" s="43" t="str">
        <f>IF(A133="","",IFERROR(T(INDEX('交易记录'!$C$5:$C$304,MATCH(A133,'交易记录'!$A$5:$A$304,0))),"编号没找到"))</f>
        <v/>
      </c>
      <c r="M133" s="57" t="str">
        <f>IF(AND(C133="买",ISNUMBER(B133)),WORKDAY(B133,1,'参数'!$B$58:$B$80),"")</f>
        <v/>
      </c>
      <c r="N133" s="36" t="str">
        <f>IF(C133&lt;&gt;"卖","",IF(AND(ISNUMBER(B133),A133&lt;&gt;""),IF(SUMIFS($E$5:$E$804,$A$5:$A$804,A133,$C$5:$C$804,"卖",$B$5:$B$804,"&lt;="&amp;B133)&gt;SUMIFS($E$5:$E$804,$A$5:$A$804,A133,$C$5:$C$804,"买",$B$5:$B$804,"&lt;"&amp;B133),"超出可卖股数","OK"),""))</f>
        <v/>
      </c>
      <c r="O133" s="32" t="n"/>
    </row>
    <row r="134">
      <c r="A134" s="46" t="n"/>
      <c r="B134" s="31" t="n"/>
      <c r="C134" s="27" t="n"/>
      <c r="D134" s="56" t="n"/>
      <c r="E134" s="17" t="n"/>
      <c r="F134" s="20" t="str">
        <f>IF(AND(ISNUMBER(D134),ISNUMBER(E134)),D134*E134,"")</f>
        <v/>
      </c>
      <c r="G134" s="51" t="str">
        <f>IF(ISNUMBER(F134),ROUND(MAX(F134*'参数'!$C$12,'参数'!$C$13),2),"")</f>
        <v/>
      </c>
      <c r="H134" s="51" t="str">
        <f>IF(ISNUMBER(F134),IF(C134="卖",ROUND(F134*'参数'!$C$14,2),0),"")</f>
        <v/>
      </c>
      <c r="I134" s="51" t="str">
        <f>IF(ISNUMBER(F134),ROUND(F134*'参数'!$C$15,2),"")</f>
        <v/>
      </c>
      <c r="J134" s="21" t="n"/>
      <c r="K134" s="20" t="str">
        <f>IF(ISNUMBER(J134),J134,IF(ISNUMBER(F134),G134+H134+I134+ROUND(F134*'参数'!$C$16,2),""))</f>
        <v/>
      </c>
      <c r="L134" s="43" t="str">
        <f>IF(A134="","",IFERROR(T(INDEX('交易记录'!$C$5:$C$304,MATCH(A134,'交易记录'!$A$5:$A$304,0))),"编号没找到"))</f>
        <v/>
      </c>
      <c r="M134" s="57" t="str">
        <f>IF(AND(C134="买",ISNUMBER(B134)),WORKDAY(B134,1,'参数'!$B$58:$B$80),"")</f>
        <v/>
      </c>
      <c r="N134" s="36" t="str">
        <f>IF(C134&lt;&gt;"卖","",IF(AND(ISNUMBER(B134),A134&lt;&gt;""),IF(SUMIFS($E$5:$E$804,$A$5:$A$804,A134,$C$5:$C$804,"卖",$B$5:$B$804,"&lt;="&amp;B134)&gt;SUMIFS($E$5:$E$804,$A$5:$A$804,A134,$C$5:$C$804,"买",$B$5:$B$804,"&lt;"&amp;B134),"超出可卖股数","OK"),""))</f>
        <v/>
      </c>
      <c r="O134" s="32" t="n"/>
    </row>
    <row r="135">
      <c r="A135" s="46" t="n"/>
      <c r="B135" s="31" t="n"/>
      <c r="C135" s="27" t="n"/>
      <c r="D135" s="56" t="n"/>
      <c r="E135" s="17" t="n"/>
      <c r="F135" s="20" t="str">
        <f>IF(AND(ISNUMBER(D135),ISNUMBER(E135)),D135*E135,"")</f>
        <v/>
      </c>
      <c r="G135" s="51" t="str">
        <f>IF(ISNUMBER(F135),ROUND(MAX(F135*'参数'!$C$12,'参数'!$C$13),2),"")</f>
        <v/>
      </c>
      <c r="H135" s="51" t="str">
        <f>IF(ISNUMBER(F135),IF(C135="卖",ROUND(F135*'参数'!$C$14,2),0),"")</f>
        <v/>
      </c>
      <c r="I135" s="51" t="str">
        <f>IF(ISNUMBER(F135),ROUND(F135*'参数'!$C$15,2),"")</f>
        <v/>
      </c>
      <c r="J135" s="21" t="n"/>
      <c r="K135" s="20" t="str">
        <f>IF(ISNUMBER(J135),J135,IF(ISNUMBER(F135),G135+H135+I135+ROUND(F135*'参数'!$C$16,2),""))</f>
        <v/>
      </c>
      <c r="L135" s="43" t="str">
        <f>IF(A135="","",IFERROR(T(INDEX('交易记录'!$C$5:$C$304,MATCH(A135,'交易记录'!$A$5:$A$304,0))),"编号没找到"))</f>
        <v/>
      </c>
      <c r="M135" s="57" t="str">
        <f>IF(AND(C135="买",ISNUMBER(B135)),WORKDAY(B135,1,'参数'!$B$58:$B$80),"")</f>
        <v/>
      </c>
      <c r="N135" s="36" t="str">
        <f>IF(C135&lt;&gt;"卖","",IF(AND(ISNUMBER(B135),A135&lt;&gt;""),IF(SUMIFS($E$5:$E$804,$A$5:$A$804,A135,$C$5:$C$804,"卖",$B$5:$B$804,"&lt;="&amp;B135)&gt;SUMIFS($E$5:$E$804,$A$5:$A$804,A135,$C$5:$C$804,"买",$B$5:$B$804,"&lt;"&amp;B135),"超出可卖股数","OK"),""))</f>
        <v/>
      </c>
      <c r="O135" s="32" t="n"/>
    </row>
    <row r="136">
      <c r="A136" s="46" t="n"/>
      <c r="B136" s="31" t="n"/>
      <c r="C136" s="27" t="n"/>
      <c r="D136" s="56" t="n"/>
      <c r="E136" s="17" t="n"/>
      <c r="F136" s="20" t="str">
        <f>IF(AND(ISNUMBER(D136),ISNUMBER(E136)),D136*E136,"")</f>
        <v/>
      </c>
      <c r="G136" s="51" t="str">
        <f>IF(ISNUMBER(F136),ROUND(MAX(F136*'参数'!$C$12,'参数'!$C$13),2),"")</f>
        <v/>
      </c>
      <c r="H136" s="51" t="str">
        <f>IF(ISNUMBER(F136),IF(C136="卖",ROUND(F136*'参数'!$C$14,2),0),"")</f>
        <v/>
      </c>
      <c r="I136" s="51" t="str">
        <f>IF(ISNUMBER(F136),ROUND(F136*'参数'!$C$15,2),"")</f>
        <v/>
      </c>
      <c r="J136" s="21" t="n"/>
      <c r="K136" s="20" t="str">
        <f>IF(ISNUMBER(J136),J136,IF(ISNUMBER(F136),G136+H136+I136+ROUND(F136*'参数'!$C$16,2),""))</f>
        <v/>
      </c>
      <c r="L136" s="43" t="str">
        <f>IF(A136="","",IFERROR(T(INDEX('交易记录'!$C$5:$C$304,MATCH(A136,'交易记录'!$A$5:$A$304,0))),"编号没找到"))</f>
        <v/>
      </c>
      <c r="M136" s="57" t="str">
        <f>IF(AND(C136="买",ISNUMBER(B136)),WORKDAY(B136,1,'参数'!$B$58:$B$80),"")</f>
        <v/>
      </c>
      <c r="N136" s="36" t="str">
        <f>IF(C136&lt;&gt;"卖","",IF(AND(ISNUMBER(B136),A136&lt;&gt;""),IF(SUMIFS($E$5:$E$804,$A$5:$A$804,A136,$C$5:$C$804,"卖",$B$5:$B$804,"&lt;="&amp;B136)&gt;SUMIFS($E$5:$E$804,$A$5:$A$804,A136,$C$5:$C$804,"买",$B$5:$B$804,"&lt;"&amp;B136),"超出可卖股数","OK"),""))</f>
        <v/>
      </c>
      <c r="O136" s="32" t="n"/>
    </row>
    <row r="137">
      <c r="A137" s="46" t="n"/>
      <c r="B137" s="31" t="n"/>
      <c r="C137" s="27" t="n"/>
      <c r="D137" s="56" t="n"/>
      <c r="E137" s="17" t="n"/>
      <c r="F137" s="20" t="str">
        <f>IF(AND(ISNUMBER(D137),ISNUMBER(E137)),D137*E137,"")</f>
        <v/>
      </c>
      <c r="G137" s="51" t="str">
        <f>IF(ISNUMBER(F137),ROUND(MAX(F137*'参数'!$C$12,'参数'!$C$13),2),"")</f>
        <v/>
      </c>
      <c r="H137" s="51" t="str">
        <f>IF(ISNUMBER(F137),IF(C137="卖",ROUND(F137*'参数'!$C$14,2),0),"")</f>
        <v/>
      </c>
      <c r="I137" s="51" t="str">
        <f>IF(ISNUMBER(F137),ROUND(F137*'参数'!$C$15,2),"")</f>
        <v/>
      </c>
      <c r="J137" s="21" t="n"/>
      <c r="K137" s="20" t="str">
        <f>IF(ISNUMBER(J137),J137,IF(ISNUMBER(F137),G137+H137+I137+ROUND(F137*'参数'!$C$16,2),""))</f>
        <v/>
      </c>
      <c r="L137" s="43" t="str">
        <f>IF(A137="","",IFERROR(T(INDEX('交易记录'!$C$5:$C$304,MATCH(A137,'交易记录'!$A$5:$A$304,0))),"编号没找到"))</f>
        <v/>
      </c>
      <c r="M137" s="57" t="str">
        <f>IF(AND(C137="买",ISNUMBER(B137)),WORKDAY(B137,1,'参数'!$B$58:$B$80),"")</f>
        <v/>
      </c>
      <c r="N137" s="36" t="str">
        <f>IF(C137&lt;&gt;"卖","",IF(AND(ISNUMBER(B137),A137&lt;&gt;""),IF(SUMIFS($E$5:$E$804,$A$5:$A$804,A137,$C$5:$C$804,"卖",$B$5:$B$804,"&lt;="&amp;B137)&gt;SUMIFS($E$5:$E$804,$A$5:$A$804,A137,$C$5:$C$804,"买",$B$5:$B$804,"&lt;"&amp;B137),"超出可卖股数","OK"),""))</f>
        <v/>
      </c>
      <c r="O137" s="32" t="n"/>
    </row>
    <row r="138">
      <c r="A138" s="46" t="n"/>
      <c r="B138" s="31" t="n"/>
      <c r="C138" s="27" t="n"/>
      <c r="D138" s="56" t="n"/>
      <c r="E138" s="17" t="n"/>
      <c r="F138" s="20" t="str">
        <f>IF(AND(ISNUMBER(D138),ISNUMBER(E138)),D138*E138,"")</f>
        <v/>
      </c>
      <c r="G138" s="51" t="str">
        <f>IF(ISNUMBER(F138),ROUND(MAX(F138*'参数'!$C$12,'参数'!$C$13),2),"")</f>
        <v/>
      </c>
      <c r="H138" s="51" t="str">
        <f>IF(ISNUMBER(F138),IF(C138="卖",ROUND(F138*'参数'!$C$14,2),0),"")</f>
        <v/>
      </c>
      <c r="I138" s="51" t="str">
        <f>IF(ISNUMBER(F138),ROUND(F138*'参数'!$C$15,2),"")</f>
        <v/>
      </c>
      <c r="J138" s="21" t="n"/>
      <c r="K138" s="20" t="str">
        <f>IF(ISNUMBER(J138),J138,IF(ISNUMBER(F138),G138+H138+I138+ROUND(F138*'参数'!$C$16,2),""))</f>
        <v/>
      </c>
      <c r="L138" s="43" t="str">
        <f>IF(A138="","",IFERROR(T(INDEX('交易记录'!$C$5:$C$304,MATCH(A138,'交易记录'!$A$5:$A$304,0))),"编号没找到"))</f>
        <v/>
      </c>
      <c r="M138" s="57" t="str">
        <f>IF(AND(C138="买",ISNUMBER(B138)),WORKDAY(B138,1,'参数'!$B$58:$B$80),"")</f>
        <v/>
      </c>
      <c r="N138" s="36" t="str">
        <f>IF(C138&lt;&gt;"卖","",IF(AND(ISNUMBER(B138),A138&lt;&gt;""),IF(SUMIFS($E$5:$E$804,$A$5:$A$804,A138,$C$5:$C$804,"卖",$B$5:$B$804,"&lt;="&amp;B138)&gt;SUMIFS($E$5:$E$804,$A$5:$A$804,A138,$C$5:$C$804,"买",$B$5:$B$804,"&lt;"&amp;B138),"超出可卖股数","OK"),""))</f>
        <v/>
      </c>
      <c r="O138" s="32" t="n"/>
    </row>
    <row r="139">
      <c r="A139" s="46" t="n"/>
      <c r="B139" s="31" t="n"/>
      <c r="C139" s="27" t="n"/>
      <c r="D139" s="56" t="n"/>
      <c r="E139" s="17" t="n"/>
      <c r="F139" s="20" t="str">
        <f>IF(AND(ISNUMBER(D139),ISNUMBER(E139)),D139*E139,"")</f>
        <v/>
      </c>
      <c r="G139" s="51" t="str">
        <f>IF(ISNUMBER(F139),ROUND(MAX(F139*'参数'!$C$12,'参数'!$C$13),2),"")</f>
        <v/>
      </c>
      <c r="H139" s="51" t="str">
        <f>IF(ISNUMBER(F139),IF(C139="卖",ROUND(F139*'参数'!$C$14,2),0),"")</f>
        <v/>
      </c>
      <c r="I139" s="51" t="str">
        <f>IF(ISNUMBER(F139),ROUND(F139*'参数'!$C$15,2),"")</f>
        <v/>
      </c>
      <c r="J139" s="21" t="n"/>
      <c r="K139" s="20" t="str">
        <f>IF(ISNUMBER(J139),J139,IF(ISNUMBER(F139),G139+H139+I139+ROUND(F139*'参数'!$C$16,2),""))</f>
        <v/>
      </c>
      <c r="L139" s="43" t="str">
        <f>IF(A139="","",IFERROR(T(INDEX('交易记录'!$C$5:$C$304,MATCH(A139,'交易记录'!$A$5:$A$304,0))),"编号没找到"))</f>
        <v/>
      </c>
      <c r="M139" s="57" t="str">
        <f>IF(AND(C139="买",ISNUMBER(B139)),WORKDAY(B139,1,'参数'!$B$58:$B$80),"")</f>
        <v/>
      </c>
      <c r="N139" s="36" t="str">
        <f>IF(C139&lt;&gt;"卖","",IF(AND(ISNUMBER(B139),A139&lt;&gt;""),IF(SUMIFS($E$5:$E$804,$A$5:$A$804,A139,$C$5:$C$804,"卖",$B$5:$B$804,"&lt;="&amp;B139)&gt;SUMIFS($E$5:$E$804,$A$5:$A$804,A139,$C$5:$C$804,"买",$B$5:$B$804,"&lt;"&amp;B139),"超出可卖股数","OK"),""))</f>
        <v/>
      </c>
      <c r="O139" s="32" t="n"/>
    </row>
    <row r="140">
      <c r="A140" s="46" t="n"/>
      <c r="B140" s="31" t="n"/>
      <c r="C140" s="27" t="n"/>
      <c r="D140" s="56" t="n"/>
      <c r="E140" s="17" t="n"/>
      <c r="F140" s="20" t="str">
        <f>IF(AND(ISNUMBER(D140),ISNUMBER(E140)),D140*E140,"")</f>
        <v/>
      </c>
      <c r="G140" s="51" t="str">
        <f>IF(ISNUMBER(F140),ROUND(MAX(F140*'参数'!$C$12,'参数'!$C$13),2),"")</f>
        <v/>
      </c>
      <c r="H140" s="51" t="str">
        <f>IF(ISNUMBER(F140),IF(C140="卖",ROUND(F140*'参数'!$C$14,2),0),"")</f>
        <v/>
      </c>
      <c r="I140" s="51" t="str">
        <f>IF(ISNUMBER(F140),ROUND(F140*'参数'!$C$15,2),"")</f>
        <v/>
      </c>
      <c r="J140" s="21" t="n"/>
      <c r="K140" s="20" t="str">
        <f>IF(ISNUMBER(J140),J140,IF(ISNUMBER(F140),G140+H140+I140+ROUND(F140*'参数'!$C$16,2),""))</f>
        <v/>
      </c>
      <c r="L140" s="43" t="str">
        <f>IF(A140="","",IFERROR(T(INDEX('交易记录'!$C$5:$C$304,MATCH(A140,'交易记录'!$A$5:$A$304,0))),"编号没找到"))</f>
        <v/>
      </c>
      <c r="M140" s="57" t="str">
        <f>IF(AND(C140="买",ISNUMBER(B140)),WORKDAY(B140,1,'参数'!$B$58:$B$80),"")</f>
        <v/>
      </c>
      <c r="N140" s="36" t="str">
        <f>IF(C140&lt;&gt;"卖","",IF(AND(ISNUMBER(B140),A140&lt;&gt;""),IF(SUMIFS($E$5:$E$804,$A$5:$A$804,A140,$C$5:$C$804,"卖",$B$5:$B$804,"&lt;="&amp;B140)&gt;SUMIFS($E$5:$E$804,$A$5:$A$804,A140,$C$5:$C$804,"买",$B$5:$B$804,"&lt;"&amp;B140),"超出可卖股数","OK"),""))</f>
        <v/>
      </c>
      <c r="O140" s="32" t="n"/>
    </row>
    <row r="141">
      <c r="A141" s="46" t="n"/>
      <c r="B141" s="31" t="n"/>
      <c r="C141" s="27" t="n"/>
      <c r="D141" s="56" t="n"/>
      <c r="E141" s="17" t="n"/>
      <c r="F141" s="20" t="str">
        <f>IF(AND(ISNUMBER(D141),ISNUMBER(E141)),D141*E141,"")</f>
        <v/>
      </c>
      <c r="G141" s="51" t="str">
        <f>IF(ISNUMBER(F141),ROUND(MAX(F141*'参数'!$C$12,'参数'!$C$13),2),"")</f>
        <v/>
      </c>
      <c r="H141" s="51" t="str">
        <f>IF(ISNUMBER(F141),IF(C141="卖",ROUND(F141*'参数'!$C$14,2),0),"")</f>
        <v/>
      </c>
      <c r="I141" s="51" t="str">
        <f>IF(ISNUMBER(F141),ROUND(F141*'参数'!$C$15,2),"")</f>
        <v/>
      </c>
      <c r="J141" s="21" t="n"/>
      <c r="K141" s="20" t="str">
        <f>IF(ISNUMBER(J141),J141,IF(ISNUMBER(F141),G141+H141+I141+ROUND(F141*'参数'!$C$16,2),""))</f>
        <v/>
      </c>
      <c r="L141" s="43" t="str">
        <f>IF(A141="","",IFERROR(T(INDEX('交易记录'!$C$5:$C$304,MATCH(A141,'交易记录'!$A$5:$A$304,0))),"编号没找到"))</f>
        <v/>
      </c>
      <c r="M141" s="57" t="str">
        <f>IF(AND(C141="买",ISNUMBER(B141)),WORKDAY(B141,1,'参数'!$B$58:$B$80),"")</f>
        <v/>
      </c>
      <c r="N141" s="36" t="str">
        <f>IF(C141&lt;&gt;"卖","",IF(AND(ISNUMBER(B141),A141&lt;&gt;""),IF(SUMIFS($E$5:$E$804,$A$5:$A$804,A141,$C$5:$C$804,"卖",$B$5:$B$804,"&lt;="&amp;B141)&gt;SUMIFS($E$5:$E$804,$A$5:$A$804,A141,$C$5:$C$804,"买",$B$5:$B$804,"&lt;"&amp;B141),"超出可卖股数","OK"),""))</f>
        <v/>
      </c>
      <c r="O141" s="32" t="n"/>
    </row>
    <row r="142">
      <c r="A142" s="46" t="n"/>
      <c r="B142" s="31" t="n"/>
      <c r="C142" s="27" t="n"/>
      <c r="D142" s="56" t="n"/>
      <c r="E142" s="17" t="n"/>
      <c r="F142" s="20" t="str">
        <f>IF(AND(ISNUMBER(D142),ISNUMBER(E142)),D142*E142,"")</f>
        <v/>
      </c>
      <c r="G142" s="51" t="str">
        <f>IF(ISNUMBER(F142),ROUND(MAX(F142*'参数'!$C$12,'参数'!$C$13),2),"")</f>
        <v/>
      </c>
      <c r="H142" s="51" t="str">
        <f>IF(ISNUMBER(F142),IF(C142="卖",ROUND(F142*'参数'!$C$14,2),0),"")</f>
        <v/>
      </c>
      <c r="I142" s="51" t="str">
        <f>IF(ISNUMBER(F142),ROUND(F142*'参数'!$C$15,2),"")</f>
        <v/>
      </c>
      <c r="J142" s="21" t="n"/>
      <c r="K142" s="20" t="str">
        <f>IF(ISNUMBER(J142),J142,IF(ISNUMBER(F142),G142+H142+I142+ROUND(F142*'参数'!$C$16,2),""))</f>
        <v/>
      </c>
      <c r="L142" s="43" t="str">
        <f>IF(A142="","",IFERROR(T(INDEX('交易记录'!$C$5:$C$304,MATCH(A142,'交易记录'!$A$5:$A$304,0))),"编号没找到"))</f>
        <v/>
      </c>
      <c r="M142" s="57" t="str">
        <f>IF(AND(C142="买",ISNUMBER(B142)),WORKDAY(B142,1,'参数'!$B$58:$B$80),"")</f>
        <v/>
      </c>
      <c r="N142" s="36" t="str">
        <f>IF(C142&lt;&gt;"卖","",IF(AND(ISNUMBER(B142),A142&lt;&gt;""),IF(SUMIFS($E$5:$E$804,$A$5:$A$804,A142,$C$5:$C$804,"卖",$B$5:$B$804,"&lt;="&amp;B142)&gt;SUMIFS($E$5:$E$804,$A$5:$A$804,A142,$C$5:$C$804,"买",$B$5:$B$804,"&lt;"&amp;B142),"超出可卖股数","OK"),""))</f>
        <v/>
      </c>
      <c r="O142" s="32" t="n"/>
    </row>
    <row r="143">
      <c r="A143" s="46" t="n"/>
      <c r="B143" s="31" t="n"/>
      <c r="C143" s="27" t="n"/>
      <c r="D143" s="56" t="n"/>
      <c r="E143" s="17" t="n"/>
      <c r="F143" s="20" t="str">
        <f>IF(AND(ISNUMBER(D143),ISNUMBER(E143)),D143*E143,"")</f>
        <v/>
      </c>
      <c r="G143" s="51" t="str">
        <f>IF(ISNUMBER(F143),ROUND(MAX(F143*'参数'!$C$12,'参数'!$C$13),2),"")</f>
        <v/>
      </c>
      <c r="H143" s="51" t="str">
        <f>IF(ISNUMBER(F143),IF(C143="卖",ROUND(F143*'参数'!$C$14,2),0),"")</f>
        <v/>
      </c>
      <c r="I143" s="51" t="str">
        <f>IF(ISNUMBER(F143),ROUND(F143*'参数'!$C$15,2),"")</f>
        <v/>
      </c>
      <c r="J143" s="21" t="n"/>
      <c r="K143" s="20" t="str">
        <f>IF(ISNUMBER(J143),J143,IF(ISNUMBER(F143),G143+H143+I143+ROUND(F143*'参数'!$C$16,2),""))</f>
        <v/>
      </c>
      <c r="L143" s="43" t="str">
        <f>IF(A143="","",IFERROR(T(INDEX('交易记录'!$C$5:$C$304,MATCH(A143,'交易记录'!$A$5:$A$304,0))),"编号没找到"))</f>
        <v/>
      </c>
      <c r="M143" s="57" t="str">
        <f>IF(AND(C143="买",ISNUMBER(B143)),WORKDAY(B143,1,'参数'!$B$58:$B$80),"")</f>
        <v/>
      </c>
      <c r="N143" s="36" t="str">
        <f>IF(C143&lt;&gt;"卖","",IF(AND(ISNUMBER(B143),A143&lt;&gt;""),IF(SUMIFS($E$5:$E$804,$A$5:$A$804,A143,$C$5:$C$804,"卖",$B$5:$B$804,"&lt;="&amp;B143)&gt;SUMIFS($E$5:$E$804,$A$5:$A$804,A143,$C$5:$C$804,"买",$B$5:$B$804,"&lt;"&amp;B143),"超出可卖股数","OK"),""))</f>
        <v/>
      </c>
      <c r="O143" s="32" t="n"/>
    </row>
    <row r="144">
      <c r="A144" s="46" t="n"/>
      <c r="B144" s="31" t="n"/>
      <c r="C144" s="27" t="n"/>
      <c r="D144" s="56" t="n"/>
      <c r="E144" s="17" t="n"/>
      <c r="F144" s="20" t="str">
        <f>IF(AND(ISNUMBER(D144),ISNUMBER(E144)),D144*E144,"")</f>
        <v/>
      </c>
      <c r="G144" s="51" t="str">
        <f>IF(ISNUMBER(F144),ROUND(MAX(F144*'参数'!$C$12,'参数'!$C$13),2),"")</f>
        <v/>
      </c>
      <c r="H144" s="51" t="str">
        <f>IF(ISNUMBER(F144),IF(C144="卖",ROUND(F144*'参数'!$C$14,2),0),"")</f>
        <v/>
      </c>
      <c r="I144" s="51" t="str">
        <f>IF(ISNUMBER(F144),ROUND(F144*'参数'!$C$15,2),"")</f>
        <v/>
      </c>
      <c r="J144" s="21" t="n"/>
      <c r="K144" s="20" t="str">
        <f>IF(ISNUMBER(J144),J144,IF(ISNUMBER(F144),G144+H144+I144+ROUND(F144*'参数'!$C$16,2),""))</f>
        <v/>
      </c>
      <c r="L144" s="43" t="str">
        <f>IF(A144="","",IFERROR(T(INDEX('交易记录'!$C$5:$C$304,MATCH(A144,'交易记录'!$A$5:$A$304,0))),"编号没找到"))</f>
        <v/>
      </c>
      <c r="M144" s="57" t="str">
        <f>IF(AND(C144="买",ISNUMBER(B144)),WORKDAY(B144,1,'参数'!$B$58:$B$80),"")</f>
        <v/>
      </c>
      <c r="N144" s="36" t="str">
        <f>IF(C144&lt;&gt;"卖","",IF(AND(ISNUMBER(B144),A144&lt;&gt;""),IF(SUMIFS($E$5:$E$804,$A$5:$A$804,A144,$C$5:$C$804,"卖",$B$5:$B$804,"&lt;="&amp;B144)&gt;SUMIFS($E$5:$E$804,$A$5:$A$804,A144,$C$5:$C$804,"买",$B$5:$B$804,"&lt;"&amp;B144),"超出可卖股数","OK"),""))</f>
        <v/>
      </c>
      <c r="O144" s="32" t="n"/>
    </row>
    <row r="145">
      <c r="A145" s="46" t="n"/>
      <c r="B145" s="31" t="n"/>
      <c r="C145" s="27" t="n"/>
      <c r="D145" s="56" t="n"/>
      <c r="E145" s="17" t="n"/>
      <c r="F145" s="20" t="str">
        <f>IF(AND(ISNUMBER(D145),ISNUMBER(E145)),D145*E145,"")</f>
        <v/>
      </c>
      <c r="G145" s="51" t="str">
        <f>IF(ISNUMBER(F145),ROUND(MAX(F145*'参数'!$C$12,'参数'!$C$13),2),"")</f>
        <v/>
      </c>
      <c r="H145" s="51" t="str">
        <f>IF(ISNUMBER(F145),IF(C145="卖",ROUND(F145*'参数'!$C$14,2),0),"")</f>
        <v/>
      </c>
      <c r="I145" s="51" t="str">
        <f>IF(ISNUMBER(F145),ROUND(F145*'参数'!$C$15,2),"")</f>
        <v/>
      </c>
      <c r="J145" s="21" t="n"/>
      <c r="K145" s="20" t="str">
        <f>IF(ISNUMBER(J145),J145,IF(ISNUMBER(F145),G145+H145+I145+ROUND(F145*'参数'!$C$16,2),""))</f>
        <v/>
      </c>
      <c r="L145" s="43" t="str">
        <f>IF(A145="","",IFERROR(T(INDEX('交易记录'!$C$5:$C$304,MATCH(A145,'交易记录'!$A$5:$A$304,0))),"编号没找到"))</f>
        <v/>
      </c>
      <c r="M145" s="57" t="str">
        <f>IF(AND(C145="买",ISNUMBER(B145)),WORKDAY(B145,1,'参数'!$B$58:$B$80),"")</f>
        <v/>
      </c>
      <c r="N145" s="36" t="str">
        <f>IF(C145&lt;&gt;"卖","",IF(AND(ISNUMBER(B145),A145&lt;&gt;""),IF(SUMIFS($E$5:$E$804,$A$5:$A$804,A145,$C$5:$C$804,"卖",$B$5:$B$804,"&lt;="&amp;B145)&gt;SUMIFS($E$5:$E$804,$A$5:$A$804,A145,$C$5:$C$804,"买",$B$5:$B$804,"&lt;"&amp;B145),"超出可卖股数","OK"),""))</f>
        <v/>
      </c>
      <c r="O145" s="32" t="n"/>
    </row>
    <row r="146">
      <c r="A146" s="46" t="n"/>
      <c r="B146" s="31" t="n"/>
      <c r="C146" s="27" t="n"/>
      <c r="D146" s="56" t="n"/>
      <c r="E146" s="17" t="n"/>
      <c r="F146" s="20" t="str">
        <f>IF(AND(ISNUMBER(D146),ISNUMBER(E146)),D146*E146,"")</f>
        <v/>
      </c>
      <c r="G146" s="51" t="str">
        <f>IF(ISNUMBER(F146),ROUND(MAX(F146*'参数'!$C$12,'参数'!$C$13),2),"")</f>
        <v/>
      </c>
      <c r="H146" s="51" t="str">
        <f>IF(ISNUMBER(F146),IF(C146="卖",ROUND(F146*'参数'!$C$14,2),0),"")</f>
        <v/>
      </c>
      <c r="I146" s="51" t="str">
        <f>IF(ISNUMBER(F146),ROUND(F146*'参数'!$C$15,2),"")</f>
        <v/>
      </c>
      <c r="J146" s="21" t="n"/>
      <c r="K146" s="20" t="str">
        <f>IF(ISNUMBER(J146),J146,IF(ISNUMBER(F146),G146+H146+I146+ROUND(F146*'参数'!$C$16,2),""))</f>
        <v/>
      </c>
      <c r="L146" s="43" t="str">
        <f>IF(A146="","",IFERROR(T(INDEX('交易记录'!$C$5:$C$304,MATCH(A146,'交易记录'!$A$5:$A$304,0))),"编号没找到"))</f>
        <v/>
      </c>
      <c r="M146" s="57" t="str">
        <f>IF(AND(C146="买",ISNUMBER(B146)),WORKDAY(B146,1,'参数'!$B$58:$B$80),"")</f>
        <v/>
      </c>
      <c r="N146" s="36" t="str">
        <f>IF(C146&lt;&gt;"卖","",IF(AND(ISNUMBER(B146),A146&lt;&gt;""),IF(SUMIFS($E$5:$E$804,$A$5:$A$804,A146,$C$5:$C$804,"卖",$B$5:$B$804,"&lt;="&amp;B146)&gt;SUMIFS($E$5:$E$804,$A$5:$A$804,A146,$C$5:$C$804,"买",$B$5:$B$804,"&lt;"&amp;B146),"超出可卖股数","OK"),""))</f>
        <v/>
      </c>
      <c r="O146" s="32" t="n"/>
    </row>
    <row r="147">
      <c r="A147" s="46" t="n"/>
      <c r="B147" s="31" t="n"/>
      <c r="C147" s="27" t="n"/>
      <c r="D147" s="56" t="n"/>
      <c r="E147" s="17" t="n"/>
      <c r="F147" s="20" t="str">
        <f>IF(AND(ISNUMBER(D147),ISNUMBER(E147)),D147*E147,"")</f>
        <v/>
      </c>
      <c r="G147" s="51" t="str">
        <f>IF(ISNUMBER(F147),ROUND(MAX(F147*'参数'!$C$12,'参数'!$C$13),2),"")</f>
        <v/>
      </c>
      <c r="H147" s="51" t="str">
        <f>IF(ISNUMBER(F147),IF(C147="卖",ROUND(F147*'参数'!$C$14,2),0),"")</f>
        <v/>
      </c>
      <c r="I147" s="51" t="str">
        <f>IF(ISNUMBER(F147),ROUND(F147*'参数'!$C$15,2),"")</f>
        <v/>
      </c>
      <c r="J147" s="21" t="n"/>
      <c r="K147" s="20" t="str">
        <f>IF(ISNUMBER(J147),J147,IF(ISNUMBER(F147),G147+H147+I147+ROUND(F147*'参数'!$C$16,2),""))</f>
        <v/>
      </c>
      <c r="L147" s="43" t="str">
        <f>IF(A147="","",IFERROR(T(INDEX('交易记录'!$C$5:$C$304,MATCH(A147,'交易记录'!$A$5:$A$304,0))),"编号没找到"))</f>
        <v/>
      </c>
      <c r="M147" s="57" t="str">
        <f>IF(AND(C147="买",ISNUMBER(B147)),WORKDAY(B147,1,'参数'!$B$58:$B$80),"")</f>
        <v/>
      </c>
      <c r="N147" s="36" t="str">
        <f>IF(C147&lt;&gt;"卖","",IF(AND(ISNUMBER(B147),A147&lt;&gt;""),IF(SUMIFS($E$5:$E$804,$A$5:$A$804,A147,$C$5:$C$804,"卖",$B$5:$B$804,"&lt;="&amp;B147)&gt;SUMIFS($E$5:$E$804,$A$5:$A$804,A147,$C$5:$C$804,"买",$B$5:$B$804,"&lt;"&amp;B147),"超出可卖股数","OK"),""))</f>
        <v/>
      </c>
      <c r="O147" s="32" t="n"/>
    </row>
    <row r="148">
      <c r="A148" s="46" t="n"/>
      <c r="B148" s="31" t="n"/>
      <c r="C148" s="27" t="n"/>
      <c r="D148" s="56" t="n"/>
      <c r="E148" s="17" t="n"/>
      <c r="F148" s="20" t="str">
        <f>IF(AND(ISNUMBER(D148),ISNUMBER(E148)),D148*E148,"")</f>
        <v/>
      </c>
      <c r="G148" s="51" t="str">
        <f>IF(ISNUMBER(F148),ROUND(MAX(F148*'参数'!$C$12,'参数'!$C$13),2),"")</f>
        <v/>
      </c>
      <c r="H148" s="51" t="str">
        <f>IF(ISNUMBER(F148),IF(C148="卖",ROUND(F148*'参数'!$C$14,2),0),"")</f>
        <v/>
      </c>
      <c r="I148" s="51" t="str">
        <f>IF(ISNUMBER(F148),ROUND(F148*'参数'!$C$15,2),"")</f>
        <v/>
      </c>
      <c r="J148" s="21" t="n"/>
      <c r="K148" s="20" t="str">
        <f>IF(ISNUMBER(J148),J148,IF(ISNUMBER(F148),G148+H148+I148+ROUND(F148*'参数'!$C$16,2),""))</f>
        <v/>
      </c>
      <c r="L148" s="43" t="str">
        <f>IF(A148="","",IFERROR(T(INDEX('交易记录'!$C$5:$C$304,MATCH(A148,'交易记录'!$A$5:$A$304,0))),"编号没找到"))</f>
        <v/>
      </c>
      <c r="M148" s="57" t="str">
        <f>IF(AND(C148="买",ISNUMBER(B148)),WORKDAY(B148,1,'参数'!$B$58:$B$80),"")</f>
        <v/>
      </c>
      <c r="N148" s="36" t="str">
        <f>IF(C148&lt;&gt;"卖","",IF(AND(ISNUMBER(B148),A148&lt;&gt;""),IF(SUMIFS($E$5:$E$804,$A$5:$A$804,A148,$C$5:$C$804,"卖",$B$5:$B$804,"&lt;="&amp;B148)&gt;SUMIFS($E$5:$E$804,$A$5:$A$804,A148,$C$5:$C$804,"买",$B$5:$B$804,"&lt;"&amp;B148),"超出可卖股数","OK"),""))</f>
        <v/>
      </c>
      <c r="O148" s="32" t="n"/>
    </row>
    <row r="149">
      <c r="A149" s="46" t="n"/>
      <c r="B149" s="31" t="n"/>
      <c r="C149" s="27" t="n"/>
      <c r="D149" s="56" t="n"/>
      <c r="E149" s="17" t="n"/>
      <c r="F149" s="20" t="str">
        <f>IF(AND(ISNUMBER(D149),ISNUMBER(E149)),D149*E149,"")</f>
        <v/>
      </c>
      <c r="G149" s="51" t="str">
        <f>IF(ISNUMBER(F149),ROUND(MAX(F149*'参数'!$C$12,'参数'!$C$13),2),"")</f>
        <v/>
      </c>
      <c r="H149" s="51" t="str">
        <f>IF(ISNUMBER(F149),IF(C149="卖",ROUND(F149*'参数'!$C$14,2),0),"")</f>
        <v/>
      </c>
      <c r="I149" s="51" t="str">
        <f>IF(ISNUMBER(F149),ROUND(F149*'参数'!$C$15,2),"")</f>
        <v/>
      </c>
      <c r="J149" s="21" t="n"/>
      <c r="K149" s="20" t="str">
        <f>IF(ISNUMBER(J149),J149,IF(ISNUMBER(F149),G149+H149+I149+ROUND(F149*'参数'!$C$16,2),""))</f>
        <v/>
      </c>
      <c r="L149" s="43" t="str">
        <f>IF(A149="","",IFERROR(T(INDEX('交易记录'!$C$5:$C$304,MATCH(A149,'交易记录'!$A$5:$A$304,0))),"编号没找到"))</f>
        <v/>
      </c>
      <c r="M149" s="57" t="str">
        <f>IF(AND(C149="买",ISNUMBER(B149)),WORKDAY(B149,1,'参数'!$B$58:$B$80),"")</f>
        <v/>
      </c>
      <c r="N149" s="36" t="str">
        <f>IF(C149&lt;&gt;"卖","",IF(AND(ISNUMBER(B149),A149&lt;&gt;""),IF(SUMIFS($E$5:$E$804,$A$5:$A$804,A149,$C$5:$C$804,"卖",$B$5:$B$804,"&lt;="&amp;B149)&gt;SUMIFS($E$5:$E$804,$A$5:$A$804,A149,$C$5:$C$804,"买",$B$5:$B$804,"&lt;"&amp;B149),"超出可卖股数","OK"),""))</f>
        <v/>
      </c>
      <c r="O149" s="32" t="n"/>
    </row>
    <row r="150">
      <c r="A150" s="46" t="n"/>
      <c r="B150" s="31" t="n"/>
      <c r="C150" s="27" t="n"/>
      <c r="D150" s="56" t="n"/>
      <c r="E150" s="17" t="n"/>
      <c r="F150" s="20" t="str">
        <f>IF(AND(ISNUMBER(D150),ISNUMBER(E150)),D150*E150,"")</f>
        <v/>
      </c>
      <c r="G150" s="51" t="str">
        <f>IF(ISNUMBER(F150),ROUND(MAX(F150*'参数'!$C$12,'参数'!$C$13),2),"")</f>
        <v/>
      </c>
      <c r="H150" s="51" t="str">
        <f>IF(ISNUMBER(F150),IF(C150="卖",ROUND(F150*'参数'!$C$14,2),0),"")</f>
        <v/>
      </c>
      <c r="I150" s="51" t="str">
        <f>IF(ISNUMBER(F150),ROUND(F150*'参数'!$C$15,2),"")</f>
        <v/>
      </c>
      <c r="J150" s="21" t="n"/>
      <c r="K150" s="20" t="str">
        <f>IF(ISNUMBER(J150),J150,IF(ISNUMBER(F150),G150+H150+I150+ROUND(F150*'参数'!$C$16,2),""))</f>
        <v/>
      </c>
      <c r="L150" s="43" t="str">
        <f>IF(A150="","",IFERROR(T(INDEX('交易记录'!$C$5:$C$304,MATCH(A150,'交易记录'!$A$5:$A$304,0))),"编号没找到"))</f>
        <v/>
      </c>
      <c r="M150" s="57" t="str">
        <f>IF(AND(C150="买",ISNUMBER(B150)),WORKDAY(B150,1,'参数'!$B$58:$B$80),"")</f>
        <v/>
      </c>
      <c r="N150" s="36" t="str">
        <f>IF(C150&lt;&gt;"卖","",IF(AND(ISNUMBER(B150),A150&lt;&gt;""),IF(SUMIFS($E$5:$E$804,$A$5:$A$804,A150,$C$5:$C$804,"卖",$B$5:$B$804,"&lt;="&amp;B150)&gt;SUMIFS($E$5:$E$804,$A$5:$A$804,A150,$C$5:$C$804,"买",$B$5:$B$804,"&lt;"&amp;B150),"超出可卖股数","OK"),""))</f>
        <v/>
      </c>
      <c r="O150" s="32" t="n"/>
    </row>
    <row r="151">
      <c r="A151" s="46" t="n"/>
      <c r="B151" s="31" t="n"/>
      <c r="C151" s="27" t="n"/>
      <c r="D151" s="56" t="n"/>
      <c r="E151" s="17" t="n"/>
      <c r="F151" s="20" t="str">
        <f>IF(AND(ISNUMBER(D151),ISNUMBER(E151)),D151*E151,"")</f>
        <v/>
      </c>
      <c r="G151" s="51" t="str">
        <f>IF(ISNUMBER(F151),ROUND(MAX(F151*'参数'!$C$12,'参数'!$C$13),2),"")</f>
        <v/>
      </c>
      <c r="H151" s="51" t="str">
        <f>IF(ISNUMBER(F151),IF(C151="卖",ROUND(F151*'参数'!$C$14,2),0),"")</f>
        <v/>
      </c>
      <c r="I151" s="51" t="str">
        <f>IF(ISNUMBER(F151),ROUND(F151*'参数'!$C$15,2),"")</f>
        <v/>
      </c>
      <c r="J151" s="21" t="n"/>
      <c r="K151" s="20" t="str">
        <f>IF(ISNUMBER(J151),J151,IF(ISNUMBER(F151),G151+H151+I151+ROUND(F151*'参数'!$C$16,2),""))</f>
        <v/>
      </c>
      <c r="L151" s="43" t="str">
        <f>IF(A151="","",IFERROR(T(INDEX('交易记录'!$C$5:$C$304,MATCH(A151,'交易记录'!$A$5:$A$304,0))),"编号没找到"))</f>
        <v/>
      </c>
      <c r="M151" s="57" t="str">
        <f>IF(AND(C151="买",ISNUMBER(B151)),WORKDAY(B151,1,'参数'!$B$58:$B$80),"")</f>
        <v/>
      </c>
      <c r="N151" s="36" t="str">
        <f>IF(C151&lt;&gt;"卖","",IF(AND(ISNUMBER(B151),A151&lt;&gt;""),IF(SUMIFS($E$5:$E$804,$A$5:$A$804,A151,$C$5:$C$804,"卖",$B$5:$B$804,"&lt;="&amp;B151)&gt;SUMIFS($E$5:$E$804,$A$5:$A$804,A151,$C$5:$C$804,"买",$B$5:$B$804,"&lt;"&amp;B151),"超出可卖股数","OK"),""))</f>
        <v/>
      </c>
      <c r="O151" s="32" t="n"/>
    </row>
    <row r="152">
      <c r="A152" s="46" t="n"/>
      <c r="B152" s="31" t="n"/>
      <c r="C152" s="27" t="n"/>
      <c r="D152" s="56" t="n"/>
      <c r="E152" s="17" t="n"/>
      <c r="F152" s="20" t="str">
        <f>IF(AND(ISNUMBER(D152),ISNUMBER(E152)),D152*E152,"")</f>
        <v/>
      </c>
      <c r="G152" s="51" t="str">
        <f>IF(ISNUMBER(F152),ROUND(MAX(F152*'参数'!$C$12,'参数'!$C$13),2),"")</f>
        <v/>
      </c>
      <c r="H152" s="51" t="str">
        <f>IF(ISNUMBER(F152),IF(C152="卖",ROUND(F152*'参数'!$C$14,2),0),"")</f>
        <v/>
      </c>
      <c r="I152" s="51" t="str">
        <f>IF(ISNUMBER(F152),ROUND(F152*'参数'!$C$15,2),"")</f>
        <v/>
      </c>
      <c r="J152" s="21" t="n"/>
      <c r="K152" s="20" t="str">
        <f>IF(ISNUMBER(J152),J152,IF(ISNUMBER(F152),G152+H152+I152+ROUND(F152*'参数'!$C$16,2),""))</f>
        <v/>
      </c>
      <c r="L152" s="43" t="str">
        <f>IF(A152="","",IFERROR(T(INDEX('交易记录'!$C$5:$C$304,MATCH(A152,'交易记录'!$A$5:$A$304,0))),"编号没找到"))</f>
        <v/>
      </c>
      <c r="M152" s="57" t="str">
        <f>IF(AND(C152="买",ISNUMBER(B152)),WORKDAY(B152,1,'参数'!$B$58:$B$80),"")</f>
        <v/>
      </c>
      <c r="N152" s="36" t="str">
        <f>IF(C152&lt;&gt;"卖","",IF(AND(ISNUMBER(B152),A152&lt;&gt;""),IF(SUMIFS($E$5:$E$804,$A$5:$A$804,A152,$C$5:$C$804,"卖",$B$5:$B$804,"&lt;="&amp;B152)&gt;SUMIFS($E$5:$E$804,$A$5:$A$804,A152,$C$5:$C$804,"买",$B$5:$B$804,"&lt;"&amp;B152),"超出可卖股数","OK"),""))</f>
        <v/>
      </c>
      <c r="O152" s="32" t="n"/>
    </row>
    <row r="153">
      <c r="A153" s="46" t="n"/>
      <c r="B153" s="31" t="n"/>
      <c r="C153" s="27" t="n"/>
      <c r="D153" s="56" t="n"/>
      <c r="E153" s="17" t="n"/>
      <c r="F153" s="20" t="str">
        <f>IF(AND(ISNUMBER(D153),ISNUMBER(E153)),D153*E153,"")</f>
        <v/>
      </c>
      <c r="G153" s="51" t="str">
        <f>IF(ISNUMBER(F153),ROUND(MAX(F153*'参数'!$C$12,'参数'!$C$13),2),"")</f>
        <v/>
      </c>
      <c r="H153" s="51" t="str">
        <f>IF(ISNUMBER(F153),IF(C153="卖",ROUND(F153*'参数'!$C$14,2),0),"")</f>
        <v/>
      </c>
      <c r="I153" s="51" t="str">
        <f>IF(ISNUMBER(F153),ROUND(F153*'参数'!$C$15,2),"")</f>
        <v/>
      </c>
      <c r="J153" s="21" t="n"/>
      <c r="K153" s="20" t="str">
        <f>IF(ISNUMBER(J153),J153,IF(ISNUMBER(F153),G153+H153+I153+ROUND(F153*'参数'!$C$16,2),""))</f>
        <v/>
      </c>
      <c r="L153" s="43" t="str">
        <f>IF(A153="","",IFERROR(T(INDEX('交易记录'!$C$5:$C$304,MATCH(A153,'交易记录'!$A$5:$A$304,0))),"编号没找到"))</f>
        <v/>
      </c>
      <c r="M153" s="57" t="str">
        <f>IF(AND(C153="买",ISNUMBER(B153)),WORKDAY(B153,1,'参数'!$B$58:$B$80),"")</f>
        <v/>
      </c>
      <c r="N153" s="36" t="str">
        <f>IF(C153&lt;&gt;"卖","",IF(AND(ISNUMBER(B153),A153&lt;&gt;""),IF(SUMIFS($E$5:$E$804,$A$5:$A$804,A153,$C$5:$C$804,"卖",$B$5:$B$804,"&lt;="&amp;B153)&gt;SUMIFS($E$5:$E$804,$A$5:$A$804,A153,$C$5:$C$804,"买",$B$5:$B$804,"&lt;"&amp;B153),"超出可卖股数","OK"),""))</f>
        <v/>
      </c>
      <c r="O153" s="32" t="n"/>
    </row>
    <row r="154">
      <c r="A154" s="46" t="n"/>
      <c r="B154" s="31" t="n"/>
      <c r="C154" s="27" t="n"/>
      <c r="D154" s="56" t="n"/>
      <c r="E154" s="17" t="n"/>
      <c r="F154" s="20" t="str">
        <f>IF(AND(ISNUMBER(D154),ISNUMBER(E154)),D154*E154,"")</f>
        <v/>
      </c>
      <c r="G154" s="51" t="str">
        <f>IF(ISNUMBER(F154),ROUND(MAX(F154*'参数'!$C$12,'参数'!$C$13),2),"")</f>
        <v/>
      </c>
      <c r="H154" s="51" t="str">
        <f>IF(ISNUMBER(F154),IF(C154="卖",ROUND(F154*'参数'!$C$14,2),0),"")</f>
        <v/>
      </c>
      <c r="I154" s="51" t="str">
        <f>IF(ISNUMBER(F154),ROUND(F154*'参数'!$C$15,2),"")</f>
        <v/>
      </c>
      <c r="J154" s="21" t="n"/>
      <c r="K154" s="20" t="str">
        <f>IF(ISNUMBER(J154),J154,IF(ISNUMBER(F154),G154+H154+I154+ROUND(F154*'参数'!$C$16,2),""))</f>
        <v/>
      </c>
      <c r="L154" s="43" t="str">
        <f>IF(A154="","",IFERROR(T(INDEX('交易记录'!$C$5:$C$304,MATCH(A154,'交易记录'!$A$5:$A$304,0))),"编号没找到"))</f>
        <v/>
      </c>
      <c r="M154" s="57" t="str">
        <f>IF(AND(C154="买",ISNUMBER(B154)),WORKDAY(B154,1,'参数'!$B$58:$B$80),"")</f>
        <v/>
      </c>
      <c r="N154" s="36" t="str">
        <f>IF(C154&lt;&gt;"卖","",IF(AND(ISNUMBER(B154),A154&lt;&gt;""),IF(SUMIFS($E$5:$E$804,$A$5:$A$804,A154,$C$5:$C$804,"卖",$B$5:$B$804,"&lt;="&amp;B154)&gt;SUMIFS($E$5:$E$804,$A$5:$A$804,A154,$C$5:$C$804,"买",$B$5:$B$804,"&lt;"&amp;B154),"超出可卖股数","OK"),""))</f>
        <v/>
      </c>
      <c r="O154" s="32" t="n"/>
    </row>
    <row r="155">
      <c r="A155" s="46" t="n"/>
      <c r="B155" s="31" t="n"/>
      <c r="C155" s="27" t="n"/>
      <c r="D155" s="56" t="n"/>
      <c r="E155" s="17" t="n"/>
      <c r="F155" s="20" t="str">
        <f>IF(AND(ISNUMBER(D155),ISNUMBER(E155)),D155*E155,"")</f>
        <v/>
      </c>
      <c r="G155" s="51" t="str">
        <f>IF(ISNUMBER(F155),ROUND(MAX(F155*'参数'!$C$12,'参数'!$C$13),2),"")</f>
        <v/>
      </c>
      <c r="H155" s="51" t="str">
        <f>IF(ISNUMBER(F155),IF(C155="卖",ROUND(F155*'参数'!$C$14,2),0),"")</f>
        <v/>
      </c>
      <c r="I155" s="51" t="str">
        <f>IF(ISNUMBER(F155),ROUND(F155*'参数'!$C$15,2),"")</f>
        <v/>
      </c>
      <c r="J155" s="21" t="n"/>
      <c r="K155" s="20" t="str">
        <f>IF(ISNUMBER(J155),J155,IF(ISNUMBER(F155),G155+H155+I155+ROUND(F155*'参数'!$C$16,2),""))</f>
        <v/>
      </c>
      <c r="L155" s="43" t="str">
        <f>IF(A155="","",IFERROR(T(INDEX('交易记录'!$C$5:$C$304,MATCH(A155,'交易记录'!$A$5:$A$304,0))),"编号没找到"))</f>
        <v/>
      </c>
      <c r="M155" s="57" t="str">
        <f>IF(AND(C155="买",ISNUMBER(B155)),WORKDAY(B155,1,'参数'!$B$58:$B$80),"")</f>
        <v/>
      </c>
      <c r="N155" s="36" t="str">
        <f>IF(C155&lt;&gt;"卖","",IF(AND(ISNUMBER(B155),A155&lt;&gt;""),IF(SUMIFS($E$5:$E$804,$A$5:$A$804,A155,$C$5:$C$804,"卖",$B$5:$B$804,"&lt;="&amp;B155)&gt;SUMIFS($E$5:$E$804,$A$5:$A$804,A155,$C$5:$C$804,"买",$B$5:$B$804,"&lt;"&amp;B155),"超出可卖股数","OK"),""))</f>
        <v/>
      </c>
      <c r="O155" s="32" t="n"/>
    </row>
    <row r="156">
      <c r="A156" s="46" t="n"/>
      <c r="B156" s="31" t="n"/>
      <c r="C156" s="27" t="n"/>
      <c r="D156" s="56" t="n"/>
      <c r="E156" s="17" t="n"/>
      <c r="F156" s="20" t="str">
        <f>IF(AND(ISNUMBER(D156),ISNUMBER(E156)),D156*E156,"")</f>
        <v/>
      </c>
      <c r="G156" s="51" t="str">
        <f>IF(ISNUMBER(F156),ROUND(MAX(F156*'参数'!$C$12,'参数'!$C$13),2),"")</f>
        <v/>
      </c>
      <c r="H156" s="51" t="str">
        <f>IF(ISNUMBER(F156),IF(C156="卖",ROUND(F156*'参数'!$C$14,2),0),"")</f>
        <v/>
      </c>
      <c r="I156" s="51" t="str">
        <f>IF(ISNUMBER(F156),ROUND(F156*'参数'!$C$15,2),"")</f>
        <v/>
      </c>
      <c r="J156" s="21" t="n"/>
      <c r="K156" s="20" t="str">
        <f>IF(ISNUMBER(J156),J156,IF(ISNUMBER(F156),G156+H156+I156+ROUND(F156*'参数'!$C$16,2),""))</f>
        <v/>
      </c>
      <c r="L156" s="43" t="str">
        <f>IF(A156="","",IFERROR(T(INDEX('交易记录'!$C$5:$C$304,MATCH(A156,'交易记录'!$A$5:$A$304,0))),"编号没找到"))</f>
        <v/>
      </c>
      <c r="M156" s="57" t="str">
        <f>IF(AND(C156="买",ISNUMBER(B156)),WORKDAY(B156,1,'参数'!$B$58:$B$80),"")</f>
        <v/>
      </c>
      <c r="N156" s="36" t="str">
        <f>IF(C156&lt;&gt;"卖","",IF(AND(ISNUMBER(B156),A156&lt;&gt;""),IF(SUMIFS($E$5:$E$804,$A$5:$A$804,A156,$C$5:$C$804,"卖",$B$5:$B$804,"&lt;="&amp;B156)&gt;SUMIFS($E$5:$E$804,$A$5:$A$804,A156,$C$5:$C$804,"买",$B$5:$B$804,"&lt;"&amp;B156),"超出可卖股数","OK"),""))</f>
        <v/>
      </c>
      <c r="O156" s="32" t="n"/>
    </row>
    <row r="157">
      <c r="A157" s="46" t="n"/>
      <c r="B157" s="31" t="n"/>
      <c r="C157" s="27" t="n"/>
      <c r="D157" s="56" t="n"/>
      <c r="E157" s="17" t="n"/>
      <c r="F157" s="20" t="str">
        <f>IF(AND(ISNUMBER(D157),ISNUMBER(E157)),D157*E157,"")</f>
        <v/>
      </c>
      <c r="G157" s="51" t="str">
        <f>IF(ISNUMBER(F157),ROUND(MAX(F157*'参数'!$C$12,'参数'!$C$13),2),"")</f>
        <v/>
      </c>
      <c r="H157" s="51" t="str">
        <f>IF(ISNUMBER(F157),IF(C157="卖",ROUND(F157*'参数'!$C$14,2),0),"")</f>
        <v/>
      </c>
      <c r="I157" s="51" t="str">
        <f>IF(ISNUMBER(F157),ROUND(F157*'参数'!$C$15,2),"")</f>
        <v/>
      </c>
      <c r="J157" s="21" t="n"/>
      <c r="K157" s="20" t="str">
        <f>IF(ISNUMBER(J157),J157,IF(ISNUMBER(F157),G157+H157+I157+ROUND(F157*'参数'!$C$16,2),""))</f>
        <v/>
      </c>
      <c r="L157" s="43" t="str">
        <f>IF(A157="","",IFERROR(T(INDEX('交易记录'!$C$5:$C$304,MATCH(A157,'交易记录'!$A$5:$A$304,0))),"编号没找到"))</f>
        <v/>
      </c>
      <c r="M157" s="57" t="str">
        <f>IF(AND(C157="买",ISNUMBER(B157)),WORKDAY(B157,1,'参数'!$B$58:$B$80),"")</f>
        <v/>
      </c>
      <c r="N157" s="36" t="str">
        <f>IF(C157&lt;&gt;"卖","",IF(AND(ISNUMBER(B157),A157&lt;&gt;""),IF(SUMIFS($E$5:$E$804,$A$5:$A$804,A157,$C$5:$C$804,"卖",$B$5:$B$804,"&lt;="&amp;B157)&gt;SUMIFS($E$5:$E$804,$A$5:$A$804,A157,$C$5:$C$804,"买",$B$5:$B$804,"&lt;"&amp;B157),"超出可卖股数","OK"),""))</f>
        <v/>
      </c>
      <c r="O157" s="32" t="n"/>
    </row>
    <row r="158">
      <c r="A158" s="46" t="n"/>
      <c r="B158" s="31" t="n"/>
      <c r="C158" s="27" t="n"/>
      <c r="D158" s="56" t="n"/>
      <c r="E158" s="17" t="n"/>
      <c r="F158" s="20" t="str">
        <f>IF(AND(ISNUMBER(D158),ISNUMBER(E158)),D158*E158,"")</f>
        <v/>
      </c>
      <c r="G158" s="51" t="str">
        <f>IF(ISNUMBER(F158),ROUND(MAX(F158*'参数'!$C$12,'参数'!$C$13),2),"")</f>
        <v/>
      </c>
      <c r="H158" s="51" t="str">
        <f>IF(ISNUMBER(F158),IF(C158="卖",ROUND(F158*'参数'!$C$14,2),0),"")</f>
        <v/>
      </c>
      <c r="I158" s="51" t="str">
        <f>IF(ISNUMBER(F158),ROUND(F158*'参数'!$C$15,2),"")</f>
        <v/>
      </c>
      <c r="J158" s="21" t="n"/>
      <c r="K158" s="20" t="str">
        <f>IF(ISNUMBER(J158),J158,IF(ISNUMBER(F158),G158+H158+I158+ROUND(F158*'参数'!$C$16,2),""))</f>
        <v/>
      </c>
      <c r="L158" s="43" t="str">
        <f>IF(A158="","",IFERROR(T(INDEX('交易记录'!$C$5:$C$304,MATCH(A158,'交易记录'!$A$5:$A$304,0))),"编号没找到"))</f>
        <v/>
      </c>
      <c r="M158" s="57" t="str">
        <f>IF(AND(C158="买",ISNUMBER(B158)),WORKDAY(B158,1,'参数'!$B$58:$B$80),"")</f>
        <v/>
      </c>
      <c r="N158" s="36" t="str">
        <f>IF(C158&lt;&gt;"卖","",IF(AND(ISNUMBER(B158),A158&lt;&gt;""),IF(SUMIFS($E$5:$E$804,$A$5:$A$804,A158,$C$5:$C$804,"卖",$B$5:$B$804,"&lt;="&amp;B158)&gt;SUMIFS($E$5:$E$804,$A$5:$A$804,A158,$C$5:$C$804,"买",$B$5:$B$804,"&lt;"&amp;B158),"超出可卖股数","OK"),""))</f>
        <v/>
      </c>
      <c r="O158" s="32" t="n"/>
    </row>
    <row r="159">
      <c r="A159" s="46" t="n"/>
      <c r="B159" s="31" t="n"/>
      <c r="C159" s="27" t="n"/>
      <c r="D159" s="56" t="n"/>
      <c r="E159" s="17" t="n"/>
      <c r="F159" s="20" t="str">
        <f>IF(AND(ISNUMBER(D159),ISNUMBER(E159)),D159*E159,"")</f>
        <v/>
      </c>
      <c r="G159" s="51" t="str">
        <f>IF(ISNUMBER(F159),ROUND(MAX(F159*'参数'!$C$12,'参数'!$C$13),2),"")</f>
        <v/>
      </c>
      <c r="H159" s="51" t="str">
        <f>IF(ISNUMBER(F159),IF(C159="卖",ROUND(F159*'参数'!$C$14,2),0),"")</f>
        <v/>
      </c>
      <c r="I159" s="51" t="str">
        <f>IF(ISNUMBER(F159),ROUND(F159*'参数'!$C$15,2),"")</f>
        <v/>
      </c>
      <c r="J159" s="21" t="n"/>
      <c r="K159" s="20" t="str">
        <f>IF(ISNUMBER(J159),J159,IF(ISNUMBER(F159),G159+H159+I159+ROUND(F159*'参数'!$C$16,2),""))</f>
        <v/>
      </c>
      <c r="L159" s="43" t="str">
        <f>IF(A159="","",IFERROR(T(INDEX('交易记录'!$C$5:$C$304,MATCH(A159,'交易记录'!$A$5:$A$304,0))),"编号没找到"))</f>
        <v/>
      </c>
      <c r="M159" s="57" t="str">
        <f>IF(AND(C159="买",ISNUMBER(B159)),WORKDAY(B159,1,'参数'!$B$58:$B$80),"")</f>
        <v/>
      </c>
      <c r="N159" s="36" t="str">
        <f>IF(C159&lt;&gt;"卖","",IF(AND(ISNUMBER(B159),A159&lt;&gt;""),IF(SUMIFS($E$5:$E$804,$A$5:$A$804,A159,$C$5:$C$804,"卖",$B$5:$B$804,"&lt;="&amp;B159)&gt;SUMIFS($E$5:$E$804,$A$5:$A$804,A159,$C$5:$C$804,"买",$B$5:$B$804,"&lt;"&amp;B159),"超出可卖股数","OK"),""))</f>
        <v/>
      </c>
      <c r="O159" s="32" t="n"/>
    </row>
    <row r="160">
      <c r="A160" s="46" t="n"/>
      <c r="B160" s="31" t="n"/>
      <c r="C160" s="27" t="n"/>
      <c r="D160" s="56" t="n"/>
      <c r="E160" s="17" t="n"/>
      <c r="F160" s="20" t="str">
        <f>IF(AND(ISNUMBER(D160),ISNUMBER(E160)),D160*E160,"")</f>
        <v/>
      </c>
      <c r="G160" s="51" t="str">
        <f>IF(ISNUMBER(F160),ROUND(MAX(F160*'参数'!$C$12,'参数'!$C$13),2),"")</f>
        <v/>
      </c>
      <c r="H160" s="51" t="str">
        <f>IF(ISNUMBER(F160),IF(C160="卖",ROUND(F160*'参数'!$C$14,2),0),"")</f>
        <v/>
      </c>
      <c r="I160" s="51" t="str">
        <f>IF(ISNUMBER(F160),ROUND(F160*'参数'!$C$15,2),"")</f>
        <v/>
      </c>
      <c r="J160" s="21" t="n"/>
      <c r="K160" s="20" t="str">
        <f>IF(ISNUMBER(J160),J160,IF(ISNUMBER(F160),G160+H160+I160+ROUND(F160*'参数'!$C$16,2),""))</f>
        <v/>
      </c>
      <c r="L160" s="43" t="str">
        <f>IF(A160="","",IFERROR(T(INDEX('交易记录'!$C$5:$C$304,MATCH(A160,'交易记录'!$A$5:$A$304,0))),"编号没找到"))</f>
        <v/>
      </c>
      <c r="M160" s="57" t="str">
        <f>IF(AND(C160="买",ISNUMBER(B160)),WORKDAY(B160,1,'参数'!$B$58:$B$80),"")</f>
        <v/>
      </c>
      <c r="N160" s="36" t="str">
        <f>IF(C160&lt;&gt;"卖","",IF(AND(ISNUMBER(B160),A160&lt;&gt;""),IF(SUMIFS($E$5:$E$804,$A$5:$A$804,A160,$C$5:$C$804,"卖",$B$5:$B$804,"&lt;="&amp;B160)&gt;SUMIFS($E$5:$E$804,$A$5:$A$804,A160,$C$5:$C$804,"买",$B$5:$B$804,"&lt;"&amp;B160),"超出可卖股数","OK"),""))</f>
        <v/>
      </c>
      <c r="O160" s="32" t="n"/>
    </row>
    <row r="161">
      <c r="A161" s="46" t="n"/>
      <c r="B161" s="31" t="n"/>
      <c r="C161" s="27" t="n"/>
      <c r="D161" s="56" t="n"/>
      <c r="E161" s="17" t="n"/>
      <c r="F161" s="20" t="str">
        <f>IF(AND(ISNUMBER(D161),ISNUMBER(E161)),D161*E161,"")</f>
        <v/>
      </c>
      <c r="G161" s="51" t="str">
        <f>IF(ISNUMBER(F161),ROUND(MAX(F161*'参数'!$C$12,'参数'!$C$13),2),"")</f>
        <v/>
      </c>
      <c r="H161" s="51" t="str">
        <f>IF(ISNUMBER(F161),IF(C161="卖",ROUND(F161*'参数'!$C$14,2),0),"")</f>
        <v/>
      </c>
      <c r="I161" s="51" t="str">
        <f>IF(ISNUMBER(F161),ROUND(F161*'参数'!$C$15,2),"")</f>
        <v/>
      </c>
      <c r="J161" s="21" t="n"/>
      <c r="K161" s="20" t="str">
        <f>IF(ISNUMBER(J161),J161,IF(ISNUMBER(F161),G161+H161+I161+ROUND(F161*'参数'!$C$16,2),""))</f>
        <v/>
      </c>
      <c r="L161" s="43" t="str">
        <f>IF(A161="","",IFERROR(T(INDEX('交易记录'!$C$5:$C$304,MATCH(A161,'交易记录'!$A$5:$A$304,0))),"编号没找到"))</f>
        <v/>
      </c>
      <c r="M161" s="57" t="str">
        <f>IF(AND(C161="买",ISNUMBER(B161)),WORKDAY(B161,1,'参数'!$B$58:$B$80),"")</f>
        <v/>
      </c>
      <c r="N161" s="36" t="str">
        <f>IF(C161&lt;&gt;"卖","",IF(AND(ISNUMBER(B161),A161&lt;&gt;""),IF(SUMIFS($E$5:$E$804,$A$5:$A$804,A161,$C$5:$C$804,"卖",$B$5:$B$804,"&lt;="&amp;B161)&gt;SUMIFS($E$5:$E$804,$A$5:$A$804,A161,$C$5:$C$804,"买",$B$5:$B$804,"&lt;"&amp;B161),"超出可卖股数","OK"),""))</f>
        <v/>
      </c>
      <c r="O161" s="32" t="n"/>
    </row>
    <row r="162">
      <c r="A162" s="46" t="n"/>
      <c r="B162" s="31" t="n"/>
      <c r="C162" s="27" t="n"/>
      <c r="D162" s="56" t="n"/>
      <c r="E162" s="17" t="n"/>
      <c r="F162" s="20" t="str">
        <f>IF(AND(ISNUMBER(D162),ISNUMBER(E162)),D162*E162,"")</f>
        <v/>
      </c>
      <c r="G162" s="51" t="str">
        <f>IF(ISNUMBER(F162),ROUND(MAX(F162*'参数'!$C$12,'参数'!$C$13),2),"")</f>
        <v/>
      </c>
      <c r="H162" s="51" t="str">
        <f>IF(ISNUMBER(F162),IF(C162="卖",ROUND(F162*'参数'!$C$14,2),0),"")</f>
        <v/>
      </c>
      <c r="I162" s="51" t="str">
        <f>IF(ISNUMBER(F162),ROUND(F162*'参数'!$C$15,2),"")</f>
        <v/>
      </c>
      <c r="J162" s="21" t="n"/>
      <c r="K162" s="20" t="str">
        <f>IF(ISNUMBER(J162),J162,IF(ISNUMBER(F162),G162+H162+I162+ROUND(F162*'参数'!$C$16,2),""))</f>
        <v/>
      </c>
      <c r="L162" s="43" t="str">
        <f>IF(A162="","",IFERROR(T(INDEX('交易记录'!$C$5:$C$304,MATCH(A162,'交易记录'!$A$5:$A$304,0))),"编号没找到"))</f>
        <v/>
      </c>
      <c r="M162" s="57" t="str">
        <f>IF(AND(C162="买",ISNUMBER(B162)),WORKDAY(B162,1,'参数'!$B$58:$B$80),"")</f>
        <v/>
      </c>
      <c r="N162" s="36" t="str">
        <f>IF(C162&lt;&gt;"卖","",IF(AND(ISNUMBER(B162),A162&lt;&gt;""),IF(SUMIFS($E$5:$E$804,$A$5:$A$804,A162,$C$5:$C$804,"卖",$B$5:$B$804,"&lt;="&amp;B162)&gt;SUMIFS($E$5:$E$804,$A$5:$A$804,A162,$C$5:$C$804,"买",$B$5:$B$804,"&lt;"&amp;B162),"超出可卖股数","OK"),""))</f>
        <v/>
      </c>
      <c r="O162" s="32" t="n"/>
    </row>
    <row r="163">
      <c r="A163" s="46" t="n"/>
      <c r="B163" s="31" t="n"/>
      <c r="C163" s="27" t="n"/>
      <c r="D163" s="56" t="n"/>
      <c r="E163" s="17" t="n"/>
      <c r="F163" s="20" t="str">
        <f>IF(AND(ISNUMBER(D163),ISNUMBER(E163)),D163*E163,"")</f>
        <v/>
      </c>
      <c r="G163" s="51" t="str">
        <f>IF(ISNUMBER(F163),ROUND(MAX(F163*'参数'!$C$12,'参数'!$C$13),2),"")</f>
        <v/>
      </c>
      <c r="H163" s="51" t="str">
        <f>IF(ISNUMBER(F163),IF(C163="卖",ROUND(F163*'参数'!$C$14,2),0),"")</f>
        <v/>
      </c>
      <c r="I163" s="51" t="str">
        <f>IF(ISNUMBER(F163),ROUND(F163*'参数'!$C$15,2),"")</f>
        <v/>
      </c>
      <c r="J163" s="21" t="n"/>
      <c r="K163" s="20" t="str">
        <f>IF(ISNUMBER(J163),J163,IF(ISNUMBER(F163),G163+H163+I163+ROUND(F163*'参数'!$C$16,2),""))</f>
        <v/>
      </c>
      <c r="L163" s="43" t="str">
        <f>IF(A163="","",IFERROR(T(INDEX('交易记录'!$C$5:$C$304,MATCH(A163,'交易记录'!$A$5:$A$304,0))),"编号没找到"))</f>
        <v/>
      </c>
      <c r="M163" s="57" t="str">
        <f>IF(AND(C163="买",ISNUMBER(B163)),WORKDAY(B163,1,'参数'!$B$58:$B$80),"")</f>
        <v/>
      </c>
      <c r="N163" s="36" t="str">
        <f>IF(C163&lt;&gt;"卖","",IF(AND(ISNUMBER(B163),A163&lt;&gt;""),IF(SUMIFS($E$5:$E$804,$A$5:$A$804,A163,$C$5:$C$804,"卖",$B$5:$B$804,"&lt;="&amp;B163)&gt;SUMIFS($E$5:$E$804,$A$5:$A$804,A163,$C$5:$C$804,"买",$B$5:$B$804,"&lt;"&amp;B163),"超出可卖股数","OK"),""))</f>
        <v/>
      </c>
      <c r="O163" s="32" t="n"/>
    </row>
    <row r="164">
      <c r="A164" s="46" t="n"/>
      <c r="B164" s="31" t="n"/>
      <c r="C164" s="27" t="n"/>
      <c r="D164" s="56" t="n"/>
      <c r="E164" s="17" t="n"/>
      <c r="F164" s="20" t="str">
        <f>IF(AND(ISNUMBER(D164),ISNUMBER(E164)),D164*E164,"")</f>
        <v/>
      </c>
      <c r="G164" s="51" t="str">
        <f>IF(ISNUMBER(F164),ROUND(MAX(F164*'参数'!$C$12,'参数'!$C$13),2),"")</f>
        <v/>
      </c>
      <c r="H164" s="51" t="str">
        <f>IF(ISNUMBER(F164),IF(C164="卖",ROUND(F164*'参数'!$C$14,2),0),"")</f>
        <v/>
      </c>
      <c r="I164" s="51" t="str">
        <f>IF(ISNUMBER(F164),ROUND(F164*'参数'!$C$15,2),"")</f>
        <v/>
      </c>
      <c r="J164" s="21" t="n"/>
      <c r="K164" s="20" t="str">
        <f>IF(ISNUMBER(J164),J164,IF(ISNUMBER(F164),G164+H164+I164+ROUND(F164*'参数'!$C$16,2),""))</f>
        <v/>
      </c>
      <c r="L164" s="43" t="str">
        <f>IF(A164="","",IFERROR(T(INDEX('交易记录'!$C$5:$C$304,MATCH(A164,'交易记录'!$A$5:$A$304,0))),"编号没找到"))</f>
        <v/>
      </c>
      <c r="M164" s="57" t="str">
        <f>IF(AND(C164="买",ISNUMBER(B164)),WORKDAY(B164,1,'参数'!$B$58:$B$80),"")</f>
        <v/>
      </c>
      <c r="N164" s="36" t="str">
        <f>IF(C164&lt;&gt;"卖","",IF(AND(ISNUMBER(B164),A164&lt;&gt;""),IF(SUMIFS($E$5:$E$804,$A$5:$A$804,A164,$C$5:$C$804,"卖",$B$5:$B$804,"&lt;="&amp;B164)&gt;SUMIFS($E$5:$E$804,$A$5:$A$804,A164,$C$5:$C$804,"买",$B$5:$B$804,"&lt;"&amp;B164),"超出可卖股数","OK"),""))</f>
        <v/>
      </c>
      <c r="O164" s="32" t="n"/>
    </row>
    <row r="165">
      <c r="A165" s="46" t="n"/>
      <c r="B165" s="31" t="n"/>
      <c r="C165" s="27" t="n"/>
      <c r="D165" s="56" t="n"/>
      <c r="E165" s="17" t="n"/>
      <c r="F165" s="20" t="str">
        <f>IF(AND(ISNUMBER(D165),ISNUMBER(E165)),D165*E165,"")</f>
        <v/>
      </c>
      <c r="G165" s="51" t="str">
        <f>IF(ISNUMBER(F165),ROUND(MAX(F165*'参数'!$C$12,'参数'!$C$13),2),"")</f>
        <v/>
      </c>
      <c r="H165" s="51" t="str">
        <f>IF(ISNUMBER(F165),IF(C165="卖",ROUND(F165*'参数'!$C$14,2),0),"")</f>
        <v/>
      </c>
      <c r="I165" s="51" t="str">
        <f>IF(ISNUMBER(F165),ROUND(F165*'参数'!$C$15,2),"")</f>
        <v/>
      </c>
      <c r="J165" s="21" t="n"/>
      <c r="K165" s="20" t="str">
        <f>IF(ISNUMBER(J165),J165,IF(ISNUMBER(F165),G165+H165+I165+ROUND(F165*'参数'!$C$16,2),""))</f>
        <v/>
      </c>
      <c r="L165" s="43" t="str">
        <f>IF(A165="","",IFERROR(T(INDEX('交易记录'!$C$5:$C$304,MATCH(A165,'交易记录'!$A$5:$A$304,0))),"编号没找到"))</f>
        <v/>
      </c>
      <c r="M165" s="57" t="str">
        <f>IF(AND(C165="买",ISNUMBER(B165)),WORKDAY(B165,1,'参数'!$B$58:$B$80),"")</f>
        <v/>
      </c>
      <c r="N165" s="36" t="str">
        <f>IF(C165&lt;&gt;"卖","",IF(AND(ISNUMBER(B165),A165&lt;&gt;""),IF(SUMIFS($E$5:$E$804,$A$5:$A$804,A165,$C$5:$C$804,"卖",$B$5:$B$804,"&lt;="&amp;B165)&gt;SUMIFS($E$5:$E$804,$A$5:$A$804,A165,$C$5:$C$804,"买",$B$5:$B$804,"&lt;"&amp;B165),"超出可卖股数","OK"),""))</f>
        <v/>
      </c>
      <c r="O165" s="32" t="n"/>
    </row>
    <row r="166">
      <c r="A166" s="46" t="n"/>
      <c r="B166" s="31" t="n"/>
      <c r="C166" s="27" t="n"/>
      <c r="D166" s="56" t="n"/>
      <c r="E166" s="17" t="n"/>
      <c r="F166" s="20" t="str">
        <f>IF(AND(ISNUMBER(D166),ISNUMBER(E166)),D166*E166,"")</f>
        <v/>
      </c>
      <c r="G166" s="51" t="str">
        <f>IF(ISNUMBER(F166),ROUND(MAX(F166*'参数'!$C$12,'参数'!$C$13),2),"")</f>
        <v/>
      </c>
      <c r="H166" s="51" t="str">
        <f>IF(ISNUMBER(F166),IF(C166="卖",ROUND(F166*'参数'!$C$14,2),0),"")</f>
        <v/>
      </c>
      <c r="I166" s="51" t="str">
        <f>IF(ISNUMBER(F166),ROUND(F166*'参数'!$C$15,2),"")</f>
        <v/>
      </c>
      <c r="J166" s="21" t="n"/>
      <c r="K166" s="20" t="str">
        <f>IF(ISNUMBER(J166),J166,IF(ISNUMBER(F166),G166+H166+I166+ROUND(F166*'参数'!$C$16,2),""))</f>
        <v/>
      </c>
      <c r="L166" s="43" t="str">
        <f>IF(A166="","",IFERROR(T(INDEX('交易记录'!$C$5:$C$304,MATCH(A166,'交易记录'!$A$5:$A$304,0))),"编号没找到"))</f>
        <v/>
      </c>
      <c r="M166" s="57" t="str">
        <f>IF(AND(C166="买",ISNUMBER(B166)),WORKDAY(B166,1,'参数'!$B$58:$B$80),"")</f>
        <v/>
      </c>
      <c r="N166" s="36" t="str">
        <f>IF(C166&lt;&gt;"卖","",IF(AND(ISNUMBER(B166),A166&lt;&gt;""),IF(SUMIFS($E$5:$E$804,$A$5:$A$804,A166,$C$5:$C$804,"卖",$B$5:$B$804,"&lt;="&amp;B166)&gt;SUMIFS($E$5:$E$804,$A$5:$A$804,A166,$C$5:$C$804,"买",$B$5:$B$804,"&lt;"&amp;B166),"超出可卖股数","OK"),""))</f>
        <v/>
      </c>
      <c r="O166" s="32" t="n"/>
    </row>
    <row r="167">
      <c r="A167" s="46" t="n"/>
      <c r="B167" s="31" t="n"/>
      <c r="C167" s="27" t="n"/>
      <c r="D167" s="56" t="n"/>
      <c r="E167" s="17" t="n"/>
      <c r="F167" s="20" t="str">
        <f>IF(AND(ISNUMBER(D167),ISNUMBER(E167)),D167*E167,"")</f>
        <v/>
      </c>
      <c r="G167" s="51" t="str">
        <f>IF(ISNUMBER(F167),ROUND(MAX(F167*'参数'!$C$12,'参数'!$C$13),2),"")</f>
        <v/>
      </c>
      <c r="H167" s="51" t="str">
        <f>IF(ISNUMBER(F167),IF(C167="卖",ROUND(F167*'参数'!$C$14,2),0),"")</f>
        <v/>
      </c>
      <c r="I167" s="51" t="str">
        <f>IF(ISNUMBER(F167),ROUND(F167*'参数'!$C$15,2),"")</f>
        <v/>
      </c>
      <c r="J167" s="21" t="n"/>
      <c r="K167" s="20" t="str">
        <f>IF(ISNUMBER(J167),J167,IF(ISNUMBER(F167),G167+H167+I167+ROUND(F167*'参数'!$C$16,2),""))</f>
        <v/>
      </c>
      <c r="L167" s="43" t="str">
        <f>IF(A167="","",IFERROR(T(INDEX('交易记录'!$C$5:$C$304,MATCH(A167,'交易记录'!$A$5:$A$304,0))),"编号没找到"))</f>
        <v/>
      </c>
      <c r="M167" s="57" t="str">
        <f>IF(AND(C167="买",ISNUMBER(B167)),WORKDAY(B167,1,'参数'!$B$58:$B$80),"")</f>
        <v/>
      </c>
      <c r="N167" s="36" t="str">
        <f>IF(C167&lt;&gt;"卖","",IF(AND(ISNUMBER(B167),A167&lt;&gt;""),IF(SUMIFS($E$5:$E$804,$A$5:$A$804,A167,$C$5:$C$804,"卖",$B$5:$B$804,"&lt;="&amp;B167)&gt;SUMIFS($E$5:$E$804,$A$5:$A$804,A167,$C$5:$C$804,"买",$B$5:$B$804,"&lt;"&amp;B167),"超出可卖股数","OK"),""))</f>
        <v/>
      </c>
      <c r="O167" s="32" t="n"/>
    </row>
    <row r="168">
      <c r="A168" s="46" t="n"/>
      <c r="B168" s="31" t="n"/>
      <c r="C168" s="27" t="n"/>
      <c r="D168" s="56" t="n"/>
      <c r="E168" s="17" t="n"/>
      <c r="F168" s="20" t="str">
        <f>IF(AND(ISNUMBER(D168),ISNUMBER(E168)),D168*E168,"")</f>
        <v/>
      </c>
      <c r="G168" s="51" t="str">
        <f>IF(ISNUMBER(F168),ROUND(MAX(F168*'参数'!$C$12,'参数'!$C$13),2),"")</f>
        <v/>
      </c>
      <c r="H168" s="51" t="str">
        <f>IF(ISNUMBER(F168),IF(C168="卖",ROUND(F168*'参数'!$C$14,2),0),"")</f>
        <v/>
      </c>
      <c r="I168" s="51" t="str">
        <f>IF(ISNUMBER(F168),ROUND(F168*'参数'!$C$15,2),"")</f>
        <v/>
      </c>
      <c r="J168" s="21" t="n"/>
      <c r="K168" s="20" t="str">
        <f>IF(ISNUMBER(J168),J168,IF(ISNUMBER(F168),G168+H168+I168+ROUND(F168*'参数'!$C$16,2),""))</f>
        <v/>
      </c>
      <c r="L168" s="43" t="str">
        <f>IF(A168="","",IFERROR(T(INDEX('交易记录'!$C$5:$C$304,MATCH(A168,'交易记录'!$A$5:$A$304,0))),"编号没找到"))</f>
        <v/>
      </c>
      <c r="M168" s="57" t="str">
        <f>IF(AND(C168="买",ISNUMBER(B168)),WORKDAY(B168,1,'参数'!$B$58:$B$80),"")</f>
        <v/>
      </c>
      <c r="N168" s="36" t="str">
        <f>IF(C168&lt;&gt;"卖","",IF(AND(ISNUMBER(B168),A168&lt;&gt;""),IF(SUMIFS($E$5:$E$804,$A$5:$A$804,A168,$C$5:$C$804,"卖",$B$5:$B$804,"&lt;="&amp;B168)&gt;SUMIFS($E$5:$E$804,$A$5:$A$804,A168,$C$5:$C$804,"买",$B$5:$B$804,"&lt;"&amp;B168),"超出可卖股数","OK"),""))</f>
        <v/>
      </c>
      <c r="O168" s="32" t="n"/>
    </row>
    <row r="169">
      <c r="A169" s="46" t="n"/>
      <c r="B169" s="31" t="n"/>
      <c r="C169" s="27" t="n"/>
      <c r="D169" s="56" t="n"/>
      <c r="E169" s="17" t="n"/>
      <c r="F169" s="20" t="str">
        <f>IF(AND(ISNUMBER(D169),ISNUMBER(E169)),D169*E169,"")</f>
        <v/>
      </c>
      <c r="G169" s="51" t="str">
        <f>IF(ISNUMBER(F169),ROUND(MAX(F169*'参数'!$C$12,'参数'!$C$13),2),"")</f>
        <v/>
      </c>
      <c r="H169" s="51" t="str">
        <f>IF(ISNUMBER(F169),IF(C169="卖",ROUND(F169*'参数'!$C$14,2),0),"")</f>
        <v/>
      </c>
      <c r="I169" s="51" t="str">
        <f>IF(ISNUMBER(F169),ROUND(F169*'参数'!$C$15,2),"")</f>
        <v/>
      </c>
      <c r="J169" s="21" t="n"/>
      <c r="K169" s="20" t="str">
        <f>IF(ISNUMBER(J169),J169,IF(ISNUMBER(F169),G169+H169+I169+ROUND(F169*'参数'!$C$16,2),""))</f>
        <v/>
      </c>
      <c r="L169" s="43" t="str">
        <f>IF(A169="","",IFERROR(T(INDEX('交易记录'!$C$5:$C$304,MATCH(A169,'交易记录'!$A$5:$A$304,0))),"编号没找到"))</f>
        <v/>
      </c>
      <c r="M169" s="57" t="str">
        <f>IF(AND(C169="买",ISNUMBER(B169)),WORKDAY(B169,1,'参数'!$B$58:$B$80),"")</f>
        <v/>
      </c>
      <c r="N169" s="36" t="str">
        <f>IF(C169&lt;&gt;"卖","",IF(AND(ISNUMBER(B169),A169&lt;&gt;""),IF(SUMIFS($E$5:$E$804,$A$5:$A$804,A169,$C$5:$C$804,"卖",$B$5:$B$804,"&lt;="&amp;B169)&gt;SUMIFS($E$5:$E$804,$A$5:$A$804,A169,$C$5:$C$804,"买",$B$5:$B$804,"&lt;"&amp;B169),"超出可卖股数","OK"),""))</f>
        <v/>
      </c>
      <c r="O169" s="32" t="n"/>
    </row>
    <row r="170">
      <c r="A170" s="46" t="n"/>
      <c r="B170" s="31" t="n"/>
      <c r="C170" s="27" t="n"/>
      <c r="D170" s="56" t="n"/>
      <c r="E170" s="17" t="n"/>
      <c r="F170" s="20" t="str">
        <f>IF(AND(ISNUMBER(D170),ISNUMBER(E170)),D170*E170,"")</f>
        <v/>
      </c>
      <c r="G170" s="51" t="str">
        <f>IF(ISNUMBER(F170),ROUND(MAX(F170*'参数'!$C$12,'参数'!$C$13),2),"")</f>
        <v/>
      </c>
      <c r="H170" s="51" t="str">
        <f>IF(ISNUMBER(F170),IF(C170="卖",ROUND(F170*'参数'!$C$14,2),0),"")</f>
        <v/>
      </c>
      <c r="I170" s="51" t="str">
        <f>IF(ISNUMBER(F170),ROUND(F170*'参数'!$C$15,2),"")</f>
        <v/>
      </c>
      <c r="J170" s="21" t="n"/>
      <c r="K170" s="20" t="str">
        <f>IF(ISNUMBER(J170),J170,IF(ISNUMBER(F170),G170+H170+I170+ROUND(F170*'参数'!$C$16,2),""))</f>
        <v/>
      </c>
      <c r="L170" s="43" t="str">
        <f>IF(A170="","",IFERROR(T(INDEX('交易记录'!$C$5:$C$304,MATCH(A170,'交易记录'!$A$5:$A$304,0))),"编号没找到"))</f>
        <v/>
      </c>
      <c r="M170" s="57" t="str">
        <f>IF(AND(C170="买",ISNUMBER(B170)),WORKDAY(B170,1,'参数'!$B$58:$B$80),"")</f>
        <v/>
      </c>
      <c r="N170" s="36" t="str">
        <f>IF(C170&lt;&gt;"卖","",IF(AND(ISNUMBER(B170),A170&lt;&gt;""),IF(SUMIFS($E$5:$E$804,$A$5:$A$804,A170,$C$5:$C$804,"卖",$B$5:$B$804,"&lt;="&amp;B170)&gt;SUMIFS($E$5:$E$804,$A$5:$A$804,A170,$C$5:$C$804,"买",$B$5:$B$804,"&lt;"&amp;B170),"超出可卖股数","OK"),""))</f>
        <v/>
      </c>
      <c r="O170" s="32" t="n"/>
    </row>
    <row r="171">
      <c r="A171" s="46" t="n"/>
      <c r="B171" s="31" t="n"/>
      <c r="C171" s="27" t="n"/>
      <c r="D171" s="56" t="n"/>
      <c r="E171" s="17" t="n"/>
      <c r="F171" s="20" t="str">
        <f>IF(AND(ISNUMBER(D171),ISNUMBER(E171)),D171*E171,"")</f>
        <v/>
      </c>
      <c r="G171" s="51" t="str">
        <f>IF(ISNUMBER(F171),ROUND(MAX(F171*'参数'!$C$12,'参数'!$C$13),2),"")</f>
        <v/>
      </c>
      <c r="H171" s="51" t="str">
        <f>IF(ISNUMBER(F171),IF(C171="卖",ROUND(F171*'参数'!$C$14,2),0),"")</f>
        <v/>
      </c>
      <c r="I171" s="51" t="str">
        <f>IF(ISNUMBER(F171),ROUND(F171*'参数'!$C$15,2),"")</f>
        <v/>
      </c>
      <c r="J171" s="21" t="n"/>
      <c r="K171" s="20" t="str">
        <f>IF(ISNUMBER(J171),J171,IF(ISNUMBER(F171),G171+H171+I171+ROUND(F171*'参数'!$C$16,2),""))</f>
        <v/>
      </c>
      <c r="L171" s="43" t="str">
        <f>IF(A171="","",IFERROR(T(INDEX('交易记录'!$C$5:$C$304,MATCH(A171,'交易记录'!$A$5:$A$304,0))),"编号没找到"))</f>
        <v/>
      </c>
      <c r="M171" s="57" t="str">
        <f>IF(AND(C171="买",ISNUMBER(B171)),WORKDAY(B171,1,'参数'!$B$58:$B$80),"")</f>
        <v/>
      </c>
      <c r="N171" s="36" t="str">
        <f>IF(C171&lt;&gt;"卖","",IF(AND(ISNUMBER(B171),A171&lt;&gt;""),IF(SUMIFS($E$5:$E$804,$A$5:$A$804,A171,$C$5:$C$804,"卖",$B$5:$B$804,"&lt;="&amp;B171)&gt;SUMIFS($E$5:$E$804,$A$5:$A$804,A171,$C$5:$C$804,"买",$B$5:$B$804,"&lt;"&amp;B171),"超出可卖股数","OK"),""))</f>
        <v/>
      </c>
      <c r="O171" s="32" t="n"/>
    </row>
    <row r="172">
      <c r="A172" s="46" t="n"/>
      <c r="B172" s="31" t="n"/>
      <c r="C172" s="27" t="n"/>
      <c r="D172" s="56" t="n"/>
      <c r="E172" s="17" t="n"/>
      <c r="F172" s="20" t="str">
        <f>IF(AND(ISNUMBER(D172),ISNUMBER(E172)),D172*E172,"")</f>
        <v/>
      </c>
      <c r="G172" s="51" t="str">
        <f>IF(ISNUMBER(F172),ROUND(MAX(F172*'参数'!$C$12,'参数'!$C$13),2),"")</f>
        <v/>
      </c>
      <c r="H172" s="51" t="str">
        <f>IF(ISNUMBER(F172),IF(C172="卖",ROUND(F172*'参数'!$C$14,2),0),"")</f>
        <v/>
      </c>
      <c r="I172" s="51" t="str">
        <f>IF(ISNUMBER(F172),ROUND(F172*'参数'!$C$15,2),"")</f>
        <v/>
      </c>
      <c r="J172" s="21" t="n"/>
      <c r="K172" s="20" t="str">
        <f>IF(ISNUMBER(J172),J172,IF(ISNUMBER(F172),G172+H172+I172+ROUND(F172*'参数'!$C$16,2),""))</f>
        <v/>
      </c>
      <c r="L172" s="43" t="str">
        <f>IF(A172="","",IFERROR(T(INDEX('交易记录'!$C$5:$C$304,MATCH(A172,'交易记录'!$A$5:$A$304,0))),"编号没找到"))</f>
        <v/>
      </c>
      <c r="M172" s="57" t="str">
        <f>IF(AND(C172="买",ISNUMBER(B172)),WORKDAY(B172,1,'参数'!$B$58:$B$80),"")</f>
        <v/>
      </c>
      <c r="N172" s="36" t="str">
        <f>IF(C172&lt;&gt;"卖","",IF(AND(ISNUMBER(B172),A172&lt;&gt;""),IF(SUMIFS($E$5:$E$804,$A$5:$A$804,A172,$C$5:$C$804,"卖",$B$5:$B$804,"&lt;="&amp;B172)&gt;SUMIFS($E$5:$E$804,$A$5:$A$804,A172,$C$5:$C$804,"买",$B$5:$B$804,"&lt;"&amp;B172),"超出可卖股数","OK"),""))</f>
        <v/>
      </c>
      <c r="O172" s="32" t="n"/>
    </row>
    <row r="173">
      <c r="A173" s="46" t="n"/>
      <c r="B173" s="31" t="n"/>
      <c r="C173" s="27" t="n"/>
      <c r="D173" s="56" t="n"/>
      <c r="E173" s="17" t="n"/>
      <c r="F173" s="20" t="str">
        <f>IF(AND(ISNUMBER(D173),ISNUMBER(E173)),D173*E173,"")</f>
        <v/>
      </c>
      <c r="G173" s="51" t="str">
        <f>IF(ISNUMBER(F173),ROUND(MAX(F173*'参数'!$C$12,'参数'!$C$13),2),"")</f>
        <v/>
      </c>
      <c r="H173" s="51" t="str">
        <f>IF(ISNUMBER(F173),IF(C173="卖",ROUND(F173*'参数'!$C$14,2),0),"")</f>
        <v/>
      </c>
      <c r="I173" s="51" t="str">
        <f>IF(ISNUMBER(F173),ROUND(F173*'参数'!$C$15,2),"")</f>
        <v/>
      </c>
      <c r="J173" s="21" t="n"/>
      <c r="K173" s="20" t="str">
        <f>IF(ISNUMBER(J173),J173,IF(ISNUMBER(F173),G173+H173+I173+ROUND(F173*'参数'!$C$16,2),""))</f>
        <v/>
      </c>
      <c r="L173" s="43" t="str">
        <f>IF(A173="","",IFERROR(T(INDEX('交易记录'!$C$5:$C$304,MATCH(A173,'交易记录'!$A$5:$A$304,0))),"编号没找到"))</f>
        <v/>
      </c>
      <c r="M173" s="57" t="str">
        <f>IF(AND(C173="买",ISNUMBER(B173)),WORKDAY(B173,1,'参数'!$B$58:$B$80),"")</f>
        <v/>
      </c>
      <c r="N173" s="36" t="str">
        <f>IF(C173&lt;&gt;"卖","",IF(AND(ISNUMBER(B173),A173&lt;&gt;""),IF(SUMIFS($E$5:$E$804,$A$5:$A$804,A173,$C$5:$C$804,"卖",$B$5:$B$804,"&lt;="&amp;B173)&gt;SUMIFS($E$5:$E$804,$A$5:$A$804,A173,$C$5:$C$804,"买",$B$5:$B$804,"&lt;"&amp;B173),"超出可卖股数","OK"),""))</f>
        <v/>
      </c>
      <c r="O173" s="32" t="n"/>
    </row>
    <row r="174">
      <c r="A174" s="46" t="n"/>
      <c r="B174" s="31" t="n"/>
      <c r="C174" s="27" t="n"/>
      <c r="D174" s="56" t="n"/>
      <c r="E174" s="17" t="n"/>
      <c r="F174" s="20" t="str">
        <f>IF(AND(ISNUMBER(D174),ISNUMBER(E174)),D174*E174,"")</f>
        <v/>
      </c>
      <c r="G174" s="51" t="str">
        <f>IF(ISNUMBER(F174),ROUND(MAX(F174*'参数'!$C$12,'参数'!$C$13),2),"")</f>
        <v/>
      </c>
      <c r="H174" s="51" t="str">
        <f>IF(ISNUMBER(F174),IF(C174="卖",ROUND(F174*'参数'!$C$14,2),0),"")</f>
        <v/>
      </c>
      <c r="I174" s="51" t="str">
        <f>IF(ISNUMBER(F174),ROUND(F174*'参数'!$C$15,2),"")</f>
        <v/>
      </c>
      <c r="J174" s="21" t="n"/>
      <c r="K174" s="20" t="str">
        <f>IF(ISNUMBER(J174),J174,IF(ISNUMBER(F174),G174+H174+I174+ROUND(F174*'参数'!$C$16,2),""))</f>
        <v/>
      </c>
      <c r="L174" s="43" t="str">
        <f>IF(A174="","",IFERROR(T(INDEX('交易记录'!$C$5:$C$304,MATCH(A174,'交易记录'!$A$5:$A$304,0))),"编号没找到"))</f>
        <v/>
      </c>
      <c r="M174" s="57" t="str">
        <f>IF(AND(C174="买",ISNUMBER(B174)),WORKDAY(B174,1,'参数'!$B$58:$B$80),"")</f>
        <v/>
      </c>
      <c r="N174" s="36" t="str">
        <f>IF(C174&lt;&gt;"卖","",IF(AND(ISNUMBER(B174),A174&lt;&gt;""),IF(SUMIFS($E$5:$E$804,$A$5:$A$804,A174,$C$5:$C$804,"卖",$B$5:$B$804,"&lt;="&amp;B174)&gt;SUMIFS($E$5:$E$804,$A$5:$A$804,A174,$C$5:$C$804,"买",$B$5:$B$804,"&lt;"&amp;B174),"超出可卖股数","OK"),""))</f>
        <v/>
      </c>
      <c r="O174" s="32" t="n"/>
    </row>
    <row r="175">
      <c r="A175" s="46" t="n"/>
      <c r="B175" s="31" t="n"/>
      <c r="C175" s="27" t="n"/>
      <c r="D175" s="56" t="n"/>
      <c r="E175" s="17" t="n"/>
      <c r="F175" s="20" t="str">
        <f>IF(AND(ISNUMBER(D175),ISNUMBER(E175)),D175*E175,"")</f>
        <v/>
      </c>
      <c r="G175" s="51" t="str">
        <f>IF(ISNUMBER(F175),ROUND(MAX(F175*'参数'!$C$12,'参数'!$C$13),2),"")</f>
        <v/>
      </c>
      <c r="H175" s="51" t="str">
        <f>IF(ISNUMBER(F175),IF(C175="卖",ROUND(F175*'参数'!$C$14,2),0),"")</f>
        <v/>
      </c>
      <c r="I175" s="51" t="str">
        <f>IF(ISNUMBER(F175),ROUND(F175*'参数'!$C$15,2),"")</f>
        <v/>
      </c>
      <c r="J175" s="21" t="n"/>
      <c r="K175" s="20" t="str">
        <f>IF(ISNUMBER(J175),J175,IF(ISNUMBER(F175),G175+H175+I175+ROUND(F175*'参数'!$C$16,2),""))</f>
        <v/>
      </c>
      <c r="L175" s="43" t="str">
        <f>IF(A175="","",IFERROR(T(INDEX('交易记录'!$C$5:$C$304,MATCH(A175,'交易记录'!$A$5:$A$304,0))),"编号没找到"))</f>
        <v/>
      </c>
      <c r="M175" s="57" t="str">
        <f>IF(AND(C175="买",ISNUMBER(B175)),WORKDAY(B175,1,'参数'!$B$58:$B$80),"")</f>
        <v/>
      </c>
      <c r="N175" s="36" t="str">
        <f>IF(C175&lt;&gt;"卖","",IF(AND(ISNUMBER(B175),A175&lt;&gt;""),IF(SUMIFS($E$5:$E$804,$A$5:$A$804,A175,$C$5:$C$804,"卖",$B$5:$B$804,"&lt;="&amp;B175)&gt;SUMIFS($E$5:$E$804,$A$5:$A$804,A175,$C$5:$C$804,"买",$B$5:$B$804,"&lt;"&amp;B175),"超出可卖股数","OK"),""))</f>
        <v/>
      </c>
      <c r="O175" s="32" t="n"/>
    </row>
    <row r="176">
      <c r="A176" s="46" t="n"/>
      <c r="B176" s="31" t="n"/>
      <c r="C176" s="27" t="n"/>
      <c r="D176" s="56" t="n"/>
      <c r="E176" s="17" t="n"/>
      <c r="F176" s="20" t="str">
        <f>IF(AND(ISNUMBER(D176),ISNUMBER(E176)),D176*E176,"")</f>
        <v/>
      </c>
      <c r="G176" s="51" t="str">
        <f>IF(ISNUMBER(F176),ROUND(MAX(F176*'参数'!$C$12,'参数'!$C$13),2),"")</f>
        <v/>
      </c>
      <c r="H176" s="51" t="str">
        <f>IF(ISNUMBER(F176),IF(C176="卖",ROUND(F176*'参数'!$C$14,2),0),"")</f>
        <v/>
      </c>
      <c r="I176" s="51" t="str">
        <f>IF(ISNUMBER(F176),ROUND(F176*'参数'!$C$15,2),"")</f>
        <v/>
      </c>
      <c r="J176" s="21" t="n"/>
      <c r="K176" s="20" t="str">
        <f>IF(ISNUMBER(J176),J176,IF(ISNUMBER(F176),G176+H176+I176+ROUND(F176*'参数'!$C$16,2),""))</f>
        <v/>
      </c>
      <c r="L176" s="43" t="str">
        <f>IF(A176="","",IFERROR(T(INDEX('交易记录'!$C$5:$C$304,MATCH(A176,'交易记录'!$A$5:$A$304,0))),"编号没找到"))</f>
        <v/>
      </c>
      <c r="M176" s="57" t="str">
        <f>IF(AND(C176="买",ISNUMBER(B176)),WORKDAY(B176,1,'参数'!$B$58:$B$80),"")</f>
        <v/>
      </c>
      <c r="N176" s="36" t="str">
        <f>IF(C176&lt;&gt;"卖","",IF(AND(ISNUMBER(B176),A176&lt;&gt;""),IF(SUMIFS($E$5:$E$804,$A$5:$A$804,A176,$C$5:$C$804,"卖",$B$5:$B$804,"&lt;="&amp;B176)&gt;SUMIFS($E$5:$E$804,$A$5:$A$804,A176,$C$5:$C$804,"买",$B$5:$B$804,"&lt;"&amp;B176),"超出可卖股数","OK"),""))</f>
        <v/>
      </c>
      <c r="O176" s="32" t="n"/>
    </row>
    <row r="177">
      <c r="A177" s="46" t="n"/>
      <c r="B177" s="31" t="n"/>
      <c r="C177" s="27" t="n"/>
      <c r="D177" s="56" t="n"/>
      <c r="E177" s="17" t="n"/>
      <c r="F177" s="20" t="str">
        <f>IF(AND(ISNUMBER(D177),ISNUMBER(E177)),D177*E177,"")</f>
        <v/>
      </c>
      <c r="G177" s="51" t="str">
        <f>IF(ISNUMBER(F177),ROUND(MAX(F177*'参数'!$C$12,'参数'!$C$13),2),"")</f>
        <v/>
      </c>
      <c r="H177" s="51" t="str">
        <f>IF(ISNUMBER(F177),IF(C177="卖",ROUND(F177*'参数'!$C$14,2),0),"")</f>
        <v/>
      </c>
      <c r="I177" s="51" t="str">
        <f>IF(ISNUMBER(F177),ROUND(F177*'参数'!$C$15,2),"")</f>
        <v/>
      </c>
      <c r="J177" s="21" t="n"/>
      <c r="K177" s="20" t="str">
        <f>IF(ISNUMBER(J177),J177,IF(ISNUMBER(F177),G177+H177+I177+ROUND(F177*'参数'!$C$16,2),""))</f>
        <v/>
      </c>
      <c r="L177" s="43" t="str">
        <f>IF(A177="","",IFERROR(T(INDEX('交易记录'!$C$5:$C$304,MATCH(A177,'交易记录'!$A$5:$A$304,0))),"编号没找到"))</f>
        <v/>
      </c>
      <c r="M177" s="57" t="str">
        <f>IF(AND(C177="买",ISNUMBER(B177)),WORKDAY(B177,1,'参数'!$B$58:$B$80),"")</f>
        <v/>
      </c>
      <c r="N177" s="36" t="str">
        <f>IF(C177&lt;&gt;"卖","",IF(AND(ISNUMBER(B177),A177&lt;&gt;""),IF(SUMIFS($E$5:$E$804,$A$5:$A$804,A177,$C$5:$C$804,"卖",$B$5:$B$804,"&lt;="&amp;B177)&gt;SUMIFS($E$5:$E$804,$A$5:$A$804,A177,$C$5:$C$804,"买",$B$5:$B$804,"&lt;"&amp;B177),"超出可卖股数","OK"),""))</f>
        <v/>
      </c>
      <c r="O177" s="32" t="n"/>
    </row>
    <row r="178">
      <c r="A178" s="46" t="n"/>
      <c r="B178" s="31" t="n"/>
      <c r="C178" s="27" t="n"/>
      <c r="D178" s="56" t="n"/>
      <c r="E178" s="17" t="n"/>
      <c r="F178" s="20" t="str">
        <f>IF(AND(ISNUMBER(D178),ISNUMBER(E178)),D178*E178,"")</f>
        <v/>
      </c>
      <c r="G178" s="51" t="str">
        <f>IF(ISNUMBER(F178),ROUND(MAX(F178*'参数'!$C$12,'参数'!$C$13),2),"")</f>
        <v/>
      </c>
      <c r="H178" s="51" t="str">
        <f>IF(ISNUMBER(F178),IF(C178="卖",ROUND(F178*'参数'!$C$14,2),0),"")</f>
        <v/>
      </c>
      <c r="I178" s="51" t="str">
        <f>IF(ISNUMBER(F178),ROUND(F178*'参数'!$C$15,2),"")</f>
        <v/>
      </c>
      <c r="J178" s="21" t="n"/>
      <c r="K178" s="20" t="str">
        <f>IF(ISNUMBER(J178),J178,IF(ISNUMBER(F178),G178+H178+I178+ROUND(F178*'参数'!$C$16,2),""))</f>
        <v/>
      </c>
      <c r="L178" s="43" t="str">
        <f>IF(A178="","",IFERROR(T(INDEX('交易记录'!$C$5:$C$304,MATCH(A178,'交易记录'!$A$5:$A$304,0))),"编号没找到"))</f>
        <v/>
      </c>
      <c r="M178" s="57" t="str">
        <f>IF(AND(C178="买",ISNUMBER(B178)),WORKDAY(B178,1,'参数'!$B$58:$B$80),"")</f>
        <v/>
      </c>
      <c r="N178" s="36" t="str">
        <f>IF(C178&lt;&gt;"卖","",IF(AND(ISNUMBER(B178),A178&lt;&gt;""),IF(SUMIFS($E$5:$E$804,$A$5:$A$804,A178,$C$5:$C$804,"卖",$B$5:$B$804,"&lt;="&amp;B178)&gt;SUMIFS($E$5:$E$804,$A$5:$A$804,A178,$C$5:$C$804,"买",$B$5:$B$804,"&lt;"&amp;B178),"超出可卖股数","OK"),""))</f>
        <v/>
      </c>
      <c r="O178" s="32" t="n"/>
    </row>
    <row r="179">
      <c r="A179" s="46" t="n"/>
      <c r="B179" s="31" t="n"/>
      <c r="C179" s="27" t="n"/>
      <c r="D179" s="56" t="n"/>
      <c r="E179" s="17" t="n"/>
      <c r="F179" s="20" t="str">
        <f>IF(AND(ISNUMBER(D179),ISNUMBER(E179)),D179*E179,"")</f>
        <v/>
      </c>
      <c r="G179" s="51" t="str">
        <f>IF(ISNUMBER(F179),ROUND(MAX(F179*'参数'!$C$12,'参数'!$C$13),2),"")</f>
        <v/>
      </c>
      <c r="H179" s="51" t="str">
        <f>IF(ISNUMBER(F179),IF(C179="卖",ROUND(F179*'参数'!$C$14,2),0),"")</f>
        <v/>
      </c>
      <c r="I179" s="51" t="str">
        <f>IF(ISNUMBER(F179),ROUND(F179*'参数'!$C$15,2),"")</f>
        <v/>
      </c>
      <c r="J179" s="21" t="n"/>
      <c r="K179" s="20" t="str">
        <f>IF(ISNUMBER(J179),J179,IF(ISNUMBER(F179),G179+H179+I179+ROUND(F179*'参数'!$C$16,2),""))</f>
        <v/>
      </c>
      <c r="L179" s="43" t="str">
        <f>IF(A179="","",IFERROR(T(INDEX('交易记录'!$C$5:$C$304,MATCH(A179,'交易记录'!$A$5:$A$304,0))),"编号没找到"))</f>
        <v/>
      </c>
      <c r="M179" s="57" t="str">
        <f>IF(AND(C179="买",ISNUMBER(B179)),WORKDAY(B179,1,'参数'!$B$58:$B$80),"")</f>
        <v/>
      </c>
      <c r="N179" s="36" t="str">
        <f>IF(C179&lt;&gt;"卖","",IF(AND(ISNUMBER(B179),A179&lt;&gt;""),IF(SUMIFS($E$5:$E$804,$A$5:$A$804,A179,$C$5:$C$804,"卖",$B$5:$B$804,"&lt;="&amp;B179)&gt;SUMIFS($E$5:$E$804,$A$5:$A$804,A179,$C$5:$C$804,"买",$B$5:$B$804,"&lt;"&amp;B179),"超出可卖股数","OK"),""))</f>
        <v/>
      </c>
      <c r="O179" s="32" t="n"/>
    </row>
    <row r="180">
      <c r="A180" s="46" t="n"/>
      <c r="B180" s="31" t="n"/>
      <c r="C180" s="27" t="n"/>
      <c r="D180" s="56" t="n"/>
      <c r="E180" s="17" t="n"/>
      <c r="F180" s="20" t="str">
        <f>IF(AND(ISNUMBER(D180),ISNUMBER(E180)),D180*E180,"")</f>
        <v/>
      </c>
      <c r="G180" s="51" t="str">
        <f>IF(ISNUMBER(F180),ROUND(MAX(F180*'参数'!$C$12,'参数'!$C$13),2),"")</f>
        <v/>
      </c>
      <c r="H180" s="51" t="str">
        <f>IF(ISNUMBER(F180),IF(C180="卖",ROUND(F180*'参数'!$C$14,2),0),"")</f>
        <v/>
      </c>
      <c r="I180" s="51" t="str">
        <f>IF(ISNUMBER(F180),ROUND(F180*'参数'!$C$15,2),"")</f>
        <v/>
      </c>
      <c r="J180" s="21" t="n"/>
      <c r="K180" s="20" t="str">
        <f>IF(ISNUMBER(J180),J180,IF(ISNUMBER(F180),G180+H180+I180+ROUND(F180*'参数'!$C$16,2),""))</f>
        <v/>
      </c>
      <c r="L180" s="43" t="str">
        <f>IF(A180="","",IFERROR(T(INDEX('交易记录'!$C$5:$C$304,MATCH(A180,'交易记录'!$A$5:$A$304,0))),"编号没找到"))</f>
        <v/>
      </c>
      <c r="M180" s="57" t="str">
        <f>IF(AND(C180="买",ISNUMBER(B180)),WORKDAY(B180,1,'参数'!$B$58:$B$80),"")</f>
        <v/>
      </c>
      <c r="N180" s="36" t="str">
        <f>IF(C180&lt;&gt;"卖","",IF(AND(ISNUMBER(B180),A180&lt;&gt;""),IF(SUMIFS($E$5:$E$804,$A$5:$A$804,A180,$C$5:$C$804,"卖",$B$5:$B$804,"&lt;="&amp;B180)&gt;SUMIFS($E$5:$E$804,$A$5:$A$804,A180,$C$5:$C$804,"买",$B$5:$B$804,"&lt;"&amp;B180),"超出可卖股数","OK"),""))</f>
        <v/>
      </c>
      <c r="O180" s="32" t="n"/>
    </row>
    <row r="181">
      <c r="A181" s="46" t="n"/>
      <c r="B181" s="31" t="n"/>
      <c r="C181" s="27" t="n"/>
      <c r="D181" s="56" t="n"/>
      <c r="E181" s="17" t="n"/>
      <c r="F181" s="20" t="str">
        <f>IF(AND(ISNUMBER(D181),ISNUMBER(E181)),D181*E181,"")</f>
        <v/>
      </c>
      <c r="G181" s="51" t="str">
        <f>IF(ISNUMBER(F181),ROUND(MAX(F181*'参数'!$C$12,'参数'!$C$13),2),"")</f>
        <v/>
      </c>
      <c r="H181" s="51" t="str">
        <f>IF(ISNUMBER(F181),IF(C181="卖",ROUND(F181*'参数'!$C$14,2),0),"")</f>
        <v/>
      </c>
      <c r="I181" s="51" t="str">
        <f>IF(ISNUMBER(F181),ROUND(F181*'参数'!$C$15,2),"")</f>
        <v/>
      </c>
      <c r="J181" s="21" t="n"/>
      <c r="K181" s="20" t="str">
        <f>IF(ISNUMBER(J181),J181,IF(ISNUMBER(F181),G181+H181+I181+ROUND(F181*'参数'!$C$16,2),""))</f>
        <v/>
      </c>
      <c r="L181" s="43" t="str">
        <f>IF(A181="","",IFERROR(T(INDEX('交易记录'!$C$5:$C$304,MATCH(A181,'交易记录'!$A$5:$A$304,0))),"编号没找到"))</f>
        <v/>
      </c>
      <c r="M181" s="57" t="str">
        <f>IF(AND(C181="买",ISNUMBER(B181)),WORKDAY(B181,1,'参数'!$B$58:$B$80),"")</f>
        <v/>
      </c>
      <c r="N181" s="36" t="str">
        <f>IF(C181&lt;&gt;"卖","",IF(AND(ISNUMBER(B181),A181&lt;&gt;""),IF(SUMIFS($E$5:$E$804,$A$5:$A$804,A181,$C$5:$C$804,"卖",$B$5:$B$804,"&lt;="&amp;B181)&gt;SUMIFS($E$5:$E$804,$A$5:$A$804,A181,$C$5:$C$804,"买",$B$5:$B$804,"&lt;"&amp;B181),"超出可卖股数","OK"),""))</f>
        <v/>
      </c>
      <c r="O181" s="32" t="n"/>
    </row>
    <row r="182">
      <c r="A182" s="46" t="n"/>
      <c r="B182" s="31" t="n"/>
      <c r="C182" s="27" t="n"/>
      <c r="D182" s="56" t="n"/>
      <c r="E182" s="17" t="n"/>
      <c r="F182" s="20" t="str">
        <f>IF(AND(ISNUMBER(D182),ISNUMBER(E182)),D182*E182,"")</f>
        <v/>
      </c>
      <c r="G182" s="51" t="str">
        <f>IF(ISNUMBER(F182),ROUND(MAX(F182*'参数'!$C$12,'参数'!$C$13),2),"")</f>
        <v/>
      </c>
      <c r="H182" s="51" t="str">
        <f>IF(ISNUMBER(F182),IF(C182="卖",ROUND(F182*'参数'!$C$14,2),0),"")</f>
        <v/>
      </c>
      <c r="I182" s="51" t="str">
        <f>IF(ISNUMBER(F182),ROUND(F182*'参数'!$C$15,2),"")</f>
        <v/>
      </c>
      <c r="J182" s="21" t="n"/>
      <c r="K182" s="20" t="str">
        <f>IF(ISNUMBER(J182),J182,IF(ISNUMBER(F182),G182+H182+I182+ROUND(F182*'参数'!$C$16,2),""))</f>
        <v/>
      </c>
      <c r="L182" s="43" t="str">
        <f>IF(A182="","",IFERROR(T(INDEX('交易记录'!$C$5:$C$304,MATCH(A182,'交易记录'!$A$5:$A$304,0))),"编号没找到"))</f>
        <v/>
      </c>
      <c r="M182" s="57" t="str">
        <f>IF(AND(C182="买",ISNUMBER(B182)),WORKDAY(B182,1,'参数'!$B$58:$B$80),"")</f>
        <v/>
      </c>
      <c r="N182" s="36" t="str">
        <f>IF(C182&lt;&gt;"卖","",IF(AND(ISNUMBER(B182),A182&lt;&gt;""),IF(SUMIFS($E$5:$E$804,$A$5:$A$804,A182,$C$5:$C$804,"卖",$B$5:$B$804,"&lt;="&amp;B182)&gt;SUMIFS($E$5:$E$804,$A$5:$A$804,A182,$C$5:$C$804,"买",$B$5:$B$804,"&lt;"&amp;B182),"超出可卖股数","OK"),""))</f>
        <v/>
      </c>
      <c r="O182" s="32" t="n"/>
    </row>
    <row r="183">
      <c r="A183" s="46" t="n"/>
      <c r="B183" s="31" t="n"/>
      <c r="C183" s="27" t="n"/>
      <c r="D183" s="56" t="n"/>
      <c r="E183" s="17" t="n"/>
      <c r="F183" s="20" t="str">
        <f>IF(AND(ISNUMBER(D183),ISNUMBER(E183)),D183*E183,"")</f>
        <v/>
      </c>
      <c r="G183" s="51" t="str">
        <f>IF(ISNUMBER(F183),ROUND(MAX(F183*'参数'!$C$12,'参数'!$C$13),2),"")</f>
        <v/>
      </c>
      <c r="H183" s="51" t="str">
        <f>IF(ISNUMBER(F183),IF(C183="卖",ROUND(F183*'参数'!$C$14,2),0),"")</f>
        <v/>
      </c>
      <c r="I183" s="51" t="str">
        <f>IF(ISNUMBER(F183),ROUND(F183*'参数'!$C$15,2),"")</f>
        <v/>
      </c>
      <c r="J183" s="21" t="n"/>
      <c r="K183" s="20" t="str">
        <f>IF(ISNUMBER(J183),J183,IF(ISNUMBER(F183),G183+H183+I183+ROUND(F183*'参数'!$C$16,2),""))</f>
        <v/>
      </c>
      <c r="L183" s="43" t="str">
        <f>IF(A183="","",IFERROR(T(INDEX('交易记录'!$C$5:$C$304,MATCH(A183,'交易记录'!$A$5:$A$304,0))),"编号没找到"))</f>
        <v/>
      </c>
      <c r="M183" s="57" t="str">
        <f>IF(AND(C183="买",ISNUMBER(B183)),WORKDAY(B183,1,'参数'!$B$58:$B$80),"")</f>
        <v/>
      </c>
      <c r="N183" s="36" t="str">
        <f>IF(C183&lt;&gt;"卖","",IF(AND(ISNUMBER(B183),A183&lt;&gt;""),IF(SUMIFS($E$5:$E$804,$A$5:$A$804,A183,$C$5:$C$804,"卖",$B$5:$B$804,"&lt;="&amp;B183)&gt;SUMIFS($E$5:$E$804,$A$5:$A$804,A183,$C$5:$C$804,"买",$B$5:$B$804,"&lt;"&amp;B183),"超出可卖股数","OK"),""))</f>
        <v/>
      </c>
      <c r="O183" s="32" t="n"/>
    </row>
    <row r="184">
      <c r="A184" s="46" t="n"/>
      <c r="B184" s="31" t="n"/>
      <c r="C184" s="27" t="n"/>
      <c r="D184" s="56" t="n"/>
      <c r="E184" s="17" t="n"/>
      <c r="F184" s="20" t="str">
        <f>IF(AND(ISNUMBER(D184),ISNUMBER(E184)),D184*E184,"")</f>
        <v/>
      </c>
      <c r="G184" s="51" t="str">
        <f>IF(ISNUMBER(F184),ROUND(MAX(F184*'参数'!$C$12,'参数'!$C$13),2),"")</f>
        <v/>
      </c>
      <c r="H184" s="51" t="str">
        <f>IF(ISNUMBER(F184),IF(C184="卖",ROUND(F184*'参数'!$C$14,2),0),"")</f>
        <v/>
      </c>
      <c r="I184" s="51" t="str">
        <f>IF(ISNUMBER(F184),ROUND(F184*'参数'!$C$15,2),"")</f>
        <v/>
      </c>
      <c r="J184" s="21" t="n"/>
      <c r="K184" s="20" t="str">
        <f>IF(ISNUMBER(J184),J184,IF(ISNUMBER(F184),G184+H184+I184+ROUND(F184*'参数'!$C$16,2),""))</f>
        <v/>
      </c>
      <c r="L184" s="43" t="str">
        <f>IF(A184="","",IFERROR(T(INDEX('交易记录'!$C$5:$C$304,MATCH(A184,'交易记录'!$A$5:$A$304,0))),"编号没找到"))</f>
        <v/>
      </c>
      <c r="M184" s="57" t="str">
        <f>IF(AND(C184="买",ISNUMBER(B184)),WORKDAY(B184,1,'参数'!$B$58:$B$80),"")</f>
        <v/>
      </c>
      <c r="N184" s="36" t="str">
        <f>IF(C184&lt;&gt;"卖","",IF(AND(ISNUMBER(B184),A184&lt;&gt;""),IF(SUMIFS($E$5:$E$804,$A$5:$A$804,A184,$C$5:$C$804,"卖",$B$5:$B$804,"&lt;="&amp;B184)&gt;SUMIFS($E$5:$E$804,$A$5:$A$804,A184,$C$5:$C$804,"买",$B$5:$B$804,"&lt;"&amp;B184),"超出可卖股数","OK"),""))</f>
        <v/>
      </c>
      <c r="O184" s="32" t="n"/>
    </row>
    <row r="185">
      <c r="A185" s="46" t="n"/>
      <c r="B185" s="31" t="n"/>
      <c r="C185" s="27" t="n"/>
      <c r="D185" s="56" t="n"/>
      <c r="E185" s="17" t="n"/>
      <c r="F185" s="20" t="str">
        <f>IF(AND(ISNUMBER(D185),ISNUMBER(E185)),D185*E185,"")</f>
        <v/>
      </c>
      <c r="G185" s="51" t="str">
        <f>IF(ISNUMBER(F185),ROUND(MAX(F185*'参数'!$C$12,'参数'!$C$13),2),"")</f>
        <v/>
      </c>
      <c r="H185" s="51" t="str">
        <f>IF(ISNUMBER(F185),IF(C185="卖",ROUND(F185*'参数'!$C$14,2),0),"")</f>
        <v/>
      </c>
      <c r="I185" s="51" t="str">
        <f>IF(ISNUMBER(F185),ROUND(F185*'参数'!$C$15,2),"")</f>
        <v/>
      </c>
      <c r="J185" s="21" t="n"/>
      <c r="K185" s="20" t="str">
        <f>IF(ISNUMBER(J185),J185,IF(ISNUMBER(F185),G185+H185+I185+ROUND(F185*'参数'!$C$16,2),""))</f>
        <v/>
      </c>
      <c r="L185" s="43" t="str">
        <f>IF(A185="","",IFERROR(T(INDEX('交易记录'!$C$5:$C$304,MATCH(A185,'交易记录'!$A$5:$A$304,0))),"编号没找到"))</f>
        <v/>
      </c>
      <c r="M185" s="57" t="str">
        <f>IF(AND(C185="买",ISNUMBER(B185)),WORKDAY(B185,1,'参数'!$B$58:$B$80),"")</f>
        <v/>
      </c>
      <c r="N185" s="36" t="str">
        <f>IF(C185&lt;&gt;"卖","",IF(AND(ISNUMBER(B185),A185&lt;&gt;""),IF(SUMIFS($E$5:$E$804,$A$5:$A$804,A185,$C$5:$C$804,"卖",$B$5:$B$804,"&lt;="&amp;B185)&gt;SUMIFS($E$5:$E$804,$A$5:$A$804,A185,$C$5:$C$804,"买",$B$5:$B$804,"&lt;"&amp;B185),"超出可卖股数","OK"),""))</f>
        <v/>
      </c>
      <c r="O185" s="32" t="n"/>
    </row>
    <row r="186">
      <c r="A186" s="46" t="n"/>
      <c r="B186" s="31" t="n"/>
      <c r="C186" s="27" t="n"/>
      <c r="D186" s="56" t="n"/>
      <c r="E186" s="17" t="n"/>
      <c r="F186" s="20" t="str">
        <f>IF(AND(ISNUMBER(D186),ISNUMBER(E186)),D186*E186,"")</f>
        <v/>
      </c>
      <c r="G186" s="51" t="str">
        <f>IF(ISNUMBER(F186),ROUND(MAX(F186*'参数'!$C$12,'参数'!$C$13),2),"")</f>
        <v/>
      </c>
      <c r="H186" s="51" t="str">
        <f>IF(ISNUMBER(F186),IF(C186="卖",ROUND(F186*'参数'!$C$14,2),0),"")</f>
        <v/>
      </c>
      <c r="I186" s="51" t="str">
        <f>IF(ISNUMBER(F186),ROUND(F186*'参数'!$C$15,2),"")</f>
        <v/>
      </c>
      <c r="J186" s="21" t="n"/>
      <c r="K186" s="20" t="str">
        <f>IF(ISNUMBER(J186),J186,IF(ISNUMBER(F186),G186+H186+I186+ROUND(F186*'参数'!$C$16,2),""))</f>
        <v/>
      </c>
      <c r="L186" s="43" t="str">
        <f>IF(A186="","",IFERROR(T(INDEX('交易记录'!$C$5:$C$304,MATCH(A186,'交易记录'!$A$5:$A$304,0))),"编号没找到"))</f>
        <v/>
      </c>
      <c r="M186" s="57" t="str">
        <f>IF(AND(C186="买",ISNUMBER(B186)),WORKDAY(B186,1,'参数'!$B$58:$B$80),"")</f>
        <v/>
      </c>
      <c r="N186" s="36" t="str">
        <f>IF(C186&lt;&gt;"卖","",IF(AND(ISNUMBER(B186),A186&lt;&gt;""),IF(SUMIFS($E$5:$E$804,$A$5:$A$804,A186,$C$5:$C$804,"卖",$B$5:$B$804,"&lt;="&amp;B186)&gt;SUMIFS($E$5:$E$804,$A$5:$A$804,A186,$C$5:$C$804,"买",$B$5:$B$804,"&lt;"&amp;B186),"超出可卖股数","OK"),""))</f>
        <v/>
      </c>
      <c r="O186" s="32" t="n"/>
    </row>
    <row r="187">
      <c r="A187" s="46" t="n"/>
      <c r="B187" s="31" t="n"/>
      <c r="C187" s="27" t="n"/>
      <c r="D187" s="56" t="n"/>
      <c r="E187" s="17" t="n"/>
      <c r="F187" s="20" t="str">
        <f>IF(AND(ISNUMBER(D187),ISNUMBER(E187)),D187*E187,"")</f>
        <v/>
      </c>
      <c r="G187" s="51" t="str">
        <f>IF(ISNUMBER(F187),ROUND(MAX(F187*'参数'!$C$12,'参数'!$C$13),2),"")</f>
        <v/>
      </c>
      <c r="H187" s="51" t="str">
        <f>IF(ISNUMBER(F187),IF(C187="卖",ROUND(F187*'参数'!$C$14,2),0),"")</f>
        <v/>
      </c>
      <c r="I187" s="51" t="str">
        <f>IF(ISNUMBER(F187),ROUND(F187*'参数'!$C$15,2),"")</f>
        <v/>
      </c>
      <c r="J187" s="21" t="n"/>
      <c r="K187" s="20" t="str">
        <f>IF(ISNUMBER(J187),J187,IF(ISNUMBER(F187),G187+H187+I187+ROUND(F187*'参数'!$C$16,2),""))</f>
        <v/>
      </c>
      <c r="L187" s="43" t="str">
        <f>IF(A187="","",IFERROR(T(INDEX('交易记录'!$C$5:$C$304,MATCH(A187,'交易记录'!$A$5:$A$304,0))),"编号没找到"))</f>
        <v/>
      </c>
      <c r="M187" s="57" t="str">
        <f>IF(AND(C187="买",ISNUMBER(B187)),WORKDAY(B187,1,'参数'!$B$58:$B$80),"")</f>
        <v/>
      </c>
      <c r="N187" s="36" t="str">
        <f>IF(C187&lt;&gt;"卖","",IF(AND(ISNUMBER(B187),A187&lt;&gt;""),IF(SUMIFS($E$5:$E$804,$A$5:$A$804,A187,$C$5:$C$804,"卖",$B$5:$B$804,"&lt;="&amp;B187)&gt;SUMIFS($E$5:$E$804,$A$5:$A$804,A187,$C$5:$C$804,"买",$B$5:$B$804,"&lt;"&amp;B187),"超出可卖股数","OK"),""))</f>
        <v/>
      </c>
      <c r="O187" s="32" t="n"/>
    </row>
    <row r="188">
      <c r="A188" s="46" t="n"/>
      <c r="B188" s="31" t="n"/>
      <c r="C188" s="27" t="n"/>
      <c r="D188" s="56" t="n"/>
      <c r="E188" s="17" t="n"/>
      <c r="F188" s="20" t="str">
        <f>IF(AND(ISNUMBER(D188),ISNUMBER(E188)),D188*E188,"")</f>
        <v/>
      </c>
      <c r="G188" s="51" t="str">
        <f>IF(ISNUMBER(F188),ROUND(MAX(F188*'参数'!$C$12,'参数'!$C$13),2),"")</f>
        <v/>
      </c>
      <c r="H188" s="51" t="str">
        <f>IF(ISNUMBER(F188),IF(C188="卖",ROUND(F188*'参数'!$C$14,2),0),"")</f>
        <v/>
      </c>
      <c r="I188" s="51" t="str">
        <f>IF(ISNUMBER(F188),ROUND(F188*'参数'!$C$15,2),"")</f>
        <v/>
      </c>
      <c r="J188" s="21" t="n"/>
      <c r="K188" s="20" t="str">
        <f>IF(ISNUMBER(J188),J188,IF(ISNUMBER(F188),G188+H188+I188+ROUND(F188*'参数'!$C$16,2),""))</f>
        <v/>
      </c>
      <c r="L188" s="43" t="str">
        <f>IF(A188="","",IFERROR(T(INDEX('交易记录'!$C$5:$C$304,MATCH(A188,'交易记录'!$A$5:$A$304,0))),"编号没找到"))</f>
        <v/>
      </c>
      <c r="M188" s="57" t="str">
        <f>IF(AND(C188="买",ISNUMBER(B188)),WORKDAY(B188,1,'参数'!$B$58:$B$80),"")</f>
        <v/>
      </c>
      <c r="N188" s="36" t="str">
        <f>IF(C188&lt;&gt;"卖","",IF(AND(ISNUMBER(B188),A188&lt;&gt;""),IF(SUMIFS($E$5:$E$804,$A$5:$A$804,A188,$C$5:$C$804,"卖",$B$5:$B$804,"&lt;="&amp;B188)&gt;SUMIFS($E$5:$E$804,$A$5:$A$804,A188,$C$5:$C$804,"买",$B$5:$B$804,"&lt;"&amp;B188),"超出可卖股数","OK"),""))</f>
        <v/>
      </c>
      <c r="O188" s="32" t="n"/>
    </row>
    <row r="189">
      <c r="A189" s="46" t="n"/>
      <c r="B189" s="31" t="n"/>
      <c r="C189" s="27" t="n"/>
      <c r="D189" s="56" t="n"/>
      <c r="E189" s="17" t="n"/>
      <c r="F189" s="20" t="str">
        <f>IF(AND(ISNUMBER(D189),ISNUMBER(E189)),D189*E189,"")</f>
        <v/>
      </c>
      <c r="G189" s="51" t="str">
        <f>IF(ISNUMBER(F189),ROUND(MAX(F189*'参数'!$C$12,'参数'!$C$13),2),"")</f>
        <v/>
      </c>
      <c r="H189" s="51" t="str">
        <f>IF(ISNUMBER(F189),IF(C189="卖",ROUND(F189*'参数'!$C$14,2),0),"")</f>
        <v/>
      </c>
      <c r="I189" s="51" t="str">
        <f>IF(ISNUMBER(F189),ROUND(F189*'参数'!$C$15,2),"")</f>
        <v/>
      </c>
      <c r="J189" s="21" t="n"/>
      <c r="K189" s="20" t="str">
        <f>IF(ISNUMBER(J189),J189,IF(ISNUMBER(F189),G189+H189+I189+ROUND(F189*'参数'!$C$16,2),""))</f>
        <v/>
      </c>
      <c r="L189" s="43" t="str">
        <f>IF(A189="","",IFERROR(T(INDEX('交易记录'!$C$5:$C$304,MATCH(A189,'交易记录'!$A$5:$A$304,0))),"编号没找到"))</f>
        <v/>
      </c>
      <c r="M189" s="57" t="str">
        <f>IF(AND(C189="买",ISNUMBER(B189)),WORKDAY(B189,1,'参数'!$B$58:$B$80),"")</f>
        <v/>
      </c>
      <c r="N189" s="36" t="str">
        <f>IF(C189&lt;&gt;"卖","",IF(AND(ISNUMBER(B189),A189&lt;&gt;""),IF(SUMIFS($E$5:$E$804,$A$5:$A$804,A189,$C$5:$C$804,"卖",$B$5:$B$804,"&lt;="&amp;B189)&gt;SUMIFS($E$5:$E$804,$A$5:$A$804,A189,$C$5:$C$804,"买",$B$5:$B$804,"&lt;"&amp;B189),"超出可卖股数","OK"),""))</f>
        <v/>
      </c>
      <c r="O189" s="32" t="n"/>
    </row>
    <row r="190">
      <c r="A190" s="46" t="n"/>
      <c r="B190" s="31" t="n"/>
      <c r="C190" s="27" t="n"/>
      <c r="D190" s="56" t="n"/>
      <c r="E190" s="17" t="n"/>
      <c r="F190" s="20" t="str">
        <f>IF(AND(ISNUMBER(D190),ISNUMBER(E190)),D190*E190,"")</f>
        <v/>
      </c>
      <c r="G190" s="51" t="str">
        <f>IF(ISNUMBER(F190),ROUND(MAX(F190*'参数'!$C$12,'参数'!$C$13),2),"")</f>
        <v/>
      </c>
      <c r="H190" s="51" t="str">
        <f>IF(ISNUMBER(F190),IF(C190="卖",ROUND(F190*'参数'!$C$14,2),0),"")</f>
        <v/>
      </c>
      <c r="I190" s="51" t="str">
        <f>IF(ISNUMBER(F190),ROUND(F190*'参数'!$C$15,2),"")</f>
        <v/>
      </c>
      <c r="J190" s="21" t="n"/>
      <c r="K190" s="20" t="str">
        <f>IF(ISNUMBER(J190),J190,IF(ISNUMBER(F190),G190+H190+I190+ROUND(F190*'参数'!$C$16,2),""))</f>
        <v/>
      </c>
      <c r="L190" s="43" t="str">
        <f>IF(A190="","",IFERROR(T(INDEX('交易记录'!$C$5:$C$304,MATCH(A190,'交易记录'!$A$5:$A$304,0))),"编号没找到"))</f>
        <v/>
      </c>
      <c r="M190" s="57" t="str">
        <f>IF(AND(C190="买",ISNUMBER(B190)),WORKDAY(B190,1,'参数'!$B$58:$B$80),"")</f>
        <v/>
      </c>
      <c r="N190" s="36" t="str">
        <f>IF(C190&lt;&gt;"卖","",IF(AND(ISNUMBER(B190),A190&lt;&gt;""),IF(SUMIFS($E$5:$E$804,$A$5:$A$804,A190,$C$5:$C$804,"卖",$B$5:$B$804,"&lt;="&amp;B190)&gt;SUMIFS($E$5:$E$804,$A$5:$A$804,A190,$C$5:$C$804,"买",$B$5:$B$804,"&lt;"&amp;B190),"超出可卖股数","OK"),""))</f>
        <v/>
      </c>
      <c r="O190" s="32" t="n"/>
    </row>
    <row r="191">
      <c r="A191" s="46" t="n"/>
      <c r="B191" s="31" t="n"/>
      <c r="C191" s="27" t="n"/>
      <c r="D191" s="56" t="n"/>
      <c r="E191" s="17" t="n"/>
      <c r="F191" s="20" t="str">
        <f>IF(AND(ISNUMBER(D191),ISNUMBER(E191)),D191*E191,"")</f>
        <v/>
      </c>
      <c r="G191" s="51" t="str">
        <f>IF(ISNUMBER(F191),ROUND(MAX(F191*'参数'!$C$12,'参数'!$C$13),2),"")</f>
        <v/>
      </c>
      <c r="H191" s="51" t="str">
        <f>IF(ISNUMBER(F191),IF(C191="卖",ROUND(F191*'参数'!$C$14,2),0),"")</f>
        <v/>
      </c>
      <c r="I191" s="51" t="str">
        <f>IF(ISNUMBER(F191),ROUND(F191*'参数'!$C$15,2),"")</f>
        <v/>
      </c>
      <c r="J191" s="21" t="n"/>
      <c r="K191" s="20" t="str">
        <f>IF(ISNUMBER(J191),J191,IF(ISNUMBER(F191),G191+H191+I191+ROUND(F191*'参数'!$C$16,2),""))</f>
        <v/>
      </c>
      <c r="L191" s="43" t="str">
        <f>IF(A191="","",IFERROR(T(INDEX('交易记录'!$C$5:$C$304,MATCH(A191,'交易记录'!$A$5:$A$304,0))),"编号没找到"))</f>
        <v/>
      </c>
      <c r="M191" s="57" t="str">
        <f>IF(AND(C191="买",ISNUMBER(B191)),WORKDAY(B191,1,'参数'!$B$58:$B$80),"")</f>
        <v/>
      </c>
      <c r="N191" s="36" t="str">
        <f>IF(C191&lt;&gt;"卖","",IF(AND(ISNUMBER(B191),A191&lt;&gt;""),IF(SUMIFS($E$5:$E$804,$A$5:$A$804,A191,$C$5:$C$804,"卖",$B$5:$B$804,"&lt;="&amp;B191)&gt;SUMIFS($E$5:$E$804,$A$5:$A$804,A191,$C$5:$C$804,"买",$B$5:$B$804,"&lt;"&amp;B191),"超出可卖股数","OK"),""))</f>
        <v/>
      </c>
      <c r="O191" s="32" t="n"/>
    </row>
    <row r="192">
      <c r="A192" s="46" t="n"/>
      <c r="B192" s="31" t="n"/>
      <c r="C192" s="27" t="n"/>
      <c r="D192" s="56" t="n"/>
      <c r="E192" s="17" t="n"/>
      <c r="F192" s="20" t="str">
        <f>IF(AND(ISNUMBER(D192),ISNUMBER(E192)),D192*E192,"")</f>
        <v/>
      </c>
      <c r="G192" s="51" t="str">
        <f>IF(ISNUMBER(F192),ROUND(MAX(F192*'参数'!$C$12,'参数'!$C$13),2),"")</f>
        <v/>
      </c>
      <c r="H192" s="51" t="str">
        <f>IF(ISNUMBER(F192),IF(C192="卖",ROUND(F192*'参数'!$C$14,2),0),"")</f>
        <v/>
      </c>
      <c r="I192" s="51" t="str">
        <f>IF(ISNUMBER(F192),ROUND(F192*'参数'!$C$15,2),"")</f>
        <v/>
      </c>
      <c r="J192" s="21" t="n"/>
      <c r="K192" s="20" t="str">
        <f>IF(ISNUMBER(J192),J192,IF(ISNUMBER(F192),G192+H192+I192+ROUND(F192*'参数'!$C$16,2),""))</f>
        <v/>
      </c>
      <c r="L192" s="43" t="str">
        <f>IF(A192="","",IFERROR(T(INDEX('交易记录'!$C$5:$C$304,MATCH(A192,'交易记录'!$A$5:$A$304,0))),"编号没找到"))</f>
        <v/>
      </c>
      <c r="M192" s="57" t="str">
        <f>IF(AND(C192="买",ISNUMBER(B192)),WORKDAY(B192,1,'参数'!$B$58:$B$80),"")</f>
        <v/>
      </c>
      <c r="N192" s="36" t="str">
        <f>IF(C192&lt;&gt;"卖","",IF(AND(ISNUMBER(B192),A192&lt;&gt;""),IF(SUMIFS($E$5:$E$804,$A$5:$A$804,A192,$C$5:$C$804,"卖",$B$5:$B$804,"&lt;="&amp;B192)&gt;SUMIFS($E$5:$E$804,$A$5:$A$804,A192,$C$5:$C$804,"买",$B$5:$B$804,"&lt;"&amp;B192),"超出可卖股数","OK"),""))</f>
        <v/>
      </c>
      <c r="O192" s="32" t="n"/>
    </row>
    <row r="193">
      <c r="A193" s="46" t="n"/>
      <c r="B193" s="31" t="n"/>
      <c r="C193" s="27" t="n"/>
      <c r="D193" s="56" t="n"/>
      <c r="E193" s="17" t="n"/>
      <c r="F193" s="20" t="str">
        <f>IF(AND(ISNUMBER(D193),ISNUMBER(E193)),D193*E193,"")</f>
        <v/>
      </c>
      <c r="G193" s="51" t="str">
        <f>IF(ISNUMBER(F193),ROUND(MAX(F193*'参数'!$C$12,'参数'!$C$13),2),"")</f>
        <v/>
      </c>
      <c r="H193" s="51" t="str">
        <f>IF(ISNUMBER(F193),IF(C193="卖",ROUND(F193*'参数'!$C$14,2),0),"")</f>
        <v/>
      </c>
      <c r="I193" s="51" t="str">
        <f>IF(ISNUMBER(F193),ROUND(F193*'参数'!$C$15,2),"")</f>
        <v/>
      </c>
      <c r="J193" s="21" t="n"/>
      <c r="K193" s="20" t="str">
        <f>IF(ISNUMBER(J193),J193,IF(ISNUMBER(F193),G193+H193+I193+ROUND(F193*'参数'!$C$16,2),""))</f>
        <v/>
      </c>
      <c r="L193" s="43" t="str">
        <f>IF(A193="","",IFERROR(T(INDEX('交易记录'!$C$5:$C$304,MATCH(A193,'交易记录'!$A$5:$A$304,0))),"编号没找到"))</f>
        <v/>
      </c>
      <c r="M193" s="57" t="str">
        <f>IF(AND(C193="买",ISNUMBER(B193)),WORKDAY(B193,1,'参数'!$B$58:$B$80),"")</f>
        <v/>
      </c>
      <c r="N193" s="36" t="str">
        <f>IF(C193&lt;&gt;"卖","",IF(AND(ISNUMBER(B193),A193&lt;&gt;""),IF(SUMIFS($E$5:$E$804,$A$5:$A$804,A193,$C$5:$C$804,"卖",$B$5:$B$804,"&lt;="&amp;B193)&gt;SUMIFS($E$5:$E$804,$A$5:$A$804,A193,$C$5:$C$804,"买",$B$5:$B$804,"&lt;"&amp;B193),"超出可卖股数","OK"),""))</f>
        <v/>
      </c>
      <c r="O193" s="32" t="n"/>
    </row>
    <row r="194">
      <c r="A194" s="46" t="n"/>
      <c r="B194" s="31" t="n"/>
      <c r="C194" s="27" t="n"/>
      <c r="D194" s="56" t="n"/>
      <c r="E194" s="17" t="n"/>
      <c r="F194" s="20" t="str">
        <f>IF(AND(ISNUMBER(D194),ISNUMBER(E194)),D194*E194,"")</f>
        <v/>
      </c>
      <c r="G194" s="51" t="str">
        <f>IF(ISNUMBER(F194),ROUND(MAX(F194*'参数'!$C$12,'参数'!$C$13),2),"")</f>
        <v/>
      </c>
      <c r="H194" s="51" t="str">
        <f>IF(ISNUMBER(F194),IF(C194="卖",ROUND(F194*'参数'!$C$14,2),0),"")</f>
        <v/>
      </c>
      <c r="I194" s="51" t="str">
        <f>IF(ISNUMBER(F194),ROUND(F194*'参数'!$C$15,2),"")</f>
        <v/>
      </c>
      <c r="J194" s="21" t="n"/>
      <c r="K194" s="20" t="str">
        <f>IF(ISNUMBER(J194),J194,IF(ISNUMBER(F194),G194+H194+I194+ROUND(F194*'参数'!$C$16,2),""))</f>
        <v/>
      </c>
      <c r="L194" s="43" t="str">
        <f>IF(A194="","",IFERROR(T(INDEX('交易记录'!$C$5:$C$304,MATCH(A194,'交易记录'!$A$5:$A$304,0))),"编号没找到"))</f>
        <v/>
      </c>
      <c r="M194" s="57" t="str">
        <f>IF(AND(C194="买",ISNUMBER(B194)),WORKDAY(B194,1,'参数'!$B$58:$B$80),"")</f>
        <v/>
      </c>
      <c r="N194" s="36" t="str">
        <f>IF(C194&lt;&gt;"卖","",IF(AND(ISNUMBER(B194),A194&lt;&gt;""),IF(SUMIFS($E$5:$E$804,$A$5:$A$804,A194,$C$5:$C$804,"卖",$B$5:$B$804,"&lt;="&amp;B194)&gt;SUMIFS($E$5:$E$804,$A$5:$A$804,A194,$C$5:$C$804,"买",$B$5:$B$804,"&lt;"&amp;B194),"超出可卖股数","OK"),""))</f>
        <v/>
      </c>
      <c r="O194" s="32" t="n"/>
    </row>
    <row r="195">
      <c r="A195" s="46" t="n"/>
      <c r="B195" s="31" t="n"/>
      <c r="C195" s="27" t="n"/>
      <c r="D195" s="56" t="n"/>
      <c r="E195" s="17" t="n"/>
      <c r="F195" s="20" t="str">
        <f>IF(AND(ISNUMBER(D195),ISNUMBER(E195)),D195*E195,"")</f>
        <v/>
      </c>
      <c r="G195" s="51" t="str">
        <f>IF(ISNUMBER(F195),ROUND(MAX(F195*'参数'!$C$12,'参数'!$C$13),2),"")</f>
        <v/>
      </c>
      <c r="H195" s="51" t="str">
        <f>IF(ISNUMBER(F195),IF(C195="卖",ROUND(F195*'参数'!$C$14,2),0),"")</f>
        <v/>
      </c>
      <c r="I195" s="51" t="str">
        <f>IF(ISNUMBER(F195),ROUND(F195*'参数'!$C$15,2),"")</f>
        <v/>
      </c>
      <c r="J195" s="21" t="n"/>
      <c r="K195" s="20" t="str">
        <f>IF(ISNUMBER(J195),J195,IF(ISNUMBER(F195),G195+H195+I195+ROUND(F195*'参数'!$C$16,2),""))</f>
        <v/>
      </c>
      <c r="L195" s="43" t="str">
        <f>IF(A195="","",IFERROR(T(INDEX('交易记录'!$C$5:$C$304,MATCH(A195,'交易记录'!$A$5:$A$304,0))),"编号没找到"))</f>
        <v/>
      </c>
      <c r="M195" s="57" t="str">
        <f>IF(AND(C195="买",ISNUMBER(B195)),WORKDAY(B195,1,'参数'!$B$58:$B$80),"")</f>
        <v/>
      </c>
      <c r="N195" s="36" t="str">
        <f>IF(C195&lt;&gt;"卖","",IF(AND(ISNUMBER(B195),A195&lt;&gt;""),IF(SUMIFS($E$5:$E$804,$A$5:$A$804,A195,$C$5:$C$804,"卖",$B$5:$B$804,"&lt;="&amp;B195)&gt;SUMIFS($E$5:$E$804,$A$5:$A$804,A195,$C$5:$C$804,"买",$B$5:$B$804,"&lt;"&amp;B195),"超出可卖股数","OK"),""))</f>
        <v/>
      </c>
      <c r="O195" s="32" t="n"/>
    </row>
    <row r="196">
      <c r="A196" s="46" t="n"/>
      <c r="B196" s="31" t="n"/>
      <c r="C196" s="27" t="n"/>
      <c r="D196" s="56" t="n"/>
      <c r="E196" s="17" t="n"/>
      <c r="F196" s="20" t="str">
        <f>IF(AND(ISNUMBER(D196),ISNUMBER(E196)),D196*E196,"")</f>
        <v/>
      </c>
      <c r="G196" s="51" t="str">
        <f>IF(ISNUMBER(F196),ROUND(MAX(F196*'参数'!$C$12,'参数'!$C$13),2),"")</f>
        <v/>
      </c>
      <c r="H196" s="51" t="str">
        <f>IF(ISNUMBER(F196),IF(C196="卖",ROUND(F196*'参数'!$C$14,2),0),"")</f>
        <v/>
      </c>
      <c r="I196" s="51" t="str">
        <f>IF(ISNUMBER(F196),ROUND(F196*'参数'!$C$15,2),"")</f>
        <v/>
      </c>
      <c r="J196" s="21" t="n"/>
      <c r="K196" s="20" t="str">
        <f>IF(ISNUMBER(J196),J196,IF(ISNUMBER(F196),G196+H196+I196+ROUND(F196*'参数'!$C$16,2),""))</f>
        <v/>
      </c>
      <c r="L196" s="43" t="str">
        <f>IF(A196="","",IFERROR(T(INDEX('交易记录'!$C$5:$C$304,MATCH(A196,'交易记录'!$A$5:$A$304,0))),"编号没找到"))</f>
        <v/>
      </c>
      <c r="M196" s="57" t="str">
        <f>IF(AND(C196="买",ISNUMBER(B196)),WORKDAY(B196,1,'参数'!$B$58:$B$80),"")</f>
        <v/>
      </c>
      <c r="N196" s="36" t="str">
        <f>IF(C196&lt;&gt;"卖","",IF(AND(ISNUMBER(B196),A196&lt;&gt;""),IF(SUMIFS($E$5:$E$804,$A$5:$A$804,A196,$C$5:$C$804,"卖",$B$5:$B$804,"&lt;="&amp;B196)&gt;SUMIFS($E$5:$E$804,$A$5:$A$804,A196,$C$5:$C$804,"买",$B$5:$B$804,"&lt;"&amp;B196),"超出可卖股数","OK"),""))</f>
        <v/>
      </c>
      <c r="O196" s="32" t="n"/>
    </row>
    <row r="197">
      <c r="A197" s="46" t="n"/>
      <c r="B197" s="31" t="n"/>
      <c r="C197" s="27" t="n"/>
      <c r="D197" s="56" t="n"/>
      <c r="E197" s="17" t="n"/>
      <c r="F197" s="20" t="str">
        <f>IF(AND(ISNUMBER(D197),ISNUMBER(E197)),D197*E197,"")</f>
        <v/>
      </c>
      <c r="G197" s="51" t="str">
        <f>IF(ISNUMBER(F197),ROUND(MAX(F197*'参数'!$C$12,'参数'!$C$13),2),"")</f>
        <v/>
      </c>
      <c r="H197" s="51" t="str">
        <f>IF(ISNUMBER(F197),IF(C197="卖",ROUND(F197*'参数'!$C$14,2),0),"")</f>
        <v/>
      </c>
      <c r="I197" s="51" t="str">
        <f>IF(ISNUMBER(F197),ROUND(F197*'参数'!$C$15,2),"")</f>
        <v/>
      </c>
      <c r="J197" s="21" t="n"/>
      <c r="K197" s="20" t="str">
        <f>IF(ISNUMBER(J197),J197,IF(ISNUMBER(F197),G197+H197+I197+ROUND(F197*'参数'!$C$16,2),""))</f>
        <v/>
      </c>
      <c r="L197" s="43" t="str">
        <f>IF(A197="","",IFERROR(T(INDEX('交易记录'!$C$5:$C$304,MATCH(A197,'交易记录'!$A$5:$A$304,0))),"编号没找到"))</f>
        <v/>
      </c>
      <c r="M197" s="57" t="str">
        <f>IF(AND(C197="买",ISNUMBER(B197)),WORKDAY(B197,1,'参数'!$B$58:$B$80),"")</f>
        <v/>
      </c>
      <c r="N197" s="36" t="str">
        <f>IF(C197&lt;&gt;"卖","",IF(AND(ISNUMBER(B197),A197&lt;&gt;""),IF(SUMIFS($E$5:$E$804,$A$5:$A$804,A197,$C$5:$C$804,"卖",$B$5:$B$804,"&lt;="&amp;B197)&gt;SUMIFS($E$5:$E$804,$A$5:$A$804,A197,$C$5:$C$804,"买",$B$5:$B$804,"&lt;"&amp;B197),"超出可卖股数","OK"),""))</f>
        <v/>
      </c>
      <c r="O197" s="32" t="n"/>
    </row>
    <row r="198">
      <c r="A198" s="46" t="n"/>
      <c r="B198" s="31" t="n"/>
      <c r="C198" s="27" t="n"/>
      <c r="D198" s="56" t="n"/>
      <c r="E198" s="17" t="n"/>
      <c r="F198" s="20" t="str">
        <f>IF(AND(ISNUMBER(D198),ISNUMBER(E198)),D198*E198,"")</f>
        <v/>
      </c>
      <c r="G198" s="51" t="str">
        <f>IF(ISNUMBER(F198),ROUND(MAX(F198*'参数'!$C$12,'参数'!$C$13),2),"")</f>
        <v/>
      </c>
      <c r="H198" s="51" t="str">
        <f>IF(ISNUMBER(F198),IF(C198="卖",ROUND(F198*'参数'!$C$14,2),0),"")</f>
        <v/>
      </c>
      <c r="I198" s="51" t="str">
        <f>IF(ISNUMBER(F198),ROUND(F198*'参数'!$C$15,2),"")</f>
        <v/>
      </c>
      <c r="J198" s="21" t="n"/>
      <c r="K198" s="20" t="str">
        <f>IF(ISNUMBER(J198),J198,IF(ISNUMBER(F198),G198+H198+I198+ROUND(F198*'参数'!$C$16,2),""))</f>
        <v/>
      </c>
      <c r="L198" s="43" t="str">
        <f>IF(A198="","",IFERROR(T(INDEX('交易记录'!$C$5:$C$304,MATCH(A198,'交易记录'!$A$5:$A$304,0))),"编号没找到"))</f>
        <v/>
      </c>
      <c r="M198" s="57" t="str">
        <f>IF(AND(C198="买",ISNUMBER(B198)),WORKDAY(B198,1,'参数'!$B$58:$B$80),"")</f>
        <v/>
      </c>
      <c r="N198" s="36" t="str">
        <f>IF(C198&lt;&gt;"卖","",IF(AND(ISNUMBER(B198),A198&lt;&gt;""),IF(SUMIFS($E$5:$E$804,$A$5:$A$804,A198,$C$5:$C$804,"卖",$B$5:$B$804,"&lt;="&amp;B198)&gt;SUMIFS($E$5:$E$804,$A$5:$A$804,A198,$C$5:$C$804,"买",$B$5:$B$804,"&lt;"&amp;B198),"超出可卖股数","OK"),""))</f>
        <v/>
      </c>
      <c r="O198" s="32" t="n"/>
    </row>
    <row r="199">
      <c r="A199" s="46" t="n"/>
      <c r="B199" s="31" t="n"/>
      <c r="C199" s="27" t="n"/>
      <c r="D199" s="56" t="n"/>
      <c r="E199" s="17" t="n"/>
      <c r="F199" s="20" t="str">
        <f>IF(AND(ISNUMBER(D199),ISNUMBER(E199)),D199*E199,"")</f>
        <v/>
      </c>
      <c r="G199" s="51" t="str">
        <f>IF(ISNUMBER(F199),ROUND(MAX(F199*'参数'!$C$12,'参数'!$C$13),2),"")</f>
        <v/>
      </c>
      <c r="H199" s="51" t="str">
        <f>IF(ISNUMBER(F199),IF(C199="卖",ROUND(F199*'参数'!$C$14,2),0),"")</f>
        <v/>
      </c>
      <c r="I199" s="51" t="str">
        <f>IF(ISNUMBER(F199),ROUND(F199*'参数'!$C$15,2),"")</f>
        <v/>
      </c>
      <c r="J199" s="21" t="n"/>
      <c r="K199" s="20" t="str">
        <f>IF(ISNUMBER(J199),J199,IF(ISNUMBER(F199),G199+H199+I199+ROUND(F199*'参数'!$C$16,2),""))</f>
        <v/>
      </c>
      <c r="L199" s="43" t="str">
        <f>IF(A199="","",IFERROR(T(INDEX('交易记录'!$C$5:$C$304,MATCH(A199,'交易记录'!$A$5:$A$304,0))),"编号没找到"))</f>
        <v/>
      </c>
      <c r="M199" s="57" t="str">
        <f>IF(AND(C199="买",ISNUMBER(B199)),WORKDAY(B199,1,'参数'!$B$58:$B$80),"")</f>
        <v/>
      </c>
      <c r="N199" s="36" t="str">
        <f>IF(C199&lt;&gt;"卖","",IF(AND(ISNUMBER(B199),A199&lt;&gt;""),IF(SUMIFS($E$5:$E$804,$A$5:$A$804,A199,$C$5:$C$804,"卖",$B$5:$B$804,"&lt;="&amp;B199)&gt;SUMIFS($E$5:$E$804,$A$5:$A$804,A199,$C$5:$C$804,"买",$B$5:$B$804,"&lt;"&amp;B199),"超出可卖股数","OK"),""))</f>
        <v/>
      </c>
      <c r="O199" s="32" t="n"/>
    </row>
    <row r="200">
      <c r="A200" s="46" t="n"/>
      <c r="B200" s="31" t="n"/>
      <c r="C200" s="27" t="n"/>
      <c r="D200" s="56" t="n"/>
      <c r="E200" s="17" t="n"/>
      <c r="F200" s="20" t="str">
        <f>IF(AND(ISNUMBER(D200),ISNUMBER(E200)),D200*E200,"")</f>
        <v/>
      </c>
      <c r="G200" s="51" t="str">
        <f>IF(ISNUMBER(F200),ROUND(MAX(F200*'参数'!$C$12,'参数'!$C$13),2),"")</f>
        <v/>
      </c>
      <c r="H200" s="51" t="str">
        <f>IF(ISNUMBER(F200),IF(C200="卖",ROUND(F200*'参数'!$C$14,2),0),"")</f>
        <v/>
      </c>
      <c r="I200" s="51" t="str">
        <f>IF(ISNUMBER(F200),ROUND(F200*'参数'!$C$15,2),"")</f>
        <v/>
      </c>
      <c r="J200" s="21" t="n"/>
      <c r="K200" s="20" t="str">
        <f>IF(ISNUMBER(J200),J200,IF(ISNUMBER(F200),G200+H200+I200+ROUND(F200*'参数'!$C$16,2),""))</f>
        <v/>
      </c>
      <c r="L200" s="43" t="str">
        <f>IF(A200="","",IFERROR(T(INDEX('交易记录'!$C$5:$C$304,MATCH(A200,'交易记录'!$A$5:$A$304,0))),"编号没找到"))</f>
        <v/>
      </c>
      <c r="M200" s="57" t="str">
        <f>IF(AND(C200="买",ISNUMBER(B200)),WORKDAY(B200,1,'参数'!$B$58:$B$80),"")</f>
        <v/>
      </c>
      <c r="N200" s="36" t="str">
        <f>IF(C200&lt;&gt;"卖","",IF(AND(ISNUMBER(B200),A200&lt;&gt;""),IF(SUMIFS($E$5:$E$804,$A$5:$A$804,A200,$C$5:$C$804,"卖",$B$5:$B$804,"&lt;="&amp;B200)&gt;SUMIFS($E$5:$E$804,$A$5:$A$804,A200,$C$5:$C$804,"买",$B$5:$B$804,"&lt;"&amp;B200),"超出可卖股数","OK"),""))</f>
        <v/>
      </c>
      <c r="O200" s="32" t="n"/>
    </row>
    <row r="201">
      <c r="A201" s="46" t="n"/>
      <c r="B201" s="31" t="n"/>
      <c r="C201" s="27" t="n"/>
      <c r="D201" s="56" t="n"/>
      <c r="E201" s="17" t="n"/>
      <c r="F201" s="20" t="str">
        <f>IF(AND(ISNUMBER(D201),ISNUMBER(E201)),D201*E201,"")</f>
        <v/>
      </c>
      <c r="G201" s="51" t="str">
        <f>IF(ISNUMBER(F201),ROUND(MAX(F201*'参数'!$C$12,'参数'!$C$13),2),"")</f>
        <v/>
      </c>
      <c r="H201" s="51" t="str">
        <f>IF(ISNUMBER(F201),IF(C201="卖",ROUND(F201*'参数'!$C$14,2),0),"")</f>
        <v/>
      </c>
      <c r="I201" s="51" t="str">
        <f>IF(ISNUMBER(F201),ROUND(F201*'参数'!$C$15,2),"")</f>
        <v/>
      </c>
      <c r="J201" s="21" t="n"/>
      <c r="K201" s="20" t="str">
        <f>IF(ISNUMBER(J201),J201,IF(ISNUMBER(F201),G201+H201+I201+ROUND(F201*'参数'!$C$16,2),""))</f>
        <v/>
      </c>
      <c r="L201" s="43" t="str">
        <f>IF(A201="","",IFERROR(T(INDEX('交易记录'!$C$5:$C$304,MATCH(A201,'交易记录'!$A$5:$A$304,0))),"编号没找到"))</f>
        <v/>
      </c>
      <c r="M201" s="57" t="str">
        <f>IF(AND(C201="买",ISNUMBER(B201)),WORKDAY(B201,1,'参数'!$B$58:$B$80),"")</f>
        <v/>
      </c>
      <c r="N201" s="36" t="str">
        <f>IF(C201&lt;&gt;"卖","",IF(AND(ISNUMBER(B201),A201&lt;&gt;""),IF(SUMIFS($E$5:$E$804,$A$5:$A$804,A201,$C$5:$C$804,"卖",$B$5:$B$804,"&lt;="&amp;B201)&gt;SUMIFS($E$5:$E$804,$A$5:$A$804,A201,$C$5:$C$804,"买",$B$5:$B$804,"&lt;"&amp;B201),"超出可卖股数","OK"),""))</f>
        <v/>
      </c>
      <c r="O201" s="32" t="n"/>
    </row>
    <row r="202">
      <c r="A202" s="46" t="n"/>
      <c r="B202" s="31" t="n"/>
      <c r="C202" s="27" t="n"/>
      <c r="D202" s="56" t="n"/>
      <c r="E202" s="17" t="n"/>
      <c r="F202" s="20" t="str">
        <f>IF(AND(ISNUMBER(D202),ISNUMBER(E202)),D202*E202,"")</f>
        <v/>
      </c>
      <c r="G202" s="51" t="str">
        <f>IF(ISNUMBER(F202),ROUND(MAX(F202*'参数'!$C$12,'参数'!$C$13),2),"")</f>
        <v/>
      </c>
      <c r="H202" s="51" t="str">
        <f>IF(ISNUMBER(F202),IF(C202="卖",ROUND(F202*'参数'!$C$14,2),0),"")</f>
        <v/>
      </c>
      <c r="I202" s="51" t="str">
        <f>IF(ISNUMBER(F202),ROUND(F202*'参数'!$C$15,2),"")</f>
        <v/>
      </c>
      <c r="J202" s="21" t="n"/>
      <c r="K202" s="20" t="str">
        <f>IF(ISNUMBER(J202),J202,IF(ISNUMBER(F202),G202+H202+I202+ROUND(F202*'参数'!$C$16,2),""))</f>
        <v/>
      </c>
      <c r="L202" s="43" t="str">
        <f>IF(A202="","",IFERROR(T(INDEX('交易记录'!$C$5:$C$304,MATCH(A202,'交易记录'!$A$5:$A$304,0))),"编号没找到"))</f>
        <v/>
      </c>
      <c r="M202" s="57" t="str">
        <f>IF(AND(C202="买",ISNUMBER(B202)),WORKDAY(B202,1,'参数'!$B$58:$B$80),"")</f>
        <v/>
      </c>
      <c r="N202" s="36" t="str">
        <f>IF(C202&lt;&gt;"卖","",IF(AND(ISNUMBER(B202),A202&lt;&gt;""),IF(SUMIFS($E$5:$E$804,$A$5:$A$804,A202,$C$5:$C$804,"卖",$B$5:$B$804,"&lt;="&amp;B202)&gt;SUMIFS($E$5:$E$804,$A$5:$A$804,A202,$C$5:$C$804,"买",$B$5:$B$804,"&lt;"&amp;B202),"超出可卖股数","OK"),""))</f>
        <v/>
      </c>
      <c r="O202" s="32" t="n"/>
    </row>
    <row r="203">
      <c r="A203" s="46" t="n"/>
      <c r="B203" s="31" t="n"/>
      <c r="C203" s="27" t="n"/>
      <c r="D203" s="56" t="n"/>
      <c r="E203" s="17" t="n"/>
      <c r="F203" s="20" t="str">
        <f>IF(AND(ISNUMBER(D203),ISNUMBER(E203)),D203*E203,"")</f>
        <v/>
      </c>
      <c r="G203" s="51" t="str">
        <f>IF(ISNUMBER(F203),ROUND(MAX(F203*'参数'!$C$12,'参数'!$C$13),2),"")</f>
        <v/>
      </c>
      <c r="H203" s="51" t="str">
        <f>IF(ISNUMBER(F203),IF(C203="卖",ROUND(F203*'参数'!$C$14,2),0),"")</f>
        <v/>
      </c>
      <c r="I203" s="51" t="str">
        <f>IF(ISNUMBER(F203),ROUND(F203*'参数'!$C$15,2),"")</f>
        <v/>
      </c>
      <c r="J203" s="21" t="n"/>
      <c r="K203" s="20" t="str">
        <f>IF(ISNUMBER(J203),J203,IF(ISNUMBER(F203),G203+H203+I203+ROUND(F203*'参数'!$C$16,2),""))</f>
        <v/>
      </c>
      <c r="L203" s="43" t="str">
        <f>IF(A203="","",IFERROR(T(INDEX('交易记录'!$C$5:$C$304,MATCH(A203,'交易记录'!$A$5:$A$304,0))),"编号没找到"))</f>
        <v/>
      </c>
      <c r="M203" s="57" t="str">
        <f>IF(AND(C203="买",ISNUMBER(B203)),WORKDAY(B203,1,'参数'!$B$58:$B$80),"")</f>
        <v/>
      </c>
      <c r="N203" s="36" t="str">
        <f>IF(C203&lt;&gt;"卖","",IF(AND(ISNUMBER(B203),A203&lt;&gt;""),IF(SUMIFS($E$5:$E$804,$A$5:$A$804,A203,$C$5:$C$804,"卖",$B$5:$B$804,"&lt;="&amp;B203)&gt;SUMIFS($E$5:$E$804,$A$5:$A$804,A203,$C$5:$C$804,"买",$B$5:$B$804,"&lt;"&amp;B203),"超出可卖股数","OK"),""))</f>
        <v/>
      </c>
      <c r="O203" s="32" t="n"/>
    </row>
    <row r="204">
      <c r="A204" s="46" t="n"/>
      <c r="B204" s="31" t="n"/>
      <c r="C204" s="27" t="n"/>
      <c r="D204" s="56" t="n"/>
      <c r="E204" s="17" t="n"/>
      <c r="F204" s="20" t="str">
        <f>IF(AND(ISNUMBER(D204),ISNUMBER(E204)),D204*E204,"")</f>
        <v/>
      </c>
      <c r="G204" s="51" t="str">
        <f>IF(ISNUMBER(F204),ROUND(MAX(F204*'参数'!$C$12,'参数'!$C$13),2),"")</f>
        <v/>
      </c>
      <c r="H204" s="51" t="str">
        <f>IF(ISNUMBER(F204),IF(C204="卖",ROUND(F204*'参数'!$C$14,2),0),"")</f>
        <v/>
      </c>
      <c r="I204" s="51" t="str">
        <f>IF(ISNUMBER(F204),ROUND(F204*'参数'!$C$15,2),"")</f>
        <v/>
      </c>
      <c r="J204" s="21" t="n"/>
      <c r="K204" s="20" t="str">
        <f>IF(ISNUMBER(J204),J204,IF(ISNUMBER(F204),G204+H204+I204+ROUND(F204*'参数'!$C$16,2),""))</f>
        <v/>
      </c>
      <c r="L204" s="43" t="str">
        <f>IF(A204="","",IFERROR(T(INDEX('交易记录'!$C$5:$C$304,MATCH(A204,'交易记录'!$A$5:$A$304,0))),"编号没找到"))</f>
        <v/>
      </c>
      <c r="M204" s="57" t="str">
        <f>IF(AND(C204="买",ISNUMBER(B204)),WORKDAY(B204,1,'参数'!$B$58:$B$80),"")</f>
        <v/>
      </c>
      <c r="N204" s="36" t="str">
        <f>IF(C204&lt;&gt;"卖","",IF(AND(ISNUMBER(B204),A204&lt;&gt;""),IF(SUMIFS($E$5:$E$804,$A$5:$A$804,A204,$C$5:$C$804,"卖",$B$5:$B$804,"&lt;="&amp;B204)&gt;SUMIFS($E$5:$E$804,$A$5:$A$804,A204,$C$5:$C$804,"买",$B$5:$B$804,"&lt;"&amp;B204),"超出可卖股数","OK"),""))</f>
        <v/>
      </c>
      <c r="O204" s="32" t="n"/>
    </row>
    <row r="205">
      <c r="A205" s="46" t="n"/>
      <c r="B205" s="31" t="n"/>
      <c r="C205" s="27" t="n"/>
      <c r="D205" s="56" t="n"/>
      <c r="E205" s="17" t="n"/>
      <c r="F205" s="20" t="str">
        <f>IF(AND(ISNUMBER(D205),ISNUMBER(E205)),D205*E205,"")</f>
        <v/>
      </c>
      <c r="G205" s="51" t="str">
        <f>IF(ISNUMBER(F205),ROUND(MAX(F205*'参数'!$C$12,'参数'!$C$13),2),"")</f>
        <v/>
      </c>
      <c r="H205" s="51" t="str">
        <f>IF(ISNUMBER(F205),IF(C205="卖",ROUND(F205*'参数'!$C$14,2),0),"")</f>
        <v/>
      </c>
      <c r="I205" s="51" t="str">
        <f>IF(ISNUMBER(F205),ROUND(F205*'参数'!$C$15,2),"")</f>
        <v/>
      </c>
      <c r="J205" s="21" t="n"/>
      <c r="K205" s="20" t="str">
        <f>IF(ISNUMBER(J205),J205,IF(ISNUMBER(F205),G205+H205+I205+ROUND(F205*'参数'!$C$16,2),""))</f>
        <v/>
      </c>
      <c r="L205" s="43" t="str">
        <f>IF(A205="","",IFERROR(T(INDEX('交易记录'!$C$5:$C$304,MATCH(A205,'交易记录'!$A$5:$A$304,0))),"编号没找到"))</f>
        <v/>
      </c>
      <c r="M205" s="57" t="str">
        <f>IF(AND(C205="买",ISNUMBER(B205)),WORKDAY(B205,1,'参数'!$B$58:$B$80),"")</f>
        <v/>
      </c>
      <c r="N205" s="36" t="str">
        <f>IF(C205&lt;&gt;"卖","",IF(AND(ISNUMBER(B205),A205&lt;&gt;""),IF(SUMIFS($E$5:$E$804,$A$5:$A$804,A205,$C$5:$C$804,"卖",$B$5:$B$804,"&lt;="&amp;B205)&gt;SUMIFS($E$5:$E$804,$A$5:$A$804,A205,$C$5:$C$804,"买",$B$5:$B$804,"&lt;"&amp;B205),"超出可卖股数","OK"),""))</f>
        <v/>
      </c>
      <c r="O205" s="32" t="n"/>
    </row>
    <row r="206">
      <c r="A206" s="46" t="n"/>
      <c r="B206" s="31" t="n"/>
      <c r="C206" s="27" t="n"/>
      <c r="D206" s="56" t="n"/>
      <c r="E206" s="17" t="n"/>
      <c r="F206" s="20" t="str">
        <f>IF(AND(ISNUMBER(D206),ISNUMBER(E206)),D206*E206,"")</f>
        <v/>
      </c>
      <c r="G206" s="51" t="str">
        <f>IF(ISNUMBER(F206),ROUND(MAX(F206*'参数'!$C$12,'参数'!$C$13),2),"")</f>
        <v/>
      </c>
      <c r="H206" s="51" t="str">
        <f>IF(ISNUMBER(F206),IF(C206="卖",ROUND(F206*'参数'!$C$14,2),0),"")</f>
        <v/>
      </c>
      <c r="I206" s="51" t="str">
        <f>IF(ISNUMBER(F206),ROUND(F206*'参数'!$C$15,2),"")</f>
        <v/>
      </c>
      <c r="J206" s="21" t="n"/>
      <c r="K206" s="20" t="str">
        <f>IF(ISNUMBER(J206),J206,IF(ISNUMBER(F206),G206+H206+I206+ROUND(F206*'参数'!$C$16,2),""))</f>
        <v/>
      </c>
      <c r="L206" s="43" t="str">
        <f>IF(A206="","",IFERROR(T(INDEX('交易记录'!$C$5:$C$304,MATCH(A206,'交易记录'!$A$5:$A$304,0))),"编号没找到"))</f>
        <v/>
      </c>
      <c r="M206" s="57" t="str">
        <f>IF(AND(C206="买",ISNUMBER(B206)),WORKDAY(B206,1,'参数'!$B$58:$B$80),"")</f>
        <v/>
      </c>
      <c r="N206" s="36" t="str">
        <f>IF(C206&lt;&gt;"卖","",IF(AND(ISNUMBER(B206),A206&lt;&gt;""),IF(SUMIFS($E$5:$E$804,$A$5:$A$804,A206,$C$5:$C$804,"卖",$B$5:$B$804,"&lt;="&amp;B206)&gt;SUMIFS($E$5:$E$804,$A$5:$A$804,A206,$C$5:$C$804,"买",$B$5:$B$804,"&lt;"&amp;B206),"超出可卖股数","OK"),""))</f>
        <v/>
      </c>
      <c r="O206" s="32" t="n"/>
    </row>
    <row r="207">
      <c r="A207" s="46" t="n"/>
      <c r="B207" s="31" t="n"/>
      <c r="C207" s="27" t="n"/>
      <c r="D207" s="56" t="n"/>
      <c r="E207" s="17" t="n"/>
      <c r="F207" s="20" t="str">
        <f>IF(AND(ISNUMBER(D207),ISNUMBER(E207)),D207*E207,"")</f>
        <v/>
      </c>
      <c r="G207" s="51" t="str">
        <f>IF(ISNUMBER(F207),ROUND(MAX(F207*'参数'!$C$12,'参数'!$C$13),2),"")</f>
        <v/>
      </c>
      <c r="H207" s="51" t="str">
        <f>IF(ISNUMBER(F207),IF(C207="卖",ROUND(F207*'参数'!$C$14,2),0),"")</f>
        <v/>
      </c>
      <c r="I207" s="51" t="str">
        <f>IF(ISNUMBER(F207),ROUND(F207*'参数'!$C$15,2),"")</f>
        <v/>
      </c>
      <c r="J207" s="21" t="n"/>
      <c r="K207" s="20" t="str">
        <f>IF(ISNUMBER(J207),J207,IF(ISNUMBER(F207),G207+H207+I207+ROUND(F207*'参数'!$C$16,2),""))</f>
        <v/>
      </c>
      <c r="L207" s="43" t="str">
        <f>IF(A207="","",IFERROR(T(INDEX('交易记录'!$C$5:$C$304,MATCH(A207,'交易记录'!$A$5:$A$304,0))),"编号没找到"))</f>
        <v/>
      </c>
      <c r="M207" s="57" t="str">
        <f>IF(AND(C207="买",ISNUMBER(B207)),WORKDAY(B207,1,'参数'!$B$58:$B$80),"")</f>
        <v/>
      </c>
      <c r="N207" s="36" t="str">
        <f>IF(C207&lt;&gt;"卖","",IF(AND(ISNUMBER(B207),A207&lt;&gt;""),IF(SUMIFS($E$5:$E$804,$A$5:$A$804,A207,$C$5:$C$804,"卖",$B$5:$B$804,"&lt;="&amp;B207)&gt;SUMIFS($E$5:$E$804,$A$5:$A$804,A207,$C$5:$C$804,"买",$B$5:$B$804,"&lt;"&amp;B207),"超出可卖股数","OK"),""))</f>
        <v/>
      </c>
      <c r="O207" s="32" t="n"/>
    </row>
    <row r="208">
      <c r="A208" s="46" t="n"/>
      <c r="B208" s="31" t="n"/>
      <c r="C208" s="27" t="n"/>
      <c r="D208" s="56" t="n"/>
      <c r="E208" s="17" t="n"/>
      <c r="F208" s="20" t="str">
        <f>IF(AND(ISNUMBER(D208),ISNUMBER(E208)),D208*E208,"")</f>
        <v/>
      </c>
      <c r="G208" s="51" t="str">
        <f>IF(ISNUMBER(F208),ROUND(MAX(F208*'参数'!$C$12,'参数'!$C$13),2),"")</f>
        <v/>
      </c>
      <c r="H208" s="51" t="str">
        <f>IF(ISNUMBER(F208),IF(C208="卖",ROUND(F208*'参数'!$C$14,2),0),"")</f>
        <v/>
      </c>
      <c r="I208" s="51" t="str">
        <f>IF(ISNUMBER(F208),ROUND(F208*'参数'!$C$15,2),"")</f>
        <v/>
      </c>
      <c r="J208" s="21" t="n"/>
      <c r="K208" s="20" t="str">
        <f>IF(ISNUMBER(J208),J208,IF(ISNUMBER(F208),G208+H208+I208+ROUND(F208*'参数'!$C$16,2),""))</f>
        <v/>
      </c>
      <c r="L208" s="43" t="str">
        <f>IF(A208="","",IFERROR(T(INDEX('交易记录'!$C$5:$C$304,MATCH(A208,'交易记录'!$A$5:$A$304,0))),"编号没找到"))</f>
        <v/>
      </c>
      <c r="M208" s="57" t="str">
        <f>IF(AND(C208="买",ISNUMBER(B208)),WORKDAY(B208,1,'参数'!$B$58:$B$80),"")</f>
        <v/>
      </c>
      <c r="N208" s="36" t="str">
        <f>IF(C208&lt;&gt;"卖","",IF(AND(ISNUMBER(B208),A208&lt;&gt;""),IF(SUMIFS($E$5:$E$804,$A$5:$A$804,A208,$C$5:$C$804,"卖",$B$5:$B$804,"&lt;="&amp;B208)&gt;SUMIFS($E$5:$E$804,$A$5:$A$804,A208,$C$5:$C$804,"买",$B$5:$B$804,"&lt;"&amp;B208),"超出可卖股数","OK"),""))</f>
        <v/>
      </c>
      <c r="O208" s="32" t="n"/>
    </row>
    <row r="209">
      <c r="A209" s="46" t="n"/>
      <c r="B209" s="31" t="n"/>
      <c r="C209" s="27" t="n"/>
      <c r="D209" s="56" t="n"/>
      <c r="E209" s="17" t="n"/>
      <c r="F209" s="20" t="str">
        <f>IF(AND(ISNUMBER(D209),ISNUMBER(E209)),D209*E209,"")</f>
        <v/>
      </c>
      <c r="G209" s="51" t="str">
        <f>IF(ISNUMBER(F209),ROUND(MAX(F209*'参数'!$C$12,'参数'!$C$13),2),"")</f>
        <v/>
      </c>
      <c r="H209" s="51" t="str">
        <f>IF(ISNUMBER(F209),IF(C209="卖",ROUND(F209*'参数'!$C$14,2),0),"")</f>
        <v/>
      </c>
      <c r="I209" s="51" t="str">
        <f>IF(ISNUMBER(F209),ROUND(F209*'参数'!$C$15,2),"")</f>
        <v/>
      </c>
      <c r="J209" s="21" t="n"/>
      <c r="K209" s="20" t="str">
        <f>IF(ISNUMBER(J209),J209,IF(ISNUMBER(F209),G209+H209+I209+ROUND(F209*'参数'!$C$16,2),""))</f>
        <v/>
      </c>
      <c r="L209" s="43" t="str">
        <f>IF(A209="","",IFERROR(T(INDEX('交易记录'!$C$5:$C$304,MATCH(A209,'交易记录'!$A$5:$A$304,0))),"编号没找到"))</f>
        <v/>
      </c>
      <c r="M209" s="57" t="str">
        <f>IF(AND(C209="买",ISNUMBER(B209)),WORKDAY(B209,1,'参数'!$B$58:$B$80),"")</f>
        <v/>
      </c>
      <c r="N209" s="36" t="str">
        <f>IF(C209&lt;&gt;"卖","",IF(AND(ISNUMBER(B209),A209&lt;&gt;""),IF(SUMIFS($E$5:$E$804,$A$5:$A$804,A209,$C$5:$C$804,"卖",$B$5:$B$804,"&lt;="&amp;B209)&gt;SUMIFS($E$5:$E$804,$A$5:$A$804,A209,$C$5:$C$804,"买",$B$5:$B$804,"&lt;"&amp;B209),"超出可卖股数","OK"),""))</f>
        <v/>
      </c>
      <c r="O209" s="32" t="n"/>
    </row>
    <row r="210">
      <c r="A210" s="46" t="n"/>
      <c r="B210" s="31" t="n"/>
      <c r="C210" s="27" t="n"/>
      <c r="D210" s="56" t="n"/>
      <c r="E210" s="17" t="n"/>
      <c r="F210" s="20" t="str">
        <f>IF(AND(ISNUMBER(D210),ISNUMBER(E210)),D210*E210,"")</f>
        <v/>
      </c>
      <c r="G210" s="51" t="str">
        <f>IF(ISNUMBER(F210),ROUND(MAX(F210*'参数'!$C$12,'参数'!$C$13),2),"")</f>
        <v/>
      </c>
      <c r="H210" s="51" t="str">
        <f>IF(ISNUMBER(F210),IF(C210="卖",ROUND(F210*'参数'!$C$14,2),0),"")</f>
        <v/>
      </c>
      <c r="I210" s="51" t="str">
        <f>IF(ISNUMBER(F210),ROUND(F210*'参数'!$C$15,2),"")</f>
        <v/>
      </c>
      <c r="J210" s="21" t="n"/>
      <c r="K210" s="20" t="str">
        <f>IF(ISNUMBER(J210),J210,IF(ISNUMBER(F210),G210+H210+I210+ROUND(F210*'参数'!$C$16,2),""))</f>
        <v/>
      </c>
      <c r="L210" s="43" t="str">
        <f>IF(A210="","",IFERROR(T(INDEX('交易记录'!$C$5:$C$304,MATCH(A210,'交易记录'!$A$5:$A$304,0))),"编号没找到"))</f>
        <v/>
      </c>
      <c r="M210" s="57" t="str">
        <f>IF(AND(C210="买",ISNUMBER(B210)),WORKDAY(B210,1,'参数'!$B$58:$B$80),"")</f>
        <v/>
      </c>
      <c r="N210" s="36" t="str">
        <f>IF(C210&lt;&gt;"卖","",IF(AND(ISNUMBER(B210),A210&lt;&gt;""),IF(SUMIFS($E$5:$E$804,$A$5:$A$804,A210,$C$5:$C$804,"卖",$B$5:$B$804,"&lt;="&amp;B210)&gt;SUMIFS($E$5:$E$804,$A$5:$A$804,A210,$C$5:$C$804,"买",$B$5:$B$804,"&lt;"&amp;B210),"超出可卖股数","OK"),""))</f>
        <v/>
      </c>
      <c r="O210" s="32" t="n"/>
    </row>
    <row r="211">
      <c r="A211" s="46" t="n"/>
      <c r="B211" s="31" t="n"/>
      <c r="C211" s="27" t="n"/>
      <c r="D211" s="56" t="n"/>
      <c r="E211" s="17" t="n"/>
      <c r="F211" s="20" t="str">
        <f>IF(AND(ISNUMBER(D211),ISNUMBER(E211)),D211*E211,"")</f>
        <v/>
      </c>
      <c r="G211" s="51" t="str">
        <f>IF(ISNUMBER(F211),ROUND(MAX(F211*'参数'!$C$12,'参数'!$C$13),2),"")</f>
        <v/>
      </c>
      <c r="H211" s="51" t="str">
        <f>IF(ISNUMBER(F211),IF(C211="卖",ROUND(F211*'参数'!$C$14,2),0),"")</f>
        <v/>
      </c>
      <c r="I211" s="51" t="str">
        <f>IF(ISNUMBER(F211),ROUND(F211*'参数'!$C$15,2),"")</f>
        <v/>
      </c>
      <c r="J211" s="21" t="n"/>
      <c r="K211" s="20" t="str">
        <f>IF(ISNUMBER(J211),J211,IF(ISNUMBER(F211),G211+H211+I211+ROUND(F211*'参数'!$C$16,2),""))</f>
        <v/>
      </c>
      <c r="L211" s="43" t="str">
        <f>IF(A211="","",IFERROR(T(INDEX('交易记录'!$C$5:$C$304,MATCH(A211,'交易记录'!$A$5:$A$304,0))),"编号没找到"))</f>
        <v/>
      </c>
      <c r="M211" s="57" t="str">
        <f>IF(AND(C211="买",ISNUMBER(B211)),WORKDAY(B211,1,'参数'!$B$58:$B$80),"")</f>
        <v/>
      </c>
      <c r="N211" s="36" t="str">
        <f>IF(C211&lt;&gt;"卖","",IF(AND(ISNUMBER(B211),A211&lt;&gt;""),IF(SUMIFS($E$5:$E$804,$A$5:$A$804,A211,$C$5:$C$804,"卖",$B$5:$B$804,"&lt;="&amp;B211)&gt;SUMIFS($E$5:$E$804,$A$5:$A$804,A211,$C$5:$C$804,"买",$B$5:$B$804,"&lt;"&amp;B211),"超出可卖股数","OK"),""))</f>
        <v/>
      </c>
      <c r="O211" s="32" t="n"/>
    </row>
    <row r="212">
      <c r="A212" s="46" t="n"/>
      <c r="B212" s="31" t="n"/>
      <c r="C212" s="27" t="n"/>
      <c r="D212" s="56" t="n"/>
      <c r="E212" s="17" t="n"/>
      <c r="F212" s="20" t="str">
        <f>IF(AND(ISNUMBER(D212),ISNUMBER(E212)),D212*E212,"")</f>
        <v/>
      </c>
      <c r="G212" s="51" t="str">
        <f>IF(ISNUMBER(F212),ROUND(MAX(F212*'参数'!$C$12,'参数'!$C$13),2),"")</f>
        <v/>
      </c>
      <c r="H212" s="51" t="str">
        <f>IF(ISNUMBER(F212),IF(C212="卖",ROUND(F212*'参数'!$C$14,2),0),"")</f>
        <v/>
      </c>
      <c r="I212" s="51" t="str">
        <f>IF(ISNUMBER(F212),ROUND(F212*'参数'!$C$15,2),"")</f>
        <v/>
      </c>
      <c r="J212" s="21" t="n"/>
      <c r="K212" s="20" t="str">
        <f>IF(ISNUMBER(J212),J212,IF(ISNUMBER(F212),G212+H212+I212+ROUND(F212*'参数'!$C$16,2),""))</f>
        <v/>
      </c>
      <c r="L212" s="43" t="str">
        <f>IF(A212="","",IFERROR(T(INDEX('交易记录'!$C$5:$C$304,MATCH(A212,'交易记录'!$A$5:$A$304,0))),"编号没找到"))</f>
        <v/>
      </c>
      <c r="M212" s="57" t="str">
        <f>IF(AND(C212="买",ISNUMBER(B212)),WORKDAY(B212,1,'参数'!$B$58:$B$80),"")</f>
        <v/>
      </c>
      <c r="N212" s="36" t="str">
        <f>IF(C212&lt;&gt;"卖","",IF(AND(ISNUMBER(B212),A212&lt;&gt;""),IF(SUMIFS($E$5:$E$804,$A$5:$A$804,A212,$C$5:$C$804,"卖",$B$5:$B$804,"&lt;="&amp;B212)&gt;SUMIFS($E$5:$E$804,$A$5:$A$804,A212,$C$5:$C$804,"买",$B$5:$B$804,"&lt;"&amp;B212),"超出可卖股数","OK"),""))</f>
        <v/>
      </c>
      <c r="O212" s="32" t="n"/>
    </row>
    <row r="213">
      <c r="A213" s="46" t="n"/>
      <c r="B213" s="31" t="n"/>
      <c r="C213" s="27" t="n"/>
      <c r="D213" s="56" t="n"/>
      <c r="E213" s="17" t="n"/>
      <c r="F213" s="20" t="str">
        <f>IF(AND(ISNUMBER(D213),ISNUMBER(E213)),D213*E213,"")</f>
        <v/>
      </c>
      <c r="G213" s="51" t="str">
        <f>IF(ISNUMBER(F213),ROUND(MAX(F213*'参数'!$C$12,'参数'!$C$13),2),"")</f>
        <v/>
      </c>
      <c r="H213" s="51" t="str">
        <f>IF(ISNUMBER(F213),IF(C213="卖",ROUND(F213*'参数'!$C$14,2),0),"")</f>
        <v/>
      </c>
      <c r="I213" s="51" t="str">
        <f>IF(ISNUMBER(F213),ROUND(F213*'参数'!$C$15,2),"")</f>
        <v/>
      </c>
      <c r="J213" s="21" t="n"/>
      <c r="K213" s="20" t="str">
        <f>IF(ISNUMBER(J213),J213,IF(ISNUMBER(F213),G213+H213+I213+ROUND(F213*'参数'!$C$16,2),""))</f>
        <v/>
      </c>
      <c r="L213" s="43" t="str">
        <f>IF(A213="","",IFERROR(T(INDEX('交易记录'!$C$5:$C$304,MATCH(A213,'交易记录'!$A$5:$A$304,0))),"编号没找到"))</f>
        <v/>
      </c>
      <c r="M213" s="57" t="str">
        <f>IF(AND(C213="买",ISNUMBER(B213)),WORKDAY(B213,1,'参数'!$B$58:$B$80),"")</f>
        <v/>
      </c>
      <c r="N213" s="36" t="str">
        <f>IF(C213&lt;&gt;"卖","",IF(AND(ISNUMBER(B213),A213&lt;&gt;""),IF(SUMIFS($E$5:$E$804,$A$5:$A$804,A213,$C$5:$C$804,"卖",$B$5:$B$804,"&lt;="&amp;B213)&gt;SUMIFS($E$5:$E$804,$A$5:$A$804,A213,$C$5:$C$804,"买",$B$5:$B$804,"&lt;"&amp;B213),"超出可卖股数","OK"),""))</f>
        <v/>
      </c>
      <c r="O213" s="32" t="n"/>
    </row>
    <row r="214">
      <c r="A214" s="46" t="n"/>
      <c r="B214" s="31" t="n"/>
      <c r="C214" s="27" t="n"/>
      <c r="D214" s="56" t="n"/>
      <c r="E214" s="17" t="n"/>
      <c r="F214" s="20" t="str">
        <f>IF(AND(ISNUMBER(D214),ISNUMBER(E214)),D214*E214,"")</f>
        <v/>
      </c>
      <c r="G214" s="51" t="str">
        <f>IF(ISNUMBER(F214),ROUND(MAX(F214*'参数'!$C$12,'参数'!$C$13),2),"")</f>
        <v/>
      </c>
      <c r="H214" s="51" t="str">
        <f>IF(ISNUMBER(F214),IF(C214="卖",ROUND(F214*'参数'!$C$14,2),0),"")</f>
        <v/>
      </c>
      <c r="I214" s="51" t="str">
        <f>IF(ISNUMBER(F214),ROUND(F214*'参数'!$C$15,2),"")</f>
        <v/>
      </c>
      <c r="J214" s="21" t="n"/>
      <c r="K214" s="20" t="str">
        <f>IF(ISNUMBER(J214),J214,IF(ISNUMBER(F214),G214+H214+I214+ROUND(F214*'参数'!$C$16,2),""))</f>
        <v/>
      </c>
      <c r="L214" s="43" t="str">
        <f>IF(A214="","",IFERROR(T(INDEX('交易记录'!$C$5:$C$304,MATCH(A214,'交易记录'!$A$5:$A$304,0))),"编号没找到"))</f>
        <v/>
      </c>
      <c r="M214" s="57" t="str">
        <f>IF(AND(C214="买",ISNUMBER(B214)),WORKDAY(B214,1,'参数'!$B$58:$B$80),"")</f>
        <v/>
      </c>
      <c r="N214" s="36" t="str">
        <f>IF(C214&lt;&gt;"卖","",IF(AND(ISNUMBER(B214),A214&lt;&gt;""),IF(SUMIFS($E$5:$E$804,$A$5:$A$804,A214,$C$5:$C$804,"卖",$B$5:$B$804,"&lt;="&amp;B214)&gt;SUMIFS($E$5:$E$804,$A$5:$A$804,A214,$C$5:$C$804,"买",$B$5:$B$804,"&lt;"&amp;B214),"超出可卖股数","OK"),""))</f>
        <v/>
      </c>
      <c r="O214" s="32" t="n"/>
    </row>
    <row r="215">
      <c r="A215" s="46" t="n"/>
      <c r="B215" s="31" t="n"/>
      <c r="C215" s="27" t="n"/>
      <c r="D215" s="56" t="n"/>
      <c r="E215" s="17" t="n"/>
      <c r="F215" s="20" t="str">
        <f>IF(AND(ISNUMBER(D215),ISNUMBER(E215)),D215*E215,"")</f>
        <v/>
      </c>
      <c r="G215" s="51" t="str">
        <f>IF(ISNUMBER(F215),ROUND(MAX(F215*'参数'!$C$12,'参数'!$C$13),2),"")</f>
        <v/>
      </c>
      <c r="H215" s="51" t="str">
        <f>IF(ISNUMBER(F215),IF(C215="卖",ROUND(F215*'参数'!$C$14,2),0),"")</f>
        <v/>
      </c>
      <c r="I215" s="51" t="str">
        <f>IF(ISNUMBER(F215),ROUND(F215*'参数'!$C$15,2),"")</f>
        <v/>
      </c>
      <c r="J215" s="21" t="n"/>
      <c r="K215" s="20" t="str">
        <f>IF(ISNUMBER(J215),J215,IF(ISNUMBER(F215),G215+H215+I215+ROUND(F215*'参数'!$C$16,2),""))</f>
        <v/>
      </c>
      <c r="L215" s="43" t="str">
        <f>IF(A215="","",IFERROR(T(INDEX('交易记录'!$C$5:$C$304,MATCH(A215,'交易记录'!$A$5:$A$304,0))),"编号没找到"))</f>
        <v/>
      </c>
      <c r="M215" s="57" t="str">
        <f>IF(AND(C215="买",ISNUMBER(B215)),WORKDAY(B215,1,'参数'!$B$58:$B$80),"")</f>
        <v/>
      </c>
      <c r="N215" s="36" t="str">
        <f>IF(C215&lt;&gt;"卖","",IF(AND(ISNUMBER(B215),A215&lt;&gt;""),IF(SUMIFS($E$5:$E$804,$A$5:$A$804,A215,$C$5:$C$804,"卖",$B$5:$B$804,"&lt;="&amp;B215)&gt;SUMIFS($E$5:$E$804,$A$5:$A$804,A215,$C$5:$C$804,"买",$B$5:$B$804,"&lt;"&amp;B215),"超出可卖股数","OK"),""))</f>
        <v/>
      </c>
      <c r="O215" s="32" t="n"/>
    </row>
    <row r="216">
      <c r="A216" s="46" t="n"/>
      <c r="B216" s="31" t="n"/>
      <c r="C216" s="27" t="n"/>
      <c r="D216" s="56" t="n"/>
      <c r="E216" s="17" t="n"/>
      <c r="F216" s="20" t="str">
        <f>IF(AND(ISNUMBER(D216),ISNUMBER(E216)),D216*E216,"")</f>
        <v/>
      </c>
      <c r="G216" s="51" t="str">
        <f>IF(ISNUMBER(F216),ROUND(MAX(F216*'参数'!$C$12,'参数'!$C$13),2),"")</f>
        <v/>
      </c>
      <c r="H216" s="51" t="str">
        <f>IF(ISNUMBER(F216),IF(C216="卖",ROUND(F216*'参数'!$C$14,2),0),"")</f>
        <v/>
      </c>
      <c r="I216" s="51" t="str">
        <f>IF(ISNUMBER(F216),ROUND(F216*'参数'!$C$15,2),"")</f>
        <v/>
      </c>
      <c r="J216" s="21" t="n"/>
      <c r="K216" s="20" t="str">
        <f>IF(ISNUMBER(J216),J216,IF(ISNUMBER(F216),G216+H216+I216+ROUND(F216*'参数'!$C$16,2),""))</f>
        <v/>
      </c>
      <c r="L216" s="43" t="str">
        <f>IF(A216="","",IFERROR(T(INDEX('交易记录'!$C$5:$C$304,MATCH(A216,'交易记录'!$A$5:$A$304,0))),"编号没找到"))</f>
        <v/>
      </c>
      <c r="M216" s="57" t="str">
        <f>IF(AND(C216="买",ISNUMBER(B216)),WORKDAY(B216,1,'参数'!$B$58:$B$80),"")</f>
        <v/>
      </c>
      <c r="N216" s="36" t="str">
        <f>IF(C216&lt;&gt;"卖","",IF(AND(ISNUMBER(B216),A216&lt;&gt;""),IF(SUMIFS($E$5:$E$804,$A$5:$A$804,A216,$C$5:$C$804,"卖",$B$5:$B$804,"&lt;="&amp;B216)&gt;SUMIFS($E$5:$E$804,$A$5:$A$804,A216,$C$5:$C$804,"买",$B$5:$B$804,"&lt;"&amp;B216),"超出可卖股数","OK"),""))</f>
        <v/>
      </c>
      <c r="O216" s="32" t="n"/>
    </row>
    <row r="217">
      <c r="A217" s="46" t="n"/>
      <c r="B217" s="31" t="n"/>
      <c r="C217" s="27" t="n"/>
      <c r="D217" s="56" t="n"/>
      <c r="E217" s="17" t="n"/>
      <c r="F217" s="20" t="str">
        <f>IF(AND(ISNUMBER(D217),ISNUMBER(E217)),D217*E217,"")</f>
        <v/>
      </c>
      <c r="G217" s="51" t="str">
        <f>IF(ISNUMBER(F217),ROUND(MAX(F217*'参数'!$C$12,'参数'!$C$13),2),"")</f>
        <v/>
      </c>
      <c r="H217" s="51" t="str">
        <f>IF(ISNUMBER(F217),IF(C217="卖",ROUND(F217*'参数'!$C$14,2),0),"")</f>
        <v/>
      </c>
      <c r="I217" s="51" t="str">
        <f>IF(ISNUMBER(F217),ROUND(F217*'参数'!$C$15,2),"")</f>
        <v/>
      </c>
      <c r="J217" s="21" t="n"/>
      <c r="K217" s="20" t="str">
        <f>IF(ISNUMBER(J217),J217,IF(ISNUMBER(F217),G217+H217+I217+ROUND(F217*'参数'!$C$16,2),""))</f>
        <v/>
      </c>
      <c r="L217" s="43" t="str">
        <f>IF(A217="","",IFERROR(T(INDEX('交易记录'!$C$5:$C$304,MATCH(A217,'交易记录'!$A$5:$A$304,0))),"编号没找到"))</f>
        <v/>
      </c>
      <c r="M217" s="57" t="str">
        <f>IF(AND(C217="买",ISNUMBER(B217)),WORKDAY(B217,1,'参数'!$B$58:$B$80),"")</f>
        <v/>
      </c>
      <c r="N217" s="36" t="str">
        <f>IF(C217&lt;&gt;"卖","",IF(AND(ISNUMBER(B217),A217&lt;&gt;""),IF(SUMIFS($E$5:$E$804,$A$5:$A$804,A217,$C$5:$C$804,"卖",$B$5:$B$804,"&lt;="&amp;B217)&gt;SUMIFS($E$5:$E$804,$A$5:$A$804,A217,$C$5:$C$804,"买",$B$5:$B$804,"&lt;"&amp;B217),"超出可卖股数","OK"),""))</f>
        <v/>
      </c>
      <c r="O217" s="32" t="n"/>
    </row>
    <row r="218">
      <c r="A218" s="46" t="n"/>
      <c r="B218" s="31" t="n"/>
      <c r="C218" s="27" t="n"/>
      <c r="D218" s="56" t="n"/>
      <c r="E218" s="17" t="n"/>
      <c r="F218" s="20" t="str">
        <f>IF(AND(ISNUMBER(D218),ISNUMBER(E218)),D218*E218,"")</f>
        <v/>
      </c>
      <c r="G218" s="51" t="str">
        <f>IF(ISNUMBER(F218),ROUND(MAX(F218*'参数'!$C$12,'参数'!$C$13),2),"")</f>
        <v/>
      </c>
      <c r="H218" s="51" t="str">
        <f>IF(ISNUMBER(F218),IF(C218="卖",ROUND(F218*'参数'!$C$14,2),0),"")</f>
        <v/>
      </c>
      <c r="I218" s="51" t="str">
        <f>IF(ISNUMBER(F218),ROUND(F218*'参数'!$C$15,2),"")</f>
        <v/>
      </c>
      <c r="J218" s="21" t="n"/>
      <c r="K218" s="20" t="str">
        <f>IF(ISNUMBER(J218),J218,IF(ISNUMBER(F218),G218+H218+I218+ROUND(F218*'参数'!$C$16,2),""))</f>
        <v/>
      </c>
      <c r="L218" s="43" t="str">
        <f>IF(A218="","",IFERROR(T(INDEX('交易记录'!$C$5:$C$304,MATCH(A218,'交易记录'!$A$5:$A$304,0))),"编号没找到"))</f>
        <v/>
      </c>
      <c r="M218" s="57" t="str">
        <f>IF(AND(C218="买",ISNUMBER(B218)),WORKDAY(B218,1,'参数'!$B$58:$B$80),"")</f>
        <v/>
      </c>
      <c r="N218" s="36" t="str">
        <f>IF(C218&lt;&gt;"卖","",IF(AND(ISNUMBER(B218),A218&lt;&gt;""),IF(SUMIFS($E$5:$E$804,$A$5:$A$804,A218,$C$5:$C$804,"卖",$B$5:$B$804,"&lt;="&amp;B218)&gt;SUMIFS($E$5:$E$804,$A$5:$A$804,A218,$C$5:$C$804,"买",$B$5:$B$804,"&lt;"&amp;B218),"超出可卖股数","OK"),""))</f>
        <v/>
      </c>
      <c r="O218" s="32" t="n"/>
    </row>
    <row r="219">
      <c r="A219" s="46" t="n"/>
      <c r="B219" s="31" t="n"/>
      <c r="C219" s="27" t="n"/>
      <c r="D219" s="56" t="n"/>
      <c r="E219" s="17" t="n"/>
      <c r="F219" s="20" t="str">
        <f>IF(AND(ISNUMBER(D219),ISNUMBER(E219)),D219*E219,"")</f>
        <v/>
      </c>
      <c r="G219" s="51" t="str">
        <f>IF(ISNUMBER(F219),ROUND(MAX(F219*'参数'!$C$12,'参数'!$C$13),2),"")</f>
        <v/>
      </c>
      <c r="H219" s="51" t="str">
        <f>IF(ISNUMBER(F219),IF(C219="卖",ROUND(F219*'参数'!$C$14,2),0),"")</f>
        <v/>
      </c>
      <c r="I219" s="51" t="str">
        <f>IF(ISNUMBER(F219),ROUND(F219*'参数'!$C$15,2),"")</f>
        <v/>
      </c>
      <c r="J219" s="21" t="n"/>
      <c r="K219" s="20" t="str">
        <f>IF(ISNUMBER(J219),J219,IF(ISNUMBER(F219),G219+H219+I219+ROUND(F219*'参数'!$C$16,2),""))</f>
        <v/>
      </c>
      <c r="L219" s="43" t="str">
        <f>IF(A219="","",IFERROR(T(INDEX('交易记录'!$C$5:$C$304,MATCH(A219,'交易记录'!$A$5:$A$304,0))),"编号没找到"))</f>
        <v/>
      </c>
      <c r="M219" s="57" t="str">
        <f>IF(AND(C219="买",ISNUMBER(B219)),WORKDAY(B219,1,'参数'!$B$58:$B$80),"")</f>
        <v/>
      </c>
      <c r="N219" s="36" t="str">
        <f>IF(C219&lt;&gt;"卖","",IF(AND(ISNUMBER(B219),A219&lt;&gt;""),IF(SUMIFS($E$5:$E$804,$A$5:$A$804,A219,$C$5:$C$804,"卖",$B$5:$B$804,"&lt;="&amp;B219)&gt;SUMIFS($E$5:$E$804,$A$5:$A$804,A219,$C$5:$C$804,"买",$B$5:$B$804,"&lt;"&amp;B219),"超出可卖股数","OK"),""))</f>
        <v/>
      </c>
      <c r="O219" s="32" t="n"/>
    </row>
    <row r="220">
      <c r="A220" s="46" t="n"/>
      <c r="B220" s="31" t="n"/>
      <c r="C220" s="27" t="n"/>
      <c r="D220" s="56" t="n"/>
      <c r="E220" s="17" t="n"/>
      <c r="F220" s="20" t="str">
        <f>IF(AND(ISNUMBER(D220),ISNUMBER(E220)),D220*E220,"")</f>
        <v/>
      </c>
      <c r="G220" s="51" t="str">
        <f>IF(ISNUMBER(F220),ROUND(MAX(F220*'参数'!$C$12,'参数'!$C$13),2),"")</f>
        <v/>
      </c>
      <c r="H220" s="51" t="str">
        <f>IF(ISNUMBER(F220),IF(C220="卖",ROUND(F220*'参数'!$C$14,2),0),"")</f>
        <v/>
      </c>
      <c r="I220" s="51" t="str">
        <f>IF(ISNUMBER(F220),ROUND(F220*'参数'!$C$15,2),"")</f>
        <v/>
      </c>
      <c r="J220" s="21" t="n"/>
      <c r="K220" s="20" t="str">
        <f>IF(ISNUMBER(J220),J220,IF(ISNUMBER(F220),G220+H220+I220+ROUND(F220*'参数'!$C$16,2),""))</f>
        <v/>
      </c>
      <c r="L220" s="43" t="str">
        <f>IF(A220="","",IFERROR(T(INDEX('交易记录'!$C$5:$C$304,MATCH(A220,'交易记录'!$A$5:$A$304,0))),"编号没找到"))</f>
        <v/>
      </c>
      <c r="M220" s="57" t="str">
        <f>IF(AND(C220="买",ISNUMBER(B220)),WORKDAY(B220,1,'参数'!$B$58:$B$80),"")</f>
        <v/>
      </c>
      <c r="N220" s="36" t="str">
        <f>IF(C220&lt;&gt;"卖","",IF(AND(ISNUMBER(B220),A220&lt;&gt;""),IF(SUMIFS($E$5:$E$804,$A$5:$A$804,A220,$C$5:$C$804,"卖",$B$5:$B$804,"&lt;="&amp;B220)&gt;SUMIFS($E$5:$E$804,$A$5:$A$804,A220,$C$5:$C$804,"买",$B$5:$B$804,"&lt;"&amp;B220),"超出可卖股数","OK"),""))</f>
        <v/>
      </c>
      <c r="O220" s="32" t="n"/>
    </row>
    <row r="221">
      <c r="A221" s="46" t="n"/>
      <c r="B221" s="31" t="n"/>
      <c r="C221" s="27" t="n"/>
      <c r="D221" s="56" t="n"/>
      <c r="E221" s="17" t="n"/>
      <c r="F221" s="20" t="str">
        <f>IF(AND(ISNUMBER(D221),ISNUMBER(E221)),D221*E221,"")</f>
        <v/>
      </c>
      <c r="G221" s="51" t="str">
        <f>IF(ISNUMBER(F221),ROUND(MAX(F221*'参数'!$C$12,'参数'!$C$13),2),"")</f>
        <v/>
      </c>
      <c r="H221" s="51" t="str">
        <f>IF(ISNUMBER(F221),IF(C221="卖",ROUND(F221*'参数'!$C$14,2),0),"")</f>
        <v/>
      </c>
      <c r="I221" s="51" t="str">
        <f>IF(ISNUMBER(F221),ROUND(F221*'参数'!$C$15,2),"")</f>
        <v/>
      </c>
      <c r="J221" s="21" t="n"/>
      <c r="K221" s="20" t="str">
        <f>IF(ISNUMBER(J221),J221,IF(ISNUMBER(F221),G221+H221+I221+ROUND(F221*'参数'!$C$16,2),""))</f>
        <v/>
      </c>
      <c r="L221" s="43" t="str">
        <f>IF(A221="","",IFERROR(T(INDEX('交易记录'!$C$5:$C$304,MATCH(A221,'交易记录'!$A$5:$A$304,0))),"编号没找到"))</f>
        <v/>
      </c>
      <c r="M221" s="57" t="str">
        <f>IF(AND(C221="买",ISNUMBER(B221)),WORKDAY(B221,1,'参数'!$B$58:$B$80),"")</f>
        <v/>
      </c>
      <c r="N221" s="36" t="str">
        <f>IF(C221&lt;&gt;"卖","",IF(AND(ISNUMBER(B221),A221&lt;&gt;""),IF(SUMIFS($E$5:$E$804,$A$5:$A$804,A221,$C$5:$C$804,"卖",$B$5:$B$804,"&lt;="&amp;B221)&gt;SUMIFS($E$5:$E$804,$A$5:$A$804,A221,$C$5:$C$804,"买",$B$5:$B$804,"&lt;"&amp;B221),"超出可卖股数","OK"),""))</f>
        <v/>
      </c>
      <c r="O221" s="32" t="n"/>
    </row>
    <row r="222">
      <c r="A222" s="46" t="n"/>
      <c r="B222" s="31" t="n"/>
      <c r="C222" s="27" t="n"/>
      <c r="D222" s="56" t="n"/>
      <c r="E222" s="17" t="n"/>
      <c r="F222" s="20" t="str">
        <f>IF(AND(ISNUMBER(D222),ISNUMBER(E222)),D222*E222,"")</f>
        <v/>
      </c>
      <c r="G222" s="51" t="str">
        <f>IF(ISNUMBER(F222),ROUND(MAX(F222*'参数'!$C$12,'参数'!$C$13),2),"")</f>
        <v/>
      </c>
      <c r="H222" s="51" t="str">
        <f>IF(ISNUMBER(F222),IF(C222="卖",ROUND(F222*'参数'!$C$14,2),0),"")</f>
        <v/>
      </c>
      <c r="I222" s="51" t="str">
        <f>IF(ISNUMBER(F222),ROUND(F222*'参数'!$C$15,2),"")</f>
        <v/>
      </c>
      <c r="J222" s="21" t="n"/>
      <c r="K222" s="20" t="str">
        <f>IF(ISNUMBER(J222),J222,IF(ISNUMBER(F222),G222+H222+I222+ROUND(F222*'参数'!$C$16,2),""))</f>
        <v/>
      </c>
      <c r="L222" s="43" t="str">
        <f>IF(A222="","",IFERROR(T(INDEX('交易记录'!$C$5:$C$304,MATCH(A222,'交易记录'!$A$5:$A$304,0))),"编号没找到"))</f>
        <v/>
      </c>
      <c r="M222" s="57" t="str">
        <f>IF(AND(C222="买",ISNUMBER(B222)),WORKDAY(B222,1,'参数'!$B$58:$B$80),"")</f>
        <v/>
      </c>
      <c r="N222" s="36" t="str">
        <f>IF(C222&lt;&gt;"卖","",IF(AND(ISNUMBER(B222),A222&lt;&gt;""),IF(SUMIFS($E$5:$E$804,$A$5:$A$804,A222,$C$5:$C$804,"卖",$B$5:$B$804,"&lt;="&amp;B222)&gt;SUMIFS($E$5:$E$804,$A$5:$A$804,A222,$C$5:$C$804,"买",$B$5:$B$804,"&lt;"&amp;B222),"超出可卖股数","OK"),""))</f>
        <v/>
      </c>
      <c r="O222" s="32" t="n"/>
    </row>
    <row r="223">
      <c r="A223" s="46" t="n"/>
      <c r="B223" s="31" t="n"/>
      <c r="C223" s="27" t="n"/>
      <c r="D223" s="56" t="n"/>
      <c r="E223" s="17" t="n"/>
      <c r="F223" s="20" t="str">
        <f>IF(AND(ISNUMBER(D223),ISNUMBER(E223)),D223*E223,"")</f>
        <v/>
      </c>
      <c r="G223" s="51" t="str">
        <f>IF(ISNUMBER(F223),ROUND(MAX(F223*'参数'!$C$12,'参数'!$C$13),2),"")</f>
        <v/>
      </c>
      <c r="H223" s="51" t="str">
        <f>IF(ISNUMBER(F223),IF(C223="卖",ROUND(F223*'参数'!$C$14,2),0),"")</f>
        <v/>
      </c>
      <c r="I223" s="51" t="str">
        <f>IF(ISNUMBER(F223),ROUND(F223*'参数'!$C$15,2),"")</f>
        <v/>
      </c>
      <c r="J223" s="21" t="n"/>
      <c r="K223" s="20" t="str">
        <f>IF(ISNUMBER(J223),J223,IF(ISNUMBER(F223),G223+H223+I223+ROUND(F223*'参数'!$C$16,2),""))</f>
        <v/>
      </c>
      <c r="L223" s="43" t="str">
        <f>IF(A223="","",IFERROR(T(INDEX('交易记录'!$C$5:$C$304,MATCH(A223,'交易记录'!$A$5:$A$304,0))),"编号没找到"))</f>
        <v/>
      </c>
      <c r="M223" s="57" t="str">
        <f>IF(AND(C223="买",ISNUMBER(B223)),WORKDAY(B223,1,'参数'!$B$58:$B$80),"")</f>
        <v/>
      </c>
      <c r="N223" s="36" t="str">
        <f>IF(C223&lt;&gt;"卖","",IF(AND(ISNUMBER(B223),A223&lt;&gt;""),IF(SUMIFS($E$5:$E$804,$A$5:$A$804,A223,$C$5:$C$804,"卖",$B$5:$B$804,"&lt;="&amp;B223)&gt;SUMIFS($E$5:$E$804,$A$5:$A$804,A223,$C$5:$C$804,"买",$B$5:$B$804,"&lt;"&amp;B223),"超出可卖股数","OK"),""))</f>
        <v/>
      </c>
      <c r="O223" s="32" t="n"/>
    </row>
    <row r="224">
      <c r="A224" s="46" t="n"/>
      <c r="B224" s="31" t="n"/>
      <c r="C224" s="27" t="n"/>
      <c r="D224" s="56" t="n"/>
      <c r="E224" s="17" t="n"/>
      <c r="F224" s="20" t="str">
        <f>IF(AND(ISNUMBER(D224),ISNUMBER(E224)),D224*E224,"")</f>
        <v/>
      </c>
      <c r="G224" s="51" t="str">
        <f>IF(ISNUMBER(F224),ROUND(MAX(F224*'参数'!$C$12,'参数'!$C$13),2),"")</f>
        <v/>
      </c>
      <c r="H224" s="51" t="str">
        <f>IF(ISNUMBER(F224),IF(C224="卖",ROUND(F224*'参数'!$C$14,2),0),"")</f>
        <v/>
      </c>
      <c r="I224" s="51" t="str">
        <f>IF(ISNUMBER(F224),ROUND(F224*'参数'!$C$15,2),"")</f>
        <v/>
      </c>
      <c r="J224" s="21" t="n"/>
      <c r="K224" s="20" t="str">
        <f>IF(ISNUMBER(J224),J224,IF(ISNUMBER(F224),G224+H224+I224+ROUND(F224*'参数'!$C$16,2),""))</f>
        <v/>
      </c>
      <c r="L224" s="43" t="str">
        <f>IF(A224="","",IFERROR(T(INDEX('交易记录'!$C$5:$C$304,MATCH(A224,'交易记录'!$A$5:$A$304,0))),"编号没找到"))</f>
        <v/>
      </c>
      <c r="M224" s="57" t="str">
        <f>IF(AND(C224="买",ISNUMBER(B224)),WORKDAY(B224,1,'参数'!$B$58:$B$80),"")</f>
        <v/>
      </c>
      <c r="N224" s="36" t="str">
        <f>IF(C224&lt;&gt;"卖","",IF(AND(ISNUMBER(B224),A224&lt;&gt;""),IF(SUMIFS($E$5:$E$804,$A$5:$A$804,A224,$C$5:$C$804,"卖",$B$5:$B$804,"&lt;="&amp;B224)&gt;SUMIFS($E$5:$E$804,$A$5:$A$804,A224,$C$5:$C$804,"买",$B$5:$B$804,"&lt;"&amp;B224),"超出可卖股数","OK"),""))</f>
        <v/>
      </c>
      <c r="O224" s="32" t="n"/>
    </row>
    <row r="225">
      <c r="A225" s="46" t="n"/>
      <c r="B225" s="31" t="n"/>
      <c r="C225" s="27" t="n"/>
      <c r="D225" s="56" t="n"/>
      <c r="E225" s="17" t="n"/>
      <c r="F225" s="20" t="str">
        <f>IF(AND(ISNUMBER(D225),ISNUMBER(E225)),D225*E225,"")</f>
        <v/>
      </c>
      <c r="G225" s="51" t="str">
        <f>IF(ISNUMBER(F225),ROUND(MAX(F225*'参数'!$C$12,'参数'!$C$13),2),"")</f>
        <v/>
      </c>
      <c r="H225" s="51" t="str">
        <f>IF(ISNUMBER(F225),IF(C225="卖",ROUND(F225*'参数'!$C$14,2),0),"")</f>
        <v/>
      </c>
      <c r="I225" s="51" t="str">
        <f>IF(ISNUMBER(F225),ROUND(F225*'参数'!$C$15,2),"")</f>
        <v/>
      </c>
      <c r="J225" s="21" t="n"/>
      <c r="K225" s="20" t="str">
        <f>IF(ISNUMBER(J225),J225,IF(ISNUMBER(F225),G225+H225+I225+ROUND(F225*'参数'!$C$16,2),""))</f>
        <v/>
      </c>
      <c r="L225" s="43" t="str">
        <f>IF(A225="","",IFERROR(T(INDEX('交易记录'!$C$5:$C$304,MATCH(A225,'交易记录'!$A$5:$A$304,0))),"编号没找到"))</f>
        <v/>
      </c>
      <c r="M225" s="57" t="str">
        <f>IF(AND(C225="买",ISNUMBER(B225)),WORKDAY(B225,1,'参数'!$B$58:$B$80),"")</f>
        <v/>
      </c>
      <c r="N225" s="36" t="str">
        <f>IF(C225&lt;&gt;"卖","",IF(AND(ISNUMBER(B225),A225&lt;&gt;""),IF(SUMIFS($E$5:$E$804,$A$5:$A$804,A225,$C$5:$C$804,"卖",$B$5:$B$804,"&lt;="&amp;B225)&gt;SUMIFS($E$5:$E$804,$A$5:$A$804,A225,$C$5:$C$804,"买",$B$5:$B$804,"&lt;"&amp;B225),"超出可卖股数","OK"),""))</f>
        <v/>
      </c>
      <c r="O225" s="32" t="n"/>
    </row>
    <row r="226">
      <c r="A226" s="46" t="n"/>
      <c r="B226" s="31" t="n"/>
      <c r="C226" s="27" t="n"/>
      <c r="D226" s="56" t="n"/>
      <c r="E226" s="17" t="n"/>
      <c r="F226" s="20" t="str">
        <f>IF(AND(ISNUMBER(D226),ISNUMBER(E226)),D226*E226,"")</f>
        <v/>
      </c>
      <c r="G226" s="51" t="str">
        <f>IF(ISNUMBER(F226),ROUND(MAX(F226*'参数'!$C$12,'参数'!$C$13),2),"")</f>
        <v/>
      </c>
      <c r="H226" s="51" t="str">
        <f>IF(ISNUMBER(F226),IF(C226="卖",ROUND(F226*'参数'!$C$14,2),0),"")</f>
        <v/>
      </c>
      <c r="I226" s="51" t="str">
        <f>IF(ISNUMBER(F226),ROUND(F226*'参数'!$C$15,2),"")</f>
        <v/>
      </c>
      <c r="J226" s="21" t="n"/>
      <c r="K226" s="20" t="str">
        <f>IF(ISNUMBER(J226),J226,IF(ISNUMBER(F226),G226+H226+I226+ROUND(F226*'参数'!$C$16,2),""))</f>
        <v/>
      </c>
      <c r="L226" s="43" t="str">
        <f>IF(A226="","",IFERROR(T(INDEX('交易记录'!$C$5:$C$304,MATCH(A226,'交易记录'!$A$5:$A$304,0))),"编号没找到"))</f>
        <v/>
      </c>
      <c r="M226" s="57" t="str">
        <f>IF(AND(C226="买",ISNUMBER(B226)),WORKDAY(B226,1,'参数'!$B$58:$B$80),"")</f>
        <v/>
      </c>
      <c r="N226" s="36" t="str">
        <f>IF(C226&lt;&gt;"卖","",IF(AND(ISNUMBER(B226),A226&lt;&gt;""),IF(SUMIFS($E$5:$E$804,$A$5:$A$804,A226,$C$5:$C$804,"卖",$B$5:$B$804,"&lt;="&amp;B226)&gt;SUMIFS($E$5:$E$804,$A$5:$A$804,A226,$C$5:$C$804,"买",$B$5:$B$804,"&lt;"&amp;B226),"超出可卖股数","OK"),""))</f>
        <v/>
      </c>
      <c r="O226" s="32" t="n"/>
    </row>
    <row r="227">
      <c r="A227" s="46" t="n"/>
      <c r="B227" s="31" t="n"/>
      <c r="C227" s="27" t="n"/>
      <c r="D227" s="56" t="n"/>
      <c r="E227" s="17" t="n"/>
      <c r="F227" s="20" t="str">
        <f>IF(AND(ISNUMBER(D227),ISNUMBER(E227)),D227*E227,"")</f>
        <v/>
      </c>
      <c r="G227" s="51" t="str">
        <f>IF(ISNUMBER(F227),ROUND(MAX(F227*'参数'!$C$12,'参数'!$C$13),2),"")</f>
        <v/>
      </c>
      <c r="H227" s="51" t="str">
        <f>IF(ISNUMBER(F227),IF(C227="卖",ROUND(F227*'参数'!$C$14,2),0),"")</f>
        <v/>
      </c>
      <c r="I227" s="51" t="str">
        <f>IF(ISNUMBER(F227),ROUND(F227*'参数'!$C$15,2),"")</f>
        <v/>
      </c>
      <c r="J227" s="21" t="n"/>
      <c r="K227" s="20" t="str">
        <f>IF(ISNUMBER(J227),J227,IF(ISNUMBER(F227),G227+H227+I227+ROUND(F227*'参数'!$C$16,2),""))</f>
        <v/>
      </c>
      <c r="L227" s="43" t="str">
        <f>IF(A227="","",IFERROR(T(INDEX('交易记录'!$C$5:$C$304,MATCH(A227,'交易记录'!$A$5:$A$304,0))),"编号没找到"))</f>
        <v/>
      </c>
      <c r="M227" s="57" t="str">
        <f>IF(AND(C227="买",ISNUMBER(B227)),WORKDAY(B227,1,'参数'!$B$58:$B$80),"")</f>
        <v/>
      </c>
      <c r="N227" s="36" t="str">
        <f>IF(C227&lt;&gt;"卖","",IF(AND(ISNUMBER(B227),A227&lt;&gt;""),IF(SUMIFS($E$5:$E$804,$A$5:$A$804,A227,$C$5:$C$804,"卖",$B$5:$B$804,"&lt;="&amp;B227)&gt;SUMIFS($E$5:$E$804,$A$5:$A$804,A227,$C$5:$C$804,"买",$B$5:$B$804,"&lt;"&amp;B227),"超出可卖股数","OK"),""))</f>
        <v/>
      </c>
      <c r="O227" s="32" t="n"/>
    </row>
    <row r="228">
      <c r="A228" s="46" t="n"/>
      <c r="B228" s="31" t="n"/>
      <c r="C228" s="27" t="n"/>
      <c r="D228" s="56" t="n"/>
      <c r="E228" s="17" t="n"/>
      <c r="F228" s="20" t="str">
        <f>IF(AND(ISNUMBER(D228),ISNUMBER(E228)),D228*E228,"")</f>
        <v/>
      </c>
      <c r="G228" s="51" t="str">
        <f>IF(ISNUMBER(F228),ROUND(MAX(F228*'参数'!$C$12,'参数'!$C$13),2),"")</f>
        <v/>
      </c>
      <c r="H228" s="51" t="str">
        <f>IF(ISNUMBER(F228),IF(C228="卖",ROUND(F228*'参数'!$C$14,2),0),"")</f>
        <v/>
      </c>
      <c r="I228" s="51" t="str">
        <f>IF(ISNUMBER(F228),ROUND(F228*'参数'!$C$15,2),"")</f>
        <v/>
      </c>
      <c r="J228" s="21" t="n"/>
      <c r="K228" s="20" t="str">
        <f>IF(ISNUMBER(J228),J228,IF(ISNUMBER(F228),G228+H228+I228+ROUND(F228*'参数'!$C$16,2),""))</f>
        <v/>
      </c>
      <c r="L228" s="43" t="str">
        <f>IF(A228="","",IFERROR(T(INDEX('交易记录'!$C$5:$C$304,MATCH(A228,'交易记录'!$A$5:$A$304,0))),"编号没找到"))</f>
        <v/>
      </c>
      <c r="M228" s="57" t="str">
        <f>IF(AND(C228="买",ISNUMBER(B228)),WORKDAY(B228,1,'参数'!$B$58:$B$80),"")</f>
        <v/>
      </c>
      <c r="N228" s="36" t="str">
        <f>IF(C228&lt;&gt;"卖","",IF(AND(ISNUMBER(B228),A228&lt;&gt;""),IF(SUMIFS($E$5:$E$804,$A$5:$A$804,A228,$C$5:$C$804,"卖",$B$5:$B$804,"&lt;="&amp;B228)&gt;SUMIFS($E$5:$E$804,$A$5:$A$804,A228,$C$5:$C$804,"买",$B$5:$B$804,"&lt;"&amp;B228),"超出可卖股数","OK"),""))</f>
        <v/>
      </c>
      <c r="O228" s="32" t="n"/>
    </row>
    <row r="229">
      <c r="A229" s="46" t="n"/>
      <c r="B229" s="31" t="n"/>
      <c r="C229" s="27" t="n"/>
      <c r="D229" s="56" t="n"/>
      <c r="E229" s="17" t="n"/>
      <c r="F229" s="20" t="str">
        <f>IF(AND(ISNUMBER(D229),ISNUMBER(E229)),D229*E229,"")</f>
        <v/>
      </c>
      <c r="G229" s="51" t="str">
        <f>IF(ISNUMBER(F229),ROUND(MAX(F229*'参数'!$C$12,'参数'!$C$13),2),"")</f>
        <v/>
      </c>
      <c r="H229" s="51" t="str">
        <f>IF(ISNUMBER(F229),IF(C229="卖",ROUND(F229*'参数'!$C$14,2),0),"")</f>
        <v/>
      </c>
      <c r="I229" s="51" t="str">
        <f>IF(ISNUMBER(F229),ROUND(F229*'参数'!$C$15,2),"")</f>
        <v/>
      </c>
      <c r="J229" s="21" t="n"/>
      <c r="K229" s="20" t="str">
        <f>IF(ISNUMBER(J229),J229,IF(ISNUMBER(F229),G229+H229+I229+ROUND(F229*'参数'!$C$16,2),""))</f>
        <v/>
      </c>
      <c r="L229" s="43" t="str">
        <f>IF(A229="","",IFERROR(T(INDEX('交易记录'!$C$5:$C$304,MATCH(A229,'交易记录'!$A$5:$A$304,0))),"编号没找到"))</f>
        <v/>
      </c>
      <c r="M229" s="57" t="str">
        <f>IF(AND(C229="买",ISNUMBER(B229)),WORKDAY(B229,1,'参数'!$B$58:$B$80),"")</f>
        <v/>
      </c>
      <c r="N229" s="36" t="str">
        <f>IF(C229&lt;&gt;"卖","",IF(AND(ISNUMBER(B229),A229&lt;&gt;""),IF(SUMIFS($E$5:$E$804,$A$5:$A$804,A229,$C$5:$C$804,"卖",$B$5:$B$804,"&lt;="&amp;B229)&gt;SUMIFS($E$5:$E$804,$A$5:$A$804,A229,$C$5:$C$804,"买",$B$5:$B$804,"&lt;"&amp;B229),"超出可卖股数","OK"),""))</f>
        <v/>
      </c>
      <c r="O229" s="32" t="n"/>
    </row>
    <row r="230">
      <c r="A230" s="46" t="n"/>
      <c r="B230" s="31" t="n"/>
      <c r="C230" s="27" t="n"/>
      <c r="D230" s="56" t="n"/>
      <c r="E230" s="17" t="n"/>
      <c r="F230" s="20" t="str">
        <f>IF(AND(ISNUMBER(D230),ISNUMBER(E230)),D230*E230,"")</f>
        <v/>
      </c>
      <c r="G230" s="51" t="str">
        <f>IF(ISNUMBER(F230),ROUND(MAX(F230*'参数'!$C$12,'参数'!$C$13),2),"")</f>
        <v/>
      </c>
      <c r="H230" s="51" t="str">
        <f>IF(ISNUMBER(F230),IF(C230="卖",ROUND(F230*'参数'!$C$14,2),0),"")</f>
        <v/>
      </c>
      <c r="I230" s="51" t="str">
        <f>IF(ISNUMBER(F230),ROUND(F230*'参数'!$C$15,2),"")</f>
        <v/>
      </c>
      <c r="J230" s="21" t="n"/>
      <c r="K230" s="20" t="str">
        <f>IF(ISNUMBER(J230),J230,IF(ISNUMBER(F230),G230+H230+I230+ROUND(F230*'参数'!$C$16,2),""))</f>
        <v/>
      </c>
      <c r="L230" s="43" t="str">
        <f>IF(A230="","",IFERROR(T(INDEX('交易记录'!$C$5:$C$304,MATCH(A230,'交易记录'!$A$5:$A$304,0))),"编号没找到"))</f>
        <v/>
      </c>
      <c r="M230" s="57" t="str">
        <f>IF(AND(C230="买",ISNUMBER(B230)),WORKDAY(B230,1,'参数'!$B$58:$B$80),"")</f>
        <v/>
      </c>
      <c r="N230" s="36" t="str">
        <f>IF(C230&lt;&gt;"卖","",IF(AND(ISNUMBER(B230),A230&lt;&gt;""),IF(SUMIFS($E$5:$E$804,$A$5:$A$804,A230,$C$5:$C$804,"卖",$B$5:$B$804,"&lt;="&amp;B230)&gt;SUMIFS($E$5:$E$804,$A$5:$A$804,A230,$C$5:$C$804,"买",$B$5:$B$804,"&lt;"&amp;B230),"超出可卖股数","OK"),""))</f>
        <v/>
      </c>
      <c r="O230" s="32" t="n"/>
    </row>
    <row r="231">
      <c r="A231" s="46" t="n"/>
      <c r="B231" s="31" t="n"/>
      <c r="C231" s="27" t="n"/>
      <c r="D231" s="56" t="n"/>
      <c r="E231" s="17" t="n"/>
      <c r="F231" s="20" t="str">
        <f>IF(AND(ISNUMBER(D231),ISNUMBER(E231)),D231*E231,"")</f>
        <v/>
      </c>
      <c r="G231" s="51" t="str">
        <f>IF(ISNUMBER(F231),ROUND(MAX(F231*'参数'!$C$12,'参数'!$C$13),2),"")</f>
        <v/>
      </c>
      <c r="H231" s="51" t="str">
        <f>IF(ISNUMBER(F231),IF(C231="卖",ROUND(F231*'参数'!$C$14,2),0),"")</f>
        <v/>
      </c>
      <c r="I231" s="51" t="str">
        <f>IF(ISNUMBER(F231),ROUND(F231*'参数'!$C$15,2),"")</f>
        <v/>
      </c>
      <c r="J231" s="21" t="n"/>
      <c r="K231" s="20" t="str">
        <f>IF(ISNUMBER(J231),J231,IF(ISNUMBER(F231),G231+H231+I231+ROUND(F231*'参数'!$C$16,2),""))</f>
        <v/>
      </c>
      <c r="L231" s="43" t="str">
        <f>IF(A231="","",IFERROR(T(INDEX('交易记录'!$C$5:$C$304,MATCH(A231,'交易记录'!$A$5:$A$304,0))),"编号没找到"))</f>
        <v/>
      </c>
      <c r="M231" s="57" t="str">
        <f>IF(AND(C231="买",ISNUMBER(B231)),WORKDAY(B231,1,'参数'!$B$58:$B$80),"")</f>
        <v/>
      </c>
      <c r="N231" s="36" t="str">
        <f>IF(C231&lt;&gt;"卖","",IF(AND(ISNUMBER(B231),A231&lt;&gt;""),IF(SUMIFS($E$5:$E$804,$A$5:$A$804,A231,$C$5:$C$804,"卖",$B$5:$B$804,"&lt;="&amp;B231)&gt;SUMIFS($E$5:$E$804,$A$5:$A$804,A231,$C$5:$C$804,"买",$B$5:$B$804,"&lt;"&amp;B231),"超出可卖股数","OK"),""))</f>
        <v/>
      </c>
      <c r="O231" s="32" t="n"/>
    </row>
    <row r="232">
      <c r="A232" s="46" t="n"/>
      <c r="B232" s="31" t="n"/>
      <c r="C232" s="27" t="n"/>
      <c r="D232" s="56" t="n"/>
      <c r="E232" s="17" t="n"/>
      <c r="F232" s="20" t="str">
        <f>IF(AND(ISNUMBER(D232),ISNUMBER(E232)),D232*E232,"")</f>
        <v/>
      </c>
      <c r="G232" s="51" t="str">
        <f>IF(ISNUMBER(F232),ROUND(MAX(F232*'参数'!$C$12,'参数'!$C$13),2),"")</f>
        <v/>
      </c>
      <c r="H232" s="51" t="str">
        <f>IF(ISNUMBER(F232),IF(C232="卖",ROUND(F232*'参数'!$C$14,2),0),"")</f>
        <v/>
      </c>
      <c r="I232" s="51" t="str">
        <f>IF(ISNUMBER(F232),ROUND(F232*'参数'!$C$15,2),"")</f>
        <v/>
      </c>
      <c r="J232" s="21" t="n"/>
      <c r="K232" s="20" t="str">
        <f>IF(ISNUMBER(J232),J232,IF(ISNUMBER(F232),G232+H232+I232+ROUND(F232*'参数'!$C$16,2),""))</f>
        <v/>
      </c>
      <c r="L232" s="43" t="str">
        <f>IF(A232="","",IFERROR(T(INDEX('交易记录'!$C$5:$C$304,MATCH(A232,'交易记录'!$A$5:$A$304,0))),"编号没找到"))</f>
        <v/>
      </c>
      <c r="M232" s="57" t="str">
        <f>IF(AND(C232="买",ISNUMBER(B232)),WORKDAY(B232,1,'参数'!$B$58:$B$80),"")</f>
        <v/>
      </c>
      <c r="N232" s="36" t="str">
        <f>IF(C232&lt;&gt;"卖","",IF(AND(ISNUMBER(B232),A232&lt;&gt;""),IF(SUMIFS($E$5:$E$804,$A$5:$A$804,A232,$C$5:$C$804,"卖",$B$5:$B$804,"&lt;="&amp;B232)&gt;SUMIFS($E$5:$E$804,$A$5:$A$804,A232,$C$5:$C$804,"买",$B$5:$B$804,"&lt;"&amp;B232),"超出可卖股数","OK"),""))</f>
        <v/>
      </c>
      <c r="O232" s="32" t="n"/>
    </row>
    <row r="233">
      <c r="A233" s="46" t="n"/>
      <c r="B233" s="31" t="n"/>
      <c r="C233" s="27" t="n"/>
      <c r="D233" s="56" t="n"/>
      <c r="E233" s="17" t="n"/>
      <c r="F233" s="20" t="str">
        <f>IF(AND(ISNUMBER(D233),ISNUMBER(E233)),D233*E233,"")</f>
        <v/>
      </c>
      <c r="G233" s="51" t="str">
        <f>IF(ISNUMBER(F233),ROUND(MAX(F233*'参数'!$C$12,'参数'!$C$13),2),"")</f>
        <v/>
      </c>
      <c r="H233" s="51" t="str">
        <f>IF(ISNUMBER(F233),IF(C233="卖",ROUND(F233*'参数'!$C$14,2),0),"")</f>
        <v/>
      </c>
      <c r="I233" s="51" t="str">
        <f>IF(ISNUMBER(F233),ROUND(F233*'参数'!$C$15,2),"")</f>
        <v/>
      </c>
      <c r="J233" s="21" t="n"/>
      <c r="K233" s="20" t="str">
        <f>IF(ISNUMBER(J233),J233,IF(ISNUMBER(F233),G233+H233+I233+ROUND(F233*'参数'!$C$16,2),""))</f>
        <v/>
      </c>
      <c r="L233" s="43" t="str">
        <f>IF(A233="","",IFERROR(T(INDEX('交易记录'!$C$5:$C$304,MATCH(A233,'交易记录'!$A$5:$A$304,0))),"编号没找到"))</f>
        <v/>
      </c>
      <c r="M233" s="57" t="str">
        <f>IF(AND(C233="买",ISNUMBER(B233)),WORKDAY(B233,1,'参数'!$B$58:$B$80),"")</f>
        <v/>
      </c>
      <c r="N233" s="36" t="str">
        <f>IF(C233&lt;&gt;"卖","",IF(AND(ISNUMBER(B233),A233&lt;&gt;""),IF(SUMIFS($E$5:$E$804,$A$5:$A$804,A233,$C$5:$C$804,"卖",$B$5:$B$804,"&lt;="&amp;B233)&gt;SUMIFS($E$5:$E$804,$A$5:$A$804,A233,$C$5:$C$804,"买",$B$5:$B$804,"&lt;"&amp;B233),"超出可卖股数","OK"),""))</f>
        <v/>
      </c>
      <c r="O233" s="32" t="n"/>
    </row>
    <row r="234">
      <c r="A234" s="46" t="n"/>
      <c r="B234" s="31" t="n"/>
      <c r="C234" s="27" t="n"/>
      <c r="D234" s="56" t="n"/>
      <c r="E234" s="17" t="n"/>
      <c r="F234" s="20" t="str">
        <f>IF(AND(ISNUMBER(D234),ISNUMBER(E234)),D234*E234,"")</f>
        <v/>
      </c>
      <c r="G234" s="51" t="str">
        <f>IF(ISNUMBER(F234),ROUND(MAX(F234*'参数'!$C$12,'参数'!$C$13),2),"")</f>
        <v/>
      </c>
      <c r="H234" s="51" t="str">
        <f>IF(ISNUMBER(F234),IF(C234="卖",ROUND(F234*'参数'!$C$14,2),0),"")</f>
        <v/>
      </c>
      <c r="I234" s="51" t="str">
        <f>IF(ISNUMBER(F234),ROUND(F234*'参数'!$C$15,2),"")</f>
        <v/>
      </c>
      <c r="J234" s="21" t="n"/>
      <c r="K234" s="20" t="str">
        <f>IF(ISNUMBER(J234),J234,IF(ISNUMBER(F234),G234+H234+I234+ROUND(F234*'参数'!$C$16,2),""))</f>
        <v/>
      </c>
      <c r="L234" s="43" t="str">
        <f>IF(A234="","",IFERROR(T(INDEX('交易记录'!$C$5:$C$304,MATCH(A234,'交易记录'!$A$5:$A$304,0))),"编号没找到"))</f>
        <v/>
      </c>
      <c r="M234" s="57" t="str">
        <f>IF(AND(C234="买",ISNUMBER(B234)),WORKDAY(B234,1,'参数'!$B$58:$B$80),"")</f>
        <v/>
      </c>
      <c r="N234" s="36" t="str">
        <f>IF(C234&lt;&gt;"卖","",IF(AND(ISNUMBER(B234),A234&lt;&gt;""),IF(SUMIFS($E$5:$E$804,$A$5:$A$804,A234,$C$5:$C$804,"卖",$B$5:$B$804,"&lt;="&amp;B234)&gt;SUMIFS($E$5:$E$804,$A$5:$A$804,A234,$C$5:$C$804,"买",$B$5:$B$804,"&lt;"&amp;B234),"超出可卖股数","OK"),""))</f>
        <v/>
      </c>
      <c r="O234" s="32" t="n"/>
    </row>
    <row r="235">
      <c r="A235" s="46" t="n"/>
      <c r="B235" s="31" t="n"/>
      <c r="C235" s="27" t="n"/>
      <c r="D235" s="56" t="n"/>
      <c r="E235" s="17" t="n"/>
      <c r="F235" s="20" t="str">
        <f>IF(AND(ISNUMBER(D235),ISNUMBER(E235)),D235*E235,"")</f>
        <v/>
      </c>
      <c r="G235" s="51" t="str">
        <f>IF(ISNUMBER(F235),ROUND(MAX(F235*'参数'!$C$12,'参数'!$C$13),2),"")</f>
        <v/>
      </c>
      <c r="H235" s="51" t="str">
        <f>IF(ISNUMBER(F235),IF(C235="卖",ROUND(F235*'参数'!$C$14,2),0),"")</f>
        <v/>
      </c>
      <c r="I235" s="51" t="str">
        <f>IF(ISNUMBER(F235),ROUND(F235*'参数'!$C$15,2),"")</f>
        <v/>
      </c>
      <c r="J235" s="21" t="n"/>
      <c r="K235" s="20" t="str">
        <f>IF(ISNUMBER(J235),J235,IF(ISNUMBER(F235),G235+H235+I235+ROUND(F235*'参数'!$C$16,2),""))</f>
        <v/>
      </c>
      <c r="L235" s="43" t="str">
        <f>IF(A235="","",IFERROR(T(INDEX('交易记录'!$C$5:$C$304,MATCH(A235,'交易记录'!$A$5:$A$304,0))),"编号没找到"))</f>
        <v/>
      </c>
      <c r="M235" s="57" t="str">
        <f>IF(AND(C235="买",ISNUMBER(B235)),WORKDAY(B235,1,'参数'!$B$58:$B$80),"")</f>
        <v/>
      </c>
      <c r="N235" s="36" t="str">
        <f>IF(C235&lt;&gt;"卖","",IF(AND(ISNUMBER(B235),A235&lt;&gt;""),IF(SUMIFS($E$5:$E$804,$A$5:$A$804,A235,$C$5:$C$804,"卖",$B$5:$B$804,"&lt;="&amp;B235)&gt;SUMIFS($E$5:$E$804,$A$5:$A$804,A235,$C$5:$C$804,"买",$B$5:$B$804,"&lt;"&amp;B235),"超出可卖股数","OK"),""))</f>
        <v/>
      </c>
      <c r="O235" s="32" t="n"/>
    </row>
    <row r="236">
      <c r="A236" s="46" t="n"/>
      <c r="B236" s="31" t="n"/>
      <c r="C236" s="27" t="n"/>
      <c r="D236" s="56" t="n"/>
      <c r="E236" s="17" t="n"/>
      <c r="F236" s="20" t="str">
        <f>IF(AND(ISNUMBER(D236),ISNUMBER(E236)),D236*E236,"")</f>
        <v/>
      </c>
      <c r="G236" s="51" t="str">
        <f>IF(ISNUMBER(F236),ROUND(MAX(F236*'参数'!$C$12,'参数'!$C$13),2),"")</f>
        <v/>
      </c>
      <c r="H236" s="51" t="str">
        <f>IF(ISNUMBER(F236),IF(C236="卖",ROUND(F236*'参数'!$C$14,2),0),"")</f>
        <v/>
      </c>
      <c r="I236" s="51" t="str">
        <f>IF(ISNUMBER(F236),ROUND(F236*'参数'!$C$15,2),"")</f>
        <v/>
      </c>
      <c r="J236" s="21" t="n"/>
      <c r="K236" s="20" t="str">
        <f>IF(ISNUMBER(J236),J236,IF(ISNUMBER(F236),G236+H236+I236+ROUND(F236*'参数'!$C$16,2),""))</f>
        <v/>
      </c>
      <c r="L236" s="43" t="str">
        <f>IF(A236="","",IFERROR(T(INDEX('交易记录'!$C$5:$C$304,MATCH(A236,'交易记录'!$A$5:$A$304,0))),"编号没找到"))</f>
        <v/>
      </c>
      <c r="M236" s="57" t="str">
        <f>IF(AND(C236="买",ISNUMBER(B236)),WORKDAY(B236,1,'参数'!$B$58:$B$80),"")</f>
        <v/>
      </c>
      <c r="N236" s="36" t="str">
        <f>IF(C236&lt;&gt;"卖","",IF(AND(ISNUMBER(B236),A236&lt;&gt;""),IF(SUMIFS($E$5:$E$804,$A$5:$A$804,A236,$C$5:$C$804,"卖",$B$5:$B$804,"&lt;="&amp;B236)&gt;SUMIFS($E$5:$E$804,$A$5:$A$804,A236,$C$5:$C$804,"买",$B$5:$B$804,"&lt;"&amp;B236),"超出可卖股数","OK"),""))</f>
        <v/>
      </c>
      <c r="O236" s="32" t="n"/>
    </row>
    <row r="237">
      <c r="A237" s="46" t="n"/>
      <c r="B237" s="31" t="n"/>
      <c r="C237" s="27" t="n"/>
      <c r="D237" s="56" t="n"/>
      <c r="E237" s="17" t="n"/>
      <c r="F237" s="20" t="str">
        <f>IF(AND(ISNUMBER(D237),ISNUMBER(E237)),D237*E237,"")</f>
        <v/>
      </c>
      <c r="G237" s="51" t="str">
        <f>IF(ISNUMBER(F237),ROUND(MAX(F237*'参数'!$C$12,'参数'!$C$13),2),"")</f>
        <v/>
      </c>
      <c r="H237" s="51" t="str">
        <f>IF(ISNUMBER(F237),IF(C237="卖",ROUND(F237*'参数'!$C$14,2),0),"")</f>
        <v/>
      </c>
      <c r="I237" s="51" t="str">
        <f>IF(ISNUMBER(F237),ROUND(F237*'参数'!$C$15,2),"")</f>
        <v/>
      </c>
      <c r="J237" s="21" t="n"/>
      <c r="K237" s="20" t="str">
        <f>IF(ISNUMBER(J237),J237,IF(ISNUMBER(F237),G237+H237+I237+ROUND(F237*'参数'!$C$16,2),""))</f>
        <v/>
      </c>
      <c r="L237" s="43" t="str">
        <f>IF(A237="","",IFERROR(T(INDEX('交易记录'!$C$5:$C$304,MATCH(A237,'交易记录'!$A$5:$A$304,0))),"编号没找到"))</f>
        <v/>
      </c>
      <c r="M237" s="57" t="str">
        <f>IF(AND(C237="买",ISNUMBER(B237)),WORKDAY(B237,1,'参数'!$B$58:$B$80),"")</f>
        <v/>
      </c>
      <c r="N237" s="36" t="str">
        <f>IF(C237&lt;&gt;"卖","",IF(AND(ISNUMBER(B237),A237&lt;&gt;""),IF(SUMIFS($E$5:$E$804,$A$5:$A$804,A237,$C$5:$C$804,"卖",$B$5:$B$804,"&lt;="&amp;B237)&gt;SUMIFS($E$5:$E$804,$A$5:$A$804,A237,$C$5:$C$804,"买",$B$5:$B$804,"&lt;"&amp;B237),"超出可卖股数","OK"),""))</f>
        <v/>
      </c>
      <c r="O237" s="32" t="n"/>
    </row>
    <row r="238">
      <c r="A238" s="46" t="n"/>
      <c r="B238" s="31" t="n"/>
      <c r="C238" s="27" t="n"/>
      <c r="D238" s="56" t="n"/>
      <c r="E238" s="17" t="n"/>
      <c r="F238" s="20" t="str">
        <f>IF(AND(ISNUMBER(D238),ISNUMBER(E238)),D238*E238,"")</f>
        <v/>
      </c>
      <c r="G238" s="51" t="str">
        <f>IF(ISNUMBER(F238),ROUND(MAX(F238*'参数'!$C$12,'参数'!$C$13),2),"")</f>
        <v/>
      </c>
      <c r="H238" s="51" t="str">
        <f>IF(ISNUMBER(F238),IF(C238="卖",ROUND(F238*'参数'!$C$14,2),0),"")</f>
        <v/>
      </c>
      <c r="I238" s="51" t="str">
        <f>IF(ISNUMBER(F238),ROUND(F238*'参数'!$C$15,2),"")</f>
        <v/>
      </c>
      <c r="J238" s="21" t="n"/>
      <c r="K238" s="20" t="str">
        <f>IF(ISNUMBER(J238),J238,IF(ISNUMBER(F238),G238+H238+I238+ROUND(F238*'参数'!$C$16,2),""))</f>
        <v/>
      </c>
      <c r="L238" s="43" t="str">
        <f>IF(A238="","",IFERROR(T(INDEX('交易记录'!$C$5:$C$304,MATCH(A238,'交易记录'!$A$5:$A$304,0))),"编号没找到"))</f>
        <v/>
      </c>
      <c r="M238" s="57" t="str">
        <f>IF(AND(C238="买",ISNUMBER(B238)),WORKDAY(B238,1,'参数'!$B$58:$B$80),"")</f>
        <v/>
      </c>
      <c r="N238" s="36" t="str">
        <f>IF(C238&lt;&gt;"卖","",IF(AND(ISNUMBER(B238),A238&lt;&gt;""),IF(SUMIFS($E$5:$E$804,$A$5:$A$804,A238,$C$5:$C$804,"卖",$B$5:$B$804,"&lt;="&amp;B238)&gt;SUMIFS($E$5:$E$804,$A$5:$A$804,A238,$C$5:$C$804,"买",$B$5:$B$804,"&lt;"&amp;B238),"超出可卖股数","OK"),""))</f>
        <v/>
      </c>
      <c r="O238" s="32" t="n"/>
    </row>
    <row r="239">
      <c r="A239" s="46" t="n"/>
      <c r="B239" s="31" t="n"/>
      <c r="C239" s="27" t="n"/>
      <c r="D239" s="56" t="n"/>
      <c r="E239" s="17" t="n"/>
      <c r="F239" s="20" t="str">
        <f>IF(AND(ISNUMBER(D239),ISNUMBER(E239)),D239*E239,"")</f>
        <v/>
      </c>
      <c r="G239" s="51" t="str">
        <f>IF(ISNUMBER(F239),ROUND(MAX(F239*'参数'!$C$12,'参数'!$C$13),2),"")</f>
        <v/>
      </c>
      <c r="H239" s="51" t="str">
        <f>IF(ISNUMBER(F239),IF(C239="卖",ROUND(F239*'参数'!$C$14,2),0),"")</f>
        <v/>
      </c>
      <c r="I239" s="51" t="str">
        <f>IF(ISNUMBER(F239),ROUND(F239*'参数'!$C$15,2),"")</f>
        <v/>
      </c>
      <c r="J239" s="21" t="n"/>
      <c r="K239" s="20" t="str">
        <f>IF(ISNUMBER(J239),J239,IF(ISNUMBER(F239),G239+H239+I239+ROUND(F239*'参数'!$C$16,2),""))</f>
        <v/>
      </c>
      <c r="L239" s="43" t="str">
        <f>IF(A239="","",IFERROR(T(INDEX('交易记录'!$C$5:$C$304,MATCH(A239,'交易记录'!$A$5:$A$304,0))),"编号没找到"))</f>
        <v/>
      </c>
      <c r="M239" s="57" t="str">
        <f>IF(AND(C239="买",ISNUMBER(B239)),WORKDAY(B239,1,'参数'!$B$58:$B$80),"")</f>
        <v/>
      </c>
      <c r="N239" s="36" t="str">
        <f>IF(C239&lt;&gt;"卖","",IF(AND(ISNUMBER(B239),A239&lt;&gt;""),IF(SUMIFS($E$5:$E$804,$A$5:$A$804,A239,$C$5:$C$804,"卖",$B$5:$B$804,"&lt;="&amp;B239)&gt;SUMIFS($E$5:$E$804,$A$5:$A$804,A239,$C$5:$C$804,"买",$B$5:$B$804,"&lt;"&amp;B239),"超出可卖股数","OK"),""))</f>
        <v/>
      </c>
      <c r="O239" s="32" t="n"/>
    </row>
    <row r="240">
      <c r="A240" s="46" t="n"/>
      <c r="B240" s="31" t="n"/>
      <c r="C240" s="27" t="n"/>
      <c r="D240" s="56" t="n"/>
      <c r="E240" s="17" t="n"/>
      <c r="F240" s="20" t="str">
        <f>IF(AND(ISNUMBER(D240),ISNUMBER(E240)),D240*E240,"")</f>
        <v/>
      </c>
      <c r="G240" s="51" t="str">
        <f>IF(ISNUMBER(F240),ROUND(MAX(F240*'参数'!$C$12,'参数'!$C$13),2),"")</f>
        <v/>
      </c>
      <c r="H240" s="51" t="str">
        <f>IF(ISNUMBER(F240),IF(C240="卖",ROUND(F240*'参数'!$C$14,2),0),"")</f>
        <v/>
      </c>
      <c r="I240" s="51" t="str">
        <f>IF(ISNUMBER(F240),ROUND(F240*'参数'!$C$15,2),"")</f>
        <v/>
      </c>
      <c r="J240" s="21" t="n"/>
      <c r="K240" s="20" t="str">
        <f>IF(ISNUMBER(J240),J240,IF(ISNUMBER(F240),G240+H240+I240+ROUND(F240*'参数'!$C$16,2),""))</f>
        <v/>
      </c>
      <c r="L240" s="43" t="str">
        <f>IF(A240="","",IFERROR(T(INDEX('交易记录'!$C$5:$C$304,MATCH(A240,'交易记录'!$A$5:$A$304,0))),"编号没找到"))</f>
        <v/>
      </c>
      <c r="M240" s="57" t="str">
        <f>IF(AND(C240="买",ISNUMBER(B240)),WORKDAY(B240,1,'参数'!$B$58:$B$80),"")</f>
        <v/>
      </c>
      <c r="N240" s="36" t="str">
        <f>IF(C240&lt;&gt;"卖","",IF(AND(ISNUMBER(B240),A240&lt;&gt;""),IF(SUMIFS($E$5:$E$804,$A$5:$A$804,A240,$C$5:$C$804,"卖",$B$5:$B$804,"&lt;="&amp;B240)&gt;SUMIFS($E$5:$E$804,$A$5:$A$804,A240,$C$5:$C$804,"买",$B$5:$B$804,"&lt;"&amp;B240),"超出可卖股数","OK"),""))</f>
        <v/>
      </c>
      <c r="O240" s="32" t="n"/>
    </row>
    <row r="241">
      <c r="A241" s="46" t="n"/>
      <c r="B241" s="31" t="n"/>
      <c r="C241" s="27" t="n"/>
      <c r="D241" s="56" t="n"/>
      <c r="E241" s="17" t="n"/>
      <c r="F241" s="20" t="str">
        <f>IF(AND(ISNUMBER(D241),ISNUMBER(E241)),D241*E241,"")</f>
        <v/>
      </c>
      <c r="G241" s="51" t="str">
        <f>IF(ISNUMBER(F241),ROUND(MAX(F241*'参数'!$C$12,'参数'!$C$13),2),"")</f>
        <v/>
      </c>
      <c r="H241" s="51" t="str">
        <f>IF(ISNUMBER(F241),IF(C241="卖",ROUND(F241*'参数'!$C$14,2),0),"")</f>
        <v/>
      </c>
      <c r="I241" s="51" t="str">
        <f>IF(ISNUMBER(F241),ROUND(F241*'参数'!$C$15,2),"")</f>
        <v/>
      </c>
      <c r="J241" s="21" t="n"/>
      <c r="K241" s="20" t="str">
        <f>IF(ISNUMBER(J241),J241,IF(ISNUMBER(F241),G241+H241+I241+ROUND(F241*'参数'!$C$16,2),""))</f>
        <v/>
      </c>
      <c r="L241" s="43" t="str">
        <f>IF(A241="","",IFERROR(T(INDEX('交易记录'!$C$5:$C$304,MATCH(A241,'交易记录'!$A$5:$A$304,0))),"编号没找到"))</f>
        <v/>
      </c>
      <c r="M241" s="57" t="str">
        <f>IF(AND(C241="买",ISNUMBER(B241)),WORKDAY(B241,1,'参数'!$B$58:$B$80),"")</f>
        <v/>
      </c>
      <c r="N241" s="36" t="str">
        <f>IF(C241&lt;&gt;"卖","",IF(AND(ISNUMBER(B241),A241&lt;&gt;""),IF(SUMIFS($E$5:$E$804,$A$5:$A$804,A241,$C$5:$C$804,"卖",$B$5:$B$804,"&lt;="&amp;B241)&gt;SUMIFS($E$5:$E$804,$A$5:$A$804,A241,$C$5:$C$804,"买",$B$5:$B$804,"&lt;"&amp;B241),"超出可卖股数","OK"),""))</f>
        <v/>
      </c>
      <c r="O241" s="32" t="n"/>
    </row>
    <row r="242">
      <c r="A242" s="46" t="n"/>
      <c r="B242" s="31" t="n"/>
      <c r="C242" s="27" t="n"/>
      <c r="D242" s="56" t="n"/>
      <c r="E242" s="17" t="n"/>
      <c r="F242" s="20" t="str">
        <f>IF(AND(ISNUMBER(D242),ISNUMBER(E242)),D242*E242,"")</f>
        <v/>
      </c>
      <c r="G242" s="51" t="str">
        <f>IF(ISNUMBER(F242),ROUND(MAX(F242*'参数'!$C$12,'参数'!$C$13),2),"")</f>
        <v/>
      </c>
      <c r="H242" s="51" t="str">
        <f>IF(ISNUMBER(F242),IF(C242="卖",ROUND(F242*'参数'!$C$14,2),0),"")</f>
        <v/>
      </c>
      <c r="I242" s="51" t="str">
        <f>IF(ISNUMBER(F242),ROUND(F242*'参数'!$C$15,2),"")</f>
        <v/>
      </c>
      <c r="J242" s="21" t="n"/>
      <c r="K242" s="20" t="str">
        <f>IF(ISNUMBER(J242),J242,IF(ISNUMBER(F242),G242+H242+I242+ROUND(F242*'参数'!$C$16,2),""))</f>
        <v/>
      </c>
      <c r="L242" s="43" t="str">
        <f>IF(A242="","",IFERROR(T(INDEX('交易记录'!$C$5:$C$304,MATCH(A242,'交易记录'!$A$5:$A$304,0))),"编号没找到"))</f>
        <v/>
      </c>
      <c r="M242" s="57" t="str">
        <f>IF(AND(C242="买",ISNUMBER(B242)),WORKDAY(B242,1,'参数'!$B$58:$B$80),"")</f>
        <v/>
      </c>
      <c r="N242" s="36" t="str">
        <f>IF(C242&lt;&gt;"卖","",IF(AND(ISNUMBER(B242),A242&lt;&gt;""),IF(SUMIFS($E$5:$E$804,$A$5:$A$804,A242,$C$5:$C$804,"卖",$B$5:$B$804,"&lt;="&amp;B242)&gt;SUMIFS($E$5:$E$804,$A$5:$A$804,A242,$C$5:$C$804,"买",$B$5:$B$804,"&lt;"&amp;B242),"超出可卖股数","OK"),""))</f>
        <v/>
      </c>
      <c r="O242" s="32" t="n"/>
    </row>
    <row r="243">
      <c r="A243" s="46" t="n"/>
      <c r="B243" s="31" t="n"/>
      <c r="C243" s="27" t="n"/>
      <c r="D243" s="56" t="n"/>
      <c r="E243" s="17" t="n"/>
      <c r="F243" s="20" t="str">
        <f>IF(AND(ISNUMBER(D243),ISNUMBER(E243)),D243*E243,"")</f>
        <v/>
      </c>
      <c r="G243" s="51" t="str">
        <f>IF(ISNUMBER(F243),ROUND(MAX(F243*'参数'!$C$12,'参数'!$C$13),2),"")</f>
        <v/>
      </c>
      <c r="H243" s="51" t="str">
        <f>IF(ISNUMBER(F243),IF(C243="卖",ROUND(F243*'参数'!$C$14,2),0),"")</f>
        <v/>
      </c>
      <c r="I243" s="51" t="str">
        <f>IF(ISNUMBER(F243),ROUND(F243*'参数'!$C$15,2),"")</f>
        <v/>
      </c>
      <c r="J243" s="21" t="n"/>
      <c r="K243" s="20" t="str">
        <f>IF(ISNUMBER(J243),J243,IF(ISNUMBER(F243),G243+H243+I243+ROUND(F243*'参数'!$C$16,2),""))</f>
        <v/>
      </c>
      <c r="L243" s="43" t="str">
        <f>IF(A243="","",IFERROR(T(INDEX('交易记录'!$C$5:$C$304,MATCH(A243,'交易记录'!$A$5:$A$304,0))),"编号没找到"))</f>
        <v/>
      </c>
      <c r="M243" s="57" t="str">
        <f>IF(AND(C243="买",ISNUMBER(B243)),WORKDAY(B243,1,'参数'!$B$58:$B$80),"")</f>
        <v/>
      </c>
      <c r="N243" s="36" t="str">
        <f>IF(C243&lt;&gt;"卖","",IF(AND(ISNUMBER(B243),A243&lt;&gt;""),IF(SUMIFS($E$5:$E$804,$A$5:$A$804,A243,$C$5:$C$804,"卖",$B$5:$B$804,"&lt;="&amp;B243)&gt;SUMIFS($E$5:$E$804,$A$5:$A$804,A243,$C$5:$C$804,"买",$B$5:$B$804,"&lt;"&amp;B243),"超出可卖股数","OK"),""))</f>
        <v/>
      </c>
      <c r="O243" s="32" t="n"/>
    </row>
    <row r="244">
      <c r="A244" s="46" t="n"/>
      <c r="B244" s="31" t="n"/>
      <c r="C244" s="27" t="n"/>
      <c r="D244" s="56" t="n"/>
      <c r="E244" s="17" t="n"/>
      <c r="F244" s="20" t="str">
        <f>IF(AND(ISNUMBER(D244),ISNUMBER(E244)),D244*E244,"")</f>
        <v/>
      </c>
      <c r="G244" s="51" t="str">
        <f>IF(ISNUMBER(F244),ROUND(MAX(F244*'参数'!$C$12,'参数'!$C$13),2),"")</f>
        <v/>
      </c>
      <c r="H244" s="51" t="str">
        <f>IF(ISNUMBER(F244),IF(C244="卖",ROUND(F244*'参数'!$C$14,2),0),"")</f>
        <v/>
      </c>
      <c r="I244" s="51" t="str">
        <f>IF(ISNUMBER(F244),ROUND(F244*'参数'!$C$15,2),"")</f>
        <v/>
      </c>
      <c r="J244" s="21" t="n"/>
      <c r="K244" s="20" t="str">
        <f>IF(ISNUMBER(J244),J244,IF(ISNUMBER(F244),G244+H244+I244+ROUND(F244*'参数'!$C$16,2),""))</f>
        <v/>
      </c>
      <c r="L244" s="43" t="str">
        <f>IF(A244="","",IFERROR(T(INDEX('交易记录'!$C$5:$C$304,MATCH(A244,'交易记录'!$A$5:$A$304,0))),"编号没找到"))</f>
        <v/>
      </c>
      <c r="M244" s="57" t="str">
        <f>IF(AND(C244="买",ISNUMBER(B244)),WORKDAY(B244,1,'参数'!$B$58:$B$80),"")</f>
        <v/>
      </c>
      <c r="N244" s="36" t="str">
        <f>IF(C244&lt;&gt;"卖","",IF(AND(ISNUMBER(B244),A244&lt;&gt;""),IF(SUMIFS($E$5:$E$804,$A$5:$A$804,A244,$C$5:$C$804,"卖",$B$5:$B$804,"&lt;="&amp;B244)&gt;SUMIFS($E$5:$E$804,$A$5:$A$804,A244,$C$5:$C$804,"买",$B$5:$B$804,"&lt;"&amp;B244),"超出可卖股数","OK"),""))</f>
        <v/>
      </c>
      <c r="O244" s="32" t="n"/>
    </row>
    <row r="245">
      <c r="A245" s="46" t="n"/>
      <c r="B245" s="31" t="n"/>
      <c r="C245" s="27" t="n"/>
      <c r="D245" s="56" t="n"/>
      <c r="E245" s="17" t="n"/>
      <c r="F245" s="20" t="str">
        <f>IF(AND(ISNUMBER(D245),ISNUMBER(E245)),D245*E245,"")</f>
        <v/>
      </c>
      <c r="G245" s="51" t="str">
        <f>IF(ISNUMBER(F245),ROUND(MAX(F245*'参数'!$C$12,'参数'!$C$13),2),"")</f>
        <v/>
      </c>
      <c r="H245" s="51" t="str">
        <f>IF(ISNUMBER(F245),IF(C245="卖",ROUND(F245*'参数'!$C$14,2),0),"")</f>
        <v/>
      </c>
      <c r="I245" s="51" t="str">
        <f>IF(ISNUMBER(F245),ROUND(F245*'参数'!$C$15,2),"")</f>
        <v/>
      </c>
      <c r="J245" s="21" t="n"/>
      <c r="K245" s="20" t="str">
        <f>IF(ISNUMBER(J245),J245,IF(ISNUMBER(F245),G245+H245+I245+ROUND(F245*'参数'!$C$16,2),""))</f>
        <v/>
      </c>
      <c r="L245" s="43" t="str">
        <f>IF(A245="","",IFERROR(T(INDEX('交易记录'!$C$5:$C$304,MATCH(A245,'交易记录'!$A$5:$A$304,0))),"编号没找到"))</f>
        <v/>
      </c>
      <c r="M245" s="57" t="str">
        <f>IF(AND(C245="买",ISNUMBER(B245)),WORKDAY(B245,1,'参数'!$B$58:$B$80),"")</f>
        <v/>
      </c>
      <c r="N245" s="36" t="str">
        <f>IF(C245&lt;&gt;"卖","",IF(AND(ISNUMBER(B245),A245&lt;&gt;""),IF(SUMIFS($E$5:$E$804,$A$5:$A$804,A245,$C$5:$C$804,"卖",$B$5:$B$804,"&lt;="&amp;B245)&gt;SUMIFS($E$5:$E$804,$A$5:$A$804,A245,$C$5:$C$804,"买",$B$5:$B$804,"&lt;"&amp;B245),"超出可卖股数","OK"),""))</f>
        <v/>
      </c>
      <c r="O245" s="32" t="n"/>
    </row>
    <row r="246">
      <c r="A246" s="46" t="n"/>
      <c r="B246" s="31" t="n"/>
      <c r="C246" s="27" t="n"/>
      <c r="D246" s="56" t="n"/>
      <c r="E246" s="17" t="n"/>
      <c r="F246" s="20" t="str">
        <f>IF(AND(ISNUMBER(D246),ISNUMBER(E246)),D246*E246,"")</f>
        <v/>
      </c>
      <c r="G246" s="51" t="str">
        <f>IF(ISNUMBER(F246),ROUND(MAX(F246*'参数'!$C$12,'参数'!$C$13),2),"")</f>
        <v/>
      </c>
      <c r="H246" s="51" t="str">
        <f>IF(ISNUMBER(F246),IF(C246="卖",ROUND(F246*'参数'!$C$14,2),0),"")</f>
        <v/>
      </c>
      <c r="I246" s="51" t="str">
        <f>IF(ISNUMBER(F246),ROUND(F246*'参数'!$C$15,2),"")</f>
        <v/>
      </c>
      <c r="J246" s="21" t="n"/>
      <c r="K246" s="20" t="str">
        <f>IF(ISNUMBER(J246),J246,IF(ISNUMBER(F246),G246+H246+I246+ROUND(F246*'参数'!$C$16,2),""))</f>
        <v/>
      </c>
      <c r="L246" s="43" t="str">
        <f>IF(A246="","",IFERROR(T(INDEX('交易记录'!$C$5:$C$304,MATCH(A246,'交易记录'!$A$5:$A$304,0))),"编号没找到"))</f>
        <v/>
      </c>
      <c r="M246" s="57" t="str">
        <f>IF(AND(C246="买",ISNUMBER(B246)),WORKDAY(B246,1,'参数'!$B$58:$B$80),"")</f>
        <v/>
      </c>
      <c r="N246" s="36" t="str">
        <f>IF(C246&lt;&gt;"卖","",IF(AND(ISNUMBER(B246),A246&lt;&gt;""),IF(SUMIFS($E$5:$E$804,$A$5:$A$804,A246,$C$5:$C$804,"卖",$B$5:$B$804,"&lt;="&amp;B246)&gt;SUMIFS($E$5:$E$804,$A$5:$A$804,A246,$C$5:$C$804,"买",$B$5:$B$804,"&lt;"&amp;B246),"超出可卖股数","OK"),""))</f>
        <v/>
      </c>
      <c r="O246" s="32" t="n"/>
    </row>
    <row r="247">
      <c r="A247" s="46" t="n"/>
      <c r="B247" s="31" t="n"/>
      <c r="C247" s="27" t="n"/>
      <c r="D247" s="56" t="n"/>
      <c r="E247" s="17" t="n"/>
      <c r="F247" s="20" t="str">
        <f>IF(AND(ISNUMBER(D247),ISNUMBER(E247)),D247*E247,"")</f>
        <v/>
      </c>
      <c r="G247" s="51" t="str">
        <f>IF(ISNUMBER(F247),ROUND(MAX(F247*'参数'!$C$12,'参数'!$C$13),2),"")</f>
        <v/>
      </c>
      <c r="H247" s="51" t="str">
        <f>IF(ISNUMBER(F247),IF(C247="卖",ROUND(F247*'参数'!$C$14,2),0),"")</f>
        <v/>
      </c>
      <c r="I247" s="51" t="str">
        <f>IF(ISNUMBER(F247),ROUND(F247*'参数'!$C$15,2),"")</f>
        <v/>
      </c>
      <c r="J247" s="21" t="n"/>
      <c r="K247" s="20" t="str">
        <f>IF(ISNUMBER(J247),J247,IF(ISNUMBER(F247),G247+H247+I247+ROUND(F247*'参数'!$C$16,2),""))</f>
        <v/>
      </c>
      <c r="L247" s="43" t="str">
        <f>IF(A247="","",IFERROR(T(INDEX('交易记录'!$C$5:$C$304,MATCH(A247,'交易记录'!$A$5:$A$304,0))),"编号没找到"))</f>
        <v/>
      </c>
      <c r="M247" s="57" t="str">
        <f>IF(AND(C247="买",ISNUMBER(B247)),WORKDAY(B247,1,'参数'!$B$58:$B$80),"")</f>
        <v/>
      </c>
      <c r="N247" s="36" t="str">
        <f>IF(C247&lt;&gt;"卖","",IF(AND(ISNUMBER(B247),A247&lt;&gt;""),IF(SUMIFS($E$5:$E$804,$A$5:$A$804,A247,$C$5:$C$804,"卖",$B$5:$B$804,"&lt;="&amp;B247)&gt;SUMIFS($E$5:$E$804,$A$5:$A$804,A247,$C$5:$C$804,"买",$B$5:$B$804,"&lt;"&amp;B247),"超出可卖股数","OK"),""))</f>
        <v/>
      </c>
      <c r="O247" s="32" t="n"/>
    </row>
    <row r="248">
      <c r="A248" s="46" t="n"/>
      <c r="B248" s="31" t="n"/>
      <c r="C248" s="27" t="n"/>
      <c r="D248" s="56" t="n"/>
      <c r="E248" s="17" t="n"/>
      <c r="F248" s="20" t="str">
        <f>IF(AND(ISNUMBER(D248),ISNUMBER(E248)),D248*E248,"")</f>
        <v/>
      </c>
      <c r="G248" s="51" t="str">
        <f>IF(ISNUMBER(F248),ROUND(MAX(F248*'参数'!$C$12,'参数'!$C$13),2),"")</f>
        <v/>
      </c>
      <c r="H248" s="51" t="str">
        <f>IF(ISNUMBER(F248),IF(C248="卖",ROUND(F248*'参数'!$C$14,2),0),"")</f>
        <v/>
      </c>
      <c r="I248" s="51" t="str">
        <f>IF(ISNUMBER(F248),ROUND(F248*'参数'!$C$15,2),"")</f>
        <v/>
      </c>
      <c r="J248" s="21" t="n"/>
      <c r="K248" s="20" t="str">
        <f>IF(ISNUMBER(J248),J248,IF(ISNUMBER(F248),G248+H248+I248+ROUND(F248*'参数'!$C$16,2),""))</f>
        <v/>
      </c>
      <c r="L248" s="43" t="str">
        <f>IF(A248="","",IFERROR(T(INDEX('交易记录'!$C$5:$C$304,MATCH(A248,'交易记录'!$A$5:$A$304,0))),"编号没找到"))</f>
        <v/>
      </c>
      <c r="M248" s="57" t="str">
        <f>IF(AND(C248="买",ISNUMBER(B248)),WORKDAY(B248,1,'参数'!$B$58:$B$80),"")</f>
        <v/>
      </c>
      <c r="N248" s="36" t="str">
        <f>IF(C248&lt;&gt;"卖","",IF(AND(ISNUMBER(B248),A248&lt;&gt;""),IF(SUMIFS($E$5:$E$804,$A$5:$A$804,A248,$C$5:$C$804,"卖",$B$5:$B$804,"&lt;="&amp;B248)&gt;SUMIFS($E$5:$E$804,$A$5:$A$804,A248,$C$5:$C$804,"买",$B$5:$B$804,"&lt;"&amp;B248),"超出可卖股数","OK"),""))</f>
        <v/>
      </c>
      <c r="O248" s="32" t="n"/>
    </row>
    <row r="249">
      <c r="A249" s="46" t="n"/>
      <c r="B249" s="31" t="n"/>
      <c r="C249" s="27" t="n"/>
      <c r="D249" s="56" t="n"/>
      <c r="E249" s="17" t="n"/>
      <c r="F249" s="20" t="str">
        <f>IF(AND(ISNUMBER(D249),ISNUMBER(E249)),D249*E249,"")</f>
        <v/>
      </c>
      <c r="G249" s="51" t="str">
        <f>IF(ISNUMBER(F249),ROUND(MAX(F249*'参数'!$C$12,'参数'!$C$13),2),"")</f>
        <v/>
      </c>
      <c r="H249" s="51" t="str">
        <f>IF(ISNUMBER(F249),IF(C249="卖",ROUND(F249*'参数'!$C$14,2),0),"")</f>
        <v/>
      </c>
      <c r="I249" s="51" t="str">
        <f>IF(ISNUMBER(F249),ROUND(F249*'参数'!$C$15,2),"")</f>
        <v/>
      </c>
      <c r="J249" s="21" t="n"/>
      <c r="K249" s="20" t="str">
        <f>IF(ISNUMBER(J249),J249,IF(ISNUMBER(F249),G249+H249+I249+ROUND(F249*'参数'!$C$16,2),""))</f>
        <v/>
      </c>
      <c r="L249" s="43" t="str">
        <f>IF(A249="","",IFERROR(T(INDEX('交易记录'!$C$5:$C$304,MATCH(A249,'交易记录'!$A$5:$A$304,0))),"编号没找到"))</f>
        <v/>
      </c>
      <c r="M249" s="57" t="str">
        <f>IF(AND(C249="买",ISNUMBER(B249)),WORKDAY(B249,1,'参数'!$B$58:$B$80),"")</f>
        <v/>
      </c>
      <c r="N249" s="36" t="str">
        <f>IF(C249&lt;&gt;"卖","",IF(AND(ISNUMBER(B249),A249&lt;&gt;""),IF(SUMIFS($E$5:$E$804,$A$5:$A$804,A249,$C$5:$C$804,"卖",$B$5:$B$804,"&lt;="&amp;B249)&gt;SUMIFS($E$5:$E$804,$A$5:$A$804,A249,$C$5:$C$804,"买",$B$5:$B$804,"&lt;"&amp;B249),"超出可卖股数","OK"),""))</f>
        <v/>
      </c>
      <c r="O249" s="32" t="n"/>
    </row>
    <row r="250">
      <c r="A250" s="46" t="n"/>
      <c r="B250" s="31" t="n"/>
      <c r="C250" s="27" t="n"/>
      <c r="D250" s="56" t="n"/>
      <c r="E250" s="17" t="n"/>
      <c r="F250" s="20" t="str">
        <f>IF(AND(ISNUMBER(D250),ISNUMBER(E250)),D250*E250,"")</f>
        <v/>
      </c>
      <c r="G250" s="51" t="str">
        <f>IF(ISNUMBER(F250),ROUND(MAX(F250*'参数'!$C$12,'参数'!$C$13),2),"")</f>
        <v/>
      </c>
      <c r="H250" s="51" t="str">
        <f>IF(ISNUMBER(F250),IF(C250="卖",ROUND(F250*'参数'!$C$14,2),0),"")</f>
        <v/>
      </c>
      <c r="I250" s="51" t="str">
        <f>IF(ISNUMBER(F250),ROUND(F250*'参数'!$C$15,2),"")</f>
        <v/>
      </c>
      <c r="J250" s="21" t="n"/>
      <c r="K250" s="20" t="str">
        <f>IF(ISNUMBER(J250),J250,IF(ISNUMBER(F250),G250+H250+I250+ROUND(F250*'参数'!$C$16,2),""))</f>
        <v/>
      </c>
      <c r="L250" s="43" t="str">
        <f>IF(A250="","",IFERROR(T(INDEX('交易记录'!$C$5:$C$304,MATCH(A250,'交易记录'!$A$5:$A$304,0))),"编号没找到"))</f>
        <v/>
      </c>
      <c r="M250" s="57" t="str">
        <f>IF(AND(C250="买",ISNUMBER(B250)),WORKDAY(B250,1,'参数'!$B$58:$B$80),"")</f>
        <v/>
      </c>
      <c r="N250" s="36" t="str">
        <f>IF(C250&lt;&gt;"卖","",IF(AND(ISNUMBER(B250),A250&lt;&gt;""),IF(SUMIFS($E$5:$E$804,$A$5:$A$804,A250,$C$5:$C$804,"卖",$B$5:$B$804,"&lt;="&amp;B250)&gt;SUMIFS($E$5:$E$804,$A$5:$A$804,A250,$C$5:$C$804,"买",$B$5:$B$804,"&lt;"&amp;B250),"超出可卖股数","OK"),""))</f>
        <v/>
      </c>
      <c r="O250" s="32" t="n"/>
    </row>
    <row r="251">
      <c r="A251" s="46" t="n"/>
      <c r="B251" s="31" t="n"/>
      <c r="C251" s="27" t="n"/>
      <c r="D251" s="56" t="n"/>
      <c r="E251" s="17" t="n"/>
      <c r="F251" s="20" t="str">
        <f>IF(AND(ISNUMBER(D251),ISNUMBER(E251)),D251*E251,"")</f>
        <v/>
      </c>
      <c r="G251" s="51" t="str">
        <f>IF(ISNUMBER(F251),ROUND(MAX(F251*'参数'!$C$12,'参数'!$C$13),2),"")</f>
        <v/>
      </c>
      <c r="H251" s="51" t="str">
        <f>IF(ISNUMBER(F251),IF(C251="卖",ROUND(F251*'参数'!$C$14,2),0),"")</f>
        <v/>
      </c>
      <c r="I251" s="51" t="str">
        <f>IF(ISNUMBER(F251),ROUND(F251*'参数'!$C$15,2),"")</f>
        <v/>
      </c>
      <c r="J251" s="21" t="n"/>
      <c r="K251" s="20" t="str">
        <f>IF(ISNUMBER(J251),J251,IF(ISNUMBER(F251),G251+H251+I251+ROUND(F251*'参数'!$C$16,2),""))</f>
        <v/>
      </c>
      <c r="L251" s="43" t="str">
        <f>IF(A251="","",IFERROR(T(INDEX('交易记录'!$C$5:$C$304,MATCH(A251,'交易记录'!$A$5:$A$304,0))),"编号没找到"))</f>
        <v/>
      </c>
      <c r="M251" s="57" t="str">
        <f>IF(AND(C251="买",ISNUMBER(B251)),WORKDAY(B251,1,'参数'!$B$58:$B$80),"")</f>
        <v/>
      </c>
      <c r="N251" s="36" t="str">
        <f>IF(C251&lt;&gt;"卖","",IF(AND(ISNUMBER(B251),A251&lt;&gt;""),IF(SUMIFS($E$5:$E$804,$A$5:$A$804,A251,$C$5:$C$804,"卖",$B$5:$B$804,"&lt;="&amp;B251)&gt;SUMIFS($E$5:$E$804,$A$5:$A$804,A251,$C$5:$C$804,"买",$B$5:$B$804,"&lt;"&amp;B251),"超出可卖股数","OK"),""))</f>
        <v/>
      </c>
      <c r="O251" s="32" t="n"/>
    </row>
    <row r="252">
      <c r="A252" s="46" t="n"/>
      <c r="B252" s="31" t="n"/>
      <c r="C252" s="27" t="n"/>
      <c r="D252" s="56" t="n"/>
      <c r="E252" s="17" t="n"/>
      <c r="F252" s="20" t="str">
        <f>IF(AND(ISNUMBER(D252),ISNUMBER(E252)),D252*E252,"")</f>
        <v/>
      </c>
      <c r="G252" s="51" t="str">
        <f>IF(ISNUMBER(F252),ROUND(MAX(F252*'参数'!$C$12,'参数'!$C$13),2),"")</f>
        <v/>
      </c>
      <c r="H252" s="51" t="str">
        <f>IF(ISNUMBER(F252),IF(C252="卖",ROUND(F252*'参数'!$C$14,2),0),"")</f>
        <v/>
      </c>
      <c r="I252" s="51" t="str">
        <f>IF(ISNUMBER(F252),ROUND(F252*'参数'!$C$15,2),"")</f>
        <v/>
      </c>
      <c r="J252" s="21" t="n"/>
      <c r="K252" s="20" t="str">
        <f>IF(ISNUMBER(J252),J252,IF(ISNUMBER(F252),G252+H252+I252+ROUND(F252*'参数'!$C$16,2),""))</f>
        <v/>
      </c>
      <c r="L252" s="43" t="str">
        <f>IF(A252="","",IFERROR(T(INDEX('交易记录'!$C$5:$C$304,MATCH(A252,'交易记录'!$A$5:$A$304,0))),"编号没找到"))</f>
        <v/>
      </c>
      <c r="M252" s="57" t="str">
        <f>IF(AND(C252="买",ISNUMBER(B252)),WORKDAY(B252,1,'参数'!$B$58:$B$80),"")</f>
        <v/>
      </c>
      <c r="N252" s="36" t="str">
        <f>IF(C252&lt;&gt;"卖","",IF(AND(ISNUMBER(B252),A252&lt;&gt;""),IF(SUMIFS($E$5:$E$804,$A$5:$A$804,A252,$C$5:$C$804,"卖",$B$5:$B$804,"&lt;="&amp;B252)&gt;SUMIFS($E$5:$E$804,$A$5:$A$804,A252,$C$5:$C$804,"买",$B$5:$B$804,"&lt;"&amp;B252),"超出可卖股数","OK"),""))</f>
        <v/>
      </c>
      <c r="O252" s="32" t="n"/>
    </row>
    <row r="253">
      <c r="A253" s="46" t="n"/>
      <c r="B253" s="31" t="n"/>
      <c r="C253" s="27" t="n"/>
      <c r="D253" s="56" t="n"/>
      <c r="E253" s="17" t="n"/>
      <c r="F253" s="20" t="str">
        <f>IF(AND(ISNUMBER(D253),ISNUMBER(E253)),D253*E253,"")</f>
        <v/>
      </c>
      <c r="G253" s="51" t="str">
        <f>IF(ISNUMBER(F253),ROUND(MAX(F253*'参数'!$C$12,'参数'!$C$13),2),"")</f>
        <v/>
      </c>
      <c r="H253" s="51" t="str">
        <f>IF(ISNUMBER(F253),IF(C253="卖",ROUND(F253*'参数'!$C$14,2),0),"")</f>
        <v/>
      </c>
      <c r="I253" s="51" t="str">
        <f>IF(ISNUMBER(F253),ROUND(F253*'参数'!$C$15,2),"")</f>
        <v/>
      </c>
      <c r="J253" s="21" t="n"/>
      <c r="K253" s="20" t="str">
        <f>IF(ISNUMBER(J253),J253,IF(ISNUMBER(F253),G253+H253+I253+ROUND(F253*'参数'!$C$16,2),""))</f>
        <v/>
      </c>
      <c r="L253" s="43" t="str">
        <f>IF(A253="","",IFERROR(T(INDEX('交易记录'!$C$5:$C$304,MATCH(A253,'交易记录'!$A$5:$A$304,0))),"编号没找到"))</f>
        <v/>
      </c>
      <c r="M253" s="57" t="str">
        <f>IF(AND(C253="买",ISNUMBER(B253)),WORKDAY(B253,1,'参数'!$B$58:$B$80),"")</f>
        <v/>
      </c>
      <c r="N253" s="36" t="str">
        <f>IF(C253&lt;&gt;"卖","",IF(AND(ISNUMBER(B253),A253&lt;&gt;""),IF(SUMIFS($E$5:$E$804,$A$5:$A$804,A253,$C$5:$C$804,"卖",$B$5:$B$804,"&lt;="&amp;B253)&gt;SUMIFS($E$5:$E$804,$A$5:$A$804,A253,$C$5:$C$804,"买",$B$5:$B$804,"&lt;"&amp;B253),"超出可卖股数","OK"),""))</f>
        <v/>
      </c>
      <c r="O253" s="32" t="n"/>
    </row>
    <row r="254">
      <c r="A254" s="46" t="n"/>
      <c r="B254" s="31" t="n"/>
      <c r="C254" s="27" t="n"/>
      <c r="D254" s="56" t="n"/>
      <c r="E254" s="17" t="n"/>
      <c r="F254" s="20" t="str">
        <f>IF(AND(ISNUMBER(D254),ISNUMBER(E254)),D254*E254,"")</f>
        <v/>
      </c>
      <c r="G254" s="51" t="str">
        <f>IF(ISNUMBER(F254),ROUND(MAX(F254*'参数'!$C$12,'参数'!$C$13),2),"")</f>
        <v/>
      </c>
      <c r="H254" s="51" t="str">
        <f>IF(ISNUMBER(F254),IF(C254="卖",ROUND(F254*'参数'!$C$14,2),0),"")</f>
        <v/>
      </c>
      <c r="I254" s="51" t="str">
        <f>IF(ISNUMBER(F254),ROUND(F254*'参数'!$C$15,2),"")</f>
        <v/>
      </c>
      <c r="J254" s="21" t="n"/>
      <c r="K254" s="20" t="str">
        <f>IF(ISNUMBER(J254),J254,IF(ISNUMBER(F254),G254+H254+I254+ROUND(F254*'参数'!$C$16,2),""))</f>
        <v/>
      </c>
      <c r="L254" s="43" t="str">
        <f>IF(A254="","",IFERROR(T(INDEX('交易记录'!$C$5:$C$304,MATCH(A254,'交易记录'!$A$5:$A$304,0))),"编号没找到"))</f>
        <v/>
      </c>
      <c r="M254" s="57" t="str">
        <f>IF(AND(C254="买",ISNUMBER(B254)),WORKDAY(B254,1,'参数'!$B$58:$B$80),"")</f>
        <v/>
      </c>
      <c r="N254" s="36" t="str">
        <f>IF(C254&lt;&gt;"卖","",IF(AND(ISNUMBER(B254),A254&lt;&gt;""),IF(SUMIFS($E$5:$E$804,$A$5:$A$804,A254,$C$5:$C$804,"卖",$B$5:$B$804,"&lt;="&amp;B254)&gt;SUMIFS($E$5:$E$804,$A$5:$A$804,A254,$C$5:$C$804,"买",$B$5:$B$804,"&lt;"&amp;B254),"超出可卖股数","OK"),""))</f>
        <v/>
      </c>
      <c r="O254" s="32" t="n"/>
    </row>
    <row r="255">
      <c r="A255" s="46" t="n"/>
      <c r="B255" s="31" t="n"/>
      <c r="C255" s="27" t="n"/>
      <c r="D255" s="56" t="n"/>
      <c r="E255" s="17" t="n"/>
      <c r="F255" s="20" t="str">
        <f>IF(AND(ISNUMBER(D255),ISNUMBER(E255)),D255*E255,"")</f>
        <v/>
      </c>
      <c r="G255" s="51" t="str">
        <f>IF(ISNUMBER(F255),ROUND(MAX(F255*'参数'!$C$12,'参数'!$C$13),2),"")</f>
        <v/>
      </c>
      <c r="H255" s="51" t="str">
        <f>IF(ISNUMBER(F255),IF(C255="卖",ROUND(F255*'参数'!$C$14,2),0),"")</f>
        <v/>
      </c>
      <c r="I255" s="51" t="str">
        <f>IF(ISNUMBER(F255),ROUND(F255*'参数'!$C$15,2),"")</f>
        <v/>
      </c>
      <c r="J255" s="21" t="n"/>
      <c r="K255" s="20" t="str">
        <f>IF(ISNUMBER(J255),J255,IF(ISNUMBER(F255),G255+H255+I255+ROUND(F255*'参数'!$C$16,2),""))</f>
        <v/>
      </c>
      <c r="L255" s="43" t="str">
        <f>IF(A255="","",IFERROR(T(INDEX('交易记录'!$C$5:$C$304,MATCH(A255,'交易记录'!$A$5:$A$304,0))),"编号没找到"))</f>
        <v/>
      </c>
      <c r="M255" s="57" t="str">
        <f>IF(AND(C255="买",ISNUMBER(B255)),WORKDAY(B255,1,'参数'!$B$58:$B$80),"")</f>
        <v/>
      </c>
      <c r="N255" s="36" t="str">
        <f>IF(C255&lt;&gt;"卖","",IF(AND(ISNUMBER(B255),A255&lt;&gt;""),IF(SUMIFS($E$5:$E$804,$A$5:$A$804,A255,$C$5:$C$804,"卖",$B$5:$B$804,"&lt;="&amp;B255)&gt;SUMIFS($E$5:$E$804,$A$5:$A$804,A255,$C$5:$C$804,"买",$B$5:$B$804,"&lt;"&amp;B255),"超出可卖股数","OK"),""))</f>
        <v/>
      </c>
      <c r="O255" s="32" t="n"/>
    </row>
    <row r="256">
      <c r="A256" s="46" t="n"/>
      <c r="B256" s="31" t="n"/>
      <c r="C256" s="27" t="n"/>
      <c r="D256" s="56" t="n"/>
      <c r="E256" s="17" t="n"/>
      <c r="F256" s="20" t="str">
        <f>IF(AND(ISNUMBER(D256),ISNUMBER(E256)),D256*E256,"")</f>
        <v/>
      </c>
      <c r="G256" s="51" t="str">
        <f>IF(ISNUMBER(F256),ROUND(MAX(F256*'参数'!$C$12,'参数'!$C$13),2),"")</f>
        <v/>
      </c>
      <c r="H256" s="51" t="str">
        <f>IF(ISNUMBER(F256),IF(C256="卖",ROUND(F256*'参数'!$C$14,2),0),"")</f>
        <v/>
      </c>
      <c r="I256" s="51" t="str">
        <f>IF(ISNUMBER(F256),ROUND(F256*'参数'!$C$15,2),"")</f>
        <v/>
      </c>
      <c r="J256" s="21" t="n"/>
      <c r="K256" s="20" t="str">
        <f>IF(ISNUMBER(J256),J256,IF(ISNUMBER(F256),G256+H256+I256+ROUND(F256*'参数'!$C$16,2),""))</f>
        <v/>
      </c>
      <c r="L256" s="43" t="str">
        <f>IF(A256="","",IFERROR(T(INDEX('交易记录'!$C$5:$C$304,MATCH(A256,'交易记录'!$A$5:$A$304,0))),"编号没找到"))</f>
        <v/>
      </c>
      <c r="M256" s="57" t="str">
        <f>IF(AND(C256="买",ISNUMBER(B256)),WORKDAY(B256,1,'参数'!$B$58:$B$80),"")</f>
        <v/>
      </c>
      <c r="N256" s="36" t="str">
        <f>IF(C256&lt;&gt;"卖","",IF(AND(ISNUMBER(B256),A256&lt;&gt;""),IF(SUMIFS($E$5:$E$804,$A$5:$A$804,A256,$C$5:$C$804,"卖",$B$5:$B$804,"&lt;="&amp;B256)&gt;SUMIFS($E$5:$E$804,$A$5:$A$804,A256,$C$5:$C$804,"买",$B$5:$B$804,"&lt;"&amp;B256),"超出可卖股数","OK"),""))</f>
        <v/>
      </c>
      <c r="O256" s="32" t="n"/>
    </row>
    <row r="257">
      <c r="A257" s="46" t="n"/>
      <c r="B257" s="31" t="n"/>
      <c r="C257" s="27" t="n"/>
      <c r="D257" s="56" t="n"/>
      <c r="E257" s="17" t="n"/>
      <c r="F257" s="20" t="str">
        <f>IF(AND(ISNUMBER(D257),ISNUMBER(E257)),D257*E257,"")</f>
        <v/>
      </c>
      <c r="G257" s="51" t="str">
        <f>IF(ISNUMBER(F257),ROUND(MAX(F257*'参数'!$C$12,'参数'!$C$13),2),"")</f>
        <v/>
      </c>
      <c r="H257" s="51" t="str">
        <f>IF(ISNUMBER(F257),IF(C257="卖",ROUND(F257*'参数'!$C$14,2),0),"")</f>
        <v/>
      </c>
      <c r="I257" s="51" t="str">
        <f>IF(ISNUMBER(F257),ROUND(F257*'参数'!$C$15,2),"")</f>
        <v/>
      </c>
      <c r="J257" s="21" t="n"/>
      <c r="K257" s="20" t="str">
        <f>IF(ISNUMBER(J257),J257,IF(ISNUMBER(F257),G257+H257+I257+ROUND(F257*'参数'!$C$16,2),""))</f>
        <v/>
      </c>
      <c r="L257" s="43" t="str">
        <f>IF(A257="","",IFERROR(T(INDEX('交易记录'!$C$5:$C$304,MATCH(A257,'交易记录'!$A$5:$A$304,0))),"编号没找到"))</f>
        <v/>
      </c>
      <c r="M257" s="57" t="str">
        <f>IF(AND(C257="买",ISNUMBER(B257)),WORKDAY(B257,1,'参数'!$B$58:$B$80),"")</f>
        <v/>
      </c>
      <c r="N257" s="36" t="str">
        <f>IF(C257&lt;&gt;"卖","",IF(AND(ISNUMBER(B257),A257&lt;&gt;""),IF(SUMIFS($E$5:$E$804,$A$5:$A$804,A257,$C$5:$C$804,"卖",$B$5:$B$804,"&lt;="&amp;B257)&gt;SUMIFS($E$5:$E$804,$A$5:$A$804,A257,$C$5:$C$804,"买",$B$5:$B$804,"&lt;"&amp;B257),"超出可卖股数","OK"),""))</f>
        <v/>
      </c>
      <c r="O257" s="32" t="n"/>
    </row>
    <row r="258">
      <c r="A258" s="46" t="n"/>
      <c r="B258" s="31" t="n"/>
      <c r="C258" s="27" t="n"/>
      <c r="D258" s="56" t="n"/>
      <c r="E258" s="17" t="n"/>
      <c r="F258" s="20" t="str">
        <f>IF(AND(ISNUMBER(D258),ISNUMBER(E258)),D258*E258,"")</f>
        <v/>
      </c>
      <c r="G258" s="51" t="str">
        <f>IF(ISNUMBER(F258),ROUND(MAX(F258*'参数'!$C$12,'参数'!$C$13),2),"")</f>
        <v/>
      </c>
      <c r="H258" s="51" t="str">
        <f>IF(ISNUMBER(F258),IF(C258="卖",ROUND(F258*'参数'!$C$14,2),0),"")</f>
        <v/>
      </c>
      <c r="I258" s="51" t="str">
        <f>IF(ISNUMBER(F258),ROUND(F258*'参数'!$C$15,2),"")</f>
        <v/>
      </c>
      <c r="J258" s="21" t="n"/>
      <c r="K258" s="20" t="str">
        <f>IF(ISNUMBER(J258),J258,IF(ISNUMBER(F258),G258+H258+I258+ROUND(F258*'参数'!$C$16,2),""))</f>
        <v/>
      </c>
      <c r="L258" s="43" t="str">
        <f>IF(A258="","",IFERROR(T(INDEX('交易记录'!$C$5:$C$304,MATCH(A258,'交易记录'!$A$5:$A$304,0))),"编号没找到"))</f>
        <v/>
      </c>
      <c r="M258" s="57" t="str">
        <f>IF(AND(C258="买",ISNUMBER(B258)),WORKDAY(B258,1,'参数'!$B$58:$B$80),"")</f>
        <v/>
      </c>
      <c r="N258" s="36" t="str">
        <f>IF(C258&lt;&gt;"卖","",IF(AND(ISNUMBER(B258),A258&lt;&gt;""),IF(SUMIFS($E$5:$E$804,$A$5:$A$804,A258,$C$5:$C$804,"卖",$B$5:$B$804,"&lt;="&amp;B258)&gt;SUMIFS($E$5:$E$804,$A$5:$A$804,A258,$C$5:$C$804,"买",$B$5:$B$804,"&lt;"&amp;B258),"超出可卖股数","OK"),""))</f>
        <v/>
      </c>
      <c r="O258" s="32" t="n"/>
    </row>
    <row r="259">
      <c r="A259" s="46" t="n"/>
      <c r="B259" s="31" t="n"/>
      <c r="C259" s="27" t="n"/>
      <c r="D259" s="56" t="n"/>
      <c r="E259" s="17" t="n"/>
      <c r="F259" s="20" t="str">
        <f>IF(AND(ISNUMBER(D259),ISNUMBER(E259)),D259*E259,"")</f>
        <v/>
      </c>
      <c r="G259" s="51" t="str">
        <f>IF(ISNUMBER(F259),ROUND(MAX(F259*'参数'!$C$12,'参数'!$C$13),2),"")</f>
        <v/>
      </c>
      <c r="H259" s="51" t="str">
        <f>IF(ISNUMBER(F259),IF(C259="卖",ROUND(F259*'参数'!$C$14,2),0),"")</f>
        <v/>
      </c>
      <c r="I259" s="51" t="str">
        <f>IF(ISNUMBER(F259),ROUND(F259*'参数'!$C$15,2),"")</f>
        <v/>
      </c>
      <c r="J259" s="21" t="n"/>
      <c r="K259" s="20" t="str">
        <f>IF(ISNUMBER(J259),J259,IF(ISNUMBER(F259),G259+H259+I259+ROUND(F259*'参数'!$C$16,2),""))</f>
        <v/>
      </c>
      <c r="L259" s="43" t="str">
        <f>IF(A259="","",IFERROR(T(INDEX('交易记录'!$C$5:$C$304,MATCH(A259,'交易记录'!$A$5:$A$304,0))),"编号没找到"))</f>
        <v/>
      </c>
      <c r="M259" s="57" t="str">
        <f>IF(AND(C259="买",ISNUMBER(B259)),WORKDAY(B259,1,'参数'!$B$58:$B$80),"")</f>
        <v/>
      </c>
      <c r="N259" s="36" t="str">
        <f>IF(C259&lt;&gt;"卖","",IF(AND(ISNUMBER(B259),A259&lt;&gt;""),IF(SUMIFS($E$5:$E$804,$A$5:$A$804,A259,$C$5:$C$804,"卖",$B$5:$B$804,"&lt;="&amp;B259)&gt;SUMIFS($E$5:$E$804,$A$5:$A$804,A259,$C$5:$C$804,"买",$B$5:$B$804,"&lt;"&amp;B259),"超出可卖股数","OK"),""))</f>
        <v/>
      </c>
      <c r="O259" s="32" t="n"/>
    </row>
    <row r="260">
      <c r="A260" s="46" t="n"/>
      <c r="B260" s="31" t="n"/>
      <c r="C260" s="27" t="n"/>
      <c r="D260" s="56" t="n"/>
      <c r="E260" s="17" t="n"/>
      <c r="F260" s="20" t="str">
        <f>IF(AND(ISNUMBER(D260),ISNUMBER(E260)),D260*E260,"")</f>
        <v/>
      </c>
      <c r="G260" s="51" t="str">
        <f>IF(ISNUMBER(F260),ROUND(MAX(F260*'参数'!$C$12,'参数'!$C$13),2),"")</f>
        <v/>
      </c>
      <c r="H260" s="51" t="str">
        <f>IF(ISNUMBER(F260),IF(C260="卖",ROUND(F260*'参数'!$C$14,2),0),"")</f>
        <v/>
      </c>
      <c r="I260" s="51" t="str">
        <f>IF(ISNUMBER(F260),ROUND(F260*'参数'!$C$15,2),"")</f>
        <v/>
      </c>
      <c r="J260" s="21" t="n"/>
      <c r="K260" s="20" t="str">
        <f>IF(ISNUMBER(J260),J260,IF(ISNUMBER(F260),G260+H260+I260+ROUND(F260*'参数'!$C$16,2),""))</f>
        <v/>
      </c>
      <c r="L260" s="43" t="str">
        <f>IF(A260="","",IFERROR(T(INDEX('交易记录'!$C$5:$C$304,MATCH(A260,'交易记录'!$A$5:$A$304,0))),"编号没找到"))</f>
        <v/>
      </c>
      <c r="M260" s="57" t="str">
        <f>IF(AND(C260="买",ISNUMBER(B260)),WORKDAY(B260,1,'参数'!$B$58:$B$80),"")</f>
        <v/>
      </c>
      <c r="N260" s="36" t="str">
        <f>IF(C260&lt;&gt;"卖","",IF(AND(ISNUMBER(B260),A260&lt;&gt;""),IF(SUMIFS($E$5:$E$804,$A$5:$A$804,A260,$C$5:$C$804,"卖",$B$5:$B$804,"&lt;="&amp;B260)&gt;SUMIFS($E$5:$E$804,$A$5:$A$804,A260,$C$5:$C$804,"买",$B$5:$B$804,"&lt;"&amp;B260),"超出可卖股数","OK"),""))</f>
        <v/>
      </c>
      <c r="O260" s="32" t="n"/>
    </row>
    <row r="261">
      <c r="A261" s="46" t="n"/>
      <c r="B261" s="31" t="n"/>
      <c r="C261" s="27" t="n"/>
      <c r="D261" s="56" t="n"/>
      <c r="E261" s="17" t="n"/>
      <c r="F261" s="20" t="str">
        <f>IF(AND(ISNUMBER(D261),ISNUMBER(E261)),D261*E261,"")</f>
        <v/>
      </c>
      <c r="G261" s="51" t="str">
        <f>IF(ISNUMBER(F261),ROUND(MAX(F261*'参数'!$C$12,'参数'!$C$13),2),"")</f>
        <v/>
      </c>
      <c r="H261" s="51" t="str">
        <f>IF(ISNUMBER(F261),IF(C261="卖",ROUND(F261*'参数'!$C$14,2),0),"")</f>
        <v/>
      </c>
      <c r="I261" s="51" t="str">
        <f>IF(ISNUMBER(F261),ROUND(F261*'参数'!$C$15,2),"")</f>
        <v/>
      </c>
      <c r="J261" s="21" t="n"/>
      <c r="K261" s="20" t="str">
        <f>IF(ISNUMBER(J261),J261,IF(ISNUMBER(F261),G261+H261+I261+ROUND(F261*'参数'!$C$16,2),""))</f>
        <v/>
      </c>
      <c r="L261" s="43" t="str">
        <f>IF(A261="","",IFERROR(T(INDEX('交易记录'!$C$5:$C$304,MATCH(A261,'交易记录'!$A$5:$A$304,0))),"编号没找到"))</f>
        <v/>
      </c>
      <c r="M261" s="57" t="str">
        <f>IF(AND(C261="买",ISNUMBER(B261)),WORKDAY(B261,1,'参数'!$B$58:$B$80),"")</f>
        <v/>
      </c>
      <c r="N261" s="36" t="str">
        <f>IF(C261&lt;&gt;"卖","",IF(AND(ISNUMBER(B261),A261&lt;&gt;""),IF(SUMIFS($E$5:$E$804,$A$5:$A$804,A261,$C$5:$C$804,"卖",$B$5:$B$804,"&lt;="&amp;B261)&gt;SUMIFS($E$5:$E$804,$A$5:$A$804,A261,$C$5:$C$804,"买",$B$5:$B$804,"&lt;"&amp;B261),"超出可卖股数","OK"),""))</f>
        <v/>
      </c>
      <c r="O261" s="32" t="n"/>
    </row>
    <row r="262">
      <c r="A262" s="46" t="n"/>
      <c r="B262" s="31" t="n"/>
      <c r="C262" s="27" t="n"/>
      <c r="D262" s="56" t="n"/>
      <c r="E262" s="17" t="n"/>
      <c r="F262" s="20" t="str">
        <f>IF(AND(ISNUMBER(D262),ISNUMBER(E262)),D262*E262,"")</f>
        <v/>
      </c>
      <c r="G262" s="51" t="str">
        <f>IF(ISNUMBER(F262),ROUND(MAX(F262*'参数'!$C$12,'参数'!$C$13),2),"")</f>
        <v/>
      </c>
      <c r="H262" s="51" t="str">
        <f>IF(ISNUMBER(F262),IF(C262="卖",ROUND(F262*'参数'!$C$14,2),0),"")</f>
        <v/>
      </c>
      <c r="I262" s="51" t="str">
        <f>IF(ISNUMBER(F262),ROUND(F262*'参数'!$C$15,2),"")</f>
        <v/>
      </c>
      <c r="J262" s="21" t="n"/>
      <c r="K262" s="20" t="str">
        <f>IF(ISNUMBER(J262),J262,IF(ISNUMBER(F262),G262+H262+I262+ROUND(F262*'参数'!$C$16,2),""))</f>
        <v/>
      </c>
      <c r="L262" s="43" t="str">
        <f>IF(A262="","",IFERROR(T(INDEX('交易记录'!$C$5:$C$304,MATCH(A262,'交易记录'!$A$5:$A$304,0))),"编号没找到"))</f>
        <v/>
      </c>
      <c r="M262" s="57" t="str">
        <f>IF(AND(C262="买",ISNUMBER(B262)),WORKDAY(B262,1,'参数'!$B$58:$B$80),"")</f>
        <v/>
      </c>
      <c r="N262" s="36" t="str">
        <f>IF(C262&lt;&gt;"卖","",IF(AND(ISNUMBER(B262),A262&lt;&gt;""),IF(SUMIFS($E$5:$E$804,$A$5:$A$804,A262,$C$5:$C$804,"卖",$B$5:$B$804,"&lt;="&amp;B262)&gt;SUMIFS($E$5:$E$804,$A$5:$A$804,A262,$C$5:$C$804,"买",$B$5:$B$804,"&lt;"&amp;B262),"超出可卖股数","OK"),""))</f>
        <v/>
      </c>
      <c r="O262" s="32" t="n"/>
    </row>
    <row r="263">
      <c r="A263" s="46" t="n"/>
      <c r="B263" s="31" t="n"/>
      <c r="C263" s="27" t="n"/>
      <c r="D263" s="56" t="n"/>
      <c r="E263" s="17" t="n"/>
      <c r="F263" s="20" t="str">
        <f>IF(AND(ISNUMBER(D263),ISNUMBER(E263)),D263*E263,"")</f>
        <v/>
      </c>
      <c r="G263" s="51" t="str">
        <f>IF(ISNUMBER(F263),ROUND(MAX(F263*'参数'!$C$12,'参数'!$C$13),2),"")</f>
        <v/>
      </c>
      <c r="H263" s="51" t="str">
        <f>IF(ISNUMBER(F263),IF(C263="卖",ROUND(F263*'参数'!$C$14,2),0),"")</f>
        <v/>
      </c>
      <c r="I263" s="51" t="str">
        <f>IF(ISNUMBER(F263),ROUND(F263*'参数'!$C$15,2),"")</f>
        <v/>
      </c>
      <c r="J263" s="21" t="n"/>
      <c r="K263" s="20" t="str">
        <f>IF(ISNUMBER(J263),J263,IF(ISNUMBER(F263),G263+H263+I263+ROUND(F263*'参数'!$C$16,2),""))</f>
        <v/>
      </c>
      <c r="L263" s="43" t="str">
        <f>IF(A263="","",IFERROR(T(INDEX('交易记录'!$C$5:$C$304,MATCH(A263,'交易记录'!$A$5:$A$304,0))),"编号没找到"))</f>
        <v/>
      </c>
      <c r="M263" s="57" t="str">
        <f>IF(AND(C263="买",ISNUMBER(B263)),WORKDAY(B263,1,'参数'!$B$58:$B$80),"")</f>
        <v/>
      </c>
      <c r="N263" s="36" t="str">
        <f>IF(C263&lt;&gt;"卖","",IF(AND(ISNUMBER(B263),A263&lt;&gt;""),IF(SUMIFS($E$5:$E$804,$A$5:$A$804,A263,$C$5:$C$804,"卖",$B$5:$B$804,"&lt;="&amp;B263)&gt;SUMIFS($E$5:$E$804,$A$5:$A$804,A263,$C$5:$C$804,"买",$B$5:$B$804,"&lt;"&amp;B263),"超出可卖股数","OK"),""))</f>
        <v/>
      </c>
      <c r="O263" s="32" t="n"/>
    </row>
    <row r="264">
      <c r="A264" s="46" t="n"/>
      <c r="B264" s="31" t="n"/>
      <c r="C264" s="27" t="n"/>
      <c r="D264" s="56" t="n"/>
      <c r="E264" s="17" t="n"/>
      <c r="F264" s="20" t="str">
        <f>IF(AND(ISNUMBER(D264),ISNUMBER(E264)),D264*E264,"")</f>
        <v/>
      </c>
      <c r="G264" s="51" t="str">
        <f>IF(ISNUMBER(F264),ROUND(MAX(F264*'参数'!$C$12,'参数'!$C$13),2),"")</f>
        <v/>
      </c>
      <c r="H264" s="51" t="str">
        <f>IF(ISNUMBER(F264),IF(C264="卖",ROUND(F264*'参数'!$C$14,2),0),"")</f>
        <v/>
      </c>
      <c r="I264" s="51" t="str">
        <f>IF(ISNUMBER(F264),ROUND(F264*'参数'!$C$15,2),"")</f>
        <v/>
      </c>
      <c r="J264" s="21" t="n"/>
      <c r="K264" s="20" t="str">
        <f>IF(ISNUMBER(J264),J264,IF(ISNUMBER(F264),G264+H264+I264+ROUND(F264*'参数'!$C$16,2),""))</f>
        <v/>
      </c>
      <c r="L264" s="43" t="str">
        <f>IF(A264="","",IFERROR(T(INDEX('交易记录'!$C$5:$C$304,MATCH(A264,'交易记录'!$A$5:$A$304,0))),"编号没找到"))</f>
        <v/>
      </c>
      <c r="M264" s="57" t="str">
        <f>IF(AND(C264="买",ISNUMBER(B264)),WORKDAY(B264,1,'参数'!$B$58:$B$80),"")</f>
        <v/>
      </c>
      <c r="N264" s="36" t="str">
        <f>IF(C264&lt;&gt;"卖","",IF(AND(ISNUMBER(B264),A264&lt;&gt;""),IF(SUMIFS($E$5:$E$804,$A$5:$A$804,A264,$C$5:$C$804,"卖",$B$5:$B$804,"&lt;="&amp;B264)&gt;SUMIFS($E$5:$E$804,$A$5:$A$804,A264,$C$5:$C$804,"买",$B$5:$B$804,"&lt;"&amp;B264),"超出可卖股数","OK"),""))</f>
        <v/>
      </c>
      <c r="O264" s="32" t="n"/>
    </row>
    <row r="265">
      <c r="A265" s="46" t="n"/>
      <c r="B265" s="31" t="n"/>
      <c r="C265" s="27" t="n"/>
      <c r="D265" s="56" t="n"/>
      <c r="E265" s="17" t="n"/>
      <c r="F265" s="20" t="str">
        <f>IF(AND(ISNUMBER(D265),ISNUMBER(E265)),D265*E265,"")</f>
        <v/>
      </c>
      <c r="G265" s="51" t="str">
        <f>IF(ISNUMBER(F265),ROUND(MAX(F265*'参数'!$C$12,'参数'!$C$13),2),"")</f>
        <v/>
      </c>
      <c r="H265" s="51" t="str">
        <f>IF(ISNUMBER(F265),IF(C265="卖",ROUND(F265*'参数'!$C$14,2),0),"")</f>
        <v/>
      </c>
      <c r="I265" s="51" t="str">
        <f>IF(ISNUMBER(F265),ROUND(F265*'参数'!$C$15,2),"")</f>
        <v/>
      </c>
      <c r="J265" s="21" t="n"/>
      <c r="K265" s="20" t="str">
        <f>IF(ISNUMBER(J265),J265,IF(ISNUMBER(F265),G265+H265+I265+ROUND(F265*'参数'!$C$16,2),""))</f>
        <v/>
      </c>
      <c r="L265" s="43" t="str">
        <f>IF(A265="","",IFERROR(T(INDEX('交易记录'!$C$5:$C$304,MATCH(A265,'交易记录'!$A$5:$A$304,0))),"编号没找到"))</f>
        <v/>
      </c>
      <c r="M265" s="57" t="str">
        <f>IF(AND(C265="买",ISNUMBER(B265)),WORKDAY(B265,1,'参数'!$B$58:$B$80),"")</f>
        <v/>
      </c>
      <c r="N265" s="36" t="str">
        <f>IF(C265&lt;&gt;"卖","",IF(AND(ISNUMBER(B265),A265&lt;&gt;""),IF(SUMIFS($E$5:$E$804,$A$5:$A$804,A265,$C$5:$C$804,"卖",$B$5:$B$804,"&lt;="&amp;B265)&gt;SUMIFS($E$5:$E$804,$A$5:$A$804,A265,$C$5:$C$804,"买",$B$5:$B$804,"&lt;"&amp;B265),"超出可卖股数","OK"),""))</f>
        <v/>
      </c>
      <c r="O265" s="32" t="n"/>
    </row>
    <row r="266">
      <c r="A266" s="46" t="n"/>
      <c r="B266" s="31" t="n"/>
      <c r="C266" s="27" t="n"/>
      <c r="D266" s="56" t="n"/>
      <c r="E266" s="17" t="n"/>
      <c r="F266" s="20" t="str">
        <f>IF(AND(ISNUMBER(D266),ISNUMBER(E266)),D266*E266,"")</f>
        <v/>
      </c>
      <c r="G266" s="51" t="str">
        <f>IF(ISNUMBER(F266),ROUND(MAX(F266*'参数'!$C$12,'参数'!$C$13),2),"")</f>
        <v/>
      </c>
      <c r="H266" s="51" t="str">
        <f>IF(ISNUMBER(F266),IF(C266="卖",ROUND(F266*'参数'!$C$14,2),0),"")</f>
        <v/>
      </c>
      <c r="I266" s="51" t="str">
        <f>IF(ISNUMBER(F266),ROUND(F266*'参数'!$C$15,2),"")</f>
        <v/>
      </c>
      <c r="J266" s="21" t="n"/>
      <c r="K266" s="20" t="str">
        <f>IF(ISNUMBER(J266),J266,IF(ISNUMBER(F266),G266+H266+I266+ROUND(F266*'参数'!$C$16,2),""))</f>
        <v/>
      </c>
      <c r="L266" s="43" t="str">
        <f>IF(A266="","",IFERROR(T(INDEX('交易记录'!$C$5:$C$304,MATCH(A266,'交易记录'!$A$5:$A$304,0))),"编号没找到"))</f>
        <v/>
      </c>
      <c r="M266" s="57" t="str">
        <f>IF(AND(C266="买",ISNUMBER(B266)),WORKDAY(B266,1,'参数'!$B$58:$B$80),"")</f>
        <v/>
      </c>
      <c r="N266" s="36" t="str">
        <f>IF(C266&lt;&gt;"卖","",IF(AND(ISNUMBER(B266),A266&lt;&gt;""),IF(SUMIFS($E$5:$E$804,$A$5:$A$804,A266,$C$5:$C$804,"卖",$B$5:$B$804,"&lt;="&amp;B266)&gt;SUMIFS($E$5:$E$804,$A$5:$A$804,A266,$C$5:$C$804,"买",$B$5:$B$804,"&lt;"&amp;B266),"超出可卖股数","OK"),""))</f>
        <v/>
      </c>
      <c r="O266" s="32" t="n"/>
    </row>
    <row r="267">
      <c r="A267" s="46" t="n"/>
      <c r="B267" s="31" t="n"/>
      <c r="C267" s="27" t="n"/>
      <c r="D267" s="56" t="n"/>
      <c r="E267" s="17" t="n"/>
      <c r="F267" s="20" t="str">
        <f>IF(AND(ISNUMBER(D267),ISNUMBER(E267)),D267*E267,"")</f>
        <v/>
      </c>
      <c r="G267" s="51" t="str">
        <f>IF(ISNUMBER(F267),ROUND(MAX(F267*'参数'!$C$12,'参数'!$C$13),2),"")</f>
        <v/>
      </c>
      <c r="H267" s="51" t="str">
        <f>IF(ISNUMBER(F267),IF(C267="卖",ROUND(F267*'参数'!$C$14,2),0),"")</f>
        <v/>
      </c>
      <c r="I267" s="51" t="str">
        <f>IF(ISNUMBER(F267),ROUND(F267*'参数'!$C$15,2),"")</f>
        <v/>
      </c>
      <c r="J267" s="21" t="n"/>
      <c r="K267" s="20" t="str">
        <f>IF(ISNUMBER(J267),J267,IF(ISNUMBER(F267),G267+H267+I267+ROUND(F267*'参数'!$C$16,2),""))</f>
        <v/>
      </c>
      <c r="L267" s="43" t="str">
        <f>IF(A267="","",IFERROR(T(INDEX('交易记录'!$C$5:$C$304,MATCH(A267,'交易记录'!$A$5:$A$304,0))),"编号没找到"))</f>
        <v/>
      </c>
      <c r="M267" s="57" t="str">
        <f>IF(AND(C267="买",ISNUMBER(B267)),WORKDAY(B267,1,'参数'!$B$58:$B$80),"")</f>
        <v/>
      </c>
      <c r="N267" s="36" t="str">
        <f>IF(C267&lt;&gt;"卖","",IF(AND(ISNUMBER(B267),A267&lt;&gt;""),IF(SUMIFS($E$5:$E$804,$A$5:$A$804,A267,$C$5:$C$804,"卖",$B$5:$B$804,"&lt;="&amp;B267)&gt;SUMIFS($E$5:$E$804,$A$5:$A$804,A267,$C$5:$C$804,"买",$B$5:$B$804,"&lt;"&amp;B267),"超出可卖股数","OK"),""))</f>
        <v/>
      </c>
      <c r="O267" s="32" t="n"/>
    </row>
    <row r="268">
      <c r="A268" s="46" t="n"/>
      <c r="B268" s="31" t="n"/>
      <c r="C268" s="27" t="n"/>
      <c r="D268" s="56" t="n"/>
      <c r="E268" s="17" t="n"/>
      <c r="F268" s="20" t="str">
        <f>IF(AND(ISNUMBER(D268),ISNUMBER(E268)),D268*E268,"")</f>
        <v/>
      </c>
      <c r="G268" s="51" t="str">
        <f>IF(ISNUMBER(F268),ROUND(MAX(F268*'参数'!$C$12,'参数'!$C$13),2),"")</f>
        <v/>
      </c>
      <c r="H268" s="51" t="str">
        <f>IF(ISNUMBER(F268),IF(C268="卖",ROUND(F268*'参数'!$C$14,2),0),"")</f>
        <v/>
      </c>
      <c r="I268" s="51" t="str">
        <f>IF(ISNUMBER(F268),ROUND(F268*'参数'!$C$15,2),"")</f>
        <v/>
      </c>
      <c r="J268" s="21" t="n"/>
      <c r="K268" s="20" t="str">
        <f>IF(ISNUMBER(J268),J268,IF(ISNUMBER(F268),G268+H268+I268+ROUND(F268*'参数'!$C$16,2),""))</f>
        <v/>
      </c>
      <c r="L268" s="43" t="str">
        <f>IF(A268="","",IFERROR(T(INDEX('交易记录'!$C$5:$C$304,MATCH(A268,'交易记录'!$A$5:$A$304,0))),"编号没找到"))</f>
        <v/>
      </c>
      <c r="M268" s="57" t="str">
        <f>IF(AND(C268="买",ISNUMBER(B268)),WORKDAY(B268,1,'参数'!$B$58:$B$80),"")</f>
        <v/>
      </c>
      <c r="N268" s="36" t="str">
        <f>IF(C268&lt;&gt;"卖","",IF(AND(ISNUMBER(B268),A268&lt;&gt;""),IF(SUMIFS($E$5:$E$804,$A$5:$A$804,A268,$C$5:$C$804,"卖",$B$5:$B$804,"&lt;="&amp;B268)&gt;SUMIFS($E$5:$E$804,$A$5:$A$804,A268,$C$5:$C$804,"买",$B$5:$B$804,"&lt;"&amp;B268),"超出可卖股数","OK"),""))</f>
        <v/>
      </c>
      <c r="O268" s="32" t="n"/>
    </row>
    <row r="269">
      <c r="A269" s="46" t="n"/>
      <c r="B269" s="31" t="n"/>
      <c r="C269" s="27" t="n"/>
      <c r="D269" s="56" t="n"/>
      <c r="E269" s="17" t="n"/>
      <c r="F269" s="20" t="str">
        <f>IF(AND(ISNUMBER(D269),ISNUMBER(E269)),D269*E269,"")</f>
        <v/>
      </c>
      <c r="G269" s="51" t="str">
        <f>IF(ISNUMBER(F269),ROUND(MAX(F269*'参数'!$C$12,'参数'!$C$13),2),"")</f>
        <v/>
      </c>
      <c r="H269" s="51" t="str">
        <f>IF(ISNUMBER(F269),IF(C269="卖",ROUND(F269*'参数'!$C$14,2),0),"")</f>
        <v/>
      </c>
      <c r="I269" s="51" t="str">
        <f>IF(ISNUMBER(F269),ROUND(F269*'参数'!$C$15,2),"")</f>
        <v/>
      </c>
      <c r="J269" s="21" t="n"/>
      <c r="K269" s="20" t="str">
        <f>IF(ISNUMBER(J269),J269,IF(ISNUMBER(F269),G269+H269+I269+ROUND(F269*'参数'!$C$16,2),""))</f>
        <v/>
      </c>
      <c r="L269" s="43" t="str">
        <f>IF(A269="","",IFERROR(T(INDEX('交易记录'!$C$5:$C$304,MATCH(A269,'交易记录'!$A$5:$A$304,0))),"编号没找到"))</f>
        <v/>
      </c>
      <c r="M269" s="57" t="str">
        <f>IF(AND(C269="买",ISNUMBER(B269)),WORKDAY(B269,1,'参数'!$B$58:$B$80),"")</f>
        <v/>
      </c>
      <c r="N269" s="36" t="str">
        <f>IF(C269&lt;&gt;"卖","",IF(AND(ISNUMBER(B269),A269&lt;&gt;""),IF(SUMIFS($E$5:$E$804,$A$5:$A$804,A269,$C$5:$C$804,"卖",$B$5:$B$804,"&lt;="&amp;B269)&gt;SUMIFS($E$5:$E$804,$A$5:$A$804,A269,$C$5:$C$804,"买",$B$5:$B$804,"&lt;"&amp;B269),"超出可卖股数","OK"),""))</f>
        <v/>
      </c>
      <c r="O269" s="32" t="n"/>
    </row>
    <row r="270">
      <c r="A270" s="46" t="n"/>
      <c r="B270" s="31" t="n"/>
      <c r="C270" s="27" t="n"/>
      <c r="D270" s="56" t="n"/>
      <c r="E270" s="17" t="n"/>
      <c r="F270" s="20" t="str">
        <f>IF(AND(ISNUMBER(D270),ISNUMBER(E270)),D270*E270,"")</f>
        <v/>
      </c>
      <c r="G270" s="51" t="str">
        <f>IF(ISNUMBER(F270),ROUND(MAX(F270*'参数'!$C$12,'参数'!$C$13),2),"")</f>
        <v/>
      </c>
      <c r="H270" s="51" t="str">
        <f>IF(ISNUMBER(F270),IF(C270="卖",ROUND(F270*'参数'!$C$14,2),0),"")</f>
        <v/>
      </c>
      <c r="I270" s="51" t="str">
        <f>IF(ISNUMBER(F270),ROUND(F270*'参数'!$C$15,2),"")</f>
        <v/>
      </c>
      <c r="J270" s="21" t="n"/>
      <c r="K270" s="20" t="str">
        <f>IF(ISNUMBER(J270),J270,IF(ISNUMBER(F270),G270+H270+I270+ROUND(F270*'参数'!$C$16,2),""))</f>
        <v/>
      </c>
      <c r="L270" s="43" t="str">
        <f>IF(A270="","",IFERROR(T(INDEX('交易记录'!$C$5:$C$304,MATCH(A270,'交易记录'!$A$5:$A$304,0))),"编号没找到"))</f>
        <v/>
      </c>
      <c r="M270" s="57" t="str">
        <f>IF(AND(C270="买",ISNUMBER(B270)),WORKDAY(B270,1,'参数'!$B$58:$B$80),"")</f>
        <v/>
      </c>
      <c r="N270" s="36" t="str">
        <f>IF(C270&lt;&gt;"卖","",IF(AND(ISNUMBER(B270),A270&lt;&gt;""),IF(SUMIFS($E$5:$E$804,$A$5:$A$804,A270,$C$5:$C$804,"卖",$B$5:$B$804,"&lt;="&amp;B270)&gt;SUMIFS($E$5:$E$804,$A$5:$A$804,A270,$C$5:$C$804,"买",$B$5:$B$804,"&lt;"&amp;B270),"超出可卖股数","OK"),""))</f>
        <v/>
      </c>
      <c r="O270" s="32" t="n"/>
    </row>
    <row r="271">
      <c r="A271" s="46" t="n"/>
      <c r="B271" s="31" t="n"/>
      <c r="C271" s="27" t="n"/>
      <c r="D271" s="56" t="n"/>
      <c r="E271" s="17" t="n"/>
      <c r="F271" s="20" t="str">
        <f>IF(AND(ISNUMBER(D271),ISNUMBER(E271)),D271*E271,"")</f>
        <v/>
      </c>
      <c r="G271" s="51" t="str">
        <f>IF(ISNUMBER(F271),ROUND(MAX(F271*'参数'!$C$12,'参数'!$C$13),2),"")</f>
        <v/>
      </c>
      <c r="H271" s="51" t="str">
        <f>IF(ISNUMBER(F271),IF(C271="卖",ROUND(F271*'参数'!$C$14,2),0),"")</f>
        <v/>
      </c>
      <c r="I271" s="51" t="str">
        <f>IF(ISNUMBER(F271),ROUND(F271*'参数'!$C$15,2),"")</f>
        <v/>
      </c>
      <c r="J271" s="21" t="n"/>
      <c r="K271" s="20" t="str">
        <f>IF(ISNUMBER(J271),J271,IF(ISNUMBER(F271),G271+H271+I271+ROUND(F271*'参数'!$C$16,2),""))</f>
        <v/>
      </c>
      <c r="L271" s="43" t="str">
        <f>IF(A271="","",IFERROR(T(INDEX('交易记录'!$C$5:$C$304,MATCH(A271,'交易记录'!$A$5:$A$304,0))),"编号没找到"))</f>
        <v/>
      </c>
      <c r="M271" s="57" t="str">
        <f>IF(AND(C271="买",ISNUMBER(B271)),WORKDAY(B271,1,'参数'!$B$58:$B$80),"")</f>
        <v/>
      </c>
      <c r="N271" s="36" t="str">
        <f>IF(C271&lt;&gt;"卖","",IF(AND(ISNUMBER(B271),A271&lt;&gt;""),IF(SUMIFS($E$5:$E$804,$A$5:$A$804,A271,$C$5:$C$804,"卖",$B$5:$B$804,"&lt;="&amp;B271)&gt;SUMIFS($E$5:$E$804,$A$5:$A$804,A271,$C$5:$C$804,"买",$B$5:$B$804,"&lt;"&amp;B271),"超出可卖股数","OK"),""))</f>
        <v/>
      </c>
      <c r="O271" s="32" t="n"/>
    </row>
    <row r="272">
      <c r="A272" s="46" t="n"/>
      <c r="B272" s="31" t="n"/>
      <c r="C272" s="27" t="n"/>
      <c r="D272" s="56" t="n"/>
      <c r="E272" s="17" t="n"/>
      <c r="F272" s="20" t="str">
        <f>IF(AND(ISNUMBER(D272),ISNUMBER(E272)),D272*E272,"")</f>
        <v/>
      </c>
      <c r="G272" s="51" t="str">
        <f>IF(ISNUMBER(F272),ROUND(MAX(F272*'参数'!$C$12,'参数'!$C$13),2),"")</f>
        <v/>
      </c>
      <c r="H272" s="51" t="str">
        <f>IF(ISNUMBER(F272),IF(C272="卖",ROUND(F272*'参数'!$C$14,2),0),"")</f>
        <v/>
      </c>
      <c r="I272" s="51" t="str">
        <f>IF(ISNUMBER(F272),ROUND(F272*'参数'!$C$15,2),"")</f>
        <v/>
      </c>
      <c r="J272" s="21" t="n"/>
      <c r="K272" s="20" t="str">
        <f>IF(ISNUMBER(J272),J272,IF(ISNUMBER(F272),G272+H272+I272+ROUND(F272*'参数'!$C$16,2),""))</f>
        <v/>
      </c>
      <c r="L272" s="43" t="str">
        <f>IF(A272="","",IFERROR(T(INDEX('交易记录'!$C$5:$C$304,MATCH(A272,'交易记录'!$A$5:$A$304,0))),"编号没找到"))</f>
        <v/>
      </c>
      <c r="M272" s="57" t="str">
        <f>IF(AND(C272="买",ISNUMBER(B272)),WORKDAY(B272,1,'参数'!$B$58:$B$80),"")</f>
        <v/>
      </c>
      <c r="N272" s="36" t="str">
        <f>IF(C272&lt;&gt;"卖","",IF(AND(ISNUMBER(B272),A272&lt;&gt;""),IF(SUMIFS($E$5:$E$804,$A$5:$A$804,A272,$C$5:$C$804,"卖",$B$5:$B$804,"&lt;="&amp;B272)&gt;SUMIFS($E$5:$E$804,$A$5:$A$804,A272,$C$5:$C$804,"买",$B$5:$B$804,"&lt;"&amp;B272),"超出可卖股数","OK"),""))</f>
        <v/>
      </c>
      <c r="O272" s="32" t="n"/>
    </row>
    <row r="273">
      <c r="A273" s="46" t="n"/>
      <c r="B273" s="31" t="n"/>
      <c r="C273" s="27" t="n"/>
      <c r="D273" s="56" t="n"/>
      <c r="E273" s="17" t="n"/>
      <c r="F273" s="20" t="str">
        <f>IF(AND(ISNUMBER(D273),ISNUMBER(E273)),D273*E273,"")</f>
        <v/>
      </c>
      <c r="G273" s="51" t="str">
        <f>IF(ISNUMBER(F273),ROUND(MAX(F273*'参数'!$C$12,'参数'!$C$13),2),"")</f>
        <v/>
      </c>
      <c r="H273" s="51" t="str">
        <f>IF(ISNUMBER(F273),IF(C273="卖",ROUND(F273*'参数'!$C$14,2),0),"")</f>
        <v/>
      </c>
      <c r="I273" s="51" t="str">
        <f>IF(ISNUMBER(F273),ROUND(F273*'参数'!$C$15,2),"")</f>
        <v/>
      </c>
      <c r="J273" s="21" t="n"/>
      <c r="K273" s="20" t="str">
        <f>IF(ISNUMBER(J273),J273,IF(ISNUMBER(F273),G273+H273+I273+ROUND(F273*'参数'!$C$16,2),""))</f>
        <v/>
      </c>
      <c r="L273" s="43" t="str">
        <f>IF(A273="","",IFERROR(T(INDEX('交易记录'!$C$5:$C$304,MATCH(A273,'交易记录'!$A$5:$A$304,0))),"编号没找到"))</f>
        <v/>
      </c>
      <c r="M273" s="57" t="str">
        <f>IF(AND(C273="买",ISNUMBER(B273)),WORKDAY(B273,1,'参数'!$B$58:$B$80),"")</f>
        <v/>
      </c>
      <c r="N273" s="36" t="str">
        <f>IF(C273&lt;&gt;"卖","",IF(AND(ISNUMBER(B273),A273&lt;&gt;""),IF(SUMIFS($E$5:$E$804,$A$5:$A$804,A273,$C$5:$C$804,"卖",$B$5:$B$804,"&lt;="&amp;B273)&gt;SUMIFS($E$5:$E$804,$A$5:$A$804,A273,$C$5:$C$804,"买",$B$5:$B$804,"&lt;"&amp;B273),"超出可卖股数","OK"),""))</f>
        <v/>
      </c>
      <c r="O273" s="32" t="n"/>
    </row>
    <row r="274">
      <c r="A274" s="46" t="n"/>
      <c r="B274" s="31" t="n"/>
      <c r="C274" s="27" t="n"/>
      <c r="D274" s="56" t="n"/>
      <c r="E274" s="17" t="n"/>
      <c r="F274" s="20" t="str">
        <f>IF(AND(ISNUMBER(D274),ISNUMBER(E274)),D274*E274,"")</f>
        <v/>
      </c>
      <c r="G274" s="51" t="str">
        <f>IF(ISNUMBER(F274),ROUND(MAX(F274*'参数'!$C$12,'参数'!$C$13),2),"")</f>
        <v/>
      </c>
      <c r="H274" s="51" t="str">
        <f>IF(ISNUMBER(F274),IF(C274="卖",ROUND(F274*'参数'!$C$14,2),0),"")</f>
        <v/>
      </c>
      <c r="I274" s="51" t="str">
        <f>IF(ISNUMBER(F274),ROUND(F274*'参数'!$C$15,2),"")</f>
        <v/>
      </c>
      <c r="J274" s="21" t="n"/>
      <c r="K274" s="20" t="str">
        <f>IF(ISNUMBER(J274),J274,IF(ISNUMBER(F274),G274+H274+I274+ROUND(F274*'参数'!$C$16,2),""))</f>
        <v/>
      </c>
      <c r="L274" s="43" t="str">
        <f>IF(A274="","",IFERROR(T(INDEX('交易记录'!$C$5:$C$304,MATCH(A274,'交易记录'!$A$5:$A$304,0))),"编号没找到"))</f>
        <v/>
      </c>
      <c r="M274" s="57" t="str">
        <f>IF(AND(C274="买",ISNUMBER(B274)),WORKDAY(B274,1,'参数'!$B$58:$B$80),"")</f>
        <v/>
      </c>
      <c r="N274" s="36" t="str">
        <f>IF(C274&lt;&gt;"卖","",IF(AND(ISNUMBER(B274),A274&lt;&gt;""),IF(SUMIFS($E$5:$E$804,$A$5:$A$804,A274,$C$5:$C$804,"卖",$B$5:$B$804,"&lt;="&amp;B274)&gt;SUMIFS($E$5:$E$804,$A$5:$A$804,A274,$C$5:$C$804,"买",$B$5:$B$804,"&lt;"&amp;B274),"超出可卖股数","OK"),""))</f>
        <v/>
      </c>
      <c r="O274" s="32" t="n"/>
    </row>
    <row r="275">
      <c r="A275" s="46" t="n"/>
      <c r="B275" s="31" t="n"/>
      <c r="C275" s="27" t="n"/>
      <c r="D275" s="56" t="n"/>
      <c r="E275" s="17" t="n"/>
      <c r="F275" s="20" t="str">
        <f>IF(AND(ISNUMBER(D275),ISNUMBER(E275)),D275*E275,"")</f>
        <v/>
      </c>
      <c r="G275" s="51" t="str">
        <f>IF(ISNUMBER(F275),ROUND(MAX(F275*'参数'!$C$12,'参数'!$C$13),2),"")</f>
        <v/>
      </c>
      <c r="H275" s="51" t="str">
        <f>IF(ISNUMBER(F275),IF(C275="卖",ROUND(F275*'参数'!$C$14,2),0),"")</f>
        <v/>
      </c>
      <c r="I275" s="51" t="str">
        <f>IF(ISNUMBER(F275),ROUND(F275*'参数'!$C$15,2),"")</f>
        <v/>
      </c>
      <c r="J275" s="21" t="n"/>
      <c r="K275" s="20" t="str">
        <f>IF(ISNUMBER(J275),J275,IF(ISNUMBER(F275),G275+H275+I275+ROUND(F275*'参数'!$C$16,2),""))</f>
        <v/>
      </c>
      <c r="L275" s="43" t="str">
        <f>IF(A275="","",IFERROR(T(INDEX('交易记录'!$C$5:$C$304,MATCH(A275,'交易记录'!$A$5:$A$304,0))),"编号没找到"))</f>
        <v/>
      </c>
      <c r="M275" s="57" t="str">
        <f>IF(AND(C275="买",ISNUMBER(B275)),WORKDAY(B275,1,'参数'!$B$58:$B$80),"")</f>
        <v/>
      </c>
      <c r="N275" s="36" t="str">
        <f>IF(C275&lt;&gt;"卖","",IF(AND(ISNUMBER(B275),A275&lt;&gt;""),IF(SUMIFS($E$5:$E$804,$A$5:$A$804,A275,$C$5:$C$804,"卖",$B$5:$B$804,"&lt;="&amp;B275)&gt;SUMIFS($E$5:$E$804,$A$5:$A$804,A275,$C$5:$C$804,"买",$B$5:$B$804,"&lt;"&amp;B275),"超出可卖股数","OK"),""))</f>
        <v/>
      </c>
      <c r="O275" s="32" t="n"/>
    </row>
    <row r="276">
      <c r="A276" s="46" t="n"/>
      <c r="B276" s="31" t="n"/>
      <c r="C276" s="27" t="n"/>
      <c r="D276" s="56" t="n"/>
      <c r="E276" s="17" t="n"/>
      <c r="F276" s="20" t="str">
        <f>IF(AND(ISNUMBER(D276),ISNUMBER(E276)),D276*E276,"")</f>
        <v/>
      </c>
      <c r="G276" s="51" t="str">
        <f>IF(ISNUMBER(F276),ROUND(MAX(F276*'参数'!$C$12,'参数'!$C$13),2),"")</f>
        <v/>
      </c>
      <c r="H276" s="51" t="str">
        <f>IF(ISNUMBER(F276),IF(C276="卖",ROUND(F276*'参数'!$C$14,2),0),"")</f>
        <v/>
      </c>
      <c r="I276" s="51" t="str">
        <f>IF(ISNUMBER(F276),ROUND(F276*'参数'!$C$15,2),"")</f>
        <v/>
      </c>
      <c r="J276" s="21" t="n"/>
      <c r="K276" s="20" t="str">
        <f>IF(ISNUMBER(J276),J276,IF(ISNUMBER(F276),G276+H276+I276+ROUND(F276*'参数'!$C$16,2),""))</f>
        <v/>
      </c>
      <c r="L276" s="43" t="str">
        <f>IF(A276="","",IFERROR(T(INDEX('交易记录'!$C$5:$C$304,MATCH(A276,'交易记录'!$A$5:$A$304,0))),"编号没找到"))</f>
        <v/>
      </c>
      <c r="M276" s="57" t="str">
        <f>IF(AND(C276="买",ISNUMBER(B276)),WORKDAY(B276,1,'参数'!$B$58:$B$80),"")</f>
        <v/>
      </c>
      <c r="N276" s="36" t="str">
        <f>IF(C276&lt;&gt;"卖","",IF(AND(ISNUMBER(B276),A276&lt;&gt;""),IF(SUMIFS($E$5:$E$804,$A$5:$A$804,A276,$C$5:$C$804,"卖",$B$5:$B$804,"&lt;="&amp;B276)&gt;SUMIFS($E$5:$E$804,$A$5:$A$804,A276,$C$5:$C$804,"买",$B$5:$B$804,"&lt;"&amp;B276),"超出可卖股数","OK"),""))</f>
        <v/>
      </c>
      <c r="O276" s="32" t="n"/>
    </row>
    <row r="277">
      <c r="A277" s="46" t="n"/>
      <c r="B277" s="31" t="n"/>
      <c r="C277" s="27" t="n"/>
      <c r="D277" s="56" t="n"/>
      <c r="E277" s="17" t="n"/>
      <c r="F277" s="20" t="str">
        <f>IF(AND(ISNUMBER(D277),ISNUMBER(E277)),D277*E277,"")</f>
        <v/>
      </c>
      <c r="G277" s="51" t="str">
        <f>IF(ISNUMBER(F277),ROUND(MAX(F277*'参数'!$C$12,'参数'!$C$13),2),"")</f>
        <v/>
      </c>
      <c r="H277" s="51" t="str">
        <f>IF(ISNUMBER(F277),IF(C277="卖",ROUND(F277*'参数'!$C$14,2),0),"")</f>
        <v/>
      </c>
      <c r="I277" s="51" t="str">
        <f>IF(ISNUMBER(F277),ROUND(F277*'参数'!$C$15,2),"")</f>
        <v/>
      </c>
      <c r="J277" s="21" t="n"/>
      <c r="K277" s="20" t="str">
        <f>IF(ISNUMBER(J277),J277,IF(ISNUMBER(F277),G277+H277+I277+ROUND(F277*'参数'!$C$16,2),""))</f>
        <v/>
      </c>
      <c r="L277" s="43" t="str">
        <f>IF(A277="","",IFERROR(T(INDEX('交易记录'!$C$5:$C$304,MATCH(A277,'交易记录'!$A$5:$A$304,0))),"编号没找到"))</f>
        <v/>
      </c>
      <c r="M277" s="57" t="str">
        <f>IF(AND(C277="买",ISNUMBER(B277)),WORKDAY(B277,1,'参数'!$B$58:$B$80),"")</f>
        <v/>
      </c>
      <c r="N277" s="36" t="str">
        <f>IF(C277&lt;&gt;"卖","",IF(AND(ISNUMBER(B277),A277&lt;&gt;""),IF(SUMIFS($E$5:$E$804,$A$5:$A$804,A277,$C$5:$C$804,"卖",$B$5:$B$804,"&lt;="&amp;B277)&gt;SUMIFS($E$5:$E$804,$A$5:$A$804,A277,$C$5:$C$804,"买",$B$5:$B$804,"&lt;"&amp;B277),"超出可卖股数","OK"),""))</f>
        <v/>
      </c>
      <c r="O277" s="32" t="n"/>
    </row>
    <row r="278">
      <c r="A278" s="46" t="n"/>
      <c r="B278" s="31" t="n"/>
      <c r="C278" s="27" t="n"/>
      <c r="D278" s="56" t="n"/>
      <c r="E278" s="17" t="n"/>
      <c r="F278" s="20" t="str">
        <f>IF(AND(ISNUMBER(D278),ISNUMBER(E278)),D278*E278,"")</f>
        <v/>
      </c>
      <c r="G278" s="51" t="str">
        <f>IF(ISNUMBER(F278),ROUND(MAX(F278*'参数'!$C$12,'参数'!$C$13),2),"")</f>
        <v/>
      </c>
      <c r="H278" s="51" t="str">
        <f>IF(ISNUMBER(F278),IF(C278="卖",ROUND(F278*'参数'!$C$14,2),0),"")</f>
        <v/>
      </c>
      <c r="I278" s="51" t="str">
        <f>IF(ISNUMBER(F278),ROUND(F278*'参数'!$C$15,2),"")</f>
        <v/>
      </c>
      <c r="J278" s="21" t="n"/>
      <c r="K278" s="20" t="str">
        <f>IF(ISNUMBER(J278),J278,IF(ISNUMBER(F278),G278+H278+I278+ROUND(F278*'参数'!$C$16,2),""))</f>
        <v/>
      </c>
      <c r="L278" s="43" t="str">
        <f>IF(A278="","",IFERROR(T(INDEX('交易记录'!$C$5:$C$304,MATCH(A278,'交易记录'!$A$5:$A$304,0))),"编号没找到"))</f>
        <v/>
      </c>
      <c r="M278" s="57" t="str">
        <f>IF(AND(C278="买",ISNUMBER(B278)),WORKDAY(B278,1,'参数'!$B$58:$B$80),"")</f>
        <v/>
      </c>
      <c r="N278" s="36" t="str">
        <f>IF(C278&lt;&gt;"卖","",IF(AND(ISNUMBER(B278),A278&lt;&gt;""),IF(SUMIFS($E$5:$E$804,$A$5:$A$804,A278,$C$5:$C$804,"卖",$B$5:$B$804,"&lt;="&amp;B278)&gt;SUMIFS($E$5:$E$804,$A$5:$A$804,A278,$C$5:$C$804,"买",$B$5:$B$804,"&lt;"&amp;B278),"超出可卖股数","OK"),""))</f>
        <v/>
      </c>
      <c r="O278" s="32" t="n"/>
    </row>
    <row r="279">
      <c r="A279" s="46" t="n"/>
      <c r="B279" s="31" t="n"/>
      <c r="C279" s="27" t="n"/>
      <c r="D279" s="56" t="n"/>
      <c r="E279" s="17" t="n"/>
      <c r="F279" s="20" t="str">
        <f>IF(AND(ISNUMBER(D279),ISNUMBER(E279)),D279*E279,"")</f>
        <v/>
      </c>
      <c r="G279" s="51" t="str">
        <f>IF(ISNUMBER(F279),ROUND(MAX(F279*'参数'!$C$12,'参数'!$C$13),2),"")</f>
        <v/>
      </c>
      <c r="H279" s="51" t="str">
        <f>IF(ISNUMBER(F279),IF(C279="卖",ROUND(F279*'参数'!$C$14,2),0),"")</f>
        <v/>
      </c>
      <c r="I279" s="51" t="str">
        <f>IF(ISNUMBER(F279),ROUND(F279*'参数'!$C$15,2),"")</f>
        <v/>
      </c>
      <c r="J279" s="21" t="n"/>
      <c r="K279" s="20" t="str">
        <f>IF(ISNUMBER(J279),J279,IF(ISNUMBER(F279),G279+H279+I279+ROUND(F279*'参数'!$C$16,2),""))</f>
        <v/>
      </c>
      <c r="L279" s="43" t="str">
        <f>IF(A279="","",IFERROR(T(INDEX('交易记录'!$C$5:$C$304,MATCH(A279,'交易记录'!$A$5:$A$304,0))),"编号没找到"))</f>
        <v/>
      </c>
      <c r="M279" s="57" t="str">
        <f>IF(AND(C279="买",ISNUMBER(B279)),WORKDAY(B279,1,'参数'!$B$58:$B$80),"")</f>
        <v/>
      </c>
      <c r="N279" s="36" t="str">
        <f>IF(C279&lt;&gt;"卖","",IF(AND(ISNUMBER(B279),A279&lt;&gt;""),IF(SUMIFS($E$5:$E$804,$A$5:$A$804,A279,$C$5:$C$804,"卖",$B$5:$B$804,"&lt;="&amp;B279)&gt;SUMIFS($E$5:$E$804,$A$5:$A$804,A279,$C$5:$C$804,"买",$B$5:$B$804,"&lt;"&amp;B279),"超出可卖股数","OK"),""))</f>
        <v/>
      </c>
      <c r="O279" s="32" t="n"/>
    </row>
    <row r="280">
      <c r="A280" s="46" t="n"/>
      <c r="B280" s="31" t="n"/>
      <c r="C280" s="27" t="n"/>
      <c r="D280" s="56" t="n"/>
      <c r="E280" s="17" t="n"/>
      <c r="F280" s="20" t="str">
        <f>IF(AND(ISNUMBER(D280),ISNUMBER(E280)),D280*E280,"")</f>
        <v/>
      </c>
      <c r="G280" s="51" t="str">
        <f>IF(ISNUMBER(F280),ROUND(MAX(F280*'参数'!$C$12,'参数'!$C$13),2),"")</f>
        <v/>
      </c>
      <c r="H280" s="51" t="str">
        <f>IF(ISNUMBER(F280),IF(C280="卖",ROUND(F280*'参数'!$C$14,2),0),"")</f>
        <v/>
      </c>
      <c r="I280" s="51" t="str">
        <f>IF(ISNUMBER(F280),ROUND(F280*'参数'!$C$15,2),"")</f>
        <v/>
      </c>
      <c r="J280" s="21" t="n"/>
      <c r="K280" s="20" t="str">
        <f>IF(ISNUMBER(J280),J280,IF(ISNUMBER(F280),G280+H280+I280+ROUND(F280*'参数'!$C$16,2),""))</f>
        <v/>
      </c>
      <c r="L280" s="43" t="str">
        <f>IF(A280="","",IFERROR(T(INDEX('交易记录'!$C$5:$C$304,MATCH(A280,'交易记录'!$A$5:$A$304,0))),"编号没找到"))</f>
        <v/>
      </c>
      <c r="M280" s="57" t="str">
        <f>IF(AND(C280="买",ISNUMBER(B280)),WORKDAY(B280,1,'参数'!$B$58:$B$80),"")</f>
        <v/>
      </c>
      <c r="N280" s="36" t="str">
        <f>IF(C280&lt;&gt;"卖","",IF(AND(ISNUMBER(B280),A280&lt;&gt;""),IF(SUMIFS($E$5:$E$804,$A$5:$A$804,A280,$C$5:$C$804,"卖",$B$5:$B$804,"&lt;="&amp;B280)&gt;SUMIFS($E$5:$E$804,$A$5:$A$804,A280,$C$5:$C$804,"买",$B$5:$B$804,"&lt;"&amp;B280),"超出可卖股数","OK"),""))</f>
        <v/>
      </c>
      <c r="O280" s="32" t="n"/>
    </row>
    <row r="281">
      <c r="A281" s="46" t="n"/>
      <c r="B281" s="31" t="n"/>
      <c r="C281" s="27" t="n"/>
      <c r="D281" s="56" t="n"/>
      <c r="E281" s="17" t="n"/>
      <c r="F281" s="20" t="str">
        <f>IF(AND(ISNUMBER(D281),ISNUMBER(E281)),D281*E281,"")</f>
        <v/>
      </c>
      <c r="G281" s="51" t="str">
        <f>IF(ISNUMBER(F281),ROUND(MAX(F281*'参数'!$C$12,'参数'!$C$13),2),"")</f>
        <v/>
      </c>
      <c r="H281" s="51" t="str">
        <f>IF(ISNUMBER(F281),IF(C281="卖",ROUND(F281*'参数'!$C$14,2),0),"")</f>
        <v/>
      </c>
      <c r="I281" s="51" t="str">
        <f>IF(ISNUMBER(F281),ROUND(F281*'参数'!$C$15,2),"")</f>
        <v/>
      </c>
      <c r="J281" s="21" t="n"/>
      <c r="K281" s="20" t="str">
        <f>IF(ISNUMBER(J281),J281,IF(ISNUMBER(F281),G281+H281+I281+ROUND(F281*'参数'!$C$16,2),""))</f>
        <v/>
      </c>
      <c r="L281" s="43" t="str">
        <f>IF(A281="","",IFERROR(T(INDEX('交易记录'!$C$5:$C$304,MATCH(A281,'交易记录'!$A$5:$A$304,0))),"编号没找到"))</f>
        <v/>
      </c>
      <c r="M281" s="57" t="str">
        <f>IF(AND(C281="买",ISNUMBER(B281)),WORKDAY(B281,1,'参数'!$B$58:$B$80),"")</f>
        <v/>
      </c>
      <c r="N281" s="36" t="str">
        <f>IF(C281&lt;&gt;"卖","",IF(AND(ISNUMBER(B281),A281&lt;&gt;""),IF(SUMIFS($E$5:$E$804,$A$5:$A$804,A281,$C$5:$C$804,"卖",$B$5:$B$804,"&lt;="&amp;B281)&gt;SUMIFS($E$5:$E$804,$A$5:$A$804,A281,$C$5:$C$804,"买",$B$5:$B$804,"&lt;"&amp;B281),"超出可卖股数","OK"),""))</f>
        <v/>
      </c>
      <c r="O281" s="32" t="n"/>
    </row>
    <row r="282">
      <c r="A282" s="46" t="n"/>
      <c r="B282" s="31" t="n"/>
      <c r="C282" s="27" t="n"/>
      <c r="D282" s="56" t="n"/>
      <c r="E282" s="17" t="n"/>
      <c r="F282" s="20" t="str">
        <f>IF(AND(ISNUMBER(D282),ISNUMBER(E282)),D282*E282,"")</f>
        <v/>
      </c>
      <c r="G282" s="51" t="str">
        <f>IF(ISNUMBER(F282),ROUND(MAX(F282*'参数'!$C$12,'参数'!$C$13),2),"")</f>
        <v/>
      </c>
      <c r="H282" s="51" t="str">
        <f>IF(ISNUMBER(F282),IF(C282="卖",ROUND(F282*'参数'!$C$14,2),0),"")</f>
        <v/>
      </c>
      <c r="I282" s="51" t="str">
        <f>IF(ISNUMBER(F282),ROUND(F282*'参数'!$C$15,2),"")</f>
        <v/>
      </c>
      <c r="J282" s="21" t="n"/>
      <c r="K282" s="20" t="str">
        <f>IF(ISNUMBER(J282),J282,IF(ISNUMBER(F282),G282+H282+I282+ROUND(F282*'参数'!$C$16,2),""))</f>
        <v/>
      </c>
      <c r="L282" s="43" t="str">
        <f>IF(A282="","",IFERROR(T(INDEX('交易记录'!$C$5:$C$304,MATCH(A282,'交易记录'!$A$5:$A$304,0))),"编号没找到"))</f>
        <v/>
      </c>
      <c r="M282" s="57" t="str">
        <f>IF(AND(C282="买",ISNUMBER(B282)),WORKDAY(B282,1,'参数'!$B$58:$B$80),"")</f>
        <v/>
      </c>
      <c r="N282" s="36" t="str">
        <f>IF(C282&lt;&gt;"卖","",IF(AND(ISNUMBER(B282),A282&lt;&gt;""),IF(SUMIFS($E$5:$E$804,$A$5:$A$804,A282,$C$5:$C$804,"卖",$B$5:$B$804,"&lt;="&amp;B282)&gt;SUMIFS($E$5:$E$804,$A$5:$A$804,A282,$C$5:$C$804,"买",$B$5:$B$804,"&lt;"&amp;B282),"超出可卖股数","OK"),""))</f>
        <v/>
      </c>
      <c r="O282" s="32" t="n"/>
    </row>
    <row r="283">
      <c r="A283" s="46" t="n"/>
      <c r="B283" s="31" t="n"/>
      <c r="C283" s="27" t="n"/>
      <c r="D283" s="56" t="n"/>
      <c r="E283" s="17" t="n"/>
      <c r="F283" s="20" t="str">
        <f>IF(AND(ISNUMBER(D283),ISNUMBER(E283)),D283*E283,"")</f>
        <v/>
      </c>
      <c r="G283" s="51" t="str">
        <f>IF(ISNUMBER(F283),ROUND(MAX(F283*'参数'!$C$12,'参数'!$C$13),2),"")</f>
        <v/>
      </c>
      <c r="H283" s="51" t="str">
        <f>IF(ISNUMBER(F283),IF(C283="卖",ROUND(F283*'参数'!$C$14,2),0),"")</f>
        <v/>
      </c>
      <c r="I283" s="51" t="str">
        <f>IF(ISNUMBER(F283),ROUND(F283*'参数'!$C$15,2),"")</f>
        <v/>
      </c>
      <c r="J283" s="21" t="n"/>
      <c r="K283" s="20" t="str">
        <f>IF(ISNUMBER(J283),J283,IF(ISNUMBER(F283),G283+H283+I283+ROUND(F283*'参数'!$C$16,2),""))</f>
        <v/>
      </c>
      <c r="L283" s="43" t="str">
        <f>IF(A283="","",IFERROR(T(INDEX('交易记录'!$C$5:$C$304,MATCH(A283,'交易记录'!$A$5:$A$304,0))),"编号没找到"))</f>
        <v/>
      </c>
      <c r="M283" s="57" t="str">
        <f>IF(AND(C283="买",ISNUMBER(B283)),WORKDAY(B283,1,'参数'!$B$58:$B$80),"")</f>
        <v/>
      </c>
      <c r="N283" s="36" t="str">
        <f>IF(C283&lt;&gt;"卖","",IF(AND(ISNUMBER(B283),A283&lt;&gt;""),IF(SUMIFS($E$5:$E$804,$A$5:$A$804,A283,$C$5:$C$804,"卖",$B$5:$B$804,"&lt;="&amp;B283)&gt;SUMIFS($E$5:$E$804,$A$5:$A$804,A283,$C$5:$C$804,"买",$B$5:$B$804,"&lt;"&amp;B283),"超出可卖股数","OK"),""))</f>
        <v/>
      </c>
      <c r="O283" s="32" t="n"/>
    </row>
    <row r="284">
      <c r="A284" s="46" t="n"/>
      <c r="B284" s="31" t="n"/>
      <c r="C284" s="27" t="n"/>
      <c r="D284" s="56" t="n"/>
      <c r="E284" s="17" t="n"/>
      <c r="F284" s="20" t="str">
        <f>IF(AND(ISNUMBER(D284),ISNUMBER(E284)),D284*E284,"")</f>
        <v/>
      </c>
      <c r="G284" s="51" t="str">
        <f>IF(ISNUMBER(F284),ROUND(MAX(F284*'参数'!$C$12,'参数'!$C$13),2),"")</f>
        <v/>
      </c>
      <c r="H284" s="51" t="str">
        <f>IF(ISNUMBER(F284),IF(C284="卖",ROUND(F284*'参数'!$C$14,2),0),"")</f>
        <v/>
      </c>
      <c r="I284" s="51" t="str">
        <f>IF(ISNUMBER(F284),ROUND(F284*'参数'!$C$15,2),"")</f>
        <v/>
      </c>
      <c r="J284" s="21" t="n"/>
      <c r="K284" s="20" t="str">
        <f>IF(ISNUMBER(J284),J284,IF(ISNUMBER(F284),G284+H284+I284+ROUND(F284*'参数'!$C$16,2),""))</f>
        <v/>
      </c>
      <c r="L284" s="43" t="str">
        <f>IF(A284="","",IFERROR(T(INDEX('交易记录'!$C$5:$C$304,MATCH(A284,'交易记录'!$A$5:$A$304,0))),"编号没找到"))</f>
        <v/>
      </c>
      <c r="M284" s="57" t="str">
        <f>IF(AND(C284="买",ISNUMBER(B284)),WORKDAY(B284,1,'参数'!$B$58:$B$80),"")</f>
        <v/>
      </c>
      <c r="N284" s="36" t="str">
        <f>IF(C284&lt;&gt;"卖","",IF(AND(ISNUMBER(B284),A284&lt;&gt;""),IF(SUMIFS($E$5:$E$804,$A$5:$A$804,A284,$C$5:$C$804,"卖",$B$5:$B$804,"&lt;="&amp;B284)&gt;SUMIFS($E$5:$E$804,$A$5:$A$804,A284,$C$5:$C$804,"买",$B$5:$B$804,"&lt;"&amp;B284),"超出可卖股数","OK"),""))</f>
        <v/>
      </c>
      <c r="O284" s="32" t="n"/>
    </row>
    <row r="285">
      <c r="A285" s="46" t="n"/>
      <c r="B285" s="31" t="n"/>
      <c r="C285" s="27" t="n"/>
      <c r="D285" s="56" t="n"/>
      <c r="E285" s="17" t="n"/>
      <c r="F285" s="20" t="str">
        <f>IF(AND(ISNUMBER(D285),ISNUMBER(E285)),D285*E285,"")</f>
        <v/>
      </c>
      <c r="G285" s="51" t="str">
        <f>IF(ISNUMBER(F285),ROUND(MAX(F285*'参数'!$C$12,'参数'!$C$13),2),"")</f>
        <v/>
      </c>
      <c r="H285" s="51" t="str">
        <f>IF(ISNUMBER(F285),IF(C285="卖",ROUND(F285*'参数'!$C$14,2),0),"")</f>
        <v/>
      </c>
      <c r="I285" s="51" t="str">
        <f>IF(ISNUMBER(F285),ROUND(F285*'参数'!$C$15,2),"")</f>
        <v/>
      </c>
      <c r="J285" s="21" t="n"/>
      <c r="K285" s="20" t="str">
        <f>IF(ISNUMBER(J285),J285,IF(ISNUMBER(F285),G285+H285+I285+ROUND(F285*'参数'!$C$16,2),""))</f>
        <v/>
      </c>
      <c r="L285" s="43" t="str">
        <f>IF(A285="","",IFERROR(T(INDEX('交易记录'!$C$5:$C$304,MATCH(A285,'交易记录'!$A$5:$A$304,0))),"编号没找到"))</f>
        <v/>
      </c>
      <c r="M285" s="57" t="str">
        <f>IF(AND(C285="买",ISNUMBER(B285)),WORKDAY(B285,1,'参数'!$B$58:$B$80),"")</f>
        <v/>
      </c>
      <c r="N285" s="36" t="str">
        <f>IF(C285&lt;&gt;"卖","",IF(AND(ISNUMBER(B285),A285&lt;&gt;""),IF(SUMIFS($E$5:$E$804,$A$5:$A$804,A285,$C$5:$C$804,"卖",$B$5:$B$804,"&lt;="&amp;B285)&gt;SUMIFS($E$5:$E$804,$A$5:$A$804,A285,$C$5:$C$804,"买",$B$5:$B$804,"&lt;"&amp;B285),"超出可卖股数","OK"),""))</f>
        <v/>
      </c>
      <c r="O285" s="32" t="n"/>
    </row>
    <row r="286">
      <c r="A286" s="46" t="n"/>
      <c r="B286" s="31" t="n"/>
      <c r="C286" s="27" t="n"/>
      <c r="D286" s="56" t="n"/>
      <c r="E286" s="17" t="n"/>
      <c r="F286" s="20" t="str">
        <f>IF(AND(ISNUMBER(D286),ISNUMBER(E286)),D286*E286,"")</f>
        <v/>
      </c>
      <c r="G286" s="51" t="str">
        <f>IF(ISNUMBER(F286),ROUND(MAX(F286*'参数'!$C$12,'参数'!$C$13),2),"")</f>
        <v/>
      </c>
      <c r="H286" s="51" t="str">
        <f>IF(ISNUMBER(F286),IF(C286="卖",ROUND(F286*'参数'!$C$14,2),0),"")</f>
        <v/>
      </c>
      <c r="I286" s="51" t="str">
        <f>IF(ISNUMBER(F286),ROUND(F286*'参数'!$C$15,2),"")</f>
        <v/>
      </c>
      <c r="J286" s="21" t="n"/>
      <c r="K286" s="20" t="str">
        <f>IF(ISNUMBER(J286),J286,IF(ISNUMBER(F286),G286+H286+I286+ROUND(F286*'参数'!$C$16,2),""))</f>
        <v/>
      </c>
      <c r="L286" s="43" t="str">
        <f>IF(A286="","",IFERROR(T(INDEX('交易记录'!$C$5:$C$304,MATCH(A286,'交易记录'!$A$5:$A$304,0))),"编号没找到"))</f>
        <v/>
      </c>
      <c r="M286" s="57" t="str">
        <f>IF(AND(C286="买",ISNUMBER(B286)),WORKDAY(B286,1,'参数'!$B$58:$B$80),"")</f>
        <v/>
      </c>
      <c r="N286" s="36" t="str">
        <f>IF(C286&lt;&gt;"卖","",IF(AND(ISNUMBER(B286),A286&lt;&gt;""),IF(SUMIFS($E$5:$E$804,$A$5:$A$804,A286,$C$5:$C$804,"卖",$B$5:$B$804,"&lt;="&amp;B286)&gt;SUMIFS($E$5:$E$804,$A$5:$A$804,A286,$C$5:$C$804,"买",$B$5:$B$804,"&lt;"&amp;B286),"超出可卖股数","OK"),""))</f>
        <v/>
      </c>
      <c r="O286" s="32" t="n"/>
    </row>
    <row r="287">
      <c r="A287" s="46" t="n"/>
      <c r="B287" s="31" t="n"/>
      <c r="C287" s="27" t="n"/>
      <c r="D287" s="56" t="n"/>
      <c r="E287" s="17" t="n"/>
      <c r="F287" s="20" t="str">
        <f>IF(AND(ISNUMBER(D287),ISNUMBER(E287)),D287*E287,"")</f>
        <v/>
      </c>
      <c r="G287" s="51" t="str">
        <f>IF(ISNUMBER(F287),ROUND(MAX(F287*'参数'!$C$12,'参数'!$C$13),2),"")</f>
        <v/>
      </c>
      <c r="H287" s="51" t="str">
        <f>IF(ISNUMBER(F287),IF(C287="卖",ROUND(F287*'参数'!$C$14,2),0),"")</f>
        <v/>
      </c>
      <c r="I287" s="51" t="str">
        <f>IF(ISNUMBER(F287),ROUND(F287*'参数'!$C$15,2),"")</f>
        <v/>
      </c>
      <c r="J287" s="21" t="n"/>
      <c r="K287" s="20" t="str">
        <f>IF(ISNUMBER(J287),J287,IF(ISNUMBER(F287),G287+H287+I287+ROUND(F287*'参数'!$C$16,2),""))</f>
        <v/>
      </c>
      <c r="L287" s="43" t="str">
        <f>IF(A287="","",IFERROR(T(INDEX('交易记录'!$C$5:$C$304,MATCH(A287,'交易记录'!$A$5:$A$304,0))),"编号没找到"))</f>
        <v/>
      </c>
      <c r="M287" s="57" t="str">
        <f>IF(AND(C287="买",ISNUMBER(B287)),WORKDAY(B287,1,'参数'!$B$58:$B$80),"")</f>
        <v/>
      </c>
      <c r="N287" s="36" t="str">
        <f>IF(C287&lt;&gt;"卖","",IF(AND(ISNUMBER(B287),A287&lt;&gt;""),IF(SUMIFS($E$5:$E$804,$A$5:$A$804,A287,$C$5:$C$804,"卖",$B$5:$B$804,"&lt;="&amp;B287)&gt;SUMIFS($E$5:$E$804,$A$5:$A$804,A287,$C$5:$C$804,"买",$B$5:$B$804,"&lt;"&amp;B287),"超出可卖股数","OK"),""))</f>
        <v/>
      </c>
      <c r="O287" s="32" t="n"/>
    </row>
    <row r="288">
      <c r="A288" s="46" t="n"/>
      <c r="B288" s="31" t="n"/>
      <c r="C288" s="27" t="n"/>
      <c r="D288" s="56" t="n"/>
      <c r="E288" s="17" t="n"/>
      <c r="F288" s="20" t="str">
        <f>IF(AND(ISNUMBER(D288),ISNUMBER(E288)),D288*E288,"")</f>
        <v/>
      </c>
      <c r="G288" s="51" t="str">
        <f>IF(ISNUMBER(F288),ROUND(MAX(F288*'参数'!$C$12,'参数'!$C$13),2),"")</f>
        <v/>
      </c>
      <c r="H288" s="51" t="str">
        <f>IF(ISNUMBER(F288),IF(C288="卖",ROUND(F288*'参数'!$C$14,2),0),"")</f>
        <v/>
      </c>
      <c r="I288" s="51" t="str">
        <f>IF(ISNUMBER(F288),ROUND(F288*'参数'!$C$15,2),"")</f>
        <v/>
      </c>
      <c r="J288" s="21" t="n"/>
      <c r="K288" s="20" t="str">
        <f>IF(ISNUMBER(J288),J288,IF(ISNUMBER(F288),G288+H288+I288+ROUND(F288*'参数'!$C$16,2),""))</f>
        <v/>
      </c>
      <c r="L288" s="43" t="str">
        <f>IF(A288="","",IFERROR(T(INDEX('交易记录'!$C$5:$C$304,MATCH(A288,'交易记录'!$A$5:$A$304,0))),"编号没找到"))</f>
        <v/>
      </c>
      <c r="M288" s="57" t="str">
        <f>IF(AND(C288="买",ISNUMBER(B288)),WORKDAY(B288,1,'参数'!$B$58:$B$80),"")</f>
        <v/>
      </c>
      <c r="N288" s="36" t="str">
        <f>IF(C288&lt;&gt;"卖","",IF(AND(ISNUMBER(B288),A288&lt;&gt;""),IF(SUMIFS($E$5:$E$804,$A$5:$A$804,A288,$C$5:$C$804,"卖",$B$5:$B$804,"&lt;="&amp;B288)&gt;SUMIFS($E$5:$E$804,$A$5:$A$804,A288,$C$5:$C$804,"买",$B$5:$B$804,"&lt;"&amp;B288),"超出可卖股数","OK"),""))</f>
        <v/>
      </c>
      <c r="O288" s="32" t="n"/>
    </row>
    <row r="289">
      <c r="A289" s="46" t="n"/>
      <c r="B289" s="31" t="n"/>
      <c r="C289" s="27" t="n"/>
      <c r="D289" s="56" t="n"/>
      <c r="E289" s="17" t="n"/>
      <c r="F289" s="20" t="str">
        <f>IF(AND(ISNUMBER(D289),ISNUMBER(E289)),D289*E289,"")</f>
        <v/>
      </c>
      <c r="G289" s="51" t="str">
        <f>IF(ISNUMBER(F289),ROUND(MAX(F289*'参数'!$C$12,'参数'!$C$13),2),"")</f>
        <v/>
      </c>
      <c r="H289" s="51" t="str">
        <f>IF(ISNUMBER(F289),IF(C289="卖",ROUND(F289*'参数'!$C$14,2),0),"")</f>
        <v/>
      </c>
      <c r="I289" s="51" t="str">
        <f>IF(ISNUMBER(F289),ROUND(F289*'参数'!$C$15,2),"")</f>
        <v/>
      </c>
      <c r="J289" s="21" t="n"/>
      <c r="K289" s="20" t="str">
        <f>IF(ISNUMBER(J289),J289,IF(ISNUMBER(F289),G289+H289+I289+ROUND(F289*'参数'!$C$16,2),""))</f>
        <v/>
      </c>
      <c r="L289" s="43" t="str">
        <f>IF(A289="","",IFERROR(T(INDEX('交易记录'!$C$5:$C$304,MATCH(A289,'交易记录'!$A$5:$A$304,0))),"编号没找到"))</f>
        <v/>
      </c>
      <c r="M289" s="57" t="str">
        <f>IF(AND(C289="买",ISNUMBER(B289)),WORKDAY(B289,1,'参数'!$B$58:$B$80),"")</f>
        <v/>
      </c>
      <c r="N289" s="36" t="str">
        <f>IF(C289&lt;&gt;"卖","",IF(AND(ISNUMBER(B289),A289&lt;&gt;""),IF(SUMIFS($E$5:$E$804,$A$5:$A$804,A289,$C$5:$C$804,"卖",$B$5:$B$804,"&lt;="&amp;B289)&gt;SUMIFS($E$5:$E$804,$A$5:$A$804,A289,$C$5:$C$804,"买",$B$5:$B$804,"&lt;"&amp;B289),"超出可卖股数","OK"),""))</f>
        <v/>
      </c>
      <c r="O289" s="32" t="n"/>
    </row>
    <row r="290">
      <c r="A290" s="46" t="n"/>
      <c r="B290" s="31" t="n"/>
      <c r="C290" s="27" t="n"/>
      <c r="D290" s="56" t="n"/>
      <c r="E290" s="17" t="n"/>
      <c r="F290" s="20" t="str">
        <f>IF(AND(ISNUMBER(D290),ISNUMBER(E290)),D290*E290,"")</f>
        <v/>
      </c>
      <c r="G290" s="51" t="str">
        <f>IF(ISNUMBER(F290),ROUND(MAX(F290*'参数'!$C$12,'参数'!$C$13),2),"")</f>
        <v/>
      </c>
      <c r="H290" s="51" t="str">
        <f>IF(ISNUMBER(F290),IF(C290="卖",ROUND(F290*'参数'!$C$14,2),0),"")</f>
        <v/>
      </c>
      <c r="I290" s="51" t="str">
        <f>IF(ISNUMBER(F290),ROUND(F290*'参数'!$C$15,2),"")</f>
        <v/>
      </c>
      <c r="J290" s="21" t="n"/>
      <c r="K290" s="20" t="str">
        <f>IF(ISNUMBER(J290),J290,IF(ISNUMBER(F290),G290+H290+I290+ROUND(F290*'参数'!$C$16,2),""))</f>
        <v/>
      </c>
      <c r="L290" s="43" t="str">
        <f>IF(A290="","",IFERROR(T(INDEX('交易记录'!$C$5:$C$304,MATCH(A290,'交易记录'!$A$5:$A$304,0))),"编号没找到"))</f>
        <v/>
      </c>
      <c r="M290" s="57" t="str">
        <f>IF(AND(C290="买",ISNUMBER(B290)),WORKDAY(B290,1,'参数'!$B$58:$B$80),"")</f>
        <v/>
      </c>
      <c r="N290" s="36" t="str">
        <f>IF(C290&lt;&gt;"卖","",IF(AND(ISNUMBER(B290),A290&lt;&gt;""),IF(SUMIFS($E$5:$E$804,$A$5:$A$804,A290,$C$5:$C$804,"卖",$B$5:$B$804,"&lt;="&amp;B290)&gt;SUMIFS($E$5:$E$804,$A$5:$A$804,A290,$C$5:$C$804,"买",$B$5:$B$804,"&lt;"&amp;B290),"超出可卖股数","OK"),""))</f>
        <v/>
      </c>
      <c r="O290" s="32" t="n"/>
    </row>
    <row r="291">
      <c r="A291" s="46" t="n"/>
      <c r="B291" s="31" t="n"/>
      <c r="C291" s="27" t="n"/>
      <c r="D291" s="56" t="n"/>
      <c r="E291" s="17" t="n"/>
      <c r="F291" s="20" t="str">
        <f>IF(AND(ISNUMBER(D291),ISNUMBER(E291)),D291*E291,"")</f>
        <v/>
      </c>
      <c r="G291" s="51" t="str">
        <f>IF(ISNUMBER(F291),ROUND(MAX(F291*'参数'!$C$12,'参数'!$C$13),2),"")</f>
        <v/>
      </c>
      <c r="H291" s="51" t="str">
        <f>IF(ISNUMBER(F291),IF(C291="卖",ROUND(F291*'参数'!$C$14,2),0),"")</f>
        <v/>
      </c>
      <c r="I291" s="51" t="str">
        <f>IF(ISNUMBER(F291),ROUND(F291*'参数'!$C$15,2),"")</f>
        <v/>
      </c>
      <c r="J291" s="21" t="n"/>
      <c r="K291" s="20" t="str">
        <f>IF(ISNUMBER(J291),J291,IF(ISNUMBER(F291),G291+H291+I291+ROUND(F291*'参数'!$C$16,2),""))</f>
        <v/>
      </c>
      <c r="L291" s="43" t="str">
        <f>IF(A291="","",IFERROR(T(INDEX('交易记录'!$C$5:$C$304,MATCH(A291,'交易记录'!$A$5:$A$304,0))),"编号没找到"))</f>
        <v/>
      </c>
      <c r="M291" s="57" t="str">
        <f>IF(AND(C291="买",ISNUMBER(B291)),WORKDAY(B291,1,'参数'!$B$58:$B$80),"")</f>
        <v/>
      </c>
      <c r="N291" s="36" t="str">
        <f>IF(C291&lt;&gt;"卖","",IF(AND(ISNUMBER(B291),A291&lt;&gt;""),IF(SUMIFS($E$5:$E$804,$A$5:$A$804,A291,$C$5:$C$804,"卖",$B$5:$B$804,"&lt;="&amp;B291)&gt;SUMIFS($E$5:$E$804,$A$5:$A$804,A291,$C$5:$C$804,"买",$B$5:$B$804,"&lt;"&amp;B291),"超出可卖股数","OK"),""))</f>
        <v/>
      </c>
      <c r="O291" s="32" t="n"/>
    </row>
    <row r="292">
      <c r="A292" s="46" t="n"/>
      <c r="B292" s="31" t="n"/>
      <c r="C292" s="27" t="n"/>
      <c r="D292" s="56" t="n"/>
      <c r="E292" s="17" t="n"/>
      <c r="F292" s="20" t="str">
        <f>IF(AND(ISNUMBER(D292),ISNUMBER(E292)),D292*E292,"")</f>
        <v/>
      </c>
      <c r="G292" s="51" t="str">
        <f>IF(ISNUMBER(F292),ROUND(MAX(F292*'参数'!$C$12,'参数'!$C$13),2),"")</f>
        <v/>
      </c>
      <c r="H292" s="51" t="str">
        <f>IF(ISNUMBER(F292),IF(C292="卖",ROUND(F292*'参数'!$C$14,2),0),"")</f>
        <v/>
      </c>
      <c r="I292" s="51" t="str">
        <f>IF(ISNUMBER(F292),ROUND(F292*'参数'!$C$15,2),"")</f>
        <v/>
      </c>
      <c r="J292" s="21" t="n"/>
      <c r="K292" s="20" t="str">
        <f>IF(ISNUMBER(J292),J292,IF(ISNUMBER(F292),G292+H292+I292+ROUND(F292*'参数'!$C$16,2),""))</f>
        <v/>
      </c>
      <c r="L292" s="43" t="str">
        <f>IF(A292="","",IFERROR(T(INDEX('交易记录'!$C$5:$C$304,MATCH(A292,'交易记录'!$A$5:$A$304,0))),"编号没找到"))</f>
        <v/>
      </c>
      <c r="M292" s="57" t="str">
        <f>IF(AND(C292="买",ISNUMBER(B292)),WORKDAY(B292,1,'参数'!$B$58:$B$80),"")</f>
        <v/>
      </c>
      <c r="N292" s="36" t="str">
        <f>IF(C292&lt;&gt;"卖","",IF(AND(ISNUMBER(B292),A292&lt;&gt;""),IF(SUMIFS($E$5:$E$804,$A$5:$A$804,A292,$C$5:$C$804,"卖",$B$5:$B$804,"&lt;="&amp;B292)&gt;SUMIFS($E$5:$E$804,$A$5:$A$804,A292,$C$5:$C$804,"买",$B$5:$B$804,"&lt;"&amp;B292),"超出可卖股数","OK"),""))</f>
        <v/>
      </c>
      <c r="O292" s="32" t="n"/>
    </row>
    <row r="293">
      <c r="A293" s="46" t="n"/>
      <c r="B293" s="31" t="n"/>
      <c r="C293" s="27" t="n"/>
      <c r="D293" s="56" t="n"/>
      <c r="E293" s="17" t="n"/>
      <c r="F293" s="20" t="str">
        <f>IF(AND(ISNUMBER(D293),ISNUMBER(E293)),D293*E293,"")</f>
        <v/>
      </c>
      <c r="G293" s="51" t="str">
        <f>IF(ISNUMBER(F293),ROUND(MAX(F293*'参数'!$C$12,'参数'!$C$13),2),"")</f>
        <v/>
      </c>
      <c r="H293" s="51" t="str">
        <f>IF(ISNUMBER(F293),IF(C293="卖",ROUND(F293*'参数'!$C$14,2),0),"")</f>
        <v/>
      </c>
      <c r="I293" s="51" t="str">
        <f>IF(ISNUMBER(F293),ROUND(F293*'参数'!$C$15,2),"")</f>
        <v/>
      </c>
      <c r="J293" s="21" t="n"/>
      <c r="K293" s="20" t="str">
        <f>IF(ISNUMBER(J293),J293,IF(ISNUMBER(F293),G293+H293+I293+ROUND(F293*'参数'!$C$16,2),""))</f>
        <v/>
      </c>
      <c r="L293" s="43" t="str">
        <f>IF(A293="","",IFERROR(T(INDEX('交易记录'!$C$5:$C$304,MATCH(A293,'交易记录'!$A$5:$A$304,0))),"编号没找到"))</f>
        <v/>
      </c>
      <c r="M293" s="57" t="str">
        <f>IF(AND(C293="买",ISNUMBER(B293)),WORKDAY(B293,1,'参数'!$B$58:$B$80),"")</f>
        <v/>
      </c>
      <c r="N293" s="36" t="str">
        <f>IF(C293&lt;&gt;"卖","",IF(AND(ISNUMBER(B293),A293&lt;&gt;""),IF(SUMIFS($E$5:$E$804,$A$5:$A$804,A293,$C$5:$C$804,"卖",$B$5:$B$804,"&lt;="&amp;B293)&gt;SUMIFS($E$5:$E$804,$A$5:$A$804,A293,$C$5:$C$804,"买",$B$5:$B$804,"&lt;"&amp;B293),"超出可卖股数","OK"),""))</f>
        <v/>
      </c>
      <c r="O293" s="32" t="n"/>
    </row>
    <row r="294">
      <c r="A294" s="46" t="n"/>
      <c r="B294" s="31" t="n"/>
      <c r="C294" s="27" t="n"/>
      <c r="D294" s="56" t="n"/>
      <c r="E294" s="17" t="n"/>
      <c r="F294" s="20" t="str">
        <f>IF(AND(ISNUMBER(D294),ISNUMBER(E294)),D294*E294,"")</f>
        <v/>
      </c>
      <c r="G294" s="51" t="str">
        <f>IF(ISNUMBER(F294),ROUND(MAX(F294*'参数'!$C$12,'参数'!$C$13),2),"")</f>
        <v/>
      </c>
      <c r="H294" s="51" t="str">
        <f>IF(ISNUMBER(F294),IF(C294="卖",ROUND(F294*'参数'!$C$14,2),0),"")</f>
        <v/>
      </c>
      <c r="I294" s="51" t="str">
        <f>IF(ISNUMBER(F294),ROUND(F294*'参数'!$C$15,2),"")</f>
        <v/>
      </c>
      <c r="J294" s="21" t="n"/>
      <c r="K294" s="20" t="str">
        <f>IF(ISNUMBER(J294),J294,IF(ISNUMBER(F294),G294+H294+I294+ROUND(F294*'参数'!$C$16,2),""))</f>
        <v/>
      </c>
      <c r="L294" s="43" t="str">
        <f>IF(A294="","",IFERROR(T(INDEX('交易记录'!$C$5:$C$304,MATCH(A294,'交易记录'!$A$5:$A$304,0))),"编号没找到"))</f>
        <v/>
      </c>
      <c r="M294" s="57" t="str">
        <f>IF(AND(C294="买",ISNUMBER(B294)),WORKDAY(B294,1,'参数'!$B$58:$B$80),"")</f>
        <v/>
      </c>
      <c r="N294" s="36" t="str">
        <f>IF(C294&lt;&gt;"卖","",IF(AND(ISNUMBER(B294),A294&lt;&gt;""),IF(SUMIFS($E$5:$E$804,$A$5:$A$804,A294,$C$5:$C$804,"卖",$B$5:$B$804,"&lt;="&amp;B294)&gt;SUMIFS($E$5:$E$804,$A$5:$A$804,A294,$C$5:$C$804,"买",$B$5:$B$804,"&lt;"&amp;B294),"超出可卖股数","OK"),""))</f>
        <v/>
      </c>
      <c r="O294" s="32" t="n"/>
    </row>
    <row r="295">
      <c r="A295" s="46" t="n"/>
      <c r="B295" s="31" t="n"/>
      <c r="C295" s="27" t="n"/>
      <c r="D295" s="56" t="n"/>
      <c r="E295" s="17" t="n"/>
      <c r="F295" s="20" t="str">
        <f>IF(AND(ISNUMBER(D295),ISNUMBER(E295)),D295*E295,"")</f>
        <v/>
      </c>
      <c r="G295" s="51" t="str">
        <f>IF(ISNUMBER(F295),ROUND(MAX(F295*'参数'!$C$12,'参数'!$C$13),2),"")</f>
        <v/>
      </c>
      <c r="H295" s="51" t="str">
        <f>IF(ISNUMBER(F295),IF(C295="卖",ROUND(F295*'参数'!$C$14,2),0),"")</f>
        <v/>
      </c>
      <c r="I295" s="51" t="str">
        <f>IF(ISNUMBER(F295),ROUND(F295*'参数'!$C$15,2),"")</f>
        <v/>
      </c>
      <c r="J295" s="21" t="n"/>
      <c r="K295" s="20" t="str">
        <f>IF(ISNUMBER(J295),J295,IF(ISNUMBER(F295),G295+H295+I295+ROUND(F295*'参数'!$C$16,2),""))</f>
        <v/>
      </c>
      <c r="L295" s="43" t="str">
        <f>IF(A295="","",IFERROR(T(INDEX('交易记录'!$C$5:$C$304,MATCH(A295,'交易记录'!$A$5:$A$304,0))),"编号没找到"))</f>
        <v/>
      </c>
      <c r="M295" s="57" t="str">
        <f>IF(AND(C295="买",ISNUMBER(B295)),WORKDAY(B295,1,'参数'!$B$58:$B$80),"")</f>
        <v/>
      </c>
      <c r="N295" s="36" t="str">
        <f>IF(C295&lt;&gt;"卖","",IF(AND(ISNUMBER(B295),A295&lt;&gt;""),IF(SUMIFS($E$5:$E$804,$A$5:$A$804,A295,$C$5:$C$804,"卖",$B$5:$B$804,"&lt;="&amp;B295)&gt;SUMIFS($E$5:$E$804,$A$5:$A$804,A295,$C$5:$C$804,"买",$B$5:$B$804,"&lt;"&amp;B295),"超出可卖股数","OK"),""))</f>
        <v/>
      </c>
      <c r="O295" s="32" t="n"/>
    </row>
    <row r="296">
      <c r="A296" s="46" t="n"/>
      <c r="B296" s="31" t="n"/>
      <c r="C296" s="27" t="n"/>
      <c r="D296" s="56" t="n"/>
      <c r="E296" s="17" t="n"/>
      <c r="F296" s="20" t="str">
        <f>IF(AND(ISNUMBER(D296),ISNUMBER(E296)),D296*E296,"")</f>
        <v/>
      </c>
      <c r="G296" s="51" t="str">
        <f>IF(ISNUMBER(F296),ROUND(MAX(F296*'参数'!$C$12,'参数'!$C$13),2),"")</f>
        <v/>
      </c>
      <c r="H296" s="51" t="str">
        <f>IF(ISNUMBER(F296),IF(C296="卖",ROUND(F296*'参数'!$C$14,2),0),"")</f>
        <v/>
      </c>
      <c r="I296" s="51" t="str">
        <f>IF(ISNUMBER(F296),ROUND(F296*'参数'!$C$15,2),"")</f>
        <v/>
      </c>
      <c r="J296" s="21" t="n"/>
      <c r="K296" s="20" t="str">
        <f>IF(ISNUMBER(J296),J296,IF(ISNUMBER(F296),G296+H296+I296+ROUND(F296*'参数'!$C$16,2),""))</f>
        <v/>
      </c>
      <c r="L296" s="43" t="str">
        <f>IF(A296="","",IFERROR(T(INDEX('交易记录'!$C$5:$C$304,MATCH(A296,'交易记录'!$A$5:$A$304,0))),"编号没找到"))</f>
        <v/>
      </c>
      <c r="M296" s="57" t="str">
        <f>IF(AND(C296="买",ISNUMBER(B296)),WORKDAY(B296,1,'参数'!$B$58:$B$80),"")</f>
        <v/>
      </c>
      <c r="N296" s="36" t="str">
        <f>IF(C296&lt;&gt;"卖","",IF(AND(ISNUMBER(B296),A296&lt;&gt;""),IF(SUMIFS($E$5:$E$804,$A$5:$A$804,A296,$C$5:$C$804,"卖",$B$5:$B$804,"&lt;="&amp;B296)&gt;SUMIFS($E$5:$E$804,$A$5:$A$804,A296,$C$5:$C$804,"买",$B$5:$B$804,"&lt;"&amp;B296),"超出可卖股数","OK"),""))</f>
        <v/>
      </c>
      <c r="O296" s="32" t="n"/>
    </row>
    <row r="297">
      <c r="A297" s="46" t="n"/>
      <c r="B297" s="31" t="n"/>
      <c r="C297" s="27" t="n"/>
      <c r="D297" s="56" t="n"/>
      <c r="E297" s="17" t="n"/>
      <c r="F297" s="20" t="str">
        <f>IF(AND(ISNUMBER(D297),ISNUMBER(E297)),D297*E297,"")</f>
        <v/>
      </c>
      <c r="G297" s="51" t="str">
        <f>IF(ISNUMBER(F297),ROUND(MAX(F297*'参数'!$C$12,'参数'!$C$13),2),"")</f>
        <v/>
      </c>
      <c r="H297" s="51" t="str">
        <f>IF(ISNUMBER(F297),IF(C297="卖",ROUND(F297*'参数'!$C$14,2),0),"")</f>
        <v/>
      </c>
      <c r="I297" s="51" t="str">
        <f>IF(ISNUMBER(F297),ROUND(F297*'参数'!$C$15,2),"")</f>
        <v/>
      </c>
      <c r="J297" s="21" t="n"/>
      <c r="K297" s="20" t="str">
        <f>IF(ISNUMBER(J297),J297,IF(ISNUMBER(F297),G297+H297+I297+ROUND(F297*'参数'!$C$16,2),""))</f>
        <v/>
      </c>
      <c r="L297" s="43" t="str">
        <f>IF(A297="","",IFERROR(T(INDEX('交易记录'!$C$5:$C$304,MATCH(A297,'交易记录'!$A$5:$A$304,0))),"编号没找到"))</f>
        <v/>
      </c>
      <c r="M297" s="57" t="str">
        <f>IF(AND(C297="买",ISNUMBER(B297)),WORKDAY(B297,1,'参数'!$B$58:$B$80),"")</f>
        <v/>
      </c>
      <c r="N297" s="36" t="str">
        <f>IF(C297&lt;&gt;"卖","",IF(AND(ISNUMBER(B297),A297&lt;&gt;""),IF(SUMIFS($E$5:$E$804,$A$5:$A$804,A297,$C$5:$C$804,"卖",$B$5:$B$804,"&lt;="&amp;B297)&gt;SUMIFS($E$5:$E$804,$A$5:$A$804,A297,$C$5:$C$804,"买",$B$5:$B$804,"&lt;"&amp;B297),"超出可卖股数","OK"),""))</f>
        <v/>
      </c>
      <c r="O297" s="32" t="n"/>
    </row>
    <row r="298">
      <c r="A298" s="46" t="n"/>
      <c r="B298" s="31" t="n"/>
      <c r="C298" s="27" t="n"/>
      <c r="D298" s="56" t="n"/>
      <c r="E298" s="17" t="n"/>
      <c r="F298" s="20" t="str">
        <f>IF(AND(ISNUMBER(D298),ISNUMBER(E298)),D298*E298,"")</f>
        <v/>
      </c>
      <c r="G298" s="51" t="str">
        <f>IF(ISNUMBER(F298),ROUND(MAX(F298*'参数'!$C$12,'参数'!$C$13),2),"")</f>
        <v/>
      </c>
      <c r="H298" s="51" t="str">
        <f>IF(ISNUMBER(F298),IF(C298="卖",ROUND(F298*'参数'!$C$14,2),0),"")</f>
        <v/>
      </c>
      <c r="I298" s="51" t="str">
        <f>IF(ISNUMBER(F298),ROUND(F298*'参数'!$C$15,2),"")</f>
        <v/>
      </c>
      <c r="J298" s="21" t="n"/>
      <c r="K298" s="20" t="str">
        <f>IF(ISNUMBER(J298),J298,IF(ISNUMBER(F298),G298+H298+I298+ROUND(F298*'参数'!$C$16,2),""))</f>
        <v/>
      </c>
      <c r="L298" s="43" t="str">
        <f>IF(A298="","",IFERROR(T(INDEX('交易记录'!$C$5:$C$304,MATCH(A298,'交易记录'!$A$5:$A$304,0))),"编号没找到"))</f>
        <v/>
      </c>
      <c r="M298" s="57" t="str">
        <f>IF(AND(C298="买",ISNUMBER(B298)),WORKDAY(B298,1,'参数'!$B$58:$B$80),"")</f>
        <v/>
      </c>
      <c r="N298" s="36" t="str">
        <f>IF(C298&lt;&gt;"卖","",IF(AND(ISNUMBER(B298),A298&lt;&gt;""),IF(SUMIFS($E$5:$E$804,$A$5:$A$804,A298,$C$5:$C$804,"卖",$B$5:$B$804,"&lt;="&amp;B298)&gt;SUMIFS($E$5:$E$804,$A$5:$A$804,A298,$C$5:$C$804,"买",$B$5:$B$804,"&lt;"&amp;B298),"超出可卖股数","OK"),""))</f>
        <v/>
      </c>
      <c r="O298" s="32" t="n"/>
    </row>
    <row r="299">
      <c r="A299" s="46" t="n"/>
      <c r="B299" s="31" t="n"/>
      <c r="C299" s="27" t="n"/>
      <c r="D299" s="56" t="n"/>
      <c r="E299" s="17" t="n"/>
      <c r="F299" s="20" t="str">
        <f>IF(AND(ISNUMBER(D299),ISNUMBER(E299)),D299*E299,"")</f>
        <v/>
      </c>
      <c r="G299" s="51" t="str">
        <f>IF(ISNUMBER(F299),ROUND(MAX(F299*'参数'!$C$12,'参数'!$C$13),2),"")</f>
        <v/>
      </c>
      <c r="H299" s="51" t="str">
        <f>IF(ISNUMBER(F299),IF(C299="卖",ROUND(F299*'参数'!$C$14,2),0),"")</f>
        <v/>
      </c>
      <c r="I299" s="51" t="str">
        <f>IF(ISNUMBER(F299),ROUND(F299*'参数'!$C$15,2),"")</f>
        <v/>
      </c>
      <c r="J299" s="21" t="n"/>
      <c r="K299" s="20" t="str">
        <f>IF(ISNUMBER(J299),J299,IF(ISNUMBER(F299),G299+H299+I299+ROUND(F299*'参数'!$C$16,2),""))</f>
        <v/>
      </c>
      <c r="L299" s="43" t="str">
        <f>IF(A299="","",IFERROR(T(INDEX('交易记录'!$C$5:$C$304,MATCH(A299,'交易记录'!$A$5:$A$304,0))),"编号没找到"))</f>
        <v/>
      </c>
      <c r="M299" s="57" t="str">
        <f>IF(AND(C299="买",ISNUMBER(B299)),WORKDAY(B299,1,'参数'!$B$58:$B$80),"")</f>
        <v/>
      </c>
      <c r="N299" s="36" t="str">
        <f>IF(C299&lt;&gt;"卖","",IF(AND(ISNUMBER(B299),A299&lt;&gt;""),IF(SUMIFS($E$5:$E$804,$A$5:$A$804,A299,$C$5:$C$804,"卖",$B$5:$B$804,"&lt;="&amp;B299)&gt;SUMIFS($E$5:$E$804,$A$5:$A$804,A299,$C$5:$C$804,"买",$B$5:$B$804,"&lt;"&amp;B299),"超出可卖股数","OK"),""))</f>
        <v/>
      </c>
      <c r="O299" s="32" t="n"/>
    </row>
    <row r="300">
      <c r="A300" s="46" t="n"/>
      <c r="B300" s="31" t="n"/>
      <c r="C300" s="27" t="n"/>
      <c r="D300" s="56" t="n"/>
      <c r="E300" s="17" t="n"/>
      <c r="F300" s="20" t="str">
        <f>IF(AND(ISNUMBER(D300),ISNUMBER(E300)),D300*E300,"")</f>
        <v/>
      </c>
      <c r="G300" s="51" t="str">
        <f>IF(ISNUMBER(F300),ROUND(MAX(F300*'参数'!$C$12,'参数'!$C$13),2),"")</f>
        <v/>
      </c>
      <c r="H300" s="51" t="str">
        <f>IF(ISNUMBER(F300),IF(C300="卖",ROUND(F300*'参数'!$C$14,2),0),"")</f>
        <v/>
      </c>
      <c r="I300" s="51" t="str">
        <f>IF(ISNUMBER(F300),ROUND(F300*'参数'!$C$15,2),"")</f>
        <v/>
      </c>
      <c r="J300" s="21" t="n"/>
      <c r="K300" s="20" t="str">
        <f>IF(ISNUMBER(J300),J300,IF(ISNUMBER(F300),G300+H300+I300+ROUND(F300*'参数'!$C$16,2),""))</f>
        <v/>
      </c>
      <c r="L300" s="43" t="str">
        <f>IF(A300="","",IFERROR(T(INDEX('交易记录'!$C$5:$C$304,MATCH(A300,'交易记录'!$A$5:$A$304,0))),"编号没找到"))</f>
        <v/>
      </c>
      <c r="M300" s="57" t="str">
        <f>IF(AND(C300="买",ISNUMBER(B300)),WORKDAY(B300,1,'参数'!$B$58:$B$80),"")</f>
        <v/>
      </c>
      <c r="N300" s="36" t="str">
        <f>IF(C300&lt;&gt;"卖","",IF(AND(ISNUMBER(B300),A300&lt;&gt;""),IF(SUMIFS($E$5:$E$804,$A$5:$A$804,A300,$C$5:$C$804,"卖",$B$5:$B$804,"&lt;="&amp;B300)&gt;SUMIFS($E$5:$E$804,$A$5:$A$804,A300,$C$5:$C$804,"买",$B$5:$B$804,"&lt;"&amp;B300),"超出可卖股数","OK"),""))</f>
        <v/>
      </c>
      <c r="O300" s="32" t="n"/>
    </row>
    <row r="301">
      <c r="A301" s="46" t="n"/>
      <c r="B301" s="31" t="n"/>
      <c r="C301" s="27" t="n"/>
      <c r="D301" s="56" t="n"/>
      <c r="E301" s="17" t="n"/>
      <c r="F301" s="20" t="str">
        <f>IF(AND(ISNUMBER(D301),ISNUMBER(E301)),D301*E301,"")</f>
        <v/>
      </c>
      <c r="G301" s="51" t="str">
        <f>IF(ISNUMBER(F301),ROUND(MAX(F301*'参数'!$C$12,'参数'!$C$13),2),"")</f>
        <v/>
      </c>
      <c r="H301" s="51" t="str">
        <f>IF(ISNUMBER(F301),IF(C301="卖",ROUND(F301*'参数'!$C$14,2),0),"")</f>
        <v/>
      </c>
      <c r="I301" s="51" t="str">
        <f>IF(ISNUMBER(F301),ROUND(F301*'参数'!$C$15,2),"")</f>
        <v/>
      </c>
      <c r="J301" s="21" t="n"/>
      <c r="K301" s="20" t="str">
        <f>IF(ISNUMBER(J301),J301,IF(ISNUMBER(F301),G301+H301+I301+ROUND(F301*'参数'!$C$16,2),""))</f>
        <v/>
      </c>
      <c r="L301" s="43" t="str">
        <f>IF(A301="","",IFERROR(T(INDEX('交易记录'!$C$5:$C$304,MATCH(A301,'交易记录'!$A$5:$A$304,0))),"编号没找到"))</f>
        <v/>
      </c>
      <c r="M301" s="57" t="str">
        <f>IF(AND(C301="买",ISNUMBER(B301)),WORKDAY(B301,1,'参数'!$B$58:$B$80),"")</f>
        <v/>
      </c>
      <c r="N301" s="36" t="str">
        <f>IF(C301&lt;&gt;"卖","",IF(AND(ISNUMBER(B301),A301&lt;&gt;""),IF(SUMIFS($E$5:$E$804,$A$5:$A$804,A301,$C$5:$C$804,"卖",$B$5:$B$804,"&lt;="&amp;B301)&gt;SUMIFS($E$5:$E$804,$A$5:$A$804,A301,$C$5:$C$804,"买",$B$5:$B$804,"&lt;"&amp;B301),"超出可卖股数","OK"),""))</f>
        <v/>
      </c>
      <c r="O301" s="32" t="n"/>
    </row>
    <row r="302">
      <c r="A302" s="46" t="n"/>
      <c r="B302" s="31" t="n"/>
      <c r="C302" s="27" t="n"/>
      <c r="D302" s="56" t="n"/>
      <c r="E302" s="17" t="n"/>
      <c r="F302" s="20" t="str">
        <f>IF(AND(ISNUMBER(D302),ISNUMBER(E302)),D302*E302,"")</f>
        <v/>
      </c>
      <c r="G302" s="51" t="str">
        <f>IF(ISNUMBER(F302),ROUND(MAX(F302*'参数'!$C$12,'参数'!$C$13),2),"")</f>
        <v/>
      </c>
      <c r="H302" s="51" t="str">
        <f>IF(ISNUMBER(F302),IF(C302="卖",ROUND(F302*'参数'!$C$14,2),0),"")</f>
        <v/>
      </c>
      <c r="I302" s="51" t="str">
        <f>IF(ISNUMBER(F302),ROUND(F302*'参数'!$C$15,2),"")</f>
        <v/>
      </c>
      <c r="J302" s="21" t="n"/>
      <c r="K302" s="20" t="str">
        <f>IF(ISNUMBER(J302),J302,IF(ISNUMBER(F302),G302+H302+I302+ROUND(F302*'参数'!$C$16,2),""))</f>
        <v/>
      </c>
      <c r="L302" s="43" t="str">
        <f>IF(A302="","",IFERROR(T(INDEX('交易记录'!$C$5:$C$304,MATCH(A302,'交易记录'!$A$5:$A$304,0))),"编号没找到"))</f>
        <v/>
      </c>
      <c r="M302" s="57" t="str">
        <f>IF(AND(C302="买",ISNUMBER(B302)),WORKDAY(B302,1,'参数'!$B$58:$B$80),"")</f>
        <v/>
      </c>
      <c r="N302" s="36" t="str">
        <f>IF(C302&lt;&gt;"卖","",IF(AND(ISNUMBER(B302),A302&lt;&gt;""),IF(SUMIFS($E$5:$E$804,$A$5:$A$804,A302,$C$5:$C$804,"卖",$B$5:$B$804,"&lt;="&amp;B302)&gt;SUMIFS($E$5:$E$804,$A$5:$A$804,A302,$C$5:$C$804,"买",$B$5:$B$804,"&lt;"&amp;B302),"超出可卖股数","OK"),""))</f>
        <v/>
      </c>
      <c r="O302" s="32" t="n"/>
    </row>
    <row r="303">
      <c r="A303" s="46" t="n"/>
      <c r="B303" s="31" t="n"/>
      <c r="C303" s="27" t="n"/>
      <c r="D303" s="56" t="n"/>
      <c r="E303" s="17" t="n"/>
      <c r="F303" s="20" t="str">
        <f>IF(AND(ISNUMBER(D303),ISNUMBER(E303)),D303*E303,"")</f>
        <v/>
      </c>
      <c r="G303" s="51" t="str">
        <f>IF(ISNUMBER(F303),ROUND(MAX(F303*'参数'!$C$12,'参数'!$C$13),2),"")</f>
        <v/>
      </c>
      <c r="H303" s="51" t="str">
        <f>IF(ISNUMBER(F303),IF(C303="卖",ROUND(F303*'参数'!$C$14,2),0),"")</f>
        <v/>
      </c>
      <c r="I303" s="51" t="str">
        <f>IF(ISNUMBER(F303),ROUND(F303*'参数'!$C$15,2),"")</f>
        <v/>
      </c>
      <c r="J303" s="21" t="n"/>
      <c r="K303" s="20" t="str">
        <f>IF(ISNUMBER(J303),J303,IF(ISNUMBER(F303),G303+H303+I303+ROUND(F303*'参数'!$C$16,2),""))</f>
        <v/>
      </c>
      <c r="L303" s="43" t="str">
        <f>IF(A303="","",IFERROR(T(INDEX('交易记录'!$C$5:$C$304,MATCH(A303,'交易记录'!$A$5:$A$304,0))),"编号没找到"))</f>
        <v/>
      </c>
      <c r="M303" s="57" t="str">
        <f>IF(AND(C303="买",ISNUMBER(B303)),WORKDAY(B303,1,'参数'!$B$58:$B$80),"")</f>
        <v/>
      </c>
      <c r="N303" s="36" t="str">
        <f>IF(C303&lt;&gt;"卖","",IF(AND(ISNUMBER(B303),A303&lt;&gt;""),IF(SUMIFS($E$5:$E$804,$A$5:$A$804,A303,$C$5:$C$804,"卖",$B$5:$B$804,"&lt;="&amp;B303)&gt;SUMIFS($E$5:$E$804,$A$5:$A$804,A303,$C$5:$C$804,"买",$B$5:$B$804,"&lt;"&amp;B303),"超出可卖股数","OK"),""))</f>
        <v/>
      </c>
      <c r="O303" s="32" t="n"/>
    </row>
    <row r="304">
      <c r="A304" s="46" t="n"/>
      <c r="B304" s="31" t="n"/>
      <c r="C304" s="27" t="n"/>
      <c r="D304" s="56" t="n"/>
      <c r="E304" s="17" t="n"/>
      <c r="F304" s="20" t="str">
        <f>IF(AND(ISNUMBER(D304),ISNUMBER(E304)),D304*E304,"")</f>
        <v/>
      </c>
      <c r="G304" s="51" t="str">
        <f>IF(ISNUMBER(F304),ROUND(MAX(F304*'参数'!$C$12,'参数'!$C$13),2),"")</f>
        <v/>
      </c>
      <c r="H304" s="51" t="str">
        <f>IF(ISNUMBER(F304),IF(C304="卖",ROUND(F304*'参数'!$C$14,2),0),"")</f>
        <v/>
      </c>
      <c r="I304" s="51" t="str">
        <f>IF(ISNUMBER(F304),ROUND(F304*'参数'!$C$15,2),"")</f>
        <v/>
      </c>
      <c r="J304" s="21" t="n"/>
      <c r="K304" s="20" t="str">
        <f>IF(ISNUMBER(J304),J304,IF(ISNUMBER(F304),G304+H304+I304+ROUND(F304*'参数'!$C$16,2),""))</f>
        <v/>
      </c>
      <c r="L304" s="43" t="str">
        <f>IF(A304="","",IFERROR(T(INDEX('交易记录'!$C$5:$C$304,MATCH(A304,'交易记录'!$A$5:$A$304,0))),"编号没找到"))</f>
        <v/>
      </c>
      <c r="M304" s="57" t="str">
        <f>IF(AND(C304="买",ISNUMBER(B304)),WORKDAY(B304,1,'参数'!$B$58:$B$80),"")</f>
        <v/>
      </c>
      <c r="N304" s="36" t="str">
        <f>IF(C304&lt;&gt;"卖","",IF(AND(ISNUMBER(B304),A304&lt;&gt;""),IF(SUMIFS($E$5:$E$804,$A$5:$A$804,A304,$C$5:$C$804,"卖",$B$5:$B$804,"&lt;="&amp;B304)&gt;SUMIFS($E$5:$E$804,$A$5:$A$804,A304,$C$5:$C$804,"买",$B$5:$B$804,"&lt;"&amp;B304),"超出可卖股数","OK"),""))</f>
        <v/>
      </c>
      <c r="O304" s="32" t="n"/>
    </row>
    <row r="305">
      <c r="A305" s="46" t="n"/>
      <c r="B305" s="31" t="n"/>
      <c r="C305" s="27" t="n"/>
      <c r="D305" s="56" t="n"/>
      <c r="E305" s="17" t="n"/>
      <c r="F305" s="20" t="str">
        <f>IF(AND(ISNUMBER(D305),ISNUMBER(E305)),D305*E305,"")</f>
        <v/>
      </c>
      <c r="G305" s="51" t="str">
        <f>IF(ISNUMBER(F305),ROUND(MAX(F305*'参数'!$C$12,'参数'!$C$13),2),"")</f>
        <v/>
      </c>
      <c r="H305" s="51" t="str">
        <f>IF(ISNUMBER(F305),IF(C305="卖",ROUND(F305*'参数'!$C$14,2),0),"")</f>
        <v/>
      </c>
      <c r="I305" s="51" t="str">
        <f>IF(ISNUMBER(F305),ROUND(F305*'参数'!$C$15,2),"")</f>
        <v/>
      </c>
      <c r="J305" s="21" t="n"/>
      <c r="K305" s="20" t="str">
        <f>IF(ISNUMBER(J305),J305,IF(ISNUMBER(F305),G305+H305+I305+ROUND(F305*'参数'!$C$16,2),""))</f>
        <v/>
      </c>
      <c r="L305" s="43" t="str">
        <f>IF(A305="","",IFERROR(T(INDEX('交易记录'!$C$5:$C$304,MATCH(A305,'交易记录'!$A$5:$A$304,0))),"编号没找到"))</f>
        <v/>
      </c>
      <c r="M305" s="57" t="str">
        <f>IF(AND(C305="买",ISNUMBER(B305)),WORKDAY(B305,1,'参数'!$B$58:$B$80),"")</f>
        <v/>
      </c>
      <c r="N305" s="36" t="str">
        <f>IF(C305&lt;&gt;"卖","",IF(AND(ISNUMBER(B305),A305&lt;&gt;""),IF(SUMIFS($E$5:$E$804,$A$5:$A$804,A305,$C$5:$C$804,"卖",$B$5:$B$804,"&lt;="&amp;B305)&gt;SUMIFS($E$5:$E$804,$A$5:$A$804,A305,$C$5:$C$804,"买",$B$5:$B$804,"&lt;"&amp;B305),"超出可卖股数","OK"),""))</f>
        <v/>
      </c>
      <c r="O305" s="32" t="n"/>
    </row>
    <row r="306">
      <c r="A306" s="46" t="n"/>
      <c r="B306" s="31" t="n"/>
      <c r="C306" s="27" t="n"/>
      <c r="D306" s="56" t="n"/>
      <c r="E306" s="17" t="n"/>
      <c r="F306" s="20" t="str">
        <f>IF(AND(ISNUMBER(D306),ISNUMBER(E306)),D306*E306,"")</f>
        <v/>
      </c>
      <c r="G306" s="51" t="str">
        <f>IF(ISNUMBER(F306),ROUND(MAX(F306*'参数'!$C$12,'参数'!$C$13),2),"")</f>
        <v/>
      </c>
      <c r="H306" s="51" t="str">
        <f>IF(ISNUMBER(F306),IF(C306="卖",ROUND(F306*'参数'!$C$14,2),0),"")</f>
        <v/>
      </c>
      <c r="I306" s="51" t="str">
        <f>IF(ISNUMBER(F306),ROUND(F306*'参数'!$C$15,2),"")</f>
        <v/>
      </c>
      <c r="J306" s="21" t="n"/>
      <c r="K306" s="20" t="str">
        <f>IF(ISNUMBER(J306),J306,IF(ISNUMBER(F306),G306+H306+I306+ROUND(F306*'参数'!$C$16,2),""))</f>
        <v/>
      </c>
      <c r="L306" s="43" t="str">
        <f>IF(A306="","",IFERROR(T(INDEX('交易记录'!$C$5:$C$304,MATCH(A306,'交易记录'!$A$5:$A$304,0))),"编号没找到"))</f>
        <v/>
      </c>
      <c r="M306" s="57" t="str">
        <f>IF(AND(C306="买",ISNUMBER(B306)),WORKDAY(B306,1,'参数'!$B$58:$B$80),"")</f>
        <v/>
      </c>
      <c r="N306" s="36" t="str">
        <f>IF(C306&lt;&gt;"卖","",IF(AND(ISNUMBER(B306),A306&lt;&gt;""),IF(SUMIFS($E$5:$E$804,$A$5:$A$804,A306,$C$5:$C$804,"卖",$B$5:$B$804,"&lt;="&amp;B306)&gt;SUMIFS($E$5:$E$804,$A$5:$A$804,A306,$C$5:$C$804,"买",$B$5:$B$804,"&lt;"&amp;B306),"超出可卖股数","OK"),""))</f>
        <v/>
      </c>
      <c r="O306" s="32" t="n"/>
    </row>
    <row r="307">
      <c r="A307" s="46" t="n"/>
      <c r="B307" s="31" t="n"/>
      <c r="C307" s="27" t="n"/>
      <c r="D307" s="56" t="n"/>
      <c r="E307" s="17" t="n"/>
      <c r="F307" s="20" t="str">
        <f>IF(AND(ISNUMBER(D307),ISNUMBER(E307)),D307*E307,"")</f>
        <v/>
      </c>
      <c r="G307" s="51" t="str">
        <f>IF(ISNUMBER(F307),ROUND(MAX(F307*'参数'!$C$12,'参数'!$C$13),2),"")</f>
        <v/>
      </c>
      <c r="H307" s="51" t="str">
        <f>IF(ISNUMBER(F307),IF(C307="卖",ROUND(F307*'参数'!$C$14,2),0),"")</f>
        <v/>
      </c>
      <c r="I307" s="51" t="str">
        <f>IF(ISNUMBER(F307),ROUND(F307*'参数'!$C$15,2),"")</f>
        <v/>
      </c>
      <c r="J307" s="21" t="n"/>
      <c r="K307" s="20" t="str">
        <f>IF(ISNUMBER(J307),J307,IF(ISNUMBER(F307),G307+H307+I307+ROUND(F307*'参数'!$C$16,2),""))</f>
        <v/>
      </c>
      <c r="L307" s="43" t="str">
        <f>IF(A307="","",IFERROR(T(INDEX('交易记录'!$C$5:$C$304,MATCH(A307,'交易记录'!$A$5:$A$304,0))),"编号没找到"))</f>
        <v/>
      </c>
      <c r="M307" s="57" t="str">
        <f>IF(AND(C307="买",ISNUMBER(B307)),WORKDAY(B307,1,'参数'!$B$58:$B$80),"")</f>
        <v/>
      </c>
      <c r="N307" s="36" t="str">
        <f>IF(C307&lt;&gt;"卖","",IF(AND(ISNUMBER(B307),A307&lt;&gt;""),IF(SUMIFS($E$5:$E$804,$A$5:$A$804,A307,$C$5:$C$804,"卖",$B$5:$B$804,"&lt;="&amp;B307)&gt;SUMIFS($E$5:$E$804,$A$5:$A$804,A307,$C$5:$C$804,"买",$B$5:$B$804,"&lt;"&amp;B307),"超出可卖股数","OK"),""))</f>
        <v/>
      </c>
      <c r="O307" s="32" t="n"/>
    </row>
    <row r="308">
      <c r="A308" s="46" t="n"/>
      <c r="B308" s="31" t="n"/>
      <c r="C308" s="27" t="n"/>
      <c r="D308" s="56" t="n"/>
      <c r="E308" s="17" t="n"/>
      <c r="F308" s="20" t="str">
        <f>IF(AND(ISNUMBER(D308),ISNUMBER(E308)),D308*E308,"")</f>
        <v/>
      </c>
      <c r="G308" s="51" t="str">
        <f>IF(ISNUMBER(F308),ROUND(MAX(F308*'参数'!$C$12,'参数'!$C$13),2),"")</f>
        <v/>
      </c>
      <c r="H308" s="51" t="str">
        <f>IF(ISNUMBER(F308),IF(C308="卖",ROUND(F308*'参数'!$C$14,2),0),"")</f>
        <v/>
      </c>
      <c r="I308" s="51" t="str">
        <f>IF(ISNUMBER(F308),ROUND(F308*'参数'!$C$15,2),"")</f>
        <v/>
      </c>
      <c r="J308" s="21" t="n"/>
      <c r="K308" s="20" t="str">
        <f>IF(ISNUMBER(J308),J308,IF(ISNUMBER(F308),G308+H308+I308+ROUND(F308*'参数'!$C$16,2),""))</f>
        <v/>
      </c>
      <c r="L308" s="43" t="str">
        <f>IF(A308="","",IFERROR(T(INDEX('交易记录'!$C$5:$C$304,MATCH(A308,'交易记录'!$A$5:$A$304,0))),"编号没找到"))</f>
        <v/>
      </c>
      <c r="M308" s="57" t="str">
        <f>IF(AND(C308="买",ISNUMBER(B308)),WORKDAY(B308,1,'参数'!$B$58:$B$80),"")</f>
        <v/>
      </c>
      <c r="N308" s="36" t="str">
        <f>IF(C308&lt;&gt;"卖","",IF(AND(ISNUMBER(B308),A308&lt;&gt;""),IF(SUMIFS($E$5:$E$804,$A$5:$A$804,A308,$C$5:$C$804,"卖",$B$5:$B$804,"&lt;="&amp;B308)&gt;SUMIFS($E$5:$E$804,$A$5:$A$804,A308,$C$5:$C$804,"买",$B$5:$B$804,"&lt;"&amp;B308),"超出可卖股数","OK"),""))</f>
        <v/>
      </c>
      <c r="O308" s="32" t="n"/>
    </row>
    <row r="309">
      <c r="A309" s="46" t="n"/>
      <c r="B309" s="31" t="n"/>
      <c r="C309" s="27" t="n"/>
      <c r="D309" s="56" t="n"/>
      <c r="E309" s="17" t="n"/>
      <c r="F309" s="20" t="str">
        <f>IF(AND(ISNUMBER(D309),ISNUMBER(E309)),D309*E309,"")</f>
        <v/>
      </c>
      <c r="G309" s="51" t="str">
        <f>IF(ISNUMBER(F309),ROUND(MAX(F309*'参数'!$C$12,'参数'!$C$13),2),"")</f>
        <v/>
      </c>
      <c r="H309" s="51" t="str">
        <f>IF(ISNUMBER(F309),IF(C309="卖",ROUND(F309*'参数'!$C$14,2),0),"")</f>
        <v/>
      </c>
      <c r="I309" s="51" t="str">
        <f>IF(ISNUMBER(F309),ROUND(F309*'参数'!$C$15,2),"")</f>
        <v/>
      </c>
      <c r="J309" s="21" t="n"/>
      <c r="K309" s="20" t="str">
        <f>IF(ISNUMBER(J309),J309,IF(ISNUMBER(F309),G309+H309+I309+ROUND(F309*'参数'!$C$16,2),""))</f>
        <v/>
      </c>
      <c r="L309" s="43" t="str">
        <f>IF(A309="","",IFERROR(T(INDEX('交易记录'!$C$5:$C$304,MATCH(A309,'交易记录'!$A$5:$A$304,0))),"编号没找到"))</f>
        <v/>
      </c>
      <c r="M309" s="57" t="str">
        <f>IF(AND(C309="买",ISNUMBER(B309)),WORKDAY(B309,1,'参数'!$B$58:$B$80),"")</f>
        <v/>
      </c>
      <c r="N309" s="36" t="str">
        <f>IF(C309&lt;&gt;"卖","",IF(AND(ISNUMBER(B309),A309&lt;&gt;""),IF(SUMIFS($E$5:$E$804,$A$5:$A$804,A309,$C$5:$C$804,"卖",$B$5:$B$804,"&lt;="&amp;B309)&gt;SUMIFS($E$5:$E$804,$A$5:$A$804,A309,$C$5:$C$804,"买",$B$5:$B$804,"&lt;"&amp;B309),"超出可卖股数","OK"),""))</f>
        <v/>
      </c>
      <c r="O309" s="32" t="n"/>
    </row>
    <row r="310">
      <c r="A310" s="46" t="n"/>
      <c r="B310" s="31" t="n"/>
      <c r="C310" s="27" t="n"/>
      <c r="D310" s="56" t="n"/>
      <c r="E310" s="17" t="n"/>
      <c r="F310" s="20" t="str">
        <f>IF(AND(ISNUMBER(D310),ISNUMBER(E310)),D310*E310,"")</f>
        <v/>
      </c>
      <c r="G310" s="51" t="str">
        <f>IF(ISNUMBER(F310),ROUND(MAX(F310*'参数'!$C$12,'参数'!$C$13),2),"")</f>
        <v/>
      </c>
      <c r="H310" s="51" t="str">
        <f>IF(ISNUMBER(F310),IF(C310="卖",ROUND(F310*'参数'!$C$14,2),0),"")</f>
        <v/>
      </c>
      <c r="I310" s="51" t="str">
        <f>IF(ISNUMBER(F310),ROUND(F310*'参数'!$C$15,2),"")</f>
        <v/>
      </c>
      <c r="J310" s="21" t="n"/>
      <c r="K310" s="20" t="str">
        <f>IF(ISNUMBER(J310),J310,IF(ISNUMBER(F310),G310+H310+I310+ROUND(F310*'参数'!$C$16,2),""))</f>
        <v/>
      </c>
      <c r="L310" s="43" t="str">
        <f>IF(A310="","",IFERROR(T(INDEX('交易记录'!$C$5:$C$304,MATCH(A310,'交易记录'!$A$5:$A$304,0))),"编号没找到"))</f>
        <v/>
      </c>
      <c r="M310" s="57" t="str">
        <f>IF(AND(C310="买",ISNUMBER(B310)),WORKDAY(B310,1,'参数'!$B$58:$B$80),"")</f>
        <v/>
      </c>
      <c r="N310" s="36" t="str">
        <f>IF(C310&lt;&gt;"卖","",IF(AND(ISNUMBER(B310),A310&lt;&gt;""),IF(SUMIFS($E$5:$E$804,$A$5:$A$804,A310,$C$5:$C$804,"卖",$B$5:$B$804,"&lt;="&amp;B310)&gt;SUMIFS($E$5:$E$804,$A$5:$A$804,A310,$C$5:$C$804,"买",$B$5:$B$804,"&lt;"&amp;B310),"超出可卖股数","OK"),""))</f>
        <v/>
      </c>
      <c r="O310" s="32" t="n"/>
    </row>
    <row r="311">
      <c r="A311" s="46" t="n"/>
      <c r="B311" s="31" t="n"/>
      <c r="C311" s="27" t="n"/>
      <c r="D311" s="56" t="n"/>
      <c r="E311" s="17" t="n"/>
      <c r="F311" s="20" t="str">
        <f>IF(AND(ISNUMBER(D311),ISNUMBER(E311)),D311*E311,"")</f>
        <v/>
      </c>
      <c r="G311" s="51" t="str">
        <f>IF(ISNUMBER(F311),ROUND(MAX(F311*'参数'!$C$12,'参数'!$C$13),2),"")</f>
        <v/>
      </c>
      <c r="H311" s="51" t="str">
        <f>IF(ISNUMBER(F311),IF(C311="卖",ROUND(F311*'参数'!$C$14,2),0),"")</f>
        <v/>
      </c>
      <c r="I311" s="51" t="str">
        <f>IF(ISNUMBER(F311),ROUND(F311*'参数'!$C$15,2),"")</f>
        <v/>
      </c>
      <c r="J311" s="21" t="n"/>
      <c r="K311" s="20" t="str">
        <f>IF(ISNUMBER(J311),J311,IF(ISNUMBER(F311),G311+H311+I311+ROUND(F311*'参数'!$C$16,2),""))</f>
        <v/>
      </c>
      <c r="L311" s="43" t="str">
        <f>IF(A311="","",IFERROR(T(INDEX('交易记录'!$C$5:$C$304,MATCH(A311,'交易记录'!$A$5:$A$304,0))),"编号没找到"))</f>
        <v/>
      </c>
      <c r="M311" s="57" t="str">
        <f>IF(AND(C311="买",ISNUMBER(B311)),WORKDAY(B311,1,'参数'!$B$58:$B$80),"")</f>
        <v/>
      </c>
      <c r="N311" s="36" t="str">
        <f>IF(C311&lt;&gt;"卖","",IF(AND(ISNUMBER(B311),A311&lt;&gt;""),IF(SUMIFS($E$5:$E$804,$A$5:$A$804,A311,$C$5:$C$804,"卖",$B$5:$B$804,"&lt;="&amp;B311)&gt;SUMIFS($E$5:$E$804,$A$5:$A$804,A311,$C$5:$C$804,"买",$B$5:$B$804,"&lt;"&amp;B311),"超出可卖股数","OK"),""))</f>
        <v/>
      </c>
      <c r="O311" s="32" t="n"/>
    </row>
    <row r="312">
      <c r="A312" s="46" t="n"/>
      <c r="B312" s="31" t="n"/>
      <c r="C312" s="27" t="n"/>
      <c r="D312" s="56" t="n"/>
      <c r="E312" s="17" t="n"/>
      <c r="F312" s="20" t="str">
        <f>IF(AND(ISNUMBER(D312),ISNUMBER(E312)),D312*E312,"")</f>
        <v/>
      </c>
      <c r="G312" s="51" t="str">
        <f>IF(ISNUMBER(F312),ROUND(MAX(F312*'参数'!$C$12,'参数'!$C$13),2),"")</f>
        <v/>
      </c>
      <c r="H312" s="51" t="str">
        <f>IF(ISNUMBER(F312),IF(C312="卖",ROUND(F312*'参数'!$C$14,2),0),"")</f>
        <v/>
      </c>
      <c r="I312" s="51" t="str">
        <f>IF(ISNUMBER(F312),ROUND(F312*'参数'!$C$15,2),"")</f>
        <v/>
      </c>
      <c r="J312" s="21" t="n"/>
      <c r="K312" s="20" t="str">
        <f>IF(ISNUMBER(J312),J312,IF(ISNUMBER(F312),G312+H312+I312+ROUND(F312*'参数'!$C$16,2),""))</f>
        <v/>
      </c>
      <c r="L312" s="43" t="str">
        <f>IF(A312="","",IFERROR(T(INDEX('交易记录'!$C$5:$C$304,MATCH(A312,'交易记录'!$A$5:$A$304,0))),"编号没找到"))</f>
        <v/>
      </c>
      <c r="M312" s="57" t="str">
        <f>IF(AND(C312="买",ISNUMBER(B312)),WORKDAY(B312,1,'参数'!$B$58:$B$80),"")</f>
        <v/>
      </c>
      <c r="N312" s="36" t="str">
        <f>IF(C312&lt;&gt;"卖","",IF(AND(ISNUMBER(B312),A312&lt;&gt;""),IF(SUMIFS($E$5:$E$804,$A$5:$A$804,A312,$C$5:$C$804,"卖",$B$5:$B$804,"&lt;="&amp;B312)&gt;SUMIFS($E$5:$E$804,$A$5:$A$804,A312,$C$5:$C$804,"买",$B$5:$B$804,"&lt;"&amp;B312),"超出可卖股数","OK"),""))</f>
        <v/>
      </c>
      <c r="O312" s="32" t="n"/>
    </row>
    <row r="313">
      <c r="A313" s="46" t="n"/>
      <c r="B313" s="31" t="n"/>
      <c r="C313" s="27" t="n"/>
      <c r="D313" s="56" t="n"/>
      <c r="E313" s="17" t="n"/>
      <c r="F313" s="20" t="str">
        <f>IF(AND(ISNUMBER(D313),ISNUMBER(E313)),D313*E313,"")</f>
        <v/>
      </c>
      <c r="G313" s="51" t="str">
        <f>IF(ISNUMBER(F313),ROUND(MAX(F313*'参数'!$C$12,'参数'!$C$13),2),"")</f>
        <v/>
      </c>
      <c r="H313" s="51" t="str">
        <f>IF(ISNUMBER(F313),IF(C313="卖",ROUND(F313*'参数'!$C$14,2),0),"")</f>
        <v/>
      </c>
      <c r="I313" s="51" t="str">
        <f>IF(ISNUMBER(F313),ROUND(F313*'参数'!$C$15,2),"")</f>
        <v/>
      </c>
      <c r="J313" s="21" t="n"/>
      <c r="K313" s="20" t="str">
        <f>IF(ISNUMBER(J313),J313,IF(ISNUMBER(F313),G313+H313+I313+ROUND(F313*'参数'!$C$16,2),""))</f>
        <v/>
      </c>
      <c r="L313" s="43" t="str">
        <f>IF(A313="","",IFERROR(T(INDEX('交易记录'!$C$5:$C$304,MATCH(A313,'交易记录'!$A$5:$A$304,0))),"编号没找到"))</f>
        <v/>
      </c>
      <c r="M313" s="57" t="str">
        <f>IF(AND(C313="买",ISNUMBER(B313)),WORKDAY(B313,1,'参数'!$B$58:$B$80),"")</f>
        <v/>
      </c>
      <c r="N313" s="36" t="str">
        <f>IF(C313&lt;&gt;"卖","",IF(AND(ISNUMBER(B313),A313&lt;&gt;""),IF(SUMIFS($E$5:$E$804,$A$5:$A$804,A313,$C$5:$C$804,"卖",$B$5:$B$804,"&lt;="&amp;B313)&gt;SUMIFS($E$5:$E$804,$A$5:$A$804,A313,$C$5:$C$804,"买",$B$5:$B$804,"&lt;"&amp;B313),"超出可卖股数","OK"),""))</f>
        <v/>
      </c>
      <c r="O313" s="32" t="n"/>
    </row>
    <row r="314">
      <c r="A314" s="46" t="n"/>
      <c r="B314" s="31" t="n"/>
      <c r="C314" s="27" t="n"/>
      <c r="D314" s="56" t="n"/>
      <c r="E314" s="17" t="n"/>
      <c r="F314" s="20" t="str">
        <f>IF(AND(ISNUMBER(D314),ISNUMBER(E314)),D314*E314,"")</f>
        <v/>
      </c>
      <c r="G314" s="51" t="str">
        <f>IF(ISNUMBER(F314),ROUND(MAX(F314*'参数'!$C$12,'参数'!$C$13),2),"")</f>
        <v/>
      </c>
      <c r="H314" s="51" t="str">
        <f>IF(ISNUMBER(F314),IF(C314="卖",ROUND(F314*'参数'!$C$14,2),0),"")</f>
        <v/>
      </c>
      <c r="I314" s="51" t="str">
        <f>IF(ISNUMBER(F314),ROUND(F314*'参数'!$C$15,2),"")</f>
        <v/>
      </c>
      <c r="J314" s="21" t="n"/>
      <c r="K314" s="20" t="str">
        <f>IF(ISNUMBER(J314),J314,IF(ISNUMBER(F314),G314+H314+I314+ROUND(F314*'参数'!$C$16,2),""))</f>
        <v/>
      </c>
      <c r="L314" s="43" t="str">
        <f>IF(A314="","",IFERROR(T(INDEX('交易记录'!$C$5:$C$304,MATCH(A314,'交易记录'!$A$5:$A$304,0))),"编号没找到"))</f>
        <v/>
      </c>
      <c r="M314" s="57" t="str">
        <f>IF(AND(C314="买",ISNUMBER(B314)),WORKDAY(B314,1,'参数'!$B$58:$B$80),"")</f>
        <v/>
      </c>
      <c r="N314" s="36" t="str">
        <f>IF(C314&lt;&gt;"卖","",IF(AND(ISNUMBER(B314),A314&lt;&gt;""),IF(SUMIFS($E$5:$E$804,$A$5:$A$804,A314,$C$5:$C$804,"卖",$B$5:$B$804,"&lt;="&amp;B314)&gt;SUMIFS($E$5:$E$804,$A$5:$A$804,A314,$C$5:$C$804,"买",$B$5:$B$804,"&lt;"&amp;B314),"超出可卖股数","OK"),""))</f>
        <v/>
      </c>
      <c r="O314" s="32" t="n"/>
    </row>
    <row r="315">
      <c r="A315" s="46" t="n"/>
      <c r="B315" s="31" t="n"/>
      <c r="C315" s="27" t="n"/>
      <c r="D315" s="56" t="n"/>
      <c r="E315" s="17" t="n"/>
      <c r="F315" s="20" t="str">
        <f>IF(AND(ISNUMBER(D315),ISNUMBER(E315)),D315*E315,"")</f>
        <v/>
      </c>
      <c r="G315" s="51" t="str">
        <f>IF(ISNUMBER(F315),ROUND(MAX(F315*'参数'!$C$12,'参数'!$C$13),2),"")</f>
        <v/>
      </c>
      <c r="H315" s="51" t="str">
        <f>IF(ISNUMBER(F315),IF(C315="卖",ROUND(F315*'参数'!$C$14,2),0),"")</f>
        <v/>
      </c>
      <c r="I315" s="51" t="str">
        <f>IF(ISNUMBER(F315),ROUND(F315*'参数'!$C$15,2),"")</f>
        <v/>
      </c>
      <c r="J315" s="21" t="n"/>
      <c r="K315" s="20" t="str">
        <f>IF(ISNUMBER(J315),J315,IF(ISNUMBER(F315),G315+H315+I315+ROUND(F315*'参数'!$C$16,2),""))</f>
        <v/>
      </c>
      <c r="L315" s="43" t="str">
        <f>IF(A315="","",IFERROR(T(INDEX('交易记录'!$C$5:$C$304,MATCH(A315,'交易记录'!$A$5:$A$304,0))),"编号没找到"))</f>
        <v/>
      </c>
      <c r="M315" s="57" t="str">
        <f>IF(AND(C315="买",ISNUMBER(B315)),WORKDAY(B315,1,'参数'!$B$58:$B$80),"")</f>
        <v/>
      </c>
      <c r="N315" s="36" t="str">
        <f>IF(C315&lt;&gt;"卖","",IF(AND(ISNUMBER(B315),A315&lt;&gt;""),IF(SUMIFS($E$5:$E$804,$A$5:$A$804,A315,$C$5:$C$804,"卖",$B$5:$B$804,"&lt;="&amp;B315)&gt;SUMIFS($E$5:$E$804,$A$5:$A$804,A315,$C$5:$C$804,"买",$B$5:$B$804,"&lt;"&amp;B315),"超出可卖股数","OK"),""))</f>
        <v/>
      </c>
      <c r="O315" s="32" t="n"/>
    </row>
    <row r="316">
      <c r="A316" s="46" t="n"/>
      <c r="B316" s="31" t="n"/>
      <c r="C316" s="27" t="n"/>
      <c r="D316" s="56" t="n"/>
      <c r="E316" s="17" t="n"/>
      <c r="F316" s="20" t="str">
        <f>IF(AND(ISNUMBER(D316),ISNUMBER(E316)),D316*E316,"")</f>
        <v/>
      </c>
      <c r="G316" s="51" t="str">
        <f>IF(ISNUMBER(F316),ROUND(MAX(F316*'参数'!$C$12,'参数'!$C$13),2),"")</f>
        <v/>
      </c>
      <c r="H316" s="51" t="str">
        <f>IF(ISNUMBER(F316),IF(C316="卖",ROUND(F316*'参数'!$C$14,2),0),"")</f>
        <v/>
      </c>
      <c r="I316" s="51" t="str">
        <f>IF(ISNUMBER(F316),ROUND(F316*'参数'!$C$15,2),"")</f>
        <v/>
      </c>
      <c r="J316" s="21" t="n"/>
      <c r="K316" s="20" t="str">
        <f>IF(ISNUMBER(J316),J316,IF(ISNUMBER(F316),G316+H316+I316+ROUND(F316*'参数'!$C$16,2),""))</f>
        <v/>
      </c>
      <c r="L316" s="43" t="str">
        <f>IF(A316="","",IFERROR(T(INDEX('交易记录'!$C$5:$C$304,MATCH(A316,'交易记录'!$A$5:$A$304,0))),"编号没找到"))</f>
        <v/>
      </c>
      <c r="M316" s="57" t="str">
        <f>IF(AND(C316="买",ISNUMBER(B316)),WORKDAY(B316,1,'参数'!$B$58:$B$80),"")</f>
        <v/>
      </c>
      <c r="N316" s="36" t="str">
        <f>IF(C316&lt;&gt;"卖","",IF(AND(ISNUMBER(B316),A316&lt;&gt;""),IF(SUMIFS($E$5:$E$804,$A$5:$A$804,A316,$C$5:$C$804,"卖",$B$5:$B$804,"&lt;="&amp;B316)&gt;SUMIFS($E$5:$E$804,$A$5:$A$804,A316,$C$5:$C$804,"买",$B$5:$B$804,"&lt;"&amp;B316),"超出可卖股数","OK"),""))</f>
        <v/>
      </c>
      <c r="O316" s="32" t="n"/>
    </row>
    <row r="317">
      <c r="A317" s="46" t="n"/>
      <c r="B317" s="31" t="n"/>
      <c r="C317" s="27" t="n"/>
      <c r="D317" s="56" t="n"/>
      <c r="E317" s="17" t="n"/>
      <c r="F317" s="20" t="str">
        <f>IF(AND(ISNUMBER(D317),ISNUMBER(E317)),D317*E317,"")</f>
        <v/>
      </c>
      <c r="G317" s="51" t="str">
        <f>IF(ISNUMBER(F317),ROUND(MAX(F317*'参数'!$C$12,'参数'!$C$13),2),"")</f>
        <v/>
      </c>
      <c r="H317" s="51" t="str">
        <f>IF(ISNUMBER(F317),IF(C317="卖",ROUND(F317*'参数'!$C$14,2),0),"")</f>
        <v/>
      </c>
      <c r="I317" s="51" t="str">
        <f>IF(ISNUMBER(F317),ROUND(F317*'参数'!$C$15,2),"")</f>
        <v/>
      </c>
      <c r="J317" s="21" t="n"/>
      <c r="K317" s="20" t="str">
        <f>IF(ISNUMBER(J317),J317,IF(ISNUMBER(F317),G317+H317+I317+ROUND(F317*'参数'!$C$16,2),""))</f>
        <v/>
      </c>
      <c r="L317" s="43" t="str">
        <f>IF(A317="","",IFERROR(T(INDEX('交易记录'!$C$5:$C$304,MATCH(A317,'交易记录'!$A$5:$A$304,0))),"编号没找到"))</f>
        <v/>
      </c>
      <c r="M317" s="57" t="str">
        <f>IF(AND(C317="买",ISNUMBER(B317)),WORKDAY(B317,1,'参数'!$B$58:$B$80),"")</f>
        <v/>
      </c>
      <c r="N317" s="36" t="str">
        <f>IF(C317&lt;&gt;"卖","",IF(AND(ISNUMBER(B317),A317&lt;&gt;""),IF(SUMIFS($E$5:$E$804,$A$5:$A$804,A317,$C$5:$C$804,"卖",$B$5:$B$804,"&lt;="&amp;B317)&gt;SUMIFS($E$5:$E$804,$A$5:$A$804,A317,$C$5:$C$804,"买",$B$5:$B$804,"&lt;"&amp;B317),"超出可卖股数","OK"),""))</f>
        <v/>
      </c>
      <c r="O317" s="32" t="n"/>
    </row>
    <row r="318">
      <c r="A318" s="46" t="n"/>
      <c r="B318" s="31" t="n"/>
      <c r="C318" s="27" t="n"/>
      <c r="D318" s="56" t="n"/>
      <c r="E318" s="17" t="n"/>
      <c r="F318" s="20" t="str">
        <f>IF(AND(ISNUMBER(D318),ISNUMBER(E318)),D318*E318,"")</f>
        <v/>
      </c>
      <c r="G318" s="51" t="str">
        <f>IF(ISNUMBER(F318),ROUND(MAX(F318*'参数'!$C$12,'参数'!$C$13),2),"")</f>
        <v/>
      </c>
      <c r="H318" s="51" t="str">
        <f>IF(ISNUMBER(F318),IF(C318="卖",ROUND(F318*'参数'!$C$14,2),0),"")</f>
        <v/>
      </c>
      <c r="I318" s="51" t="str">
        <f>IF(ISNUMBER(F318),ROUND(F318*'参数'!$C$15,2),"")</f>
        <v/>
      </c>
      <c r="J318" s="21" t="n"/>
      <c r="K318" s="20" t="str">
        <f>IF(ISNUMBER(J318),J318,IF(ISNUMBER(F318),G318+H318+I318+ROUND(F318*'参数'!$C$16,2),""))</f>
        <v/>
      </c>
      <c r="L318" s="43" t="str">
        <f>IF(A318="","",IFERROR(T(INDEX('交易记录'!$C$5:$C$304,MATCH(A318,'交易记录'!$A$5:$A$304,0))),"编号没找到"))</f>
        <v/>
      </c>
      <c r="M318" s="57" t="str">
        <f>IF(AND(C318="买",ISNUMBER(B318)),WORKDAY(B318,1,'参数'!$B$58:$B$80),"")</f>
        <v/>
      </c>
      <c r="N318" s="36" t="str">
        <f>IF(C318&lt;&gt;"卖","",IF(AND(ISNUMBER(B318),A318&lt;&gt;""),IF(SUMIFS($E$5:$E$804,$A$5:$A$804,A318,$C$5:$C$804,"卖",$B$5:$B$804,"&lt;="&amp;B318)&gt;SUMIFS($E$5:$E$804,$A$5:$A$804,A318,$C$5:$C$804,"买",$B$5:$B$804,"&lt;"&amp;B318),"超出可卖股数","OK"),""))</f>
        <v/>
      </c>
      <c r="O318" s="32" t="n"/>
    </row>
    <row r="319">
      <c r="A319" s="46" t="n"/>
      <c r="B319" s="31" t="n"/>
      <c r="C319" s="27" t="n"/>
      <c r="D319" s="56" t="n"/>
      <c r="E319" s="17" t="n"/>
      <c r="F319" s="20" t="str">
        <f>IF(AND(ISNUMBER(D319),ISNUMBER(E319)),D319*E319,"")</f>
        <v/>
      </c>
      <c r="G319" s="51" t="str">
        <f>IF(ISNUMBER(F319),ROUND(MAX(F319*'参数'!$C$12,'参数'!$C$13),2),"")</f>
        <v/>
      </c>
      <c r="H319" s="51" t="str">
        <f>IF(ISNUMBER(F319),IF(C319="卖",ROUND(F319*'参数'!$C$14,2),0),"")</f>
        <v/>
      </c>
      <c r="I319" s="51" t="str">
        <f>IF(ISNUMBER(F319),ROUND(F319*'参数'!$C$15,2),"")</f>
        <v/>
      </c>
      <c r="J319" s="21" t="n"/>
      <c r="K319" s="20" t="str">
        <f>IF(ISNUMBER(J319),J319,IF(ISNUMBER(F319),G319+H319+I319+ROUND(F319*'参数'!$C$16,2),""))</f>
        <v/>
      </c>
      <c r="L319" s="43" t="str">
        <f>IF(A319="","",IFERROR(T(INDEX('交易记录'!$C$5:$C$304,MATCH(A319,'交易记录'!$A$5:$A$304,0))),"编号没找到"))</f>
        <v/>
      </c>
      <c r="M319" s="57" t="str">
        <f>IF(AND(C319="买",ISNUMBER(B319)),WORKDAY(B319,1,'参数'!$B$58:$B$80),"")</f>
        <v/>
      </c>
      <c r="N319" s="36" t="str">
        <f>IF(C319&lt;&gt;"卖","",IF(AND(ISNUMBER(B319),A319&lt;&gt;""),IF(SUMIFS($E$5:$E$804,$A$5:$A$804,A319,$C$5:$C$804,"卖",$B$5:$B$804,"&lt;="&amp;B319)&gt;SUMIFS($E$5:$E$804,$A$5:$A$804,A319,$C$5:$C$804,"买",$B$5:$B$804,"&lt;"&amp;B319),"超出可卖股数","OK"),""))</f>
        <v/>
      </c>
      <c r="O319" s="32" t="n"/>
    </row>
    <row r="320">
      <c r="A320" s="46" t="n"/>
      <c r="B320" s="31" t="n"/>
      <c r="C320" s="27" t="n"/>
      <c r="D320" s="56" t="n"/>
      <c r="E320" s="17" t="n"/>
      <c r="F320" s="20" t="str">
        <f>IF(AND(ISNUMBER(D320),ISNUMBER(E320)),D320*E320,"")</f>
        <v/>
      </c>
      <c r="G320" s="51" t="str">
        <f>IF(ISNUMBER(F320),ROUND(MAX(F320*'参数'!$C$12,'参数'!$C$13),2),"")</f>
        <v/>
      </c>
      <c r="H320" s="51" t="str">
        <f>IF(ISNUMBER(F320),IF(C320="卖",ROUND(F320*'参数'!$C$14,2),0),"")</f>
        <v/>
      </c>
      <c r="I320" s="51" t="str">
        <f>IF(ISNUMBER(F320),ROUND(F320*'参数'!$C$15,2),"")</f>
        <v/>
      </c>
      <c r="J320" s="21" t="n"/>
      <c r="K320" s="20" t="str">
        <f>IF(ISNUMBER(J320),J320,IF(ISNUMBER(F320),G320+H320+I320+ROUND(F320*'参数'!$C$16,2),""))</f>
        <v/>
      </c>
      <c r="L320" s="43" t="str">
        <f>IF(A320="","",IFERROR(T(INDEX('交易记录'!$C$5:$C$304,MATCH(A320,'交易记录'!$A$5:$A$304,0))),"编号没找到"))</f>
        <v/>
      </c>
      <c r="M320" s="57" t="str">
        <f>IF(AND(C320="买",ISNUMBER(B320)),WORKDAY(B320,1,'参数'!$B$58:$B$80),"")</f>
        <v/>
      </c>
      <c r="N320" s="36" t="str">
        <f>IF(C320&lt;&gt;"卖","",IF(AND(ISNUMBER(B320),A320&lt;&gt;""),IF(SUMIFS($E$5:$E$804,$A$5:$A$804,A320,$C$5:$C$804,"卖",$B$5:$B$804,"&lt;="&amp;B320)&gt;SUMIFS($E$5:$E$804,$A$5:$A$804,A320,$C$5:$C$804,"买",$B$5:$B$804,"&lt;"&amp;B320),"超出可卖股数","OK"),""))</f>
        <v/>
      </c>
      <c r="O320" s="32" t="n"/>
    </row>
    <row r="321">
      <c r="A321" s="46" t="n"/>
      <c r="B321" s="31" t="n"/>
      <c r="C321" s="27" t="n"/>
      <c r="D321" s="56" t="n"/>
      <c r="E321" s="17" t="n"/>
      <c r="F321" s="20" t="str">
        <f>IF(AND(ISNUMBER(D321),ISNUMBER(E321)),D321*E321,"")</f>
        <v/>
      </c>
      <c r="G321" s="51" t="str">
        <f>IF(ISNUMBER(F321),ROUND(MAX(F321*'参数'!$C$12,'参数'!$C$13),2),"")</f>
        <v/>
      </c>
      <c r="H321" s="51" t="str">
        <f>IF(ISNUMBER(F321),IF(C321="卖",ROUND(F321*'参数'!$C$14,2),0),"")</f>
        <v/>
      </c>
      <c r="I321" s="51" t="str">
        <f>IF(ISNUMBER(F321),ROUND(F321*'参数'!$C$15,2),"")</f>
        <v/>
      </c>
      <c r="J321" s="21" t="n"/>
      <c r="K321" s="20" t="str">
        <f>IF(ISNUMBER(J321),J321,IF(ISNUMBER(F321),G321+H321+I321+ROUND(F321*'参数'!$C$16,2),""))</f>
        <v/>
      </c>
      <c r="L321" s="43" t="str">
        <f>IF(A321="","",IFERROR(T(INDEX('交易记录'!$C$5:$C$304,MATCH(A321,'交易记录'!$A$5:$A$304,0))),"编号没找到"))</f>
        <v/>
      </c>
      <c r="M321" s="57" t="str">
        <f>IF(AND(C321="买",ISNUMBER(B321)),WORKDAY(B321,1,'参数'!$B$58:$B$80),"")</f>
        <v/>
      </c>
      <c r="N321" s="36" t="str">
        <f>IF(C321&lt;&gt;"卖","",IF(AND(ISNUMBER(B321),A321&lt;&gt;""),IF(SUMIFS($E$5:$E$804,$A$5:$A$804,A321,$C$5:$C$804,"卖",$B$5:$B$804,"&lt;="&amp;B321)&gt;SUMIFS($E$5:$E$804,$A$5:$A$804,A321,$C$5:$C$804,"买",$B$5:$B$804,"&lt;"&amp;B321),"超出可卖股数","OK"),""))</f>
        <v/>
      </c>
      <c r="O321" s="32" t="n"/>
    </row>
    <row r="322">
      <c r="A322" s="46" t="n"/>
      <c r="B322" s="31" t="n"/>
      <c r="C322" s="27" t="n"/>
      <c r="D322" s="56" t="n"/>
      <c r="E322" s="17" t="n"/>
      <c r="F322" s="20" t="str">
        <f>IF(AND(ISNUMBER(D322),ISNUMBER(E322)),D322*E322,"")</f>
        <v/>
      </c>
      <c r="G322" s="51" t="str">
        <f>IF(ISNUMBER(F322),ROUND(MAX(F322*'参数'!$C$12,'参数'!$C$13),2),"")</f>
        <v/>
      </c>
      <c r="H322" s="51" t="str">
        <f>IF(ISNUMBER(F322),IF(C322="卖",ROUND(F322*'参数'!$C$14,2),0),"")</f>
        <v/>
      </c>
      <c r="I322" s="51" t="str">
        <f>IF(ISNUMBER(F322),ROUND(F322*'参数'!$C$15,2),"")</f>
        <v/>
      </c>
      <c r="J322" s="21" t="n"/>
      <c r="K322" s="20" t="str">
        <f>IF(ISNUMBER(J322),J322,IF(ISNUMBER(F322),G322+H322+I322+ROUND(F322*'参数'!$C$16,2),""))</f>
        <v/>
      </c>
      <c r="L322" s="43" t="str">
        <f>IF(A322="","",IFERROR(T(INDEX('交易记录'!$C$5:$C$304,MATCH(A322,'交易记录'!$A$5:$A$304,0))),"编号没找到"))</f>
        <v/>
      </c>
      <c r="M322" s="57" t="str">
        <f>IF(AND(C322="买",ISNUMBER(B322)),WORKDAY(B322,1,'参数'!$B$58:$B$80),"")</f>
        <v/>
      </c>
      <c r="N322" s="36" t="str">
        <f>IF(C322&lt;&gt;"卖","",IF(AND(ISNUMBER(B322),A322&lt;&gt;""),IF(SUMIFS($E$5:$E$804,$A$5:$A$804,A322,$C$5:$C$804,"卖",$B$5:$B$804,"&lt;="&amp;B322)&gt;SUMIFS($E$5:$E$804,$A$5:$A$804,A322,$C$5:$C$804,"买",$B$5:$B$804,"&lt;"&amp;B322),"超出可卖股数","OK"),""))</f>
        <v/>
      </c>
      <c r="O322" s="32" t="n"/>
    </row>
    <row r="323">
      <c r="A323" s="46" t="n"/>
      <c r="B323" s="31" t="n"/>
      <c r="C323" s="27" t="n"/>
      <c r="D323" s="56" t="n"/>
      <c r="E323" s="17" t="n"/>
      <c r="F323" s="20" t="str">
        <f>IF(AND(ISNUMBER(D323),ISNUMBER(E323)),D323*E323,"")</f>
        <v/>
      </c>
      <c r="G323" s="51" t="str">
        <f>IF(ISNUMBER(F323),ROUND(MAX(F323*'参数'!$C$12,'参数'!$C$13),2),"")</f>
        <v/>
      </c>
      <c r="H323" s="51" t="str">
        <f>IF(ISNUMBER(F323),IF(C323="卖",ROUND(F323*'参数'!$C$14,2),0),"")</f>
        <v/>
      </c>
      <c r="I323" s="51" t="str">
        <f>IF(ISNUMBER(F323),ROUND(F323*'参数'!$C$15,2),"")</f>
        <v/>
      </c>
      <c r="J323" s="21" t="n"/>
      <c r="K323" s="20" t="str">
        <f>IF(ISNUMBER(J323),J323,IF(ISNUMBER(F323),G323+H323+I323+ROUND(F323*'参数'!$C$16,2),""))</f>
        <v/>
      </c>
      <c r="L323" s="43" t="str">
        <f>IF(A323="","",IFERROR(T(INDEX('交易记录'!$C$5:$C$304,MATCH(A323,'交易记录'!$A$5:$A$304,0))),"编号没找到"))</f>
        <v/>
      </c>
      <c r="M323" s="57" t="str">
        <f>IF(AND(C323="买",ISNUMBER(B323)),WORKDAY(B323,1,'参数'!$B$58:$B$80),"")</f>
        <v/>
      </c>
      <c r="N323" s="36" t="str">
        <f>IF(C323&lt;&gt;"卖","",IF(AND(ISNUMBER(B323),A323&lt;&gt;""),IF(SUMIFS($E$5:$E$804,$A$5:$A$804,A323,$C$5:$C$804,"卖",$B$5:$B$804,"&lt;="&amp;B323)&gt;SUMIFS($E$5:$E$804,$A$5:$A$804,A323,$C$5:$C$804,"买",$B$5:$B$804,"&lt;"&amp;B323),"超出可卖股数","OK"),""))</f>
        <v/>
      </c>
      <c r="O323" s="32" t="n"/>
    </row>
    <row r="324">
      <c r="A324" s="46" t="n"/>
      <c r="B324" s="31" t="n"/>
      <c r="C324" s="27" t="n"/>
      <c r="D324" s="56" t="n"/>
      <c r="E324" s="17" t="n"/>
      <c r="F324" s="20" t="str">
        <f>IF(AND(ISNUMBER(D324),ISNUMBER(E324)),D324*E324,"")</f>
        <v/>
      </c>
      <c r="G324" s="51" t="str">
        <f>IF(ISNUMBER(F324),ROUND(MAX(F324*'参数'!$C$12,'参数'!$C$13),2),"")</f>
        <v/>
      </c>
      <c r="H324" s="51" t="str">
        <f>IF(ISNUMBER(F324),IF(C324="卖",ROUND(F324*'参数'!$C$14,2),0),"")</f>
        <v/>
      </c>
      <c r="I324" s="51" t="str">
        <f>IF(ISNUMBER(F324),ROUND(F324*'参数'!$C$15,2),"")</f>
        <v/>
      </c>
      <c r="J324" s="21" t="n"/>
      <c r="K324" s="20" t="str">
        <f>IF(ISNUMBER(J324),J324,IF(ISNUMBER(F324),G324+H324+I324+ROUND(F324*'参数'!$C$16,2),""))</f>
        <v/>
      </c>
      <c r="L324" s="43" t="str">
        <f>IF(A324="","",IFERROR(T(INDEX('交易记录'!$C$5:$C$304,MATCH(A324,'交易记录'!$A$5:$A$304,0))),"编号没找到"))</f>
        <v/>
      </c>
      <c r="M324" s="57" t="str">
        <f>IF(AND(C324="买",ISNUMBER(B324)),WORKDAY(B324,1,'参数'!$B$58:$B$80),"")</f>
        <v/>
      </c>
      <c r="N324" s="36" t="str">
        <f>IF(C324&lt;&gt;"卖","",IF(AND(ISNUMBER(B324),A324&lt;&gt;""),IF(SUMIFS($E$5:$E$804,$A$5:$A$804,A324,$C$5:$C$804,"卖",$B$5:$B$804,"&lt;="&amp;B324)&gt;SUMIFS($E$5:$E$804,$A$5:$A$804,A324,$C$5:$C$804,"买",$B$5:$B$804,"&lt;"&amp;B324),"超出可卖股数","OK"),""))</f>
        <v/>
      </c>
      <c r="O324" s="32" t="n"/>
    </row>
    <row r="325">
      <c r="A325" s="46" t="n"/>
      <c r="B325" s="31" t="n"/>
      <c r="C325" s="27" t="n"/>
      <c r="D325" s="56" t="n"/>
      <c r="E325" s="17" t="n"/>
      <c r="F325" s="20" t="str">
        <f>IF(AND(ISNUMBER(D325),ISNUMBER(E325)),D325*E325,"")</f>
        <v/>
      </c>
      <c r="G325" s="51" t="str">
        <f>IF(ISNUMBER(F325),ROUND(MAX(F325*'参数'!$C$12,'参数'!$C$13),2),"")</f>
        <v/>
      </c>
      <c r="H325" s="51" t="str">
        <f>IF(ISNUMBER(F325),IF(C325="卖",ROUND(F325*'参数'!$C$14,2),0),"")</f>
        <v/>
      </c>
      <c r="I325" s="51" t="str">
        <f>IF(ISNUMBER(F325),ROUND(F325*'参数'!$C$15,2),"")</f>
        <v/>
      </c>
      <c r="J325" s="21" t="n"/>
      <c r="K325" s="20" t="str">
        <f>IF(ISNUMBER(J325),J325,IF(ISNUMBER(F325),G325+H325+I325+ROUND(F325*'参数'!$C$16,2),""))</f>
        <v/>
      </c>
      <c r="L325" s="43" t="str">
        <f>IF(A325="","",IFERROR(T(INDEX('交易记录'!$C$5:$C$304,MATCH(A325,'交易记录'!$A$5:$A$304,0))),"编号没找到"))</f>
        <v/>
      </c>
      <c r="M325" s="57" t="str">
        <f>IF(AND(C325="买",ISNUMBER(B325)),WORKDAY(B325,1,'参数'!$B$58:$B$80),"")</f>
        <v/>
      </c>
      <c r="N325" s="36" t="str">
        <f>IF(C325&lt;&gt;"卖","",IF(AND(ISNUMBER(B325),A325&lt;&gt;""),IF(SUMIFS($E$5:$E$804,$A$5:$A$804,A325,$C$5:$C$804,"卖",$B$5:$B$804,"&lt;="&amp;B325)&gt;SUMIFS($E$5:$E$804,$A$5:$A$804,A325,$C$5:$C$804,"买",$B$5:$B$804,"&lt;"&amp;B325),"超出可卖股数","OK"),""))</f>
        <v/>
      </c>
      <c r="O325" s="32" t="n"/>
    </row>
    <row r="326">
      <c r="A326" s="46" t="n"/>
      <c r="B326" s="31" t="n"/>
      <c r="C326" s="27" t="n"/>
      <c r="D326" s="56" t="n"/>
      <c r="E326" s="17" t="n"/>
      <c r="F326" s="20" t="str">
        <f>IF(AND(ISNUMBER(D326),ISNUMBER(E326)),D326*E326,"")</f>
        <v/>
      </c>
      <c r="G326" s="51" t="str">
        <f>IF(ISNUMBER(F326),ROUND(MAX(F326*'参数'!$C$12,'参数'!$C$13),2),"")</f>
        <v/>
      </c>
      <c r="H326" s="51" t="str">
        <f>IF(ISNUMBER(F326),IF(C326="卖",ROUND(F326*'参数'!$C$14,2),0),"")</f>
        <v/>
      </c>
      <c r="I326" s="51" t="str">
        <f>IF(ISNUMBER(F326),ROUND(F326*'参数'!$C$15,2),"")</f>
        <v/>
      </c>
      <c r="J326" s="21" t="n"/>
      <c r="K326" s="20" t="str">
        <f>IF(ISNUMBER(J326),J326,IF(ISNUMBER(F326),G326+H326+I326+ROUND(F326*'参数'!$C$16,2),""))</f>
        <v/>
      </c>
      <c r="L326" s="43" t="str">
        <f>IF(A326="","",IFERROR(T(INDEX('交易记录'!$C$5:$C$304,MATCH(A326,'交易记录'!$A$5:$A$304,0))),"编号没找到"))</f>
        <v/>
      </c>
      <c r="M326" s="57" t="str">
        <f>IF(AND(C326="买",ISNUMBER(B326)),WORKDAY(B326,1,'参数'!$B$58:$B$80),"")</f>
        <v/>
      </c>
      <c r="N326" s="36" t="str">
        <f>IF(C326&lt;&gt;"卖","",IF(AND(ISNUMBER(B326),A326&lt;&gt;""),IF(SUMIFS($E$5:$E$804,$A$5:$A$804,A326,$C$5:$C$804,"卖",$B$5:$B$804,"&lt;="&amp;B326)&gt;SUMIFS($E$5:$E$804,$A$5:$A$804,A326,$C$5:$C$804,"买",$B$5:$B$804,"&lt;"&amp;B326),"超出可卖股数","OK"),""))</f>
        <v/>
      </c>
      <c r="O326" s="32" t="n"/>
    </row>
    <row r="327">
      <c r="A327" s="46" t="n"/>
      <c r="B327" s="31" t="n"/>
      <c r="C327" s="27" t="n"/>
      <c r="D327" s="56" t="n"/>
      <c r="E327" s="17" t="n"/>
      <c r="F327" s="20" t="str">
        <f>IF(AND(ISNUMBER(D327),ISNUMBER(E327)),D327*E327,"")</f>
        <v/>
      </c>
      <c r="G327" s="51" t="str">
        <f>IF(ISNUMBER(F327),ROUND(MAX(F327*'参数'!$C$12,'参数'!$C$13),2),"")</f>
        <v/>
      </c>
      <c r="H327" s="51" t="str">
        <f>IF(ISNUMBER(F327),IF(C327="卖",ROUND(F327*'参数'!$C$14,2),0),"")</f>
        <v/>
      </c>
      <c r="I327" s="51" t="str">
        <f>IF(ISNUMBER(F327),ROUND(F327*'参数'!$C$15,2),"")</f>
        <v/>
      </c>
      <c r="J327" s="21" t="n"/>
      <c r="K327" s="20" t="str">
        <f>IF(ISNUMBER(J327),J327,IF(ISNUMBER(F327),G327+H327+I327+ROUND(F327*'参数'!$C$16,2),""))</f>
        <v/>
      </c>
      <c r="L327" s="43" t="str">
        <f>IF(A327="","",IFERROR(T(INDEX('交易记录'!$C$5:$C$304,MATCH(A327,'交易记录'!$A$5:$A$304,0))),"编号没找到"))</f>
        <v/>
      </c>
      <c r="M327" s="57" t="str">
        <f>IF(AND(C327="买",ISNUMBER(B327)),WORKDAY(B327,1,'参数'!$B$58:$B$80),"")</f>
        <v/>
      </c>
      <c r="N327" s="36" t="str">
        <f>IF(C327&lt;&gt;"卖","",IF(AND(ISNUMBER(B327),A327&lt;&gt;""),IF(SUMIFS($E$5:$E$804,$A$5:$A$804,A327,$C$5:$C$804,"卖",$B$5:$B$804,"&lt;="&amp;B327)&gt;SUMIFS($E$5:$E$804,$A$5:$A$804,A327,$C$5:$C$804,"买",$B$5:$B$804,"&lt;"&amp;B327),"超出可卖股数","OK"),""))</f>
        <v/>
      </c>
      <c r="O327" s="32" t="n"/>
    </row>
    <row r="328">
      <c r="A328" s="46" t="n"/>
      <c r="B328" s="31" t="n"/>
      <c r="C328" s="27" t="n"/>
      <c r="D328" s="56" t="n"/>
      <c r="E328" s="17" t="n"/>
      <c r="F328" s="20" t="str">
        <f>IF(AND(ISNUMBER(D328),ISNUMBER(E328)),D328*E328,"")</f>
        <v/>
      </c>
      <c r="G328" s="51" t="str">
        <f>IF(ISNUMBER(F328),ROUND(MAX(F328*'参数'!$C$12,'参数'!$C$13),2),"")</f>
        <v/>
      </c>
      <c r="H328" s="51" t="str">
        <f>IF(ISNUMBER(F328),IF(C328="卖",ROUND(F328*'参数'!$C$14,2),0),"")</f>
        <v/>
      </c>
      <c r="I328" s="51" t="str">
        <f>IF(ISNUMBER(F328),ROUND(F328*'参数'!$C$15,2),"")</f>
        <v/>
      </c>
      <c r="J328" s="21" t="n"/>
      <c r="K328" s="20" t="str">
        <f>IF(ISNUMBER(J328),J328,IF(ISNUMBER(F328),G328+H328+I328+ROUND(F328*'参数'!$C$16,2),""))</f>
        <v/>
      </c>
      <c r="L328" s="43" t="str">
        <f>IF(A328="","",IFERROR(T(INDEX('交易记录'!$C$5:$C$304,MATCH(A328,'交易记录'!$A$5:$A$304,0))),"编号没找到"))</f>
        <v/>
      </c>
      <c r="M328" s="57" t="str">
        <f>IF(AND(C328="买",ISNUMBER(B328)),WORKDAY(B328,1,'参数'!$B$58:$B$80),"")</f>
        <v/>
      </c>
      <c r="N328" s="36" t="str">
        <f>IF(C328&lt;&gt;"卖","",IF(AND(ISNUMBER(B328),A328&lt;&gt;""),IF(SUMIFS($E$5:$E$804,$A$5:$A$804,A328,$C$5:$C$804,"卖",$B$5:$B$804,"&lt;="&amp;B328)&gt;SUMIFS($E$5:$E$804,$A$5:$A$804,A328,$C$5:$C$804,"买",$B$5:$B$804,"&lt;"&amp;B328),"超出可卖股数","OK"),""))</f>
        <v/>
      </c>
      <c r="O328" s="32" t="n"/>
    </row>
    <row r="329">
      <c r="A329" s="46" t="n"/>
      <c r="B329" s="31" t="n"/>
      <c r="C329" s="27" t="n"/>
      <c r="D329" s="56" t="n"/>
      <c r="E329" s="17" t="n"/>
      <c r="F329" s="20" t="str">
        <f>IF(AND(ISNUMBER(D329),ISNUMBER(E329)),D329*E329,"")</f>
        <v/>
      </c>
      <c r="G329" s="51" t="str">
        <f>IF(ISNUMBER(F329),ROUND(MAX(F329*'参数'!$C$12,'参数'!$C$13),2),"")</f>
        <v/>
      </c>
      <c r="H329" s="51" t="str">
        <f>IF(ISNUMBER(F329),IF(C329="卖",ROUND(F329*'参数'!$C$14,2),0),"")</f>
        <v/>
      </c>
      <c r="I329" s="51" t="str">
        <f>IF(ISNUMBER(F329),ROUND(F329*'参数'!$C$15,2),"")</f>
        <v/>
      </c>
      <c r="J329" s="21" t="n"/>
      <c r="K329" s="20" t="str">
        <f>IF(ISNUMBER(J329),J329,IF(ISNUMBER(F329),G329+H329+I329+ROUND(F329*'参数'!$C$16,2),""))</f>
        <v/>
      </c>
      <c r="L329" s="43" t="str">
        <f>IF(A329="","",IFERROR(T(INDEX('交易记录'!$C$5:$C$304,MATCH(A329,'交易记录'!$A$5:$A$304,0))),"编号没找到"))</f>
        <v/>
      </c>
      <c r="M329" s="57" t="str">
        <f>IF(AND(C329="买",ISNUMBER(B329)),WORKDAY(B329,1,'参数'!$B$58:$B$80),"")</f>
        <v/>
      </c>
      <c r="N329" s="36" t="str">
        <f>IF(C329&lt;&gt;"卖","",IF(AND(ISNUMBER(B329),A329&lt;&gt;""),IF(SUMIFS($E$5:$E$804,$A$5:$A$804,A329,$C$5:$C$804,"卖",$B$5:$B$804,"&lt;="&amp;B329)&gt;SUMIFS($E$5:$E$804,$A$5:$A$804,A329,$C$5:$C$804,"买",$B$5:$B$804,"&lt;"&amp;B329),"超出可卖股数","OK"),""))</f>
        <v/>
      </c>
      <c r="O329" s="32" t="n"/>
    </row>
    <row r="330">
      <c r="A330" s="46" t="n"/>
      <c r="B330" s="31" t="n"/>
      <c r="C330" s="27" t="n"/>
      <c r="D330" s="56" t="n"/>
      <c r="E330" s="17" t="n"/>
      <c r="F330" s="20" t="str">
        <f>IF(AND(ISNUMBER(D330),ISNUMBER(E330)),D330*E330,"")</f>
        <v/>
      </c>
      <c r="G330" s="51" t="str">
        <f>IF(ISNUMBER(F330),ROUND(MAX(F330*'参数'!$C$12,'参数'!$C$13),2),"")</f>
        <v/>
      </c>
      <c r="H330" s="51" t="str">
        <f>IF(ISNUMBER(F330),IF(C330="卖",ROUND(F330*'参数'!$C$14,2),0),"")</f>
        <v/>
      </c>
      <c r="I330" s="51" t="str">
        <f>IF(ISNUMBER(F330),ROUND(F330*'参数'!$C$15,2),"")</f>
        <v/>
      </c>
      <c r="J330" s="21" t="n"/>
      <c r="K330" s="20" t="str">
        <f>IF(ISNUMBER(J330),J330,IF(ISNUMBER(F330),G330+H330+I330+ROUND(F330*'参数'!$C$16,2),""))</f>
        <v/>
      </c>
      <c r="L330" s="43" t="str">
        <f>IF(A330="","",IFERROR(T(INDEX('交易记录'!$C$5:$C$304,MATCH(A330,'交易记录'!$A$5:$A$304,0))),"编号没找到"))</f>
        <v/>
      </c>
      <c r="M330" s="57" t="str">
        <f>IF(AND(C330="买",ISNUMBER(B330)),WORKDAY(B330,1,'参数'!$B$58:$B$80),"")</f>
        <v/>
      </c>
      <c r="N330" s="36" t="str">
        <f>IF(C330&lt;&gt;"卖","",IF(AND(ISNUMBER(B330),A330&lt;&gt;""),IF(SUMIFS($E$5:$E$804,$A$5:$A$804,A330,$C$5:$C$804,"卖",$B$5:$B$804,"&lt;="&amp;B330)&gt;SUMIFS($E$5:$E$804,$A$5:$A$804,A330,$C$5:$C$804,"买",$B$5:$B$804,"&lt;"&amp;B330),"超出可卖股数","OK"),""))</f>
        <v/>
      </c>
      <c r="O330" s="32" t="n"/>
    </row>
    <row r="331">
      <c r="A331" s="46" t="n"/>
      <c r="B331" s="31" t="n"/>
      <c r="C331" s="27" t="n"/>
      <c r="D331" s="56" t="n"/>
      <c r="E331" s="17" t="n"/>
      <c r="F331" s="20" t="str">
        <f>IF(AND(ISNUMBER(D331),ISNUMBER(E331)),D331*E331,"")</f>
        <v/>
      </c>
      <c r="G331" s="51" t="str">
        <f>IF(ISNUMBER(F331),ROUND(MAX(F331*'参数'!$C$12,'参数'!$C$13),2),"")</f>
        <v/>
      </c>
      <c r="H331" s="51" t="str">
        <f>IF(ISNUMBER(F331),IF(C331="卖",ROUND(F331*'参数'!$C$14,2),0),"")</f>
        <v/>
      </c>
      <c r="I331" s="51" t="str">
        <f>IF(ISNUMBER(F331),ROUND(F331*'参数'!$C$15,2),"")</f>
        <v/>
      </c>
      <c r="J331" s="21" t="n"/>
      <c r="K331" s="20" t="str">
        <f>IF(ISNUMBER(J331),J331,IF(ISNUMBER(F331),G331+H331+I331+ROUND(F331*'参数'!$C$16,2),""))</f>
        <v/>
      </c>
      <c r="L331" s="43" t="str">
        <f>IF(A331="","",IFERROR(T(INDEX('交易记录'!$C$5:$C$304,MATCH(A331,'交易记录'!$A$5:$A$304,0))),"编号没找到"))</f>
        <v/>
      </c>
      <c r="M331" s="57" t="str">
        <f>IF(AND(C331="买",ISNUMBER(B331)),WORKDAY(B331,1,'参数'!$B$58:$B$80),"")</f>
        <v/>
      </c>
      <c r="N331" s="36" t="str">
        <f>IF(C331&lt;&gt;"卖","",IF(AND(ISNUMBER(B331),A331&lt;&gt;""),IF(SUMIFS($E$5:$E$804,$A$5:$A$804,A331,$C$5:$C$804,"卖",$B$5:$B$804,"&lt;="&amp;B331)&gt;SUMIFS($E$5:$E$804,$A$5:$A$804,A331,$C$5:$C$804,"买",$B$5:$B$804,"&lt;"&amp;B331),"超出可卖股数","OK"),""))</f>
        <v/>
      </c>
      <c r="O331" s="32" t="n"/>
    </row>
    <row r="332">
      <c r="A332" s="46" t="n"/>
      <c r="B332" s="31" t="n"/>
      <c r="C332" s="27" t="n"/>
      <c r="D332" s="56" t="n"/>
      <c r="E332" s="17" t="n"/>
      <c r="F332" s="20" t="str">
        <f>IF(AND(ISNUMBER(D332),ISNUMBER(E332)),D332*E332,"")</f>
        <v/>
      </c>
      <c r="G332" s="51" t="str">
        <f>IF(ISNUMBER(F332),ROUND(MAX(F332*'参数'!$C$12,'参数'!$C$13),2),"")</f>
        <v/>
      </c>
      <c r="H332" s="51" t="str">
        <f>IF(ISNUMBER(F332),IF(C332="卖",ROUND(F332*'参数'!$C$14,2),0),"")</f>
        <v/>
      </c>
      <c r="I332" s="51" t="str">
        <f>IF(ISNUMBER(F332),ROUND(F332*'参数'!$C$15,2),"")</f>
        <v/>
      </c>
      <c r="J332" s="21" t="n"/>
      <c r="K332" s="20" t="str">
        <f>IF(ISNUMBER(J332),J332,IF(ISNUMBER(F332),G332+H332+I332+ROUND(F332*'参数'!$C$16,2),""))</f>
        <v/>
      </c>
      <c r="L332" s="43" t="str">
        <f>IF(A332="","",IFERROR(T(INDEX('交易记录'!$C$5:$C$304,MATCH(A332,'交易记录'!$A$5:$A$304,0))),"编号没找到"))</f>
        <v/>
      </c>
      <c r="M332" s="57" t="str">
        <f>IF(AND(C332="买",ISNUMBER(B332)),WORKDAY(B332,1,'参数'!$B$58:$B$80),"")</f>
        <v/>
      </c>
      <c r="N332" s="36" t="str">
        <f>IF(C332&lt;&gt;"卖","",IF(AND(ISNUMBER(B332),A332&lt;&gt;""),IF(SUMIFS($E$5:$E$804,$A$5:$A$804,A332,$C$5:$C$804,"卖",$B$5:$B$804,"&lt;="&amp;B332)&gt;SUMIFS($E$5:$E$804,$A$5:$A$804,A332,$C$5:$C$804,"买",$B$5:$B$804,"&lt;"&amp;B332),"超出可卖股数","OK"),""))</f>
        <v/>
      </c>
      <c r="O332" s="32" t="n"/>
    </row>
    <row r="333">
      <c r="A333" s="46" t="n"/>
      <c r="B333" s="31" t="n"/>
      <c r="C333" s="27" t="n"/>
      <c r="D333" s="56" t="n"/>
      <c r="E333" s="17" t="n"/>
      <c r="F333" s="20" t="str">
        <f>IF(AND(ISNUMBER(D333),ISNUMBER(E333)),D333*E333,"")</f>
        <v/>
      </c>
      <c r="G333" s="51" t="str">
        <f>IF(ISNUMBER(F333),ROUND(MAX(F333*'参数'!$C$12,'参数'!$C$13),2),"")</f>
        <v/>
      </c>
      <c r="H333" s="51" t="str">
        <f>IF(ISNUMBER(F333),IF(C333="卖",ROUND(F333*'参数'!$C$14,2),0),"")</f>
        <v/>
      </c>
      <c r="I333" s="51" t="str">
        <f>IF(ISNUMBER(F333),ROUND(F333*'参数'!$C$15,2),"")</f>
        <v/>
      </c>
      <c r="J333" s="21" t="n"/>
      <c r="K333" s="20" t="str">
        <f>IF(ISNUMBER(J333),J333,IF(ISNUMBER(F333),G333+H333+I333+ROUND(F333*'参数'!$C$16,2),""))</f>
        <v/>
      </c>
      <c r="L333" s="43" t="str">
        <f>IF(A333="","",IFERROR(T(INDEX('交易记录'!$C$5:$C$304,MATCH(A333,'交易记录'!$A$5:$A$304,0))),"编号没找到"))</f>
        <v/>
      </c>
      <c r="M333" s="57" t="str">
        <f>IF(AND(C333="买",ISNUMBER(B333)),WORKDAY(B333,1,'参数'!$B$58:$B$80),"")</f>
        <v/>
      </c>
      <c r="N333" s="36" t="str">
        <f>IF(C333&lt;&gt;"卖","",IF(AND(ISNUMBER(B333),A333&lt;&gt;""),IF(SUMIFS($E$5:$E$804,$A$5:$A$804,A333,$C$5:$C$804,"卖",$B$5:$B$804,"&lt;="&amp;B333)&gt;SUMIFS($E$5:$E$804,$A$5:$A$804,A333,$C$5:$C$804,"买",$B$5:$B$804,"&lt;"&amp;B333),"超出可卖股数","OK"),""))</f>
        <v/>
      </c>
      <c r="O333" s="32" t="n"/>
    </row>
    <row r="334">
      <c r="A334" s="46" t="n"/>
      <c r="B334" s="31" t="n"/>
      <c r="C334" s="27" t="n"/>
      <c r="D334" s="56" t="n"/>
      <c r="E334" s="17" t="n"/>
      <c r="F334" s="20" t="str">
        <f>IF(AND(ISNUMBER(D334),ISNUMBER(E334)),D334*E334,"")</f>
        <v/>
      </c>
      <c r="G334" s="51" t="str">
        <f>IF(ISNUMBER(F334),ROUND(MAX(F334*'参数'!$C$12,'参数'!$C$13),2),"")</f>
        <v/>
      </c>
      <c r="H334" s="51" t="str">
        <f>IF(ISNUMBER(F334),IF(C334="卖",ROUND(F334*'参数'!$C$14,2),0),"")</f>
        <v/>
      </c>
      <c r="I334" s="51" t="str">
        <f>IF(ISNUMBER(F334),ROUND(F334*'参数'!$C$15,2),"")</f>
        <v/>
      </c>
      <c r="J334" s="21" t="n"/>
      <c r="K334" s="20" t="str">
        <f>IF(ISNUMBER(J334),J334,IF(ISNUMBER(F334),G334+H334+I334+ROUND(F334*'参数'!$C$16,2),""))</f>
        <v/>
      </c>
      <c r="L334" s="43" t="str">
        <f>IF(A334="","",IFERROR(T(INDEX('交易记录'!$C$5:$C$304,MATCH(A334,'交易记录'!$A$5:$A$304,0))),"编号没找到"))</f>
        <v/>
      </c>
      <c r="M334" s="57" t="str">
        <f>IF(AND(C334="买",ISNUMBER(B334)),WORKDAY(B334,1,'参数'!$B$58:$B$80),"")</f>
        <v/>
      </c>
      <c r="N334" s="36" t="str">
        <f>IF(C334&lt;&gt;"卖","",IF(AND(ISNUMBER(B334),A334&lt;&gt;""),IF(SUMIFS($E$5:$E$804,$A$5:$A$804,A334,$C$5:$C$804,"卖",$B$5:$B$804,"&lt;="&amp;B334)&gt;SUMIFS($E$5:$E$804,$A$5:$A$804,A334,$C$5:$C$804,"买",$B$5:$B$804,"&lt;"&amp;B334),"超出可卖股数","OK"),""))</f>
        <v/>
      </c>
      <c r="O334" s="32" t="n"/>
    </row>
    <row r="335">
      <c r="A335" s="46" t="n"/>
      <c r="B335" s="31" t="n"/>
      <c r="C335" s="27" t="n"/>
      <c r="D335" s="56" t="n"/>
      <c r="E335" s="17" t="n"/>
      <c r="F335" s="20" t="str">
        <f>IF(AND(ISNUMBER(D335),ISNUMBER(E335)),D335*E335,"")</f>
        <v/>
      </c>
      <c r="G335" s="51" t="str">
        <f>IF(ISNUMBER(F335),ROUND(MAX(F335*'参数'!$C$12,'参数'!$C$13),2),"")</f>
        <v/>
      </c>
      <c r="H335" s="51" t="str">
        <f>IF(ISNUMBER(F335),IF(C335="卖",ROUND(F335*'参数'!$C$14,2),0),"")</f>
        <v/>
      </c>
      <c r="I335" s="51" t="str">
        <f>IF(ISNUMBER(F335),ROUND(F335*'参数'!$C$15,2),"")</f>
        <v/>
      </c>
      <c r="J335" s="21" t="n"/>
      <c r="K335" s="20" t="str">
        <f>IF(ISNUMBER(J335),J335,IF(ISNUMBER(F335),G335+H335+I335+ROUND(F335*'参数'!$C$16,2),""))</f>
        <v/>
      </c>
      <c r="L335" s="43" t="str">
        <f>IF(A335="","",IFERROR(T(INDEX('交易记录'!$C$5:$C$304,MATCH(A335,'交易记录'!$A$5:$A$304,0))),"编号没找到"))</f>
        <v/>
      </c>
      <c r="M335" s="57" t="str">
        <f>IF(AND(C335="买",ISNUMBER(B335)),WORKDAY(B335,1,'参数'!$B$58:$B$80),"")</f>
        <v/>
      </c>
      <c r="N335" s="36" t="str">
        <f>IF(C335&lt;&gt;"卖","",IF(AND(ISNUMBER(B335),A335&lt;&gt;""),IF(SUMIFS($E$5:$E$804,$A$5:$A$804,A335,$C$5:$C$804,"卖",$B$5:$B$804,"&lt;="&amp;B335)&gt;SUMIFS($E$5:$E$804,$A$5:$A$804,A335,$C$5:$C$804,"买",$B$5:$B$804,"&lt;"&amp;B335),"超出可卖股数","OK"),""))</f>
        <v/>
      </c>
      <c r="O335" s="32" t="n"/>
    </row>
    <row r="336">
      <c r="A336" s="46" t="n"/>
      <c r="B336" s="31" t="n"/>
      <c r="C336" s="27" t="n"/>
      <c r="D336" s="56" t="n"/>
      <c r="E336" s="17" t="n"/>
      <c r="F336" s="20" t="str">
        <f>IF(AND(ISNUMBER(D336),ISNUMBER(E336)),D336*E336,"")</f>
        <v/>
      </c>
      <c r="G336" s="51" t="str">
        <f>IF(ISNUMBER(F336),ROUND(MAX(F336*'参数'!$C$12,'参数'!$C$13),2),"")</f>
        <v/>
      </c>
      <c r="H336" s="51" t="str">
        <f>IF(ISNUMBER(F336),IF(C336="卖",ROUND(F336*'参数'!$C$14,2),0),"")</f>
        <v/>
      </c>
      <c r="I336" s="51" t="str">
        <f>IF(ISNUMBER(F336),ROUND(F336*'参数'!$C$15,2),"")</f>
        <v/>
      </c>
      <c r="J336" s="21" t="n"/>
      <c r="K336" s="20" t="str">
        <f>IF(ISNUMBER(J336),J336,IF(ISNUMBER(F336),G336+H336+I336+ROUND(F336*'参数'!$C$16,2),""))</f>
        <v/>
      </c>
      <c r="L336" s="43" t="str">
        <f>IF(A336="","",IFERROR(T(INDEX('交易记录'!$C$5:$C$304,MATCH(A336,'交易记录'!$A$5:$A$304,0))),"编号没找到"))</f>
        <v/>
      </c>
      <c r="M336" s="57" t="str">
        <f>IF(AND(C336="买",ISNUMBER(B336)),WORKDAY(B336,1,'参数'!$B$58:$B$80),"")</f>
        <v/>
      </c>
      <c r="N336" s="36" t="str">
        <f>IF(C336&lt;&gt;"卖","",IF(AND(ISNUMBER(B336),A336&lt;&gt;""),IF(SUMIFS($E$5:$E$804,$A$5:$A$804,A336,$C$5:$C$804,"卖",$B$5:$B$804,"&lt;="&amp;B336)&gt;SUMIFS($E$5:$E$804,$A$5:$A$804,A336,$C$5:$C$804,"买",$B$5:$B$804,"&lt;"&amp;B336),"超出可卖股数","OK"),""))</f>
        <v/>
      </c>
      <c r="O336" s="32" t="n"/>
    </row>
    <row r="337">
      <c r="A337" s="46" t="n"/>
      <c r="B337" s="31" t="n"/>
      <c r="C337" s="27" t="n"/>
      <c r="D337" s="56" t="n"/>
      <c r="E337" s="17" t="n"/>
      <c r="F337" s="20" t="str">
        <f>IF(AND(ISNUMBER(D337),ISNUMBER(E337)),D337*E337,"")</f>
        <v/>
      </c>
      <c r="G337" s="51" t="str">
        <f>IF(ISNUMBER(F337),ROUND(MAX(F337*'参数'!$C$12,'参数'!$C$13),2),"")</f>
        <v/>
      </c>
      <c r="H337" s="51" t="str">
        <f>IF(ISNUMBER(F337),IF(C337="卖",ROUND(F337*'参数'!$C$14,2),0),"")</f>
        <v/>
      </c>
      <c r="I337" s="51" t="str">
        <f>IF(ISNUMBER(F337),ROUND(F337*'参数'!$C$15,2),"")</f>
        <v/>
      </c>
      <c r="J337" s="21" t="n"/>
      <c r="K337" s="20" t="str">
        <f>IF(ISNUMBER(J337),J337,IF(ISNUMBER(F337),G337+H337+I337+ROUND(F337*'参数'!$C$16,2),""))</f>
        <v/>
      </c>
      <c r="L337" s="43" t="str">
        <f>IF(A337="","",IFERROR(T(INDEX('交易记录'!$C$5:$C$304,MATCH(A337,'交易记录'!$A$5:$A$304,0))),"编号没找到"))</f>
        <v/>
      </c>
      <c r="M337" s="57" t="str">
        <f>IF(AND(C337="买",ISNUMBER(B337)),WORKDAY(B337,1,'参数'!$B$58:$B$80),"")</f>
        <v/>
      </c>
      <c r="N337" s="36" t="str">
        <f>IF(C337&lt;&gt;"卖","",IF(AND(ISNUMBER(B337),A337&lt;&gt;""),IF(SUMIFS($E$5:$E$804,$A$5:$A$804,A337,$C$5:$C$804,"卖",$B$5:$B$804,"&lt;="&amp;B337)&gt;SUMIFS($E$5:$E$804,$A$5:$A$804,A337,$C$5:$C$804,"买",$B$5:$B$804,"&lt;"&amp;B337),"超出可卖股数","OK"),""))</f>
        <v/>
      </c>
      <c r="O337" s="32" t="n"/>
    </row>
    <row r="338">
      <c r="A338" s="46" t="n"/>
      <c r="B338" s="31" t="n"/>
      <c r="C338" s="27" t="n"/>
      <c r="D338" s="56" t="n"/>
      <c r="E338" s="17" t="n"/>
      <c r="F338" s="20" t="str">
        <f>IF(AND(ISNUMBER(D338),ISNUMBER(E338)),D338*E338,"")</f>
        <v/>
      </c>
      <c r="G338" s="51" t="str">
        <f>IF(ISNUMBER(F338),ROUND(MAX(F338*'参数'!$C$12,'参数'!$C$13),2),"")</f>
        <v/>
      </c>
      <c r="H338" s="51" t="str">
        <f>IF(ISNUMBER(F338),IF(C338="卖",ROUND(F338*'参数'!$C$14,2),0),"")</f>
        <v/>
      </c>
      <c r="I338" s="51" t="str">
        <f>IF(ISNUMBER(F338),ROUND(F338*'参数'!$C$15,2),"")</f>
        <v/>
      </c>
      <c r="J338" s="21" t="n"/>
      <c r="K338" s="20" t="str">
        <f>IF(ISNUMBER(J338),J338,IF(ISNUMBER(F338),G338+H338+I338+ROUND(F338*'参数'!$C$16,2),""))</f>
        <v/>
      </c>
      <c r="L338" s="43" t="str">
        <f>IF(A338="","",IFERROR(T(INDEX('交易记录'!$C$5:$C$304,MATCH(A338,'交易记录'!$A$5:$A$304,0))),"编号没找到"))</f>
        <v/>
      </c>
      <c r="M338" s="57" t="str">
        <f>IF(AND(C338="买",ISNUMBER(B338)),WORKDAY(B338,1,'参数'!$B$58:$B$80),"")</f>
        <v/>
      </c>
      <c r="N338" s="36" t="str">
        <f>IF(C338&lt;&gt;"卖","",IF(AND(ISNUMBER(B338),A338&lt;&gt;""),IF(SUMIFS($E$5:$E$804,$A$5:$A$804,A338,$C$5:$C$804,"卖",$B$5:$B$804,"&lt;="&amp;B338)&gt;SUMIFS($E$5:$E$804,$A$5:$A$804,A338,$C$5:$C$804,"买",$B$5:$B$804,"&lt;"&amp;B338),"超出可卖股数","OK"),""))</f>
        <v/>
      </c>
      <c r="O338" s="32" t="n"/>
    </row>
    <row r="339">
      <c r="A339" s="46" t="n"/>
      <c r="B339" s="31" t="n"/>
      <c r="C339" s="27" t="n"/>
      <c r="D339" s="56" t="n"/>
      <c r="E339" s="17" t="n"/>
      <c r="F339" s="20" t="str">
        <f>IF(AND(ISNUMBER(D339),ISNUMBER(E339)),D339*E339,"")</f>
        <v/>
      </c>
      <c r="G339" s="51" t="str">
        <f>IF(ISNUMBER(F339),ROUND(MAX(F339*'参数'!$C$12,'参数'!$C$13),2),"")</f>
        <v/>
      </c>
      <c r="H339" s="51" t="str">
        <f>IF(ISNUMBER(F339),IF(C339="卖",ROUND(F339*'参数'!$C$14,2),0),"")</f>
        <v/>
      </c>
      <c r="I339" s="51" t="str">
        <f>IF(ISNUMBER(F339),ROUND(F339*'参数'!$C$15,2),"")</f>
        <v/>
      </c>
      <c r="J339" s="21" t="n"/>
      <c r="K339" s="20" t="str">
        <f>IF(ISNUMBER(J339),J339,IF(ISNUMBER(F339),G339+H339+I339+ROUND(F339*'参数'!$C$16,2),""))</f>
        <v/>
      </c>
      <c r="L339" s="43" t="str">
        <f>IF(A339="","",IFERROR(T(INDEX('交易记录'!$C$5:$C$304,MATCH(A339,'交易记录'!$A$5:$A$304,0))),"编号没找到"))</f>
        <v/>
      </c>
      <c r="M339" s="57" t="str">
        <f>IF(AND(C339="买",ISNUMBER(B339)),WORKDAY(B339,1,'参数'!$B$58:$B$80),"")</f>
        <v/>
      </c>
      <c r="N339" s="36" t="str">
        <f>IF(C339&lt;&gt;"卖","",IF(AND(ISNUMBER(B339),A339&lt;&gt;""),IF(SUMIFS($E$5:$E$804,$A$5:$A$804,A339,$C$5:$C$804,"卖",$B$5:$B$804,"&lt;="&amp;B339)&gt;SUMIFS($E$5:$E$804,$A$5:$A$804,A339,$C$5:$C$804,"买",$B$5:$B$804,"&lt;"&amp;B339),"超出可卖股数","OK"),""))</f>
        <v/>
      </c>
      <c r="O339" s="32" t="n"/>
    </row>
    <row r="340">
      <c r="A340" s="46" t="n"/>
      <c r="B340" s="31" t="n"/>
      <c r="C340" s="27" t="n"/>
      <c r="D340" s="56" t="n"/>
      <c r="E340" s="17" t="n"/>
      <c r="F340" s="20" t="str">
        <f>IF(AND(ISNUMBER(D340),ISNUMBER(E340)),D340*E340,"")</f>
        <v/>
      </c>
      <c r="G340" s="51" t="str">
        <f>IF(ISNUMBER(F340),ROUND(MAX(F340*'参数'!$C$12,'参数'!$C$13),2),"")</f>
        <v/>
      </c>
      <c r="H340" s="51" t="str">
        <f>IF(ISNUMBER(F340),IF(C340="卖",ROUND(F340*'参数'!$C$14,2),0),"")</f>
        <v/>
      </c>
      <c r="I340" s="51" t="str">
        <f>IF(ISNUMBER(F340),ROUND(F340*'参数'!$C$15,2),"")</f>
        <v/>
      </c>
      <c r="J340" s="21" t="n"/>
      <c r="K340" s="20" t="str">
        <f>IF(ISNUMBER(J340),J340,IF(ISNUMBER(F340),G340+H340+I340+ROUND(F340*'参数'!$C$16,2),""))</f>
        <v/>
      </c>
      <c r="L340" s="43" t="str">
        <f>IF(A340="","",IFERROR(T(INDEX('交易记录'!$C$5:$C$304,MATCH(A340,'交易记录'!$A$5:$A$304,0))),"编号没找到"))</f>
        <v/>
      </c>
      <c r="M340" s="57" t="str">
        <f>IF(AND(C340="买",ISNUMBER(B340)),WORKDAY(B340,1,'参数'!$B$58:$B$80),"")</f>
        <v/>
      </c>
      <c r="N340" s="36" t="str">
        <f>IF(C340&lt;&gt;"卖","",IF(AND(ISNUMBER(B340),A340&lt;&gt;""),IF(SUMIFS($E$5:$E$804,$A$5:$A$804,A340,$C$5:$C$804,"卖",$B$5:$B$804,"&lt;="&amp;B340)&gt;SUMIFS($E$5:$E$804,$A$5:$A$804,A340,$C$5:$C$804,"买",$B$5:$B$804,"&lt;"&amp;B340),"超出可卖股数","OK"),""))</f>
        <v/>
      </c>
      <c r="O340" s="32" t="n"/>
    </row>
    <row r="341">
      <c r="A341" s="46" t="n"/>
      <c r="B341" s="31" t="n"/>
      <c r="C341" s="27" t="n"/>
      <c r="D341" s="56" t="n"/>
      <c r="E341" s="17" t="n"/>
      <c r="F341" s="20" t="str">
        <f>IF(AND(ISNUMBER(D341),ISNUMBER(E341)),D341*E341,"")</f>
        <v/>
      </c>
      <c r="G341" s="51" t="str">
        <f>IF(ISNUMBER(F341),ROUND(MAX(F341*'参数'!$C$12,'参数'!$C$13),2),"")</f>
        <v/>
      </c>
      <c r="H341" s="51" t="str">
        <f>IF(ISNUMBER(F341),IF(C341="卖",ROUND(F341*'参数'!$C$14,2),0),"")</f>
        <v/>
      </c>
      <c r="I341" s="51" t="str">
        <f>IF(ISNUMBER(F341),ROUND(F341*'参数'!$C$15,2),"")</f>
        <v/>
      </c>
      <c r="J341" s="21" t="n"/>
      <c r="K341" s="20" t="str">
        <f>IF(ISNUMBER(J341),J341,IF(ISNUMBER(F341),G341+H341+I341+ROUND(F341*'参数'!$C$16,2),""))</f>
        <v/>
      </c>
      <c r="L341" s="43" t="str">
        <f>IF(A341="","",IFERROR(T(INDEX('交易记录'!$C$5:$C$304,MATCH(A341,'交易记录'!$A$5:$A$304,0))),"编号没找到"))</f>
        <v/>
      </c>
      <c r="M341" s="57" t="str">
        <f>IF(AND(C341="买",ISNUMBER(B341)),WORKDAY(B341,1,'参数'!$B$58:$B$80),"")</f>
        <v/>
      </c>
      <c r="N341" s="36" t="str">
        <f>IF(C341&lt;&gt;"卖","",IF(AND(ISNUMBER(B341),A341&lt;&gt;""),IF(SUMIFS($E$5:$E$804,$A$5:$A$804,A341,$C$5:$C$804,"卖",$B$5:$B$804,"&lt;="&amp;B341)&gt;SUMIFS($E$5:$E$804,$A$5:$A$804,A341,$C$5:$C$804,"买",$B$5:$B$804,"&lt;"&amp;B341),"超出可卖股数","OK"),""))</f>
        <v/>
      </c>
      <c r="O341" s="32" t="n"/>
    </row>
    <row r="342">
      <c r="A342" s="46" t="n"/>
      <c r="B342" s="31" t="n"/>
      <c r="C342" s="27" t="n"/>
      <c r="D342" s="56" t="n"/>
      <c r="E342" s="17" t="n"/>
      <c r="F342" s="20" t="str">
        <f>IF(AND(ISNUMBER(D342),ISNUMBER(E342)),D342*E342,"")</f>
        <v/>
      </c>
      <c r="G342" s="51" t="str">
        <f>IF(ISNUMBER(F342),ROUND(MAX(F342*'参数'!$C$12,'参数'!$C$13),2),"")</f>
        <v/>
      </c>
      <c r="H342" s="51" t="str">
        <f>IF(ISNUMBER(F342),IF(C342="卖",ROUND(F342*'参数'!$C$14,2),0),"")</f>
        <v/>
      </c>
      <c r="I342" s="51" t="str">
        <f>IF(ISNUMBER(F342),ROUND(F342*'参数'!$C$15,2),"")</f>
        <v/>
      </c>
      <c r="J342" s="21" t="n"/>
      <c r="K342" s="20" t="str">
        <f>IF(ISNUMBER(J342),J342,IF(ISNUMBER(F342),G342+H342+I342+ROUND(F342*'参数'!$C$16,2),""))</f>
        <v/>
      </c>
      <c r="L342" s="43" t="str">
        <f>IF(A342="","",IFERROR(T(INDEX('交易记录'!$C$5:$C$304,MATCH(A342,'交易记录'!$A$5:$A$304,0))),"编号没找到"))</f>
        <v/>
      </c>
      <c r="M342" s="57" t="str">
        <f>IF(AND(C342="买",ISNUMBER(B342)),WORKDAY(B342,1,'参数'!$B$58:$B$80),"")</f>
        <v/>
      </c>
      <c r="N342" s="36" t="str">
        <f>IF(C342&lt;&gt;"卖","",IF(AND(ISNUMBER(B342),A342&lt;&gt;""),IF(SUMIFS($E$5:$E$804,$A$5:$A$804,A342,$C$5:$C$804,"卖",$B$5:$B$804,"&lt;="&amp;B342)&gt;SUMIFS($E$5:$E$804,$A$5:$A$804,A342,$C$5:$C$804,"买",$B$5:$B$804,"&lt;"&amp;B342),"超出可卖股数","OK"),""))</f>
        <v/>
      </c>
      <c r="O342" s="32" t="n"/>
    </row>
    <row r="343">
      <c r="A343" s="46" t="n"/>
      <c r="B343" s="31" t="n"/>
      <c r="C343" s="27" t="n"/>
      <c r="D343" s="56" t="n"/>
      <c r="E343" s="17" t="n"/>
      <c r="F343" s="20" t="str">
        <f>IF(AND(ISNUMBER(D343),ISNUMBER(E343)),D343*E343,"")</f>
        <v/>
      </c>
      <c r="G343" s="51" t="str">
        <f>IF(ISNUMBER(F343),ROUND(MAX(F343*'参数'!$C$12,'参数'!$C$13),2),"")</f>
        <v/>
      </c>
      <c r="H343" s="51" t="str">
        <f>IF(ISNUMBER(F343),IF(C343="卖",ROUND(F343*'参数'!$C$14,2),0),"")</f>
        <v/>
      </c>
      <c r="I343" s="51" t="str">
        <f>IF(ISNUMBER(F343),ROUND(F343*'参数'!$C$15,2),"")</f>
        <v/>
      </c>
      <c r="J343" s="21" t="n"/>
      <c r="K343" s="20" t="str">
        <f>IF(ISNUMBER(J343),J343,IF(ISNUMBER(F343),G343+H343+I343+ROUND(F343*'参数'!$C$16,2),""))</f>
        <v/>
      </c>
      <c r="L343" s="43" t="str">
        <f>IF(A343="","",IFERROR(T(INDEX('交易记录'!$C$5:$C$304,MATCH(A343,'交易记录'!$A$5:$A$304,0))),"编号没找到"))</f>
        <v/>
      </c>
      <c r="M343" s="57" t="str">
        <f>IF(AND(C343="买",ISNUMBER(B343)),WORKDAY(B343,1,'参数'!$B$58:$B$80),"")</f>
        <v/>
      </c>
      <c r="N343" s="36" t="str">
        <f>IF(C343&lt;&gt;"卖","",IF(AND(ISNUMBER(B343),A343&lt;&gt;""),IF(SUMIFS($E$5:$E$804,$A$5:$A$804,A343,$C$5:$C$804,"卖",$B$5:$B$804,"&lt;="&amp;B343)&gt;SUMIFS($E$5:$E$804,$A$5:$A$804,A343,$C$5:$C$804,"买",$B$5:$B$804,"&lt;"&amp;B343),"超出可卖股数","OK"),""))</f>
        <v/>
      </c>
      <c r="O343" s="32" t="n"/>
    </row>
    <row r="344">
      <c r="A344" s="46" t="n"/>
      <c r="B344" s="31" t="n"/>
      <c r="C344" s="27" t="n"/>
      <c r="D344" s="56" t="n"/>
      <c r="E344" s="17" t="n"/>
      <c r="F344" s="20" t="str">
        <f>IF(AND(ISNUMBER(D344),ISNUMBER(E344)),D344*E344,"")</f>
        <v/>
      </c>
      <c r="G344" s="51" t="str">
        <f>IF(ISNUMBER(F344),ROUND(MAX(F344*'参数'!$C$12,'参数'!$C$13),2),"")</f>
        <v/>
      </c>
      <c r="H344" s="51" t="str">
        <f>IF(ISNUMBER(F344),IF(C344="卖",ROUND(F344*'参数'!$C$14,2),0),"")</f>
        <v/>
      </c>
      <c r="I344" s="51" t="str">
        <f>IF(ISNUMBER(F344),ROUND(F344*'参数'!$C$15,2),"")</f>
        <v/>
      </c>
      <c r="J344" s="21" t="n"/>
      <c r="K344" s="20" t="str">
        <f>IF(ISNUMBER(J344),J344,IF(ISNUMBER(F344),G344+H344+I344+ROUND(F344*'参数'!$C$16,2),""))</f>
        <v/>
      </c>
      <c r="L344" s="43" t="str">
        <f>IF(A344="","",IFERROR(T(INDEX('交易记录'!$C$5:$C$304,MATCH(A344,'交易记录'!$A$5:$A$304,0))),"编号没找到"))</f>
        <v/>
      </c>
      <c r="M344" s="57" t="str">
        <f>IF(AND(C344="买",ISNUMBER(B344)),WORKDAY(B344,1,'参数'!$B$58:$B$80),"")</f>
        <v/>
      </c>
      <c r="N344" s="36" t="str">
        <f>IF(C344&lt;&gt;"卖","",IF(AND(ISNUMBER(B344),A344&lt;&gt;""),IF(SUMIFS($E$5:$E$804,$A$5:$A$804,A344,$C$5:$C$804,"卖",$B$5:$B$804,"&lt;="&amp;B344)&gt;SUMIFS($E$5:$E$804,$A$5:$A$804,A344,$C$5:$C$804,"买",$B$5:$B$804,"&lt;"&amp;B344),"超出可卖股数","OK"),""))</f>
        <v/>
      </c>
      <c r="O344" s="32" t="n"/>
    </row>
    <row r="345">
      <c r="A345" s="46" t="n"/>
      <c r="B345" s="31" t="n"/>
      <c r="C345" s="27" t="n"/>
      <c r="D345" s="56" t="n"/>
      <c r="E345" s="17" t="n"/>
      <c r="F345" s="20" t="str">
        <f>IF(AND(ISNUMBER(D345),ISNUMBER(E345)),D345*E345,"")</f>
        <v/>
      </c>
      <c r="G345" s="51" t="str">
        <f>IF(ISNUMBER(F345),ROUND(MAX(F345*'参数'!$C$12,'参数'!$C$13),2),"")</f>
        <v/>
      </c>
      <c r="H345" s="51" t="str">
        <f>IF(ISNUMBER(F345),IF(C345="卖",ROUND(F345*'参数'!$C$14,2),0),"")</f>
        <v/>
      </c>
      <c r="I345" s="51" t="str">
        <f>IF(ISNUMBER(F345),ROUND(F345*'参数'!$C$15,2),"")</f>
        <v/>
      </c>
      <c r="J345" s="21" t="n"/>
      <c r="K345" s="20" t="str">
        <f>IF(ISNUMBER(J345),J345,IF(ISNUMBER(F345),G345+H345+I345+ROUND(F345*'参数'!$C$16,2),""))</f>
        <v/>
      </c>
      <c r="L345" s="43" t="str">
        <f>IF(A345="","",IFERROR(T(INDEX('交易记录'!$C$5:$C$304,MATCH(A345,'交易记录'!$A$5:$A$304,0))),"编号没找到"))</f>
        <v/>
      </c>
      <c r="M345" s="57" t="str">
        <f>IF(AND(C345="买",ISNUMBER(B345)),WORKDAY(B345,1,'参数'!$B$58:$B$80),"")</f>
        <v/>
      </c>
      <c r="N345" s="36" t="str">
        <f>IF(C345&lt;&gt;"卖","",IF(AND(ISNUMBER(B345),A345&lt;&gt;""),IF(SUMIFS($E$5:$E$804,$A$5:$A$804,A345,$C$5:$C$804,"卖",$B$5:$B$804,"&lt;="&amp;B345)&gt;SUMIFS($E$5:$E$804,$A$5:$A$804,A345,$C$5:$C$804,"买",$B$5:$B$804,"&lt;"&amp;B345),"超出可卖股数","OK"),""))</f>
        <v/>
      </c>
      <c r="O345" s="32" t="n"/>
    </row>
    <row r="346">
      <c r="A346" s="46" t="n"/>
      <c r="B346" s="31" t="n"/>
      <c r="C346" s="27" t="n"/>
      <c r="D346" s="56" t="n"/>
      <c r="E346" s="17" t="n"/>
      <c r="F346" s="20" t="str">
        <f>IF(AND(ISNUMBER(D346),ISNUMBER(E346)),D346*E346,"")</f>
        <v/>
      </c>
      <c r="G346" s="51" t="str">
        <f>IF(ISNUMBER(F346),ROUND(MAX(F346*'参数'!$C$12,'参数'!$C$13),2),"")</f>
        <v/>
      </c>
      <c r="H346" s="51" t="str">
        <f>IF(ISNUMBER(F346),IF(C346="卖",ROUND(F346*'参数'!$C$14,2),0),"")</f>
        <v/>
      </c>
      <c r="I346" s="51" t="str">
        <f>IF(ISNUMBER(F346),ROUND(F346*'参数'!$C$15,2),"")</f>
        <v/>
      </c>
      <c r="J346" s="21" t="n"/>
      <c r="K346" s="20" t="str">
        <f>IF(ISNUMBER(J346),J346,IF(ISNUMBER(F346),G346+H346+I346+ROUND(F346*'参数'!$C$16,2),""))</f>
        <v/>
      </c>
      <c r="L346" s="43" t="str">
        <f>IF(A346="","",IFERROR(T(INDEX('交易记录'!$C$5:$C$304,MATCH(A346,'交易记录'!$A$5:$A$304,0))),"编号没找到"))</f>
        <v/>
      </c>
      <c r="M346" s="57" t="str">
        <f>IF(AND(C346="买",ISNUMBER(B346)),WORKDAY(B346,1,'参数'!$B$58:$B$80),"")</f>
        <v/>
      </c>
      <c r="N346" s="36" t="str">
        <f>IF(C346&lt;&gt;"卖","",IF(AND(ISNUMBER(B346),A346&lt;&gt;""),IF(SUMIFS($E$5:$E$804,$A$5:$A$804,A346,$C$5:$C$804,"卖",$B$5:$B$804,"&lt;="&amp;B346)&gt;SUMIFS($E$5:$E$804,$A$5:$A$804,A346,$C$5:$C$804,"买",$B$5:$B$804,"&lt;"&amp;B346),"超出可卖股数","OK"),""))</f>
        <v/>
      </c>
      <c r="O346" s="32" t="n"/>
    </row>
    <row r="347">
      <c r="A347" s="46" t="n"/>
      <c r="B347" s="31" t="n"/>
      <c r="C347" s="27" t="n"/>
      <c r="D347" s="56" t="n"/>
      <c r="E347" s="17" t="n"/>
      <c r="F347" s="20" t="str">
        <f>IF(AND(ISNUMBER(D347),ISNUMBER(E347)),D347*E347,"")</f>
        <v/>
      </c>
      <c r="G347" s="51" t="str">
        <f>IF(ISNUMBER(F347),ROUND(MAX(F347*'参数'!$C$12,'参数'!$C$13),2),"")</f>
        <v/>
      </c>
      <c r="H347" s="51" t="str">
        <f>IF(ISNUMBER(F347),IF(C347="卖",ROUND(F347*'参数'!$C$14,2),0),"")</f>
        <v/>
      </c>
      <c r="I347" s="51" t="str">
        <f>IF(ISNUMBER(F347),ROUND(F347*'参数'!$C$15,2),"")</f>
        <v/>
      </c>
      <c r="J347" s="21" t="n"/>
      <c r="K347" s="20" t="str">
        <f>IF(ISNUMBER(J347),J347,IF(ISNUMBER(F347),G347+H347+I347+ROUND(F347*'参数'!$C$16,2),""))</f>
        <v/>
      </c>
      <c r="L347" s="43" t="str">
        <f>IF(A347="","",IFERROR(T(INDEX('交易记录'!$C$5:$C$304,MATCH(A347,'交易记录'!$A$5:$A$304,0))),"编号没找到"))</f>
        <v/>
      </c>
      <c r="M347" s="57" t="str">
        <f>IF(AND(C347="买",ISNUMBER(B347)),WORKDAY(B347,1,'参数'!$B$58:$B$80),"")</f>
        <v/>
      </c>
      <c r="N347" s="36" t="str">
        <f>IF(C347&lt;&gt;"卖","",IF(AND(ISNUMBER(B347),A347&lt;&gt;""),IF(SUMIFS($E$5:$E$804,$A$5:$A$804,A347,$C$5:$C$804,"卖",$B$5:$B$804,"&lt;="&amp;B347)&gt;SUMIFS($E$5:$E$804,$A$5:$A$804,A347,$C$5:$C$804,"买",$B$5:$B$804,"&lt;"&amp;B347),"超出可卖股数","OK"),""))</f>
        <v/>
      </c>
      <c r="O347" s="32" t="n"/>
    </row>
    <row r="348">
      <c r="A348" s="46" t="n"/>
      <c r="B348" s="31" t="n"/>
      <c r="C348" s="27" t="n"/>
      <c r="D348" s="56" t="n"/>
      <c r="E348" s="17" t="n"/>
      <c r="F348" s="20" t="str">
        <f>IF(AND(ISNUMBER(D348),ISNUMBER(E348)),D348*E348,"")</f>
        <v/>
      </c>
      <c r="G348" s="51" t="str">
        <f>IF(ISNUMBER(F348),ROUND(MAX(F348*'参数'!$C$12,'参数'!$C$13),2),"")</f>
        <v/>
      </c>
      <c r="H348" s="51" t="str">
        <f>IF(ISNUMBER(F348),IF(C348="卖",ROUND(F348*'参数'!$C$14,2),0),"")</f>
        <v/>
      </c>
      <c r="I348" s="51" t="str">
        <f>IF(ISNUMBER(F348),ROUND(F348*'参数'!$C$15,2),"")</f>
        <v/>
      </c>
      <c r="J348" s="21" t="n"/>
      <c r="K348" s="20" t="str">
        <f>IF(ISNUMBER(J348),J348,IF(ISNUMBER(F348),G348+H348+I348+ROUND(F348*'参数'!$C$16,2),""))</f>
        <v/>
      </c>
      <c r="L348" s="43" t="str">
        <f>IF(A348="","",IFERROR(T(INDEX('交易记录'!$C$5:$C$304,MATCH(A348,'交易记录'!$A$5:$A$304,0))),"编号没找到"))</f>
        <v/>
      </c>
      <c r="M348" s="57" t="str">
        <f>IF(AND(C348="买",ISNUMBER(B348)),WORKDAY(B348,1,'参数'!$B$58:$B$80),"")</f>
        <v/>
      </c>
      <c r="N348" s="36" t="str">
        <f>IF(C348&lt;&gt;"卖","",IF(AND(ISNUMBER(B348),A348&lt;&gt;""),IF(SUMIFS($E$5:$E$804,$A$5:$A$804,A348,$C$5:$C$804,"卖",$B$5:$B$804,"&lt;="&amp;B348)&gt;SUMIFS($E$5:$E$804,$A$5:$A$804,A348,$C$5:$C$804,"买",$B$5:$B$804,"&lt;"&amp;B348),"超出可卖股数","OK"),""))</f>
        <v/>
      </c>
      <c r="O348" s="32" t="n"/>
    </row>
    <row r="349">
      <c r="A349" s="46" t="n"/>
      <c r="B349" s="31" t="n"/>
      <c r="C349" s="27" t="n"/>
      <c r="D349" s="56" t="n"/>
      <c r="E349" s="17" t="n"/>
      <c r="F349" s="20" t="str">
        <f>IF(AND(ISNUMBER(D349),ISNUMBER(E349)),D349*E349,"")</f>
        <v/>
      </c>
      <c r="G349" s="51" t="str">
        <f>IF(ISNUMBER(F349),ROUND(MAX(F349*'参数'!$C$12,'参数'!$C$13),2),"")</f>
        <v/>
      </c>
      <c r="H349" s="51" t="str">
        <f>IF(ISNUMBER(F349),IF(C349="卖",ROUND(F349*'参数'!$C$14,2),0),"")</f>
        <v/>
      </c>
      <c r="I349" s="51" t="str">
        <f>IF(ISNUMBER(F349),ROUND(F349*'参数'!$C$15,2),"")</f>
        <v/>
      </c>
      <c r="J349" s="21" t="n"/>
      <c r="K349" s="20" t="str">
        <f>IF(ISNUMBER(J349),J349,IF(ISNUMBER(F349),G349+H349+I349+ROUND(F349*'参数'!$C$16,2),""))</f>
        <v/>
      </c>
      <c r="L349" s="43" t="str">
        <f>IF(A349="","",IFERROR(T(INDEX('交易记录'!$C$5:$C$304,MATCH(A349,'交易记录'!$A$5:$A$304,0))),"编号没找到"))</f>
        <v/>
      </c>
      <c r="M349" s="57" t="str">
        <f>IF(AND(C349="买",ISNUMBER(B349)),WORKDAY(B349,1,'参数'!$B$58:$B$80),"")</f>
        <v/>
      </c>
      <c r="N349" s="36" t="str">
        <f>IF(C349&lt;&gt;"卖","",IF(AND(ISNUMBER(B349),A349&lt;&gt;""),IF(SUMIFS($E$5:$E$804,$A$5:$A$804,A349,$C$5:$C$804,"卖",$B$5:$B$804,"&lt;="&amp;B349)&gt;SUMIFS($E$5:$E$804,$A$5:$A$804,A349,$C$5:$C$804,"买",$B$5:$B$804,"&lt;"&amp;B349),"超出可卖股数","OK"),""))</f>
        <v/>
      </c>
      <c r="O349" s="32" t="n"/>
    </row>
    <row r="350">
      <c r="A350" s="46" t="n"/>
      <c r="B350" s="31" t="n"/>
      <c r="C350" s="27" t="n"/>
      <c r="D350" s="56" t="n"/>
      <c r="E350" s="17" t="n"/>
      <c r="F350" s="20" t="str">
        <f>IF(AND(ISNUMBER(D350),ISNUMBER(E350)),D350*E350,"")</f>
        <v/>
      </c>
      <c r="G350" s="51" t="str">
        <f>IF(ISNUMBER(F350),ROUND(MAX(F350*'参数'!$C$12,'参数'!$C$13),2),"")</f>
        <v/>
      </c>
      <c r="H350" s="51" t="str">
        <f>IF(ISNUMBER(F350),IF(C350="卖",ROUND(F350*'参数'!$C$14,2),0),"")</f>
        <v/>
      </c>
      <c r="I350" s="51" t="str">
        <f>IF(ISNUMBER(F350),ROUND(F350*'参数'!$C$15,2),"")</f>
        <v/>
      </c>
      <c r="J350" s="21" t="n"/>
      <c r="K350" s="20" t="str">
        <f>IF(ISNUMBER(J350),J350,IF(ISNUMBER(F350),G350+H350+I350+ROUND(F350*'参数'!$C$16,2),""))</f>
        <v/>
      </c>
      <c r="L350" s="43" t="str">
        <f>IF(A350="","",IFERROR(T(INDEX('交易记录'!$C$5:$C$304,MATCH(A350,'交易记录'!$A$5:$A$304,0))),"编号没找到"))</f>
        <v/>
      </c>
      <c r="M350" s="57" t="str">
        <f>IF(AND(C350="买",ISNUMBER(B350)),WORKDAY(B350,1,'参数'!$B$58:$B$80),"")</f>
        <v/>
      </c>
      <c r="N350" s="36" t="str">
        <f>IF(C350&lt;&gt;"卖","",IF(AND(ISNUMBER(B350),A350&lt;&gt;""),IF(SUMIFS($E$5:$E$804,$A$5:$A$804,A350,$C$5:$C$804,"卖",$B$5:$B$804,"&lt;="&amp;B350)&gt;SUMIFS($E$5:$E$804,$A$5:$A$804,A350,$C$5:$C$804,"买",$B$5:$B$804,"&lt;"&amp;B350),"超出可卖股数","OK"),""))</f>
        <v/>
      </c>
      <c r="O350" s="32" t="n"/>
    </row>
    <row r="351">
      <c r="A351" s="46" t="n"/>
      <c r="B351" s="31" t="n"/>
      <c r="C351" s="27" t="n"/>
      <c r="D351" s="56" t="n"/>
      <c r="E351" s="17" t="n"/>
      <c r="F351" s="20" t="str">
        <f>IF(AND(ISNUMBER(D351),ISNUMBER(E351)),D351*E351,"")</f>
        <v/>
      </c>
      <c r="G351" s="51" t="str">
        <f>IF(ISNUMBER(F351),ROUND(MAX(F351*'参数'!$C$12,'参数'!$C$13),2),"")</f>
        <v/>
      </c>
      <c r="H351" s="51" t="str">
        <f>IF(ISNUMBER(F351),IF(C351="卖",ROUND(F351*'参数'!$C$14,2),0),"")</f>
        <v/>
      </c>
      <c r="I351" s="51" t="str">
        <f>IF(ISNUMBER(F351),ROUND(F351*'参数'!$C$15,2),"")</f>
        <v/>
      </c>
      <c r="J351" s="21" t="n"/>
      <c r="K351" s="20" t="str">
        <f>IF(ISNUMBER(J351),J351,IF(ISNUMBER(F351),G351+H351+I351+ROUND(F351*'参数'!$C$16,2),""))</f>
        <v/>
      </c>
      <c r="L351" s="43" t="str">
        <f>IF(A351="","",IFERROR(T(INDEX('交易记录'!$C$5:$C$304,MATCH(A351,'交易记录'!$A$5:$A$304,0))),"编号没找到"))</f>
        <v/>
      </c>
      <c r="M351" s="57" t="str">
        <f>IF(AND(C351="买",ISNUMBER(B351)),WORKDAY(B351,1,'参数'!$B$58:$B$80),"")</f>
        <v/>
      </c>
      <c r="N351" s="36" t="str">
        <f>IF(C351&lt;&gt;"卖","",IF(AND(ISNUMBER(B351),A351&lt;&gt;""),IF(SUMIFS($E$5:$E$804,$A$5:$A$804,A351,$C$5:$C$804,"卖",$B$5:$B$804,"&lt;="&amp;B351)&gt;SUMIFS($E$5:$E$804,$A$5:$A$804,A351,$C$5:$C$804,"买",$B$5:$B$804,"&lt;"&amp;B351),"超出可卖股数","OK"),""))</f>
        <v/>
      </c>
      <c r="O351" s="32" t="n"/>
    </row>
    <row r="352">
      <c r="A352" s="46" t="n"/>
      <c r="B352" s="31" t="n"/>
      <c r="C352" s="27" t="n"/>
      <c r="D352" s="56" t="n"/>
      <c r="E352" s="17" t="n"/>
      <c r="F352" s="20" t="str">
        <f>IF(AND(ISNUMBER(D352),ISNUMBER(E352)),D352*E352,"")</f>
        <v/>
      </c>
      <c r="G352" s="51" t="str">
        <f>IF(ISNUMBER(F352),ROUND(MAX(F352*'参数'!$C$12,'参数'!$C$13),2),"")</f>
        <v/>
      </c>
      <c r="H352" s="51" t="str">
        <f>IF(ISNUMBER(F352),IF(C352="卖",ROUND(F352*'参数'!$C$14,2),0),"")</f>
        <v/>
      </c>
      <c r="I352" s="51" t="str">
        <f>IF(ISNUMBER(F352),ROUND(F352*'参数'!$C$15,2),"")</f>
        <v/>
      </c>
      <c r="J352" s="21" t="n"/>
      <c r="K352" s="20" t="str">
        <f>IF(ISNUMBER(J352),J352,IF(ISNUMBER(F352),G352+H352+I352+ROUND(F352*'参数'!$C$16,2),""))</f>
        <v/>
      </c>
      <c r="L352" s="43" t="str">
        <f>IF(A352="","",IFERROR(T(INDEX('交易记录'!$C$5:$C$304,MATCH(A352,'交易记录'!$A$5:$A$304,0))),"编号没找到"))</f>
        <v/>
      </c>
      <c r="M352" s="57" t="str">
        <f>IF(AND(C352="买",ISNUMBER(B352)),WORKDAY(B352,1,'参数'!$B$58:$B$80),"")</f>
        <v/>
      </c>
      <c r="N352" s="36" t="str">
        <f>IF(C352&lt;&gt;"卖","",IF(AND(ISNUMBER(B352),A352&lt;&gt;""),IF(SUMIFS($E$5:$E$804,$A$5:$A$804,A352,$C$5:$C$804,"卖",$B$5:$B$804,"&lt;="&amp;B352)&gt;SUMIFS($E$5:$E$804,$A$5:$A$804,A352,$C$5:$C$804,"买",$B$5:$B$804,"&lt;"&amp;B352),"超出可卖股数","OK"),""))</f>
        <v/>
      </c>
      <c r="O352" s="32" t="n"/>
    </row>
    <row r="353">
      <c r="A353" s="46" t="n"/>
      <c r="B353" s="31" t="n"/>
      <c r="C353" s="27" t="n"/>
      <c r="D353" s="56" t="n"/>
      <c r="E353" s="17" t="n"/>
      <c r="F353" s="20" t="str">
        <f>IF(AND(ISNUMBER(D353),ISNUMBER(E353)),D353*E353,"")</f>
        <v/>
      </c>
      <c r="G353" s="51" t="str">
        <f>IF(ISNUMBER(F353),ROUND(MAX(F353*'参数'!$C$12,'参数'!$C$13),2),"")</f>
        <v/>
      </c>
      <c r="H353" s="51" t="str">
        <f>IF(ISNUMBER(F353),IF(C353="卖",ROUND(F353*'参数'!$C$14,2),0),"")</f>
        <v/>
      </c>
      <c r="I353" s="51" t="str">
        <f>IF(ISNUMBER(F353),ROUND(F353*'参数'!$C$15,2),"")</f>
        <v/>
      </c>
      <c r="J353" s="21" t="n"/>
      <c r="K353" s="20" t="str">
        <f>IF(ISNUMBER(J353),J353,IF(ISNUMBER(F353),G353+H353+I353+ROUND(F353*'参数'!$C$16,2),""))</f>
        <v/>
      </c>
      <c r="L353" s="43" t="str">
        <f>IF(A353="","",IFERROR(T(INDEX('交易记录'!$C$5:$C$304,MATCH(A353,'交易记录'!$A$5:$A$304,0))),"编号没找到"))</f>
        <v/>
      </c>
      <c r="M353" s="57" t="str">
        <f>IF(AND(C353="买",ISNUMBER(B353)),WORKDAY(B353,1,'参数'!$B$58:$B$80),"")</f>
        <v/>
      </c>
      <c r="N353" s="36" t="str">
        <f>IF(C353&lt;&gt;"卖","",IF(AND(ISNUMBER(B353),A353&lt;&gt;""),IF(SUMIFS($E$5:$E$804,$A$5:$A$804,A353,$C$5:$C$804,"卖",$B$5:$B$804,"&lt;="&amp;B353)&gt;SUMIFS($E$5:$E$804,$A$5:$A$804,A353,$C$5:$C$804,"买",$B$5:$B$804,"&lt;"&amp;B353),"超出可卖股数","OK"),""))</f>
        <v/>
      </c>
      <c r="O353" s="32" t="n"/>
    </row>
    <row r="354">
      <c r="A354" s="46" t="n"/>
      <c r="B354" s="31" t="n"/>
      <c r="C354" s="27" t="n"/>
      <c r="D354" s="56" t="n"/>
      <c r="E354" s="17" t="n"/>
      <c r="F354" s="20" t="str">
        <f>IF(AND(ISNUMBER(D354),ISNUMBER(E354)),D354*E354,"")</f>
        <v/>
      </c>
      <c r="G354" s="51" t="str">
        <f>IF(ISNUMBER(F354),ROUND(MAX(F354*'参数'!$C$12,'参数'!$C$13),2),"")</f>
        <v/>
      </c>
      <c r="H354" s="51" t="str">
        <f>IF(ISNUMBER(F354),IF(C354="卖",ROUND(F354*'参数'!$C$14,2),0),"")</f>
        <v/>
      </c>
      <c r="I354" s="51" t="str">
        <f>IF(ISNUMBER(F354),ROUND(F354*'参数'!$C$15,2),"")</f>
        <v/>
      </c>
      <c r="J354" s="21" t="n"/>
      <c r="K354" s="20" t="str">
        <f>IF(ISNUMBER(J354),J354,IF(ISNUMBER(F354),G354+H354+I354+ROUND(F354*'参数'!$C$16,2),""))</f>
        <v/>
      </c>
      <c r="L354" s="43" t="str">
        <f>IF(A354="","",IFERROR(T(INDEX('交易记录'!$C$5:$C$304,MATCH(A354,'交易记录'!$A$5:$A$304,0))),"编号没找到"))</f>
        <v/>
      </c>
      <c r="M354" s="57" t="str">
        <f>IF(AND(C354="买",ISNUMBER(B354)),WORKDAY(B354,1,'参数'!$B$58:$B$80),"")</f>
        <v/>
      </c>
      <c r="N354" s="36" t="str">
        <f>IF(C354&lt;&gt;"卖","",IF(AND(ISNUMBER(B354),A354&lt;&gt;""),IF(SUMIFS($E$5:$E$804,$A$5:$A$804,A354,$C$5:$C$804,"卖",$B$5:$B$804,"&lt;="&amp;B354)&gt;SUMIFS($E$5:$E$804,$A$5:$A$804,A354,$C$5:$C$804,"买",$B$5:$B$804,"&lt;"&amp;B354),"超出可卖股数","OK"),""))</f>
        <v/>
      </c>
      <c r="O354" s="32" t="n"/>
    </row>
    <row r="355">
      <c r="A355" s="46" t="n"/>
      <c r="B355" s="31" t="n"/>
      <c r="C355" s="27" t="n"/>
      <c r="D355" s="56" t="n"/>
      <c r="E355" s="17" t="n"/>
      <c r="F355" s="20" t="str">
        <f>IF(AND(ISNUMBER(D355),ISNUMBER(E355)),D355*E355,"")</f>
        <v/>
      </c>
      <c r="G355" s="51" t="str">
        <f>IF(ISNUMBER(F355),ROUND(MAX(F355*'参数'!$C$12,'参数'!$C$13),2),"")</f>
        <v/>
      </c>
      <c r="H355" s="51" t="str">
        <f>IF(ISNUMBER(F355),IF(C355="卖",ROUND(F355*'参数'!$C$14,2),0),"")</f>
        <v/>
      </c>
      <c r="I355" s="51" t="str">
        <f>IF(ISNUMBER(F355),ROUND(F355*'参数'!$C$15,2),"")</f>
        <v/>
      </c>
      <c r="J355" s="21" t="n"/>
      <c r="K355" s="20" t="str">
        <f>IF(ISNUMBER(J355),J355,IF(ISNUMBER(F355),G355+H355+I355+ROUND(F355*'参数'!$C$16,2),""))</f>
        <v/>
      </c>
      <c r="L355" s="43" t="str">
        <f>IF(A355="","",IFERROR(T(INDEX('交易记录'!$C$5:$C$304,MATCH(A355,'交易记录'!$A$5:$A$304,0))),"编号没找到"))</f>
        <v/>
      </c>
      <c r="M355" s="57" t="str">
        <f>IF(AND(C355="买",ISNUMBER(B355)),WORKDAY(B355,1,'参数'!$B$58:$B$80),"")</f>
        <v/>
      </c>
      <c r="N355" s="36" t="str">
        <f>IF(C355&lt;&gt;"卖","",IF(AND(ISNUMBER(B355),A355&lt;&gt;""),IF(SUMIFS($E$5:$E$804,$A$5:$A$804,A355,$C$5:$C$804,"卖",$B$5:$B$804,"&lt;="&amp;B355)&gt;SUMIFS($E$5:$E$804,$A$5:$A$804,A355,$C$5:$C$804,"买",$B$5:$B$804,"&lt;"&amp;B355),"超出可卖股数","OK"),""))</f>
        <v/>
      </c>
      <c r="O355" s="32" t="n"/>
    </row>
    <row r="356">
      <c r="A356" s="46" t="n"/>
      <c r="B356" s="31" t="n"/>
      <c r="C356" s="27" t="n"/>
      <c r="D356" s="56" t="n"/>
      <c r="E356" s="17" t="n"/>
      <c r="F356" s="20" t="str">
        <f>IF(AND(ISNUMBER(D356),ISNUMBER(E356)),D356*E356,"")</f>
        <v/>
      </c>
      <c r="G356" s="51" t="str">
        <f>IF(ISNUMBER(F356),ROUND(MAX(F356*'参数'!$C$12,'参数'!$C$13),2),"")</f>
        <v/>
      </c>
      <c r="H356" s="51" t="str">
        <f>IF(ISNUMBER(F356),IF(C356="卖",ROUND(F356*'参数'!$C$14,2),0),"")</f>
        <v/>
      </c>
      <c r="I356" s="51" t="str">
        <f>IF(ISNUMBER(F356),ROUND(F356*'参数'!$C$15,2),"")</f>
        <v/>
      </c>
      <c r="J356" s="21" t="n"/>
      <c r="K356" s="20" t="str">
        <f>IF(ISNUMBER(J356),J356,IF(ISNUMBER(F356),G356+H356+I356+ROUND(F356*'参数'!$C$16,2),""))</f>
        <v/>
      </c>
      <c r="L356" s="43" t="str">
        <f>IF(A356="","",IFERROR(T(INDEX('交易记录'!$C$5:$C$304,MATCH(A356,'交易记录'!$A$5:$A$304,0))),"编号没找到"))</f>
        <v/>
      </c>
      <c r="M356" s="57" t="str">
        <f>IF(AND(C356="买",ISNUMBER(B356)),WORKDAY(B356,1,'参数'!$B$58:$B$80),"")</f>
        <v/>
      </c>
      <c r="N356" s="36" t="str">
        <f>IF(C356&lt;&gt;"卖","",IF(AND(ISNUMBER(B356),A356&lt;&gt;""),IF(SUMIFS($E$5:$E$804,$A$5:$A$804,A356,$C$5:$C$804,"卖",$B$5:$B$804,"&lt;="&amp;B356)&gt;SUMIFS($E$5:$E$804,$A$5:$A$804,A356,$C$5:$C$804,"买",$B$5:$B$804,"&lt;"&amp;B356),"超出可卖股数","OK"),""))</f>
        <v/>
      </c>
      <c r="O356" s="32" t="n"/>
    </row>
    <row r="357">
      <c r="A357" s="46" t="n"/>
      <c r="B357" s="31" t="n"/>
      <c r="C357" s="27" t="n"/>
      <c r="D357" s="56" t="n"/>
      <c r="E357" s="17" t="n"/>
      <c r="F357" s="20" t="str">
        <f>IF(AND(ISNUMBER(D357),ISNUMBER(E357)),D357*E357,"")</f>
        <v/>
      </c>
      <c r="G357" s="51" t="str">
        <f>IF(ISNUMBER(F357),ROUND(MAX(F357*'参数'!$C$12,'参数'!$C$13),2),"")</f>
        <v/>
      </c>
      <c r="H357" s="51" t="str">
        <f>IF(ISNUMBER(F357),IF(C357="卖",ROUND(F357*'参数'!$C$14,2),0),"")</f>
        <v/>
      </c>
      <c r="I357" s="51" t="str">
        <f>IF(ISNUMBER(F357),ROUND(F357*'参数'!$C$15,2),"")</f>
        <v/>
      </c>
      <c r="J357" s="21" t="n"/>
      <c r="K357" s="20" t="str">
        <f>IF(ISNUMBER(J357),J357,IF(ISNUMBER(F357),G357+H357+I357+ROUND(F357*'参数'!$C$16,2),""))</f>
        <v/>
      </c>
      <c r="L357" s="43" t="str">
        <f>IF(A357="","",IFERROR(T(INDEX('交易记录'!$C$5:$C$304,MATCH(A357,'交易记录'!$A$5:$A$304,0))),"编号没找到"))</f>
        <v/>
      </c>
      <c r="M357" s="57" t="str">
        <f>IF(AND(C357="买",ISNUMBER(B357)),WORKDAY(B357,1,'参数'!$B$58:$B$80),"")</f>
        <v/>
      </c>
      <c r="N357" s="36" t="str">
        <f>IF(C357&lt;&gt;"卖","",IF(AND(ISNUMBER(B357),A357&lt;&gt;""),IF(SUMIFS($E$5:$E$804,$A$5:$A$804,A357,$C$5:$C$804,"卖",$B$5:$B$804,"&lt;="&amp;B357)&gt;SUMIFS($E$5:$E$804,$A$5:$A$804,A357,$C$5:$C$804,"买",$B$5:$B$804,"&lt;"&amp;B357),"超出可卖股数","OK"),""))</f>
        <v/>
      </c>
      <c r="O357" s="32" t="n"/>
    </row>
    <row r="358">
      <c r="A358" s="46" t="n"/>
      <c r="B358" s="31" t="n"/>
      <c r="C358" s="27" t="n"/>
      <c r="D358" s="56" t="n"/>
      <c r="E358" s="17" t="n"/>
      <c r="F358" s="20" t="str">
        <f>IF(AND(ISNUMBER(D358),ISNUMBER(E358)),D358*E358,"")</f>
        <v/>
      </c>
      <c r="G358" s="51" t="str">
        <f>IF(ISNUMBER(F358),ROUND(MAX(F358*'参数'!$C$12,'参数'!$C$13),2),"")</f>
        <v/>
      </c>
      <c r="H358" s="51" t="str">
        <f>IF(ISNUMBER(F358),IF(C358="卖",ROUND(F358*'参数'!$C$14,2),0),"")</f>
        <v/>
      </c>
      <c r="I358" s="51" t="str">
        <f>IF(ISNUMBER(F358),ROUND(F358*'参数'!$C$15,2),"")</f>
        <v/>
      </c>
      <c r="J358" s="21" t="n"/>
      <c r="K358" s="20" t="str">
        <f>IF(ISNUMBER(J358),J358,IF(ISNUMBER(F358),G358+H358+I358+ROUND(F358*'参数'!$C$16,2),""))</f>
        <v/>
      </c>
      <c r="L358" s="43" t="str">
        <f>IF(A358="","",IFERROR(T(INDEX('交易记录'!$C$5:$C$304,MATCH(A358,'交易记录'!$A$5:$A$304,0))),"编号没找到"))</f>
        <v/>
      </c>
      <c r="M358" s="57" t="str">
        <f>IF(AND(C358="买",ISNUMBER(B358)),WORKDAY(B358,1,'参数'!$B$58:$B$80),"")</f>
        <v/>
      </c>
      <c r="N358" s="36" t="str">
        <f>IF(C358&lt;&gt;"卖","",IF(AND(ISNUMBER(B358),A358&lt;&gt;""),IF(SUMIFS($E$5:$E$804,$A$5:$A$804,A358,$C$5:$C$804,"卖",$B$5:$B$804,"&lt;="&amp;B358)&gt;SUMIFS($E$5:$E$804,$A$5:$A$804,A358,$C$5:$C$804,"买",$B$5:$B$804,"&lt;"&amp;B358),"超出可卖股数","OK"),""))</f>
        <v/>
      </c>
      <c r="O358" s="32" t="n"/>
    </row>
    <row r="359">
      <c r="A359" s="46" t="n"/>
      <c r="B359" s="31" t="n"/>
      <c r="C359" s="27" t="n"/>
      <c r="D359" s="56" t="n"/>
      <c r="E359" s="17" t="n"/>
      <c r="F359" s="20" t="str">
        <f>IF(AND(ISNUMBER(D359),ISNUMBER(E359)),D359*E359,"")</f>
        <v/>
      </c>
      <c r="G359" s="51" t="str">
        <f>IF(ISNUMBER(F359),ROUND(MAX(F359*'参数'!$C$12,'参数'!$C$13),2),"")</f>
        <v/>
      </c>
      <c r="H359" s="51" t="str">
        <f>IF(ISNUMBER(F359),IF(C359="卖",ROUND(F359*'参数'!$C$14,2),0),"")</f>
        <v/>
      </c>
      <c r="I359" s="51" t="str">
        <f>IF(ISNUMBER(F359),ROUND(F359*'参数'!$C$15,2),"")</f>
        <v/>
      </c>
      <c r="J359" s="21" t="n"/>
      <c r="K359" s="20" t="str">
        <f>IF(ISNUMBER(J359),J359,IF(ISNUMBER(F359),G359+H359+I359+ROUND(F359*'参数'!$C$16,2),""))</f>
        <v/>
      </c>
      <c r="L359" s="43" t="str">
        <f>IF(A359="","",IFERROR(T(INDEX('交易记录'!$C$5:$C$304,MATCH(A359,'交易记录'!$A$5:$A$304,0))),"编号没找到"))</f>
        <v/>
      </c>
      <c r="M359" s="57" t="str">
        <f>IF(AND(C359="买",ISNUMBER(B359)),WORKDAY(B359,1,'参数'!$B$58:$B$80),"")</f>
        <v/>
      </c>
      <c r="N359" s="36" t="str">
        <f>IF(C359&lt;&gt;"卖","",IF(AND(ISNUMBER(B359),A359&lt;&gt;""),IF(SUMIFS($E$5:$E$804,$A$5:$A$804,A359,$C$5:$C$804,"卖",$B$5:$B$804,"&lt;="&amp;B359)&gt;SUMIFS($E$5:$E$804,$A$5:$A$804,A359,$C$5:$C$804,"买",$B$5:$B$804,"&lt;"&amp;B359),"超出可卖股数","OK"),""))</f>
        <v/>
      </c>
      <c r="O359" s="32" t="n"/>
    </row>
    <row r="360">
      <c r="A360" s="46" t="n"/>
      <c r="B360" s="31" t="n"/>
      <c r="C360" s="27" t="n"/>
      <c r="D360" s="56" t="n"/>
      <c r="E360" s="17" t="n"/>
      <c r="F360" s="20" t="str">
        <f>IF(AND(ISNUMBER(D360),ISNUMBER(E360)),D360*E360,"")</f>
        <v/>
      </c>
      <c r="G360" s="51" t="str">
        <f>IF(ISNUMBER(F360),ROUND(MAX(F360*'参数'!$C$12,'参数'!$C$13),2),"")</f>
        <v/>
      </c>
      <c r="H360" s="51" t="str">
        <f>IF(ISNUMBER(F360),IF(C360="卖",ROUND(F360*'参数'!$C$14,2),0),"")</f>
        <v/>
      </c>
      <c r="I360" s="51" t="str">
        <f>IF(ISNUMBER(F360),ROUND(F360*'参数'!$C$15,2),"")</f>
        <v/>
      </c>
      <c r="J360" s="21" t="n"/>
      <c r="K360" s="20" t="str">
        <f>IF(ISNUMBER(J360),J360,IF(ISNUMBER(F360),G360+H360+I360+ROUND(F360*'参数'!$C$16,2),""))</f>
        <v/>
      </c>
      <c r="L360" s="43" t="str">
        <f>IF(A360="","",IFERROR(T(INDEX('交易记录'!$C$5:$C$304,MATCH(A360,'交易记录'!$A$5:$A$304,0))),"编号没找到"))</f>
        <v/>
      </c>
      <c r="M360" s="57" t="str">
        <f>IF(AND(C360="买",ISNUMBER(B360)),WORKDAY(B360,1,'参数'!$B$58:$B$80),"")</f>
        <v/>
      </c>
      <c r="N360" s="36" t="str">
        <f>IF(C360&lt;&gt;"卖","",IF(AND(ISNUMBER(B360),A360&lt;&gt;""),IF(SUMIFS($E$5:$E$804,$A$5:$A$804,A360,$C$5:$C$804,"卖",$B$5:$B$804,"&lt;="&amp;B360)&gt;SUMIFS($E$5:$E$804,$A$5:$A$804,A360,$C$5:$C$804,"买",$B$5:$B$804,"&lt;"&amp;B360),"超出可卖股数","OK"),""))</f>
        <v/>
      </c>
      <c r="O360" s="32" t="n"/>
    </row>
    <row r="361">
      <c r="A361" s="46" t="n"/>
      <c r="B361" s="31" t="n"/>
      <c r="C361" s="27" t="n"/>
      <c r="D361" s="56" t="n"/>
      <c r="E361" s="17" t="n"/>
      <c r="F361" s="20" t="str">
        <f>IF(AND(ISNUMBER(D361),ISNUMBER(E361)),D361*E361,"")</f>
        <v/>
      </c>
      <c r="G361" s="51" t="str">
        <f>IF(ISNUMBER(F361),ROUND(MAX(F361*'参数'!$C$12,'参数'!$C$13),2),"")</f>
        <v/>
      </c>
      <c r="H361" s="51" t="str">
        <f>IF(ISNUMBER(F361),IF(C361="卖",ROUND(F361*'参数'!$C$14,2),0),"")</f>
        <v/>
      </c>
      <c r="I361" s="51" t="str">
        <f>IF(ISNUMBER(F361),ROUND(F361*'参数'!$C$15,2),"")</f>
        <v/>
      </c>
      <c r="J361" s="21" t="n"/>
      <c r="K361" s="20" t="str">
        <f>IF(ISNUMBER(J361),J361,IF(ISNUMBER(F361),G361+H361+I361+ROUND(F361*'参数'!$C$16,2),""))</f>
        <v/>
      </c>
      <c r="L361" s="43" t="str">
        <f>IF(A361="","",IFERROR(T(INDEX('交易记录'!$C$5:$C$304,MATCH(A361,'交易记录'!$A$5:$A$304,0))),"编号没找到"))</f>
        <v/>
      </c>
      <c r="M361" s="57" t="str">
        <f>IF(AND(C361="买",ISNUMBER(B361)),WORKDAY(B361,1,'参数'!$B$58:$B$80),"")</f>
        <v/>
      </c>
      <c r="N361" s="36" t="str">
        <f>IF(C361&lt;&gt;"卖","",IF(AND(ISNUMBER(B361),A361&lt;&gt;""),IF(SUMIFS($E$5:$E$804,$A$5:$A$804,A361,$C$5:$C$804,"卖",$B$5:$B$804,"&lt;="&amp;B361)&gt;SUMIFS($E$5:$E$804,$A$5:$A$804,A361,$C$5:$C$804,"买",$B$5:$B$804,"&lt;"&amp;B361),"超出可卖股数","OK"),""))</f>
        <v/>
      </c>
      <c r="O361" s="32" t="n"/>
    </row>
    <row r="362">
      <c r="A362" s="46" t="n"/>
      <c r="B362" s="31" t="n"/>
      <c r="C362" s="27" t="n"/>
      <c r="D362" s="56" t="n"/>
      <c r="E362" s="17" t="n"/>
      <c r="F362" s="20" t="str">
        <f>IF(AND(ISNUMBER(D362),ISNUMBER(E362)),D362*E362,"")</f>
        <v/>
      </c>
      <c r="G362" s="51" t="str">
        <f>IF(ISNUMBER(F362),ROUND(MAX(F362*'参数'!$C$12,'参数'!$C$13),2),"")</f>
        <v/>
      </c>
      <c r="H362" s="51" t="str">
        <f>IF(ISNUMBER(F362),IF(C362="卖",ROUND(F362*'参数'!$C$14,2),0),"")</f>
        <v/>
      </c>
      <c r="I362" s="51" t="str">
        <f>IF(ISNUMBER(F362),ROUND(F362*'参数'!$C$15,2),"")</f>
        <v/>
      </c>
      <c r="J362" s="21" t="n"/>
      <c r="K362" s="20" t="str">
        <f>IF(ISNUMBER(J362),J362,IF(ISNUMBER(F362),G362+H362+I362+ROUND(F362*'参数'!$C$16,2),""))</f>
        <v/>
      </c>
      <c r="L362" s="43" t="str">
        <f>IF(A362="","",IFERROR(T(INDEX('交易记录'!$C$5:$C$304,MATCH(A362,'交易记录'!$A$5:$A$304,0))),"编号没找到"))</f>
        <v/>
      </c>
      <c r="M362" s="57" t="str">
        <f>IF(AND(C362="买",ISNUMBER(B362)),WORKDAY(B362,1,'参数'!$B$58:$B$80),"")</f>
        <v/>
      </c>
      <c r="N362" s="36" t="str">
        <f>IF(C362&lt;&gt;"卖","",IF(AND(ISNUMBER(B362),A362&lt;&gt;""),IF(SUMIFS($E$5:$E$804,$A$5:$A$804,A362,$C$5:$C$804,"卖",$B$5:$B$804,"&lt;="&amp;B362)&gt;SUMIFS($E$5:$E$804,$A$5:$A$804,A362,$C$5:$C$804,"买",$B$5:$B$804,"&lt;"&amp;B362),"超出可卖股数","OK"),""))</f>
        <v/>
      </c>
      <c r="O362" s="32" t="n"/>
    </row>
    <row r="363">
      <c r="A363" s="46" t="n"/>
      <c r="B363" s="31" t="n"/>
      <c r="C363" s="27" t="n"/>
      <c r="D363" s="56" t="n"/>
      <c r="E363" s="17" t="n"/>
      <c r="F363" s="20" t="str">
        <f>IF(AND(ISNUMBER(D363),ISNUMBER(E363)),D363*E363,"")</f>
        <v/>
      </c>
      <c r="G363" s="51" t="str">
        <f>IF(ISNUMBER(F363),ROUND(MAX(F363*'参数'!$C$12,'参数'!$C$13),2),"")</f>
        <v/>
      </c>
      <c r="H363" s="51" t="str">
        <f>IF(ISNUMBER(F363),IF(C363="卖",ROUND(F363*'参数'!$C$14,2),0),"")</f>
        <v/>
      </c>
      <c r="I363" s="51" t="str">
        <f>IF(ISNUMBER(F363),ROUND(F363*'参数'!$C$15,2),"")</f>
        <v/>
      </c>
      <c r="J363" s="21" t="n"/>
      <c r="K363" s="20" t="str">
        <f>IF(ISNUMBER(J363),J363,IF(ISNUMBER(F363),G363+H363+I363+ROUND(F363*'参数'!$C$16,2),""))</f>
        <v/>
      </c>
      <c r="L363" s="43" t="str">
        <f>IF(A363="","",IFERROR(T(INDEX('交易记录'!$C$5:$C$304,MATCH(A363,'交易记录'!$A$5:$A$304,0))),"编号没找到"))</f>
        <v/>
      </c>
      <c r="M363" s="57" t="str">
        <f>IF(AND(C363="买",ISNUMBER(B363)),WORKDAY(B363,1,'参数'!$B$58:$B$80),"")</f>
        <v/>
      </c>
      <c r="N363" s="36" t="str">
        <f>IF(C363&lt;&gt;"卖","",IF(AND(ISNUMBER(B363),A363&lt;&gt;""),IF(SUMIFS($E$5:$E$804,$A$5:$A$804,A363,$C$5:$C$804,"卖",$B$5:$B$804,"&lt;="&amp;B363)&gt;SUMIFS($E$5:$E$804,$A$5:$A$804,A363,$C$5:$C$804,"买",$B$5:$B$804,"&lt;"&amp;B363),"超出可卖股数","OK"),""))</f>
        <v/>
      </c>
      <c r="O363" s="32" t="n"/>
    </row>
    <row r="364">
      <c r="A364" s="46" t="n"/>
      <c r="B364" s="31" t="n"/>
      <c r="C364" s="27" t="n"/>
      <c r="D364" s="56" t="n"/>
      <c r="E364" s="17" t="n"/>
      <c r="F364" s="20" t="str">
        <f>IF(AND(ISNUMBER(D364),ISNUMBER(E364)),D364*E364,"")</f>
        <v/>
      </c>
      <c r="G364" s="51" t="str">
        <f>IF(ISNUMBER(F364),ROUND(MAX(F364*'参数'!$C$12,'参数'!$C$13),2),"")</f>
        <v/>
      </c>
      <c r="H364" s="51" t="str">
        <f>IF(ISNUMBER(F364),IF(C364="卖",ROUND(F364*'参数'!$C$14,2),0),"")</f>
        <v/>
      </c>
      <c r="I364" s="51" t="str">
        <f>IF(ISNUMBER(F364),ROUND(F364*'参数'!$C$15,2),"")</f>
        <v/>
      </c>
      <c r="J364" s="21" t="n"/>
      <c r="K364" s="20" t="str">
        <f>IF(ISNUMBER(J364),J364,IF(ISNUMBER(F364),G364+H364+I364+ROUND(F364*'参数'!$C$16,2),""))</f>
        <v/>
      </c>
      <c r="L364" s="43" t="str">
        <f>IF(A364="","",IFERROR(T(INDEX('交易记录'!$C$5:$C$304,MATCH(A364,'交易记录'!$A$5:$A$304,0))),"编号没找到"))</f>
        <v/>
      </c>
      <c r="M364" s="57" t="str">
        <f>IF(AND(C364="买",ISNUMBER(B364)),WORKDAY(B364,1,'参数'!$B$58:$B$80),"")</f>
        <v/>
      </c>
      <c r="N364" s="36" t="str">
        <f>IF(C364&lt;&gt;"卖","",IF(AND(ISNUMBER(B364),A364&lt;&gt;""),IF(SUMIFS($E$5:$E$804,$A$5:$A$804,A364,$C$5:$C$804,"卖",$B$5:$B$804,"&lt;="&amp;B364)&gt;SUMIFS($E$5:$E$804,$A$5:$A$804,A364,$C$5:$C$804,"买",$B$5:$B$804,"&lt;"&amp;B364),"超出可卖股数","OK"),""))</f>
        <v/>
      </c>
      <c r="O364" s="32" t="n"/>
    </row>
    <row r="365">
      <c r="A365" s="46" t="n"/>
      <c r="B365" s="31" t="n"/>
      <c r="C365" s="27" t="n"/>
      <c r="D365" s="56" t="n"/>
      <c r="E365" s="17" t="n"/>
      <c r="F365" s="20" t="str">
        <f>IF(AND(ISNUMBER(D365),ISNUMBER(E365)),D365*E365,"")</f>
        <v/>
      </c>
      <c r="G365" s="51" t="str">
        <f>IF(ISNUMBER(F365),ROUND(MAX(F365*'参数'!$C$12,'参数'!$C$13),2),"")</f>
        <v/>
      </c>
      <c r="H365" s="51" t="str">
        <f>IF(ISNUMBER(F365),IF(C365="卖",ROUND(F365*'参数'!$C$14,2),0),"")</f>
        <v/>
      </c>
      <c r="I365" s="51" t="str">
        <f>IF(ISNUMBER(F365),ROUND(F365*'参数'!$C$15,2),"")</f>
        <v/>
      </c>
      <c r="J365" s="21" t="n"/>
      <c r="K365" s="20" t="str">
        <f>IF(ISNUMBER(J365),J365,IF(ISNUMBER(F365),G365+H365+I365+ROUND(F365*'参数'!$C$16,2),""))</f>
        <v/>
      </c>
      <c r="L365" s="43" t="str">
        <f>IF(A365="","",IFERROR(T(INDEX('交易记录'!$C$5:$C$304,MATCH(A365,'交易记录'!$A$5:$A$304,0))),"编号没找到"))</f>
        <v/>
      </c>
      <c r="M365" s="57" t="str">
        <f>IF(AND(C365="买",ISNUMBER(B365)),WORKDAY(B365,1,'参数'!$B$58:$B$80),"")</f>
        <v/>
      </c>
      <c r="N365" s="36" t="str">
        <f>IF(C365&lt;&gt;"卖","",IF(AND(ISNUMBER(B365),A365&lt;&gt;""),IF(SUMIFS($E$5:$E$804,$A$5:$A$804,A365,$C$5:$C$804,"卖",$B$5:$B$804,"&lt;="&amp;B365)&gt;SUMIFS($E$5:$E$804,$A$5:$A$804,A365,$C$5:$C$804,"买",$B$5:$B$804,"&lt;"&amp;B365),"超出可卖股数","OK"),""))</f>
        <v/>
      </c>
      <c r="O365" s="32" t="n"/>
    </row>
    <row r="366">
      <c r="A366" s="46" t="n"/>
      <c r="B366" s="31" t="n"/>
      <c r="C366" s="27" t="n"/>
      <c r="D366" s="56" t="n"/>
      <c r="E366" s="17" t="n"/>
      <c r="F366" s="20" t="str">
        <f>IF(AND(ISNUMBER(D366),ISNUMBER(E366)),D366*E366,"")</f>
        <v/>
      </c>
      <c r="G366" s="51" t="str">
        <f>IF(ISNUMBER(F366),ROUND(MAX(F366*'参数'!$C$12,'参数'!$C$13),2),"")</f>
        <v/>
      </c>
      <c r="H366" s="51" t="str">
        <f>IF(ISNUMBER(F366),IF(C366="卖",ROUND(F366*'参数'!$C$14,2),0),"")</f>
        <v/>
      </c>
      <c r="I366" s="51" t="str">
        <f>IF(ISNUMBER(F366),ROUND(F366*'参数'!$C$15,2),"")</f>
        <v/>
      </c>
      <c r="J366" s="21" t="n"/>
      <c r="K366" s="20" t="str">
        <f>IF(ISNUMBER(J366),J366,IF(ISNUMBER(F366),G366+H366+I366+ROUND(F366*'参数'!$C$16,2),""))</f>
        <v/>
      </c>
      <c r="L366" s="43" t="str">
        <f>IF(A366="","",IFERROR(T(INDEX('交易记录'!$C$5:$C$304,MATCH(A366,'交易记录'!$A$5:$A$304,0))),"编号没找到"))</f>
        <v/>
      </c>
      <c r="M366" s="57" t="str">
        <f>IF(AND(C366="买",ISNUMBER(B366)),WORKDAY(B366,1,'参数'!$B$58:$B$80),"")</f>
        <v/>
      </c>
      <c r="N366" s="36" t="str">
        <f>IF(C366&lt;&gt;"卖","",IF(AND(ISNUMBER(B366),A366&lt;&gt;""),IF(SUMIFS($E$5:$E$804,$A$5:$A$804,A366,$C$5:$C$804,"卖",$B$5:$B$804,"&lt;="&amp;B366)&gt;SUMIFS($E$5:$E$804,$A$5:$A$804,A366,$C$5:$C$804,"买",$B$5:$B$804,"&lt;"&amp;B366),"超出可卖股数","OK"),""))</f>
        <v/>
      </c>
      <c r="O366" s="32" t="n"/>
    </row>
    <row r="367">
      <c r="A367" s="46" t="n"/>
      <c r="B367" s="31" t="n"/>
      <c r="C367" s="27" t="n"/>
      <c r="D367" s="56" t="n"/>
      <c r="E367" s="17" t="n"/>
      <c r="F367" s="20" t="str">
        <f>IF(AND(ISNUMBER(D367),ISNUMBER(E367)),D367*E367,"")</f>
        <v/>
      </c>
      <c r="G367" s="51" t="str">
        <f>IF(ISNUMBER(F367),ROUND(MAX(F367*'参数'!$C$12,'参数'!$C$13),2),"")</f>
        <v/>
      </c>
      <c r="H367" s="51" t="str">
        <f>IF(ISNUMBER(F367),IF(C367="卖",ROUND(F367*'参数'!$C$14,2),0),"")</f>
        <v/>
      </c>
      <c r="I367" s="51" t="str">
        <f>IF(ISNUMBER(F367),ROUND(F367*'参数'!$C$15,2),"")</f>
        <v/>
      </c>
      <c r="J367" s="21" t="n"/>
      <c r="K367" s="20" t="str">
        <f>IF(ISNUMBER(J367),J367,IF(ISNUMBER(F367),G367+H367+I367+ROUND(F367*'参数'!$C$16,2),""))</f>
        <v/>
      </c>
      <c r="L367" s="43" t="str">
        <f>IF(A367="","",IFERROR(T(INDEX('交易记录'!$C$5:$C$304,MATCH(A367,'交易记录'!$A$5:$A$304,0))),"编号没找到"))</f>
        <v/>
      </c>
      <c r="M367" s="57" t="str">
        <f>IF(AND(C367="买",ISNUMBER(B367)),WORKDAY(B367,1,'参数'!$B$58:$B$80),"")</f>
        <v/>
      </c>
      <c r="N367" s="36" t="str">
        <f>IF(C367&lt;&gt;"卖","",IF(AND(ISNUMBER(B367),A367&lt;&gt;""),IF(SUMIFS($E$5:$E$804,$A$5:$A$804,A367,$C$5:$C$804,"卖",$B$5:$B$804,"&lt;="&amp;B367)&gt;SUMIFS($E$5:$E$804,$A$5:$A$804,A367,$C$5:$C$804,"买",$B$5:$B$804,"&lt;"&amp;B367),"超出可卖股数","OK"),""))</f>
        <v/>
      </c>
      <c r="O367" s="32" t="n"/>
    </row>
    <row r="368">
      <c r="A368" s="46" t="n"/>
      <c r="B368" s="31" t="n"/>
      <c r="C368" s="27" t="n"/>
      <c r="D368" s="56" t="n"/>
      <c r="E368" s="17" t="n"/>
      <c r="F368" s="20" t="str">
        <f>IF(AND(ISNUMBER(D368),ISNUMBER(E368)),D368*E368,"")</f>
        <v/>
      </c>
      <c r="G368" s="51" t="str">
        <f>IF(ISNUMBER(F368),ROUND(MAX(F368*'参数'!$C$12,'参数'!$C$13),2),"")</f>
        <v/>
      </c>
      <c r="H368" s="51" t="str">
        <f>IF(ISNUMBER(F368),IF(C368="卖",ROUND(F368*'参数'!$C$14,2),0),"")</f>
        <v/>
      </c>
      <c r="I368" s="51" t="str">
        <f>IF(ISNUMBER(F368),ROUND(F368*'参数'!$C$15,2),"")</f>
        <v/>
      </c>
      <c r="J368" s="21" t="n"/>
      <c r="K368" s="20" t="str">
        <f>IF(ISNUMBER(J368),J368,IF(ISNUMBER(F368),G368+H368+I368+ROUND(F368*'参数'!$C$16,2),""))</f>
        <v/>
      </c>
      <c r="L368" s="43" t="str">
        <f>IF(A368="","",IFERROR(T(INDEX('交易记录'!$C$5:$C$304,MATCH(A368,'交易记录'!$A$5:$A$304,0))),"编号没找到"))</f>
        <v/>
      </c>
      <c r="M368" s="57" t="str">
        <f>IF(AND(C368="买",ISNUMBER(B368)),WORKDAY(B368,1,'参数'!$B$58:$B$80),"")</f>
        <v/>
      </c>
      <c r="N368" s="36" t="str">
        <f>IF(C368&lt;&gt;"卖","",IF(AND(ISNUMBER(B368),A368&lt;&gt;""),IF(SUMIFS($E$5:$E$804,$A$5:$A$804,A368,$C$5:$C$804,"卖",$B$5:$B$804,"&lt;="&amp;B368)&gt;SUMIFS($E$5:$E$804,$A$5:$A$804,A368,$C$5:$C$804,"买",$B$5:$B$804,"&lt;"&amp;B368),"超出可卖股数","OK"),""))</f>
        <v/>
      </c>
      <c r="O368" s="32" t="n"/>
    </row>
    <row r="369">
      <c r="A369" s="46" t="n"/>
      <c r="B369" s="31" t="n"/>
      <c r="C369" s="27" t="n"/>
      <c r="D369" s="56" t="n"/>
      <c r="E369" s="17" t="n"/>
      <c r="F369" s="20" t="str">
        <f>IF(AND(ISNUMBER(D369),ISNUMBER(E369)),D369*E369,"")</f>
        <v/>
      </c>
      <c r="G369" s="51" t="str">
        <f>IF(ISNUMBER(F369),ROUND(MAX(F369*'参数'!$C$12,'参数'!$C$13),2),"")</f>
        <v/>
      </c>
      <c r="H369" s="51" t="str">
        <f>IF(ISNUMBER(F369),IF(C369="卖",ROUND(F369*'参数'!$C$14,2),0),"")</f>
        <v/>
      </c>
      <c r="I369" s="51" t="str">
        <f>IF(ISNUMBER(F369),ROUND(F369*'参数'!$C$15,2),"")</f>
        <v/>
      </c>
      <c r="J369" s="21" t="n"/>
      <c r="K369" s="20" t="str">
        <f>IF(ISNUMBER(J369),J369,IF(ISNUMBER(F369),G369+H369+I369+ROUND(F369*'参数'!$C$16,2),""))</f>
        <v/>
      </c>
      <c r="L369" s="43" t="str">
        <f>IF(A369="","",IFERROR(T(INDEX('交易记录'!$C$5:$C$304,MATCH(A369,'交易记录'!$A$5:$A$304,0))),"编号没找到"))</f>
        <v/>
      </c>
      <c r="M369" s="57" t="str">
        <f>IF(AND(C369="买",ISNUMBER(B369)),WORKDAY(B369,1,'参数'!$B$58:$B$80),"")</f>
        <v/>
      </c>
      <c r="N369" s="36" t="str">
        <f>IF(C369&lt;&gt;"卖","",IF(AND(ISNUMBER(B369),A369&lt;&gt;""),IF(SUMIFS($E$5:$E$804,$A$5:$A$804,A369,$C$5:$C$804,"卖",$B$5:$B$804,"&lt;="&amp;B369)&gt;SUMIFS($E$5:$E$804,$A$5:$A$804,A369,$C$5:$C$804,"买",$B$5:$B$804,"&lt;"&amp;B369),"超出可卖股数","OK"),""))</f>
        <v/>
      </c>
      <c r="O369" s="32" t="n"/>
    </row>
    <row r="370">
      <c r="A370" s="46" t="n"/>
      <c r="B370" s="31" t="n"/>
      <c r="C370" s="27" t="n"/>
      <c r="D370" s="56" t="n"/>
      <c r="E370" s="17" t="n"/>
      <c r="F370" s="20" t="str">
        <f>IF(AND(ISNUMBER(D370),ISNUMBER(E370)),D370*E370,"")</f>
        <v/>
      </c>
      <c r="G370" s="51" t="str">
        <f>IF(ISNUMBER(F370),ROUND(MAX(F370*'参数'!$C$12,'参数'!$C$13),2),"")</f>
        <v/>
      </c>
      <c r="H370" s="51" t="str">
        <f>IF(ISNUMBER(F370),IF(C370="卖",ROUND(F370*'参数'!$C$14,2),0),"")</f>
        <v/>
      </c>
      <c r="I370" s="51" t="str">
        <f>IF(ISNUMBER(F370),ROUND(F370*'参数'!$C$15,2),"")</f>
        <v/>
      </c>
      <c r="J370" s="21" t="n"/>
      <c r="K370" s="20" t="str">
        <f>IF(ISNUMBER(J370),J370,IF(ISNUMBER(F370),G370+H370+I370+ROUND(F370*'参数'!$C$16,2),""))</f>
        <v/>
      </c>
      <c r="L370" s="43" t="str">
        <f>IF(A370="","",IFERROR(T(INDEX('交易记录'!$C$5:$C$304,MATCH(A370,'交易记录'!$A$5:$A$304,0))),"编号没找到"))</f>
        <v/>
      </c>
      <c r="M370" s="57" t="str">
        <f>IF(AND(C370="买",ISNUMBER(B370)),WORKDAY(B370,1,'参数'!$B$58:$B$80),"")</f>
        <v/>
      </c>
      <c r="N370" s="36" t="str">
        <f>IF(C370&lt;&gt;"卖","",IF(AND(ISNUMBER(B370),A370&lt;&gt;""),IF(SUMIFS($E$5:$E$804,$A$5:$A$804,A370,$C$5:$C$804,"卖",$B$5:$B$804,"&lt;="&amp;B370)&gt;SUMIFS($E$5:$E$804,$A$5:$A$804,A370,$C$5:$C$804,"买",$B$5:$B$804,"&lt;"&amp;B370),"超出可卖股数","OK"),""))</f>
        <v/>
      </c>
      <c r="O370" s="32" t="n"/>
    </row>
    <row r="371">
      <c r="A371" s="46" t="n"/>
      <c r="B371" s="31" t="n"/>
      <c r="C371" s="27" t="n"/>
      <c r="D371" s="56" t="n"/>
      <c r="E371" s="17" t="n"/>
      <c r="F371" s="20" t="str">
        <f>IF(AND(ISNUMBER(D371),ISNUMBER(E371)),D371*E371,"")</f>
        <v/>
      </c>
      <c r="G371" s="51" t="str">
        <f>IF(ISNUMBER(F371),ROUND(MAX(F371*'参数'!$C$12,'参数'!$C$13),2),"")</f>
        <v/>
      </c>
      <c r="H371" s="51" t="str">
        <f>IF(ISNUMBER(F371),IF(C371="卖",ROUND(F371*'参数'!$C$14,2),0),"")</f>
        <v/>
      </c>
      <c r="I371" s="51" t="str">
        <f>IF(ISNUMBER(F371),ROUND(F371*'参数'!$C$15,2),"")</f>
        <v/>
      </c>
      <c r="J371" s="21" t="n"/>
      <c r="K371" s="20" t="str">
        <f>IF(ISNUMBER(J371),J371,IF(ISNUMBER(F371),G371+H371+I371+ROUND(F371*'参数'!$C$16,2),""))</f>
        <v/>
      </c>
      <c r="L371" s="43" t="str">
        <f>IF(A371="","",IFERROR(T(INDEX('交易记录'!$C$5:$C$304,MATCH(A371,'交易记录'!$A$5:$A$304,0))),"编号没找到"))</f>
        <v/>
      </c>
      <c r="M371" s="57" t="str">
        <f>IF(AND(C371="买",ISNUMBER(B371)),WORKDAY(B371,1,'参数'!$B$58:$B$80),"")</f>
        <v/>
      </c>
      <c r="N371" s="36" t="str">
        <f>IF(C371&lt;&gt;"卖","",IF(AND(ISNUMBER(B371),A371&lt;&gt;""),IF(SUMIFS($E$5:$E$804,$A$5:$A$804,A371,$C$5:$C$804,"卖",$B$5:$B$804,"&lt;="&amp;B371)&gt;SUMIFS($E$5:$E$804,$A$5:$A$804,A371,$C$5:$C$804,"买",$B$5:$B$804,"&lt;"&amp;B371),"超出可卖股数","OK"),""))</f>
        <v/>
      </c>
      <c r="O371" s="32" t="n"/>
    </row>
    <row r="372">
      <c r="A372" s="46" t="n"/>
      <c r="B372" s="31" t="n"/>
      <c r="C372" s="27" t="n"/>
      <c r="D372" s="56" t="n"/>
      <c r="E372" s="17" t="n"/>
      <c r="F372" s="20" t="str">
        <f>IF(AND(ISNUMBER(D372),ISNUMBER(E372)),D372*E372,"")</f>
        <v/>
      </c>
      <c r="G372" s="51" t="str">
        <f>IF(ISNUMBER(F372),ROUND(MAX(F372*'参数'!$C$12,'参数'!$C$13),2),"")</f>
        <v/>
      </c>
      <c r="H372" s="51" t="str">
        <f>IF(ISNUMBER(F372),IF(C372="卖",ROUND(F372*'参数'!$C$14,2),0),"")</f>
        <v/>
      </c>
      <c r="I372" s="51" t="str">
        <f>IF(ISNUMBER(F372),ROUND(F372*'参数'!$C$15,2),"")</f>
        <v/>
      </c>
      <c r="J372" s="21" t="n"/>
      <c r="K372" s="20" t="str">
        <f>IF(ISNUMBER(J372),J372,IF(ISNUMBER(F372),G372+H372+I372+ROUND(F372*'参数'!$C$16,2),""))</f>
        <v/>
      </c>
      <c r="L372" s="43" t="str">
        <f>IF(A372="","",IFERROR(T(INDEX('交易记录'!$C$5:$C$304,MATCH(A372,'交易记录'!$A$5:$A$304,0))),"编号没找到"))</f>
        <v/>
      </c>
      <c r="M372" s="57" t="str">
        <f>IF(AND(C372="买",ISNUMBER(B372)),WORKDAY(B372,1,'参数'!$B$58:$B$80),"")</f>
        <v/>
      </c>
      <c r="N372" s="36" t="str">
        <f>IF(C372&lt;&gt;"卖","",IF(AND(ISNUMBER(B372),A372&lt;&gt;""),IF(SUMIFS($E$5:$E$804,$A$5:$A$804,A372,$C$5:$C$804,"卖",$B$5:$B$804,"&lt;="&amp;B372)&gt;SUMIFS($E$5:$E$804,$A$5:$A$804,A372,$C$5:$C$804,"买",$B$5:$B$804,"&lt;"&amp;B372),"超出可卖股数","OK"),""))</f>
        <v/>
      </c>
      <c r="O372" s="32" t="n"/>
    </row>
    <row r="373">
      <c r="A373" s="46" t="n"/>
      <c r="B373" s="31" t="n"/>
      <c r="C373" s="27" t="n"/>
      <c r="D373" s="56" t="n"/>
      <c r="E373" s="17" t="n"/>
      <c r="F373" s="20" t="str">
        <f>IF(AND(ISNUMBER(D373),ISNUMBER(E373)),D373*E373,"")</f>
        <v/>
      </c>
      <c r="G373" s="51" t="str">
        <f>IF(ISNUMBER(F373),ROUND(MAX(F373*'参数'!$C$12,'参数'!$C$13),2),"")</f>
        <v/>
      </c>
      <c r="H373" s="51" t="str">
        <f>IF(ISNUMBER(F373),IF(C373="卖",ROUND(F373*'参数'!$C$14,2),0),"")</f>
        <v/>
      </c>
      <c r="I373" s="51" t="str">
        <f>IF(ISNUMBER(F373),ROUND(F373*'参数'!$C$15,2),"")</f>
        <v/>
      </c>
      <c r="J373" s="21" t="n"/>
      <c r="K373" s="20" t="str">
        <f>IF(ISNUMBER(J373),J373,IF(ISNUMBER(F373),G373+H373+I373+ROUND(F373*'参数'!$C$16,2),""))</f>
        <v/>
      </c>
      <c r="L373" s="43" t="str">
        <f>IF(A373="","",IFERROR(T(INDEX('交易记录'!$C$5:$C$304,MATCH(A373,'交易记录'!$A$5:$A$304,0))),"编号没找到"))</f>
        <v/>
      </c>
      <c r="M373" s="57" t="str">
        <f>IF(AND(C373="买",ISNUMBER(B373)),WORKDAY(B373,1,'参数'!$B$58:$B$80),"")</f>
        <v/>
      </c>
      <c r="N373" s="36" t="str">
        <f>IF(C373&lt;&gt;"卖","",IF(AND(ISNUMBER(B373),A373&lt;&gt;""),IF(SUMIFS($E$5:$E$804,$A$5:$A$804,A373,$C$5:$C$804,"卖",$B$5:$B$804,"&lt;="&amp;B373)&gt;SUMIFS($E$5:$E$804,$A$5:$A$804,A373,$C$5:$C$804,"买",$B$5:$B$804,"&lt;"&amp;B373),"超出可卖股数","OK"),""))</f>
        <v/>
      </c>
      <c r="O373" s="32" t="n"/>
    </row>
    <row r="374">
      <c r="A374" s="46" t="n"/>
      <c r="B374" s="31" t="n"/>
      <c r="C374" s="27" t="n"/>
      <c r="D374" s="56" t="n"/>
      <c r="E374" s="17" t="n"/>
      <c r="F374" s="20" t="str">
        <f>IF(AND(ISNUMBER(D374),ISNUMBER(E374)),D374*E374,"")</f>
        <v/>
      </c>
      <c r="G374" s="51" t="str">
        <f>IF(ISNUMBER(F374),ROUND(MAX(F374*'参数'!$C$12,'参数'!$C$13),2),"")</f>
        <v/>
      </c>
      <c r="H374" s="51" t="str">
        <f>IF(ISNUMBER(F374),IF(C374="卖",ROUND(F374*'参数'!$C$14,2),0),"")</f>
        <v/>
      </c>
      <c r="I374" s="51" t="str">
        <f>IF(ISNUMBER(F374),ROUND(F374*'参数'!$C$15,2),"")</f>
        <v/>
      </c>
      <c r="J374" s="21" t="n"/>
      <c r="K374" s="20" t="str">
        <f>IF(ISNUMBER(J374),J374,IF(ISNUMBER(F374),G374+H374+I374+ROUND(F374*'参数'!$C$16,2),""))</f>
        <v/>
      </c>
      <c r="L374" s="43" t="str">
        <f>IF(A374="","",IFERROR(T(INDEX('交易记录'!$C$5:$C$304,MATCH(A374,'交易记录'!$A$5:$A$304,0))),"编号没找到"))</f>
        <v/>
      </c>
      <c r="M374" s="57" t="str">
        <f>IF(AND(C374="买",ISNUMBER(B374)),WORKDAY(B374,1,'参数'!$B$58:$B$80),"")</f>
        <v/>
      </c>
      <c r="N374" s="36" t="str">
        <f>IF(C374&lt;&gt;"卖","",IF(AND(ISNUMBER(B374),A374&lt;&gt;""),IF(SUMIFS($E$5:$E$804,$A$5:$A$804,A374,$C$5:$C$804,"卖",$B$5:$B$804,"&lt;="&amp;B374)&gt;SUMIFS($E$5:$E$804,$A$5:$A$804,A374,$C$5:$C$804,"买",$B$5:$B$804,"&lt;"&amp;B374),"超出可卖股数","OK"),""))</f>
        <v/>
      </c>
      <c r="O374" s="32" t="n"/>
    </row>
    <row r="375">
      <c r="A375" s="46" t="n"/>
      <c r="B375" s="31" t="n"/>
      <c r="C375" s="27" t="n"/>
      <c r="D375" s="56" t="n"/>
      <c r="E375" s="17" t="n"/>
      <c r="F375" s="20" t="str">
        <f>IF(AND(ISNUMBER(D375),ISNUMBER(E375)),D375*E375,"")</f>
        <v/>
      </c>
      <c r="G375" s="51" t="str">
        <f>IF(ISNUMBER(F375),ROUND(MAX(F375*'参数'!$C$12,'参数'!$C$13),2),"")</f>
        <v/>
      </c>
      <c r="H375" s="51" t="str">
        <f>IF(ISNUMBER(F375),IF(C375="卖",ROUND(F375*'参数'!$C$14,2),0),"")</f>
        <v/>
      </c>
      <c r="I375" s="51" t="str">
        <f>IF(ISNUMBER(F375),ROUND(F375*'参数'!$C$15,2),"")</f>
        <v/>
      </c>
      <c r="J375" s="21" t="n"/>
      <c r="K375" s="20" t="str">
        <f>IF(ISNUMBER(J375),J375,IF(ISNUMBER(F375),G375+H375+I375+ROUND(F375*'参数'!$C$16,2),""))</f>
        <v/>
      </c>
      <c r="L375" s="43" t="str">
        <f>IF(A375="","",IFERROR(T(INDEX('交易记录'!$C$5:$C$304,MATCH(A375,'交易记录'!$A$5:$A$304,0))),"编号没找到"))</f>
        <v/>
      </c>
      <c r="M375" s="57" t="str">
        <f>IF(AND(C375="买",ISNUMBER(B375)),WORKDAY(B375,1,'参数'!$B$58:$B$80),"")</f>
        <v/>
      </c>
      <c r="N375" s="36" t="str">
        <f>IF(C375&lt;&gt;"卖","",IF(AND(ISNUMBER(B375),A375&lt;&gt;""),IF(SUMIFS($E$5:$E$804,$A$5:$A$804,A375,$C$5:$C$804,"卖",$B$5:$B$804,"&lt;="&amp;B375)&gt;SUMIFS($E$5:$E$804,$A$5:$A$804,A375,$C$5:$C$804,"买",$B$5:$B$804,"&lt;"&amp;B375),"超出可卖股数","OK"),""))</f>
        <v/>
      </c>
      <c r="O375" s="32" t="n"/>
    </row>
    <row r="376">
      <c r="A376" s="46" t="n"/>
      <c r="B376" s="31" t="n"/>
      <c r="C376" s="27" t="n"/>
      <c r="D376" s="56" t="n"/>
      <c r="E376" s="17" t="n"/>
      <c r="F376" s="20" t="str">
        <f>IF(AND(ISNUMBER(D376),ISNUMBER(E376)),D376*E376,"")</f>
        <v/>
      </c>
      <c r="G376" s="51" t="str">
        <f>IF(ISNUMBER(F376),ROUND(MAX(F376*'参数'!$C$12,'参数'!$C$13),2),"")</f>
        <v/>
      </c>
      <c r="H376" s="51" t="str">
        <f>IF(ISNUMBER(F376),IF(C376="卖",ROUND(F376*'参数'!$C$14,2),0),"")</f>
        <v/>
      </c>
      <c r="I376" s="51" t="str">
        <f>IF(ISNUMBER(F376),ROUND(F376*'参数'!$C$15,2),"")</f>
        <v/>
      </c>
      <c r="J376" s="21" t="n"/>
      <c r="K376" s="20" t="str">
        <f>IF(ISNUMBER(J376),J376,IF(ISNUMBER(F376),G376+H376+I376+ROUND(F376*'参数'!$C$16,2),""))</f>
        <v/>
      </c>
      <c r="L376" s="43" t="str">
        <f>IF(A376="","",IFERROR(T(INDEX('交易记录'!$C$5:$C$304,MATCH(A376,'交易记录'!$A$5:$A$304,0))),"编号没找到"))</f>
        <v/>
      </c>
      <c r="M376" s="57" t="str">
        <f>IF(AND(C376="买",ISNUMBER(B376)),WORKDAY(B376,1,'参数'!$B$58:$B$80),"")</f>
        <v/>
      </c>
      <c r="N376" s="36" t="str">
        <f>IF(C376&lt;&gt;"卖","",IF(AND(ISNUMBER(B376),A376&lt;&gt;""),IF(SUMIFS($E$5:$E$804,$A$5:$A$804,A376,$C$5:$C$804,"卖",$B$5:$B$804,"&lt;="&amp;B376)&gt;SUMIFS($E$5:$E$804,$A$5:$A$804,A376,$C$5:$C$804,"买",$B$5:$B$804,"&lt;"&amp;B376),"超出可卖股数","OK"),""))</f>
        <v/>
      </c>
      <c r="O376" s="32" t="n"/>
    </row>
    <row r="377">
      <c r="A377" s="46" t="n"/>
      <c r="B377" s="31" t="n"/>
      <c r="C377" s="27" t="n"/>
      <c r="D377" s="56" t="n"/>
      <c r="E377" s="17" t="n"/>
      <c r="F377" s="20" t="str">
        <f>IF(AND(ISNUMBER(D377),ISNUMBER(E377)),D377*E377,"")</f>
        <v/>
      </c>
      <c r="G377" s="51" t="str">
        <f>IF(ISNUMBER(F377),ROUND(MAX(F377*'参数'!$C$12,'参数'!$C$13),2),"")</f>
        <v/>
      </c>
      <c r="H377" s="51" t="str">
        <f>IF(ISNUMBER(F377),IF(C377="卖",ROUND(F377*'参数'!$C$14,2),0),"")</f>
        <v/>
      </c>
      <c r="I377" s="51" t="str">
        <f>IF(ISNUMBER(F377),ROUND(F377*'参数'!$C$15,2),"")</f>
        <v/>
      </c>
      <c r="J377" s="21" t="n"/>
      <c r="K377" s="20" t="str">
        <f>IF(ISNUMBER(J377),J377,IF(ISNUMBER(F377),G377+H377+I377+ROUND(F377*'参数'!$C$16,2),""))</f>
        <v/>
      </c>
      <c r="L377" s="43" t="str">
        <f>IF(A377="","",IFERROR(T(INDEX('交易记录'!$C$5:$C$304,MATCH(A377,'交易记录'!$A$5:$A$304,0))),"编号没找到"))</f>
        <v/>
      </c>
      <c r="M377" s="57" t="str">
        <f>IF(AND(C377="买",ISNUMBER(B377)),WORKDAY(B377,1,'参数'!$B$58:$B$80),"")</f>
        <v/>
      </c>
      <c r="N377" s="36" t="str">
        <f>IF(C377&lt;&gt;"卖","",IF(AND(ISNUMBER(B377),A377&lt;&gt;""),IF(SUMIFS($E$5:$E$804,$A$5:$A$804,A377,$C$5:$C$804,"卖",$B$5:$B$804,"&lt;="&amp;B377)&gt;SUMIFS($E$5:$E$804,$A$5:$A$804,A377,$C$5:$C$804,"买",$B$5:$B$804,"&lt;"&amp;B377),"超出可卖股数","OK"),""))</f>
        <v/>
      </c>
      <c r="O377" s="32" t="n"/>
    </row>
    <row r="378">
      <c r="A378" s="46" t="n"/>
      <c r="B378" s="31" t="n"/>
      <c r="C378" s="27" t="n"/>
      <c r="D378" s="56" t="n"/>
      <c r="E378" s="17" t="n"/>
      <c r="F378" s="20" t="str">
        <f>IF(AND(ISNUMBER(D378),ISNUMBER(E378)),D378*E378,"")</f>
        <v/>
      </c>
      <c r="G378" s="51" t="str">
        <f>IF(ISNUMBER(F378),ROUND(MAX(F378*'参数'!$C$12,'参数'!$C$13),2),"")</f>
        <v/>
      </c>
      <c r="H378" s="51" t="str">
        <f>IF(ISNUMBER(F378),IF(C378="卖",ROUND(F378*'参数'!$C$14,2),0),"")</f>
        <v/>
      </c>
      <c r="I378" s="51" t="str">
        <f>IF(ISNUMBER(F378),ROUND(F378*'参数'!$C$15,2),"")</f>
        <v/>
      </c>
      <c r="J378" s="21" t="n"/>
      <c r="K378" s="20" t="str">
        <f>IF(ISNUMBER(J378),J378,IF(ISNUMBER(F378),G378+H378+I378+ROUND(F378*'参数'!$C$16,2),""))</f>
        <v/>
      </c>
      <c r="L378" s="43" t="str">
        <f>IF(A378="","",IFERROR(T(INDEX('交易记录'!$C$5:$C$304,MATCH(A378,'交易记录'!$A$5:$A$304,0))),"编号没找到"))</f>
        <v/>
      </c>
      <c r="M378" s="57" t="str">
        <f>IF(AND(C378="买",ISNUMBER(B378)),WORKDAY(B378,1,'参数'!$B$58:$B$80),"")</f>
        <v/>
      </c>
      <c r="N378" s="36" t="str">
        <f>IF(C378&lt;&gt;"卖","",IF(AND(ISNUMBER(B378),A378&lt;&gt;""),IF(SUMIFS($E$5:$E$804,$A$5:$A$804,A378,$C$5:$C$804,"卖",$B$5:$B$804,"&lt;="&amp;B378)&gt;SUMIFS($E$5:$E$804,$A$5:$A$804,A378,$C$5:$C$804,"买",$B$5:$B$804,"&lt;"&amp;B378),"超出可卖股数","OK"),""))</f>
        <v/>
      </c>
      <c r="O378" s="32" t="n"/>
    </row>
    <row r="379">
      <c r="A379" s="46" t="n"/>
      <c r="B379" s="31" t="n"/>
      <c r="C379" s="27" t="n"/>
      <c r="D379" s="56" t="n"/>
      <c r="E379" s="17" t="n"/>
      <c r="F379" s="20" t="str">
        <f>IF(AND(ISNUMBER(D379),ISNUMBER(E379)),D379*E379,"")</f>
        <v/>
      </c>
      <c r="G379" s="51" t="str">
        <f>IF(ISNUMBER(F379),ROUND(MAX(F379*'参数'!$C$12,'参数'!$C$13),2),"")</f>
        <v/>
      </c>
      <c r="H379" s="51" t="str">
        <f>IF(ISNUMBER(F379),IF(C379="卖",ROUND(F379*'参数'!$C$14,2),0),"")</f>
        <v/>
      </c>
      <c r="I379" s="51" t="str">
        <f>IF(ISNUMBER(F379),ROUND(F379*'参数'!$C$15,2),"")</f>
        <v/>
      </c>
      <c r="J379" s="21" t="n"/>
      <c r="K379" s="20" t="str">
        <f>IF(ISNUMBER(J379),J379,IF(ISNUMBER(F379),G379+H379+I379+ROUND(F379*'参数'!$C$16,2),""))</f>
        <v/>
      </c>
      <c r="L379" s="43" t="str">
        <f>IF(A379="","",IFERROR(T(INDEX('交易记录'!$C$5:$C$304,MATCH(A379,'交易记录'!$A$5:$A$304,0))),"编号没找到"))</f>
        <v/>
      </c>
      <c r="M379" s="57" t="str">
        <f>IF(AND(C379="买",ISNUMBER(B379)),WORKDAY(B379,1,'参数'!$B$58:$B$80),"")</f>
        <v/>
      </c>
      <c r="N379" s="36" t="str">
        <f>IF(C379&lt;&gt;"卖","",IF(AND(ISNUMBER(B379),A379&lt;&gt;""),IF(SUMIFS($E$5:$E$804,$A$5:$A$804,A379,$C$5:$C$804,"卖",$B$5:$B$804,"&lt;="&amp;B379)&gt;SUMIFS($E$5:$E$804,$A$5:$A$804,A379,$C$5:$C$804,"买",$B$5:$B$804,"&lt;"&amp;B379),"超出可卖股数","OK"),""))</f>
        <v/>
      </c>
      <c r="O379" s="32" t="n"/>
    </row>
    <row r="380">
      <c r="A380" s="46" t="n"/>
      <c r="B380" s="31" t="n"/>
      <c r="C380" s="27" t="n"/>
      <c r="D380" s="56" t="n"/>
      <c r="E380" s="17" t="n"/>
      <c r="F380" s="20" t="str">
        <f>IF(AND(ISNUMBER(D380),ISNUMBER(E380)),D380*E380,"")</f>
        <v/>
      </c>
      <c r="G380" s="51" t="str">
        <f>IF(ISNUMBER(F380),ROUND(MAX(F380*'参数'!$C$12,'参数'!$C$13),2),"")</f>
        <v/>
      </c>
      <c r="H380" s="51" t="str">
        <f>IF(ISNUMBER(F380),IF(C380="卖",ROUND(F380*'参数'!$C$14,2),0),"")</f>
        <v/>
      </c>
      <c r="I380" s="51" t="str">
        <f>IF(ISNUMBER(F380),ROUND(F380*'参数'!$C$15,2),"")</f>
        <v/>
      </c>
      <c r="J380" s="21" t="n"/>
      <c r="K380" s="20" t="str">
        <f>IF(ISNUMBER(J380),J380,IF(ISNUMBER(F380),G380+H380+I380+ROUND(F380*'参数'!$C$16,2),""))</f>
        <v/>
      </c>
      <c r="L380" s="43" t="str">
        <f>IF(A380="","",IFERROR(T(INDEX('交易记录'!$C$5:$C$304,MATCH(A380,'交易记录'!$A$5:$A$304,0))),"编号没找到"))</f>
        <v/>
      </c>
      <c r="M380" s="57" t="str">
        <f>IF(AND(C380="买",ISNUMBER(B380)),WORKDAY(B380,1,'参数'!$B$58:$B$80),"")</f>
        <v/>
      </c>
      <c r="N380" s="36" t="str">
        <f>IF(C380&lt;&gt;"卖","",IF(AND(ISNUMBER(B380),A380&lt;&gt;""),IF(SUMIFS($E$5:$E$804,$A$5:$A$804,A380,$C$5:$C$804,"卖",$B$5:$B$804,"&lt;="&amp;B380)&gt;SUMIFS($E$5:$E$804,$A$5:$A$804,A380,$C$5:$C$804,"买",$B$5:$B$804,"&lt;"&amp;B380),"超出可卖股数","OK"),""))</f>
        <v/>
      </c>
      <c r="O380" s="32" t="n"/>
    </row>
    <row r="381">
      <c r="A381" s="46" t="n"/>
      <c r="B381" s="31" t="n"/>
      <c r="C381" s="27" t="n"/>
      <c r="D381" s="56" t="n"/>
      <c r="E381" s="17" t="n"/>
      <c r="F381" s="20" t="str">
        <f>IF(AND(ISNUMBER(D381),ISNUMBER(E381)),D381*E381,"")</f>
        <v/>
      </c>
      <c r="G381" s="51" t="str">
        <f>IF(ISNUMBER(F381),ROUND(MAX(F381*'参数'!$C$12,'参数'!$C$13),2),"")</f>
        <v/>
      </c>
      <c r="H381" s="51" t="str">
        <f>IF(ISNUMBER(F381),IF(C381="卖",ROUND(F381*'参数'!$C$14,2),0),"")</f>
        <v/>
      </c>
      <c r="I381" s="51" t="str">
        <f>IF(ISNUMBER(F381),ROUND(F381*'参数'!$C$15,2),"")</f>
        <v/>
      </c>
      <c r="J381" s="21" t="n"/>
      <c r="K381" s="20" t="str">
        <f>IF(ISNUMBER(J381),J381,IF(ISNUMBER(F381),G381+H381+I381+ROUND(F381*'参数'!$C$16,2),""))</f>
        <v/>
      </c>
      <c r="L381" s="43" t="str">
        <f>IF(A381="","",IFERROR(T(INDEX('交易记录'!$C$5:$C$304,MATCH(A381,'交易记录'!$A$5:$A$304,0))),"编号没找到"))</f>
        <v/>
      </c>
      <c r="M381" s="57" t="str">
        <f>IF(AND(C381="买",ISNUMBER(B381)),WORKDAY(B381,1,'参数'!$B$58:$B$80),"")</f>
        <v/>
      </c>
      <c r="N381" s="36" t="str">
        <f>IF(C381&lt;&gt;"卖","",IF(AND(ISNUMBER(B381),A381&lt;&gt;""),IF(SUMIFS($E$5:$E$804,$A$5:$A$804,A381,$C$5:$C$804,"卖",$B$5:$B$804,"&lt;="&amp;B381)&gt;SUMIFS($E$5:$E$804,$A$5:$A$804,A381,$C$5:$C$804,"买",$B$5:$B$804,"&lt;"&amp;B381),"超出可卖股数","OK"),""))</f>
        <v/>
      </c>
      <c r="O381" s="32" t="n"/>
    </row>
    <row r="382">
      <c r="A382" s="46" t="n"/>
      <c r="B382" s="31" t="n"/>
      <c r="C382" s="27" t="n"/>
      <c r="D382" s="56" t="n"/>
      <c r="E382" s="17" t="n"/>
      <c r="F382" s="20" t="str">
        <f>IF(AND(ISNUMBER(D382),ISNUMBER(E382)),D382*E382,"")</f>
        <v/>
      </c>
      <c r="G382" s="51" t="str">
        <f>IF(ISNUMBER(F382),ROUND(MAX(F382*'参数'!$C$12,'参数'!$C$13),2),"")</f>
        <v/>
      </c>
      <c r="H382" s="51" t="str">
        <f>IF(ISNUMBER(F382),IF(C382="卖",ROUND(F382*'参数'!$C$14,2),0),"")</f>
        <v/>
      </c>
      <c r="I382" s="51" t="str">
        <f>IF(ISNUMBER(F382),ROUND(F382*'参数'!$C$15,2),"")</f>
        <v/>
      </c>
      <c r="J382" s="21" t="n"/>
      <c r="K382" s="20" t="str">
        <f>IF(ISNUMBER(J382),J382,IF(ISNUMBER(F382),G382+H382+I382+ROUND(F382*'参数'!$C$16,2),""))</f>
        <v/>
      </c>
      <c r="L382" s="43" t="str">
        <f>IF(A382="","",IFERROR(T(INDEX('交易记录'!$C$5:$C$304,MATCH(A382,'交易记录'!$A$5:$A$304,0))),"编号没找到"))</f>
        <v/>
      </c>
      <c r="M382" s="57" t="str">
        <f>IF(AND(C382="买",ISNUMBER(B382)),WORKDAY(B382,1,'参数'!$B$58:$B$80),"")</f>
        <v/>
      </c>
      <c r="N382" s="36" t="str">
        <f>IF(C382&lt;&gt;"卖","",IF(AND(ISNUMBER(B382),A382&lt;&gt;""),IF(SUMIFS($E$5:$E$804,$A$5:$A$804,A382,$C$5:$C$804,"卖",$B$5:$B$804,"&lt;="&amp;B382)&gt;SUMIFS($E$5:$E$804,$A$5:$A$804,A382,$C$5:$C$804,"买",$B$5:$B$804,"&lt;"&amp;B382),"超出可卖股数","OK"),""))</f>
        <v/>
      </c>
      <c r="O382" s="32" t="n"/>
    </row>
    <row r="383">
      <c r="A383" s="46" t="n"/>
      <c r="B383" s="31" t="n"/>
      <c r="C383" s="27" t="n"/>
      <c r="D383" s="56" t="n"/>
      <c r="E383" s="17" t="n"/>
      <c r="F383" s="20" t="str">
        <f>IF(AND(ISNUMBER(D383),ISNUMBER(E383)),D383*E383,"")</f>
        <v/>
      </c>
      <c r="G383" s="51" t="str">
        <f>IF(ISNUMBER(F383),ROUND(MAX(F383*'参数'!$C$12,'参数'!$C$13),2),"")</f>
        <v/>
      </c>
      <c r="H383" s="51" t="str">
        <f>IF(ISNUMBER(F383),IF(C383="卖",ROUND(F383*'参数'!$C$14,2),0),"")</f>
        <v/>
      </c>
      <c r="I383" s="51" t="str">
        <f>IF(ISNUMBER(F383),ROUND(F383*'参数'!$C$15,2),"")</f>
        <v/>
      </c>
      <c r="J383" s="21" t="n"/>
      <c r="K383" s="20" t="str">
        <f>IF(ISNUMBER(J383),J383,IF(ISNUMBER(F383),G383+H383+I383+ROUND(F383*'参数'!$C$16,2),""))</f>
        <v/>
      </c>
      <c r="L383" s="43" t="str">
        <f>IF(A383="","",IFERROR(T(INDEX('交易记录'!$C$5:$C$304,MATCH(A383,'交易记录'!$A$5:$A$304,0))),"编号没找到"))</f>
        <v/>
      </c>
      <c r="M383" s="57" t="str">
        <f>IF(AND(C383="买",ISNUMBER(B383)),WORKDAY(B383,1,'参数'!$B$58:$B$80),"")</f>
        <v/>
      </c>
      <c r="N383" s="36" t="str">
        <f>IF(C383&lt;&gt;"卖","",IF(AND(ISNUMBER(B383),A383&lt;&gt;""),IF(SUMIFS($E$5:$E$804,$A$5:$A$804,A383,$C$5:$C$804,"卖",$B$5:$B$804,"&lt;="&amp;B383)&gt;SUMIFS($E$5:$E$804,$A$5:$A$804,A383,$C$5:$C$804,"买",$B$5:$B$804,"&lt;"&amp;B383),"超出可卖股数","OK"),""))</f>
        <v/>
      </c>
      <c r="O383" s="32" t="n"/>
    </row>
    <row r="384">
      <c r="A384" s="46" t="n"/>
      <c r="B384" s="31" t="n"/>
      <c r="C384" s="27" t="n"/>
      <c r="D384" s="56" t="n"/>
      <c r="E384" s="17" t="n"/>
      <c r="F384" s="20" t="str">
        <f>IF(AND(ISNUMBER(D384),ISNUMBER(E384)),D384*E384,"")</f>
        <v/>
      </c>
      <c r="G384" s="51" t="str">
        <f>IF(ISNUMBER(F384),ROUND(MAX(F384*'参数'!$C$12,'参数'!$C$13),2),"")</f>
        <v/>
      </c>
      <c r="H384" s="51" t="str">
        <f>IF(ISNUMBER(F384),IF(C384="卖",ROUND(F384*'参数'!$C$14,2),0),"")</f>
        <v/>
      </c>
      <c r="I384" s="51" t="str">
        <f>IF(ISNUMBER(F384),ROUND(F384*'参数'!$C$15,2),"")</f>
        <v/>
      </c>
      <c r="J384" s="21" t="n"/>
      <c r="K384" s="20" t="str">
        <f>IF(ISNUMBER(J384),J384,IF(ISNUMBER(F384),G384+H384+I384+ROUND(F384*'参数'!$C$16,2),""))</f>
        <v/>
      </c>
      <c r="L384" s="43" t="str">
        <f>IF(A384="","",IFERROR(T(INDEX('交易记录'!$C$5:$C$304,MATCH(A384,'交易记录'!$A$5:$A$304,0))),"编号没找到"))</f>
        <v/>
      </c>
      <c r="M384" s="57" t="str">
        <f>IF(AND(C384="买",ISNUMBER(B384)),WORKDAY(B384,1,'参数'!$B$58:$B$80),"")</f>
        <v/>
      </c>
      <c r="N384" s="36" t="str">
        <f>IF(C384&lt;&gt;"卖","",IF(AND(ISNUMBER(B384),A384&lt;&gt;""),IF(SUMIFS($E$5:$E$804,$A$5:$A$804,A384,$C$5:$C$804,"卖",$B$5:$B$804,"&lt;="&amp;B384)&gt;SUMIFS($E$5:$E$804,$A$5:$A$804,A384,$C$5:$C$804,"买",$B$5:$B$804,"&lt;"&amp;B384),"超出可卖股数","OK"),""))</f>
        <v/>
      </c>
      <c r="O384" s="32" t="n"/>
    </row>
    <row r="385">
      <c r="A385" s="46" t="n"/>
      <c r="B385" s="31" t="n"/>
      <c r="C385" s="27" t="n"/>
      <c r="D385" s="56" t="n"/>
      <c r="E385" s="17" t="n"/>
      <c r="F385" s="20" t="str">
        <f>IF(AND(ISNUMBER(D385),ISNUMBER(E385)),D385*E385,"")</f>
        <v/>
      </c>
      <c r="G385" s="51" t="str">
        <f>IF(ISNUMBER(F385),ROUND(MAX(F385*'参数'!$C$12,'参数'!$C$13),2),"")</f>
        <v/>
      </c>
      <c r="H385" s="51" t="str">
        <f>IF(ISNUMBER(F385),IF(C385="卖",ROUND(F385*'参数'!$C$14,2),0),"")</f>
        <v/>
      </c>
      <c r="I385" s="51" t="str">
        <f>IF(ISNUMBER(F385),ROUND(F385*'参数'!$C$15,2),"")</f>
        <v/>
      </c>
      <c r="J385" s="21" t="n"/>
      <c r="K385" s="20" t="str">
        <f>IF(ISNUMBER(J385),J385,IF(ISNUMBER(F385),G385+H385+I385+ROUND(F385*'参数'!$C$16,2),""))</f>
        <v/>
      </c>
      <c r="L385" s="43" t="str">
        <f>IF(A385="","",IFERROR(T(INDEX('交易记录'!$C$5:$C$304,MATCH(A385,'交易记录'!$A$5:$A$304,0))),"编号没找到"))</f>
        <v/>
      </c>
      <c r="M385" s="57" t="str">
        <f>IF(AND(C385="买",ISNUMBER(B385)),WORKDAY(B385,1,'参数'!$B$58:$B$80),"")</f>
        <v/>
      </c>
      <c r="N385" s="36" t="str">
        <f>IF(C385&lt;&gt;"卖","",IF(AND(ISNUMBER(B385),A385&lt;&gt;""),IF(SUMIFS($E$5:$E$804,$A$5:$A$804,A385,$C$5:$C$804,"卖",$B$5:$B$804,"&lt;="&amp;B385)&gt;SUMIFS($E$5:$E$804,$A$5:$A$804,A385,$C$5:$C$804,"买",$B$5:$B$804,"&lt;"&amp;B385),"超出可卖股数","OK"),""))</f>
        <v/>
      </c>
      <c r="O385" s="32" t="n"/>
    </row>
    <row r="386">
      <c r="A386" s="46" t="n"/>
      <c r="B386" s="31" t="n"/>
      <c r="C386" s="27" t="n"/>
      <c r="D386" s="56" t="n"/>
      <c r="E386" s="17" t="n"/>
      <c r="F386" s="20" t="str">
        <f>IF(AND(ISNUMBER(D386),ISNUMBER(E386)),D386*E386,"")</f>
        <v/>
      </c>
      <c r="G386" s="51" t="str">
        <f>IF(ISNUMBER(F386),ROUND(MAX(F386*'参数'!$C$12,'参数'!$C$13),2),"")</f>
        <v/>
      </c>
      <c r="H386" s="51" t="str">
        <f>IF(ISNUMBER(F386),IF(C386="卖",ROUND(F386*'参数'!$C$14,2),0),"")</f>
        <v/>
      </c>
      <c r="I386" s="51" t="str">
        <f>IF(ISNUMBER(F386),ROUND(F386*'参数'!$C$15,2),"")</f>
        <v/>
      </c>
      <c r="J386" s="21" t="n"/>
      <c r="K386" s="20" t="str">
        <f>IF(ISNUMBER(J386),J386,IF(ISNUMBER(F386),G386+H386+I386+ROUND(F386*'参数'!$C$16,2),""))</f>
        <v/>
      </c>
      <c r="L386" s="43" t="str">
        <f>IF(A386="","",IFERROR(T(INDEX('交易记录'!$C$5:$C$304,MATCH(A386,'交易记录'!$A$5:$A$304,0))),"编号没找到"))</f>
        <v/>
      </c>
      <c r="M386" s="57" t="str">
        <f>IF(AND(C386="买",ISNUMBER(B386)),WORKDAY(B386,1,'参数'!$B$58:$B$80),"")</f>
        <v/>
      </c>
      <c r="N386" s="36" t="str">
        <f>IF(C386&lt;&gt;"卖","",IF(AND(ISNUMBER(B386),A386&lt;&gt;""),IF(SUMIFS($E$5:$E$804,$A$5:$A$804,A386,$C$5:$C$804,"卖",$B$5:$B$804,"&lt;="&amp;B386)&gt;SUMIFS($E$5:$E$804,$A$5:$A$804,A386,$C$5:$C$804,"买",$B$5:$B$804,"&lt;"&amp;B386),"超出可卖股数","OK"),""))</f>
        <v/>
      </c>
      <c r="O386" s="32" t="n"/>
    </row>
    <row r="387">
      <c r="A387" s="46" t="n"/>
      <c r="B387" s="31" t="n"/>
      <c r="C387" s="27" t="n"/>
      <c r="D387" s="56" t="n"/>
      <c r="E387" s="17" t="n"/>
      <c r="F387" s="20" t="str">
        <f>IF(AND(ISNUMBER(D387),ISNUMBER(E387)),D387*E387,"")</f>
        <v/>
      </c>
      <c r="G387" s="51" t="str">
        <f>IF(ISNUMBER(F387),ROUND(MAX(F387*'参数'!$C$12,'参数'!$C$13),2),"")</f>
        <v/>
      </c>
      <c r="H387" s="51" t="str">
        <f>IF(ISNUMBER(F387),IF(C387="卖",ROUND(F387*'参数'!$C$14,2),0),"")</f>
        <v/>
      </c>
      <c r="I387" s="51" t="str">
        <f>IF(ISNUMBER(F387),ROUND(F387*'参数'!$C$15,2),"")</f>
        <v/>
      </c>
      <c r="J387" s="21" t="n"/>
      <c r="K387" s="20" t="str">
        <f>IF(ISNUMBER(J387),J387,IF(ISNUMBER(F387),G387+H387+I387+ROUND(F387*'参数'!$C$16,2),""))</f>
        <v/>
      </c>
      <c r="L387" s="43" t="str">
        <f>IF(A387="","",IFERROR(T(INDEX('交易记录'!$C$5:$C$304,MATCH(A387,'交易记录'!$A$5:$A$304,0))),"编号没找到"))</f>
        <v/>
      </c>
      <c r="M387" s="57" t="str">
        <f>IF(AND(C387="买",ISNUMBER(B387)),WORKDAY(B387,1,'参数'!$B$58:$B$80),"")</f>
        <v/>
      </c>
      <c r="N387" s="36" t="str">
        <f>IF(C387&lt;&gt;"卖","",IF(AND(ISNUMBER(B387),A387&lt;&gt;""),IF(SUMIFS($E$5:$E$804,$A$5:$A$804,A387,$C$5:$C$804,"卖",$B$5:$B$804,"&lt;="&amp;B387)&gt;SUMIFS($E$5:$E$804,$A$5:$A$804,A387,$C$5:$C$804,"买",$B$5:$B$804,"&lt;"&amp;B387),"超出可卖股数","OK"),""))</f>
        <v/>
      </c>
      <c r="O387" s="32" t="n"/>
    </row>
    <row r="388">
      <c r="A388" s="46" t="n"/>
      <c r="B388" s="31" t="n"/>
      <c r="C388" s="27" t="n"/>
      <c r="D388" s="56" t="n"/>
      <c r="E388" s="17" t="n"/>
      <c r="F388" s="20" t="str">
        <f>IF(AND(ISNUMBER(D388),ISNUMBER(E388)),D388*E388,"")</f>
        <v/>
      </c>
      <c r="G388" s="51" t="str">
        <f>IF(ISNUMBER(F388),ROUND(MAX(F388*'参数'!$C$12,'参数'!$C$13),2),"")</f>
        <v/>
      </c>
      <c r="H388" s="51" t="str">
        <f>IF(ISNUMBER(F388),IF(C388="卖",ROUND(F388*'参数'!$C$14,2),0),"")</f>
        <v/>
      </c>
      <c r="I388" s="51" t="str">
        <f>IF(ISNUMBER(F388),ROUND(F388*'参数'!$C$15,2),"")</f>
        <v/>
      </c>
      <c r="J388" s="21" t="n"/>
      <c r="K388" s="20" t="str">
        <f>IF(ISNUMBER(J388),J388,IF(ISNUMBER(F388),G388+H388+I388+ROUND(F388*'参数'!$C$16,2),""))</f>
        <v/>
      </c>
      <c r="L388" s="43" t="str">
        <f>IF(A388="","",IFERROR(T(INDEX('交易记录'!$C$5:$C$304,MATCH(A388,'交易记录'!$A$5:$A$304,0))),"编号没找到"))</f>
        <v/>
      </c>
      <c r="M388" s="57" t="str">
        <f>IF(AND(C388="买",ISNUMBER(B388)),WORKDAY(B388,1,'参数'!$B$58:$B$80),"")</f>
        <v/>
      </c>
      <c r="N388" s="36" t="str">
        <f>IF(C388&lt;&gt;"卖","",IF(AND(ISNUMBER(B388),A388&lt;&gt;""),IF(SUMIFS($E$5:$E$804,$A$5:$A$804,A388,$C$5:$C$804,"卖",$B$5:$B$804,"&lt;="&amp;B388)&gt;SUMIFS($E$5:$E$804,$A$5:$A$804,A388,$C$5:$C$804,"买",$B$5:$B$804,"&lt;"&amp;B388),"超出可卖股数","OK"),""))</f>
        <v/>
      </c>
      <c r="O388" s="32" t="n"/>
    </row>
    <row r="389">
      <c r="A389" s="46" t="n"/>
      <c r="B389" s="31" t="n"/>
      <c r="C389" s="27" t="n"/>
      <c r="D389" s="56" t="n"/>
      <c r="E389" s="17" t="n"/>
      <c r="F389" s="20" t="str">
        <f>IF(AND(ISNUMBER(D389),ISNUMBER(E389)),D389*E389,"")</f>
        <v/>
      </c>
      <c r="G389" s="51" t="str">
        <f>IF(ISNUMBER(F389),ROUND(MAX(F389*'参数'!$C$12,'参数'!$C$13),2),"")</f>
        <v/>
      </c>
      <c r="H389" s="51" t="str">
        <f>IF(ISNUMBER(F389),IF(C389="卖",ROUND(F389*'参数'!$C$14,2),0),"")</f>
        <v/>
      </c>
      <c r="I389" s="51" t="str">
        <f>IF(ISNUMBER(F389),ROUND(F389*'参数'!$C$15,2),"")</f>
        <v/>
      </c>
      <c r="J389" s="21" t="n"/>
      <c r="K389" s="20" t="str">
        <f>IF(ISNUMBER(J389),J389,IF(ISNUMBER(F389),G389+H389+I389+ROUND(F389*'参数'!$C$16,2),""))</f>
        <v/>
      </c>
      <c r="L389" s="43" t="str">
        <f>IF(A389="","",IFERROR(T(INDEX('交易记录'!$C$5:$C$304,MATCH(A389,'交易记录'!$A$5:$A$304,0))),"编号没找到"))</f>
        <v/>
      </c>
      <c r="M389" s="57" t="str">
        <f>IF(AND(C389="买",ISNUMBER(B389)),WORKDAY(B389,1,'参数'!$B$58:$B$80),"")</f>
        <v/>
      </c>
      <c r="N389" s="36" t="str">
        <f>IF(C389&lt;&gt;"卖","",IF(AND(ISNUMBER(B389),A389&lt;&gt;""),IF(SUMIFS($E$5:$E$804,$A$5:$A$804,A389,$C$5:$C$804,"卖",$B$5:$B$804,"&lt;="&amp;B389)&gt;SUMIFS($E$5:$E$804,$A$5:$A$804,A389,$C$5:$C$804,"买",$B$5:$B$804,"&lt;"&amp;B389),"超出可卖股数","OK"),""))</f>
        <v/>
      </c>
      <c r="O389" s="32" t="n"/>
    </row>
    <row r="390">
      <c r="A390" s="46" t="n"/>
      <c r="B390" s="31" t="n"/>
      <c r="C390" s="27" t="n"/>
      <c r="D390" s="56" t="n"/>
      <c r="E390" s="17" t="n"/>
      <c r="F390" s="20" t="str">
        <f>IF(AND(ISNUMBER(D390),ISNUMBER(E390)),D390*E390,"")</f>
        <v/>
      </c>
      <c r="G390" s="51" t="str">
        <f>IF(ISNUMBER(F390),ROUND(MAX(F390*'参数'!$C$12,'参数'!$C$13),2),"")</f>
        <v/>
      </c>
      <c r="H390" s="51" t="str">
        <f>IF(ISNUMBER(F390),IF(C390="卖",ROUND(F390*'参数'!$C$14,2),0),"")</f>
        <v/>
      </c>
      <c r="I390" s="51" t="str">
        <f>IF(ISNUMBER(F390),ROUND(F390*'参数'!$C$15,2),"")</f>
        <v/>
      </c>
      <c r="J390" s="21" t="n"/>
      <c r="K390" s="20" t="str">
        <f>IF(ISNUMBER(J390),J390,IF(ISNUMBER(F390),G390+H390+I390+ROUND(F390*'参数'!$C$16,2),""))</f>
        <v/>
      </c>
      <c r="L390" s="43" t="str">
        <f>IF(A390="","",IFERROR(T(INDEX('交易记录'!$C$5:$C$304,MATCH(A390,'交易记录'!$A$5:$A$304,0))),"编号没找到"))</f>
        <v/>
      </c>
      <c r="M390" s="57" t="str">
        <f>IF(AND(C390="买",ISNUMBER(B390)),WORKDAY(B390,1,'参数'!$B$58:$B$80),"")</f>
        <v/>
      </c>
      <c r="N390" s="36" t="str">
        <f>IF(C390&lt;&gt;"卖","",IF(AND(ISNUMBER(B390),A390&lt;&gt;""),IF(SUMIFS($E$5:$E$804,$A$5:$A$804,A390,$C$5:$C$804,"卖",$B$5:$B$804,"&lt;="&amp;B390)&gt;SUMIFS($E$5:$E$804,$A$5:$A$804,A390,$C$5:$C$804,"买",$B$5:$B$804,"&lt;"&amp;B390),"超出可卖股数","OK"),""))</f>
        <v/>
      </c>
      <c r="O390" s="32" t="n"/>
    </row>
    <row r="391">
      <c r="A391" s="46" t="n"/>
      <c r="B391" s="31" t="n"/>
      <c r="C391" s="27" t="n"/>
      <c r="D391" s="56" t="n"/>
      <c r="E391" s="17" t="n"/>
      <c r="F391" s="20" t="str">
        <f>IF(AND(ISNUMBER(D391),ISNUMBER(E391)),D391*E391,"")</f>
        <v/>
      </c>
      <c r="G391" s="51" t="str">
        <f>IF(ISNUMBER(F391),ROUND(MAX(F391*'参数'!$C$12,'参数'!$C$13),2),"")</f>
        <v/>
      </c>
      <c r="H391" s="51" t="str">
        <f>IF(ISNUMBER(F391),IF(C391="卖",ROUND(F391*'参数'!$C$14,2),0),"")</f>
        <v/>
      </c>
      <c r="I391" s="51" t="str">
        <f>IF(ISNUMBER(F391),ROUND(F391*'参数'!$C$15,2),"")</f>
        <v/>
      </c>
      <c r="J391" s="21" t="n"/>
      <c r="K391" s="20" t="str">
        <f>IF(ISNUMBER(J391),J391,IF(ISNUMBER(F391),G391+H391+I391+ROUND(F391*'参数'!$C$16,2),""))</f>
        <v/>
      </c>
      <c r="L391" s="43" t="str">
        <f>IF(A391="","",IFERROR(T(INDEX('交易记录'!$C$5:$C$304,MATCH(A391,'交易记录'!$A$5:$A$304,0))),"编号没找到"))</f>
        <v/>
      </c>
      <c r="M391" s="57" t="str">
        <f>IF(AND(C391="买",ISNUMBER(B391)),WORKDAY(B391,1,'参数'!$B$58:$B$80),"")</f>
        <v/>
      </c>
      <c r="N391" s="36" t="str">
        <f>IF(C391&lt;&gt;"卖","",IF(AND(ISNUMBER(B391),A391&lt;&gt;""),IF(SUMIFS($E$5:$E$804,$A$5:$A$804,A391,$C$5:$C$804,"卖",$B$5:$B$804,"&lt;="&amp;B391)&gt;SUMIFS($E$5:$E$804,$A$5:$A$804,A391,$C$5:$C$804,"买",$B$5:$B$804,"&lt;"&amp;B391),"超出可卖股数","OK"),""))</f>
        <v/>
      </c>
      <c r="O391" s="32" t="n"/>
    </row>
    <row r="392">
      <c r="A392" s="46" t="n"/>
      <c r="B392" s="31" t="n"/>
      <c r="C392" s="27" t="n"/>
      <c r="D392" s="56" t="n"/>
      <c r="E392" s="17" t="n"/>
      <c r="F392" s="20" t="str">
        <f>IF(AND(ISNUMBER(D392),ISNUMBER(E392)),D392*E392,"")</f>
        <v/>
      </c>
      <c r="G392" s="51" t="str">
        <f>IF(ISNUMBER(F392),ROUND(MAX(F392*'参数'!$C$12,'参数'!$C$13),2),"")</f>
        <v/>
      </c>
      <c r="H392" s="51" t="str">
        <f>IF(ISNUMBER(F392),IF(C392="卖",ROUND(F392*'参数'!$C$14,2),0),"")</f>
        <v/>
      </c>
      <c r="I392" s="51" t="str">
        <f>IF(ISNUMBER(F392),ROUND(F392*'参数'!$C$15,2),"")</f>
        <v/>
      </c>
      <c r="J392" s="21" t="n"/>
      <c r="K392" s="20" t="str">
        <f>IF(ISNUMBER(J392),J392,IF(ISNUMBER(F392),G392+H392+I392+ROUND(F392*'参数'!$C$16,2),""))</f>
        <v/>
      </c>
      <c r="L392" s="43" t="str">
        <f>IF(A392="","",IFERROR(T(INDEX('交易记录'!$C$5:$C$304,MATCH(A392,'交易记录'!$A$5:$A$304,0))),"编号没找到"))</f>
        <v/>
      </c>
      <c r="M392" s="57" t="str">
        <f>IF(AND(C392="买",ISNUMBER(B392)),WORKDAY(B392,1,'参数'!$B$58:$B$80),"")</f>
        <v/>
      </c>
      <c r="N392" s="36" t="str">
        <f>IF(C392&lt;&gt;"卖","",IF(AND(ISNUMBER(B392),A392&lt;&gt;""),IF(SUMIFS($E$5:$E$804,$A$5:$A$804,A392,$C$5:$C$804,"卖",$B$5:$B$804,"&lt;="&amp;B392)&gt;SUMIFS($E$5:$E$804,$A$5:$A$804,A392,$C$5:$C$804,"买",$B$5:$B$804,"&lt;"&amp;B392),"超出可卖股数","OK"),""))</f>
        <v/>
      </c>
      <c r="O392" s="32" t="n"/>
    </row>
    <row r="393">
      <c r="A393" s="46" t="n"/>
      <c r="B393" s="31" t="n"/>
      <c r="C393" s="27" t="n"/>
      <c r="D393" s="56" t="n"/>
      <c r="E393" s="17" t="n"/>
      <c r="F393" s="20" t="str">
        <f>IF(AND(ISNUMBER(D393),ISNUMBER(E393)),D393*E393,"")</f>
        <v/>
      </c>
      <c r="G393" s="51" t="str">
        <f>IF(ISNUMBER(F393),ROUND(MAX(F393*'参数'!$C$12,'参数'!$C$13),2),"")</f>
        <v/>
      </c>
      <c r="H393" s="51" t="str">
        <f>IF(ISNUMBER(F393),IF(C393="卖",ROUND(F393*'参数'!$C$14,2),0),"")</f>
        <v/>
      </c>
      <c r="I393" s="51" t="str">
        <f>IF(ISNUMBER(F393),ROUND(F393*'参数'!$C$15,2),"")</f>
        <v/>
      </c>
      <c r="J393" s="21" t="n"/>
      <c r="K393" s="20" t="str">
        <f>IF(ISNUMBER(J393),J393,IF(ISNUMBER(F393),G393+H393+I393+ROUND(F393*'参数'!$C$16,2),""))</f>
        <v/>
      </c>
      <c r="L393" s="43" t="str">
        <f>IF(A393="","",IFERROR(T(INDEX('交易记录'!$C$5:$C$304,MATCH(A393,'交易记录'!$A$5:$A$304,0))),"编号没找到"))</f>
        <v/>
      </c>
      <c r="M393" s="57" t="str">
        <f>IF(AND(C393="买",ISNUMBER(B393)),WORKDAY(B393,1,'参数'!$B$58:$B$80),"")</f>
        <v/>
      </c>
      <c r="N393" s="36" t="str">
        <f>IF(C393&lt;&gt;"卖","",IF(AND(ISNUMBER(B393),A393&lt;&gt;""),IF(SUMIFS($E$5:$E$804,$A$5:$A$804,A393,$C$5:$C$804,"卖",$B$5:$B$804,"&lt;="&amp;B393)&gt;SUMIFS($E$5:$E$804,$A$5:$A$804,A393,$C$5:$C$804,"买",$B$5:$B$804,"&lt;"&amp;B393),"超出可卖股数","OK"),""))</f>
        <v/>
      </c>
      <c r="O393" s="32" t="n"/>
    </row>
    <row r="394">
      <c r="A394" s="46" t="n"/>
      <c r="B394" s="31" t="n"/>
      <c r="C394" s="27" t="n"/>
      <c r="D394" s="56" t="n"/>
      <c r="E394" s="17" t="n"/>
      <c r="F394" s="20" t="str">
        <f>IF(AND(ISNUMBER(D394),ISNUMBER(E394)),D394*E394,"")</f>
        <v/>
      </c>
      <c r="G394" s="51" t="str">
        <f>IF(ISNUMBER(F394),ROUND(MAX(F394*'参数'!$C$12,'参数'!$C$13),2),"")</f>
        <v/>
      </c>
      <c r="H394" s="51" t="str">
        <f>IF(ISNUMBER(F394),IF(C394="卖",ROUND(F394*'参数'!$C$14,2),0),"")</f>
        <v/>
      </c>
      <c r="I394" s="51" t="str">
        <f>IF(ISNUMBER(F394),ROUND(F394*'参数'!$C$15,2),"")</f>
        <v/>
      </c>
      <c r="J394" s="21" t="n"/>
      <c r="K394" s="20" t="str">
        <f>IF(ISNUMBER(J394),J394,IF(ISNUMBER(F394),G394+H394+I394+ROUND(F394*'参数'!$C$16,2),""))</f>
        <v/>
      </c>
      <c r="L394" s="43" t="str">
        <f>IF(A394="","",IFERROR(T(INDEX('交易记录'!$C$5:$C$304,MATCH(A394,'交易记录'!$A$5:$A$304,0))),"编号没找到"))</f>
        <v/>
      </c>
      <c r="M394" s="57" t="str">
        <f>IF(AND(C394="买",ISNUMBER(B394)),WORKDAY(B394,1,'参数'!$B$58:$B$80),"")</f>
        <v/>
      </c>
      <c r="N394" s="36" t="str">
        <f>IF(C394&lt;&gt;"卖","",IF(AND(ISNUMBER(B394),A394&lt;&gt;""),IF(SUMIFS($E$5:$E$804,$A$5:$A$804,A394,$C$5:$C$804,"卖",$B$5:$B$804,"&lt;="&amp;B394)&gt;SUMIFS($E$5:$E$804,$A$5:$A$804,A394,$C$5:$C$804,"买",$B$5:$B$804,"&lt;"&amp;B394),"超出可卖股数","OK"),""))</f>
        <v/>
      </c>
      <c r="O394" s="32" t="n"/>
    </row>
    <row r="395">
      <c r="A395" s="46" t="n"/>
      <c r="B395" s="31" t="n"/>
      <c r="C395" s="27" t="n"/>
      <c r="D395" s="56" t="n"/>
      <c r="E395" s="17" t="n"/>
      <c r="F395" s="20" t="str">
        <f>IF(AND(ISNUMBER(D395),ISNUMBER(E395)),D395*E395,"")</f>
        <v/>
      </c>
      <c r="G395" s="51" t="str">
        <f>IF(ISNUMBER(F395),ROUND(MAX(F395*'参数'!$C$12,'参数'!$C$13),2),"")</f>
        <v/>
      </c>
      <c r="H395" s="51" t="str">
        <f>IF(ISNUMBER(F395),IF(C395="卖",ROUND(F395*'参数'!$C$14,2),0),"")</f>
        <v/>
      </c>
      <c r="I395" s="51" t="str">
        <f>IF(ISNUMBER(F395),ROUND(F395*'参数'!$C$15,2),"")</f>
        <v/>
      </c>
      <c r="J395" s="21" t="n"/>
      <c r="K395" s="20" t="str">
        <f>IF(ISNUMBER(J395),J395,IF(ISNUMBER(F395),G395+H395+I395+ROUND(F395*'参数'!$C$16,2),""))</f>
        <v/>
      </c>
      <c r="L395" s="43" t="str">
        <f>IF(A395="","",IFERROR(T(INDEX('交易记录'!$C$5:$C$304,MATCH(A395,'交易记录'!$A$5:$A$304,0))),"编号没找到"))</f>
        <v/>
      </c>
      <c r="M395" s="57" t="str">
        <f>IF(AND(C395="买",ISNUMBER(B395)),WORKDAY(B395,1,'参数'!$B$58:$B$80),"")</f>
        <v/>
      </c>
      <c r="N395" s="36" t="str">
        <f>IF(C395&lt;&gt;"卖","",IF(AND(ISNUMBER(B395),A395&lt;&gt;""),IF(SUMIFS($E$5:$E$804,$A$5:$A$804,A395,$C$5:$C$804,"卖",$B$5:$B$804,"&lt;="&amp;B395)&gt;SUMIFS($E$5:$E$804,$A$5:$A$804,A395,$C$5:$C$804,"买",$B$5:$B$804,"&lt;"&amp;B395),"超出可卖股数","OK"),""))</f>
        <v/>
      </c>
      <c r="O395" s="32" t="n"/>
    </row>
    <row r="396">
      <c r="A396" s="46" t="n"/>
      <c r="B396" s="31" t="n"/>
      <c r="C396" s="27" t="n"/>
      <c r="D396" s="56" t="n"/>
      <c r="E396" s="17" t="n"/>
      <c r="F396" s="20" t="str">
        <f>IF(AND(ISNUMBER(D396),ISNUMBER(E396)),D396*E396,"")</f>
        <v/>
      </c>
      <c r="G396" s="51" t="str">
        <f>IF(ISNUMBER(F396),ROUND(MAX(F396*'参数'!$C$12,'参数'!$C$13),2),"")</f>
        <v/>
      </c>
      <c r="H396" s="51" t="str">
        <f>IF(ISNUMBER(F396),IF(C396="卖",ROUND(F396*'参数'!$C$14,2),0),"")</f>
        <v/>
      </c>
      <c r="I396" s="51" t="str">
        <f>IF(ISNUMBER(F396),ROUND(F396*'参数'!$C$15,2),"")</f>
        <v/>
      </c>
      <c r="J396" s="21" t="n"/>
      <c r="K396" s="20" t="str">
        <f>IF(ISNUMBER(J396),J396,IF(ISNUMBER(F396),G396+H396+I396+ROUND(F396*'参数'!$C$16,2),""))</f>
        <v/>
      </c>
      <c r="L396" s="43" t="str">
        <f>IF(A396="","",IFERROR(T(INDEX('交易记录'!$C$5:$C$304,MATCH(A396,'交易记录'!$A$5:$A$304,0))),"编号没找到"))</f>
        <v/>
      </c>
      <c r="M396" s="57" t="str">
        <f>IF(AND(C396="买",ISNUMBER(B396)),WORKDAY(B396,1,'参数'!$B$58:$B$80),"")</f>
        <v/>
      </c>
      <c r="N396" s="36" t="str">
        <f>IF(C396&lt;&gt;"卖","",IF(AND(ISNUMBER(B396),A396&lt;&gt;""),IF(SUMIFS($E$5:$E$804,$A$5:$A$804,A396,$C$5:$C$804,"卖",$B$5:$B$804,"&lt;="&amp;B396)&gt;SUMIFS($E$5:$E$804,$A$5:$A$804,A396,$C$5:$C$804,"买",$B$5:$B$804,"&lt;"&amp;B396),"超出可卖股数","OK"),""))</f>
        <v/>
      </c>
      <c r="O396" s="32" t="n"/>
    </row>
    <row r="397">
      <c r="A397" s="46" t="n"/>
      <c r="B397" s="31" t="n"/>
      <c r="C397" s="27" t="n"/>
      <c r="D397" s="56" t="n"/>
      <c r="E397" s="17" t="n"/>
      <c r="F397" s="20" t="str">
        <f>IF(AND(ISNUMBER(D397),ISNUMBER(E397)),D397*E397,"")</f>
        <v/>
      </c>
      <c r="G397" s="51" t="str">
        <f>IF(ISNUMBER(F397),ROUND(MAX(F397*'参数'!$C$12,'参数'!$C$13),2),"")</f>
        <v/>
      </c>
      <c r="H397" s="51" t="str">
        <f>IF(ISNUMBER(F397),IF(C397="卖",ROUND(F397*'参数'!$C$14,2),0),"")</f>
        <v/>
      </c>
      <c r="I397" s="51" t="str">
        <f>IF(ISNUMBER(F397),ROUND(F397*'参数'!$C$15,2),"")</f>
        <v/>
      </c>
      <c r="J397" s="21" t="n"/>
      <c r="K397" s="20" t="str">
        <f>IF(ISNUMBER(J397),J397,IF(ISNUMBER(F397),G397+H397+I397+ROUND(F397*'参数'!$C$16,2),""))</f>
        <v/>
      </c>
      <c r="L397" s="43" t="str">
        <f>IF(A397="","",IFERROR(T(INDEX('交易记录'!$C$5:$C$304,MATCH(A397,'交易记录'!$A$5:$A$304,0))),"编号没找到"))</f>
        <v/>
      </c>
      <c r="M397" s="57" t="str">
        <f>IF(AND(C397="买",ISNUMBER(B397)),WORKDAY(B397,1,'参数'!$B$58:$B$80),"")</f>
        <v/>
      </c>
      <c r="N397" s="36" t="str">
        <f>IF(C397&lt;&gt;"卖","",IF(AND(ISNUMBER(B397),A397&lt;&gt;""),IF(SUMIFS($E$5:$E$804,$A$5:$A$804,A397,$C$5:$C$804,"卖",$B$5:$B$804,"&lt;="&amp;B397)&gt;SUMIFS($E$5:$E$804,$A$5:$A$804,A397,$C$5:$C$804,"买",$B$5:$B$804,"&lt;"&amp;B397),"超出可卖股数","OK"),""))</f>
        <v/>
      </c>
      <c r="O397" s="32" t="n"/>
    </row>
    <row r="398">
      <c r="A398" s="46" t="n"/>
      <c r="B398" s="31" t="n"/>
      <c r="C398" s="27" t="n"/>
      <c r="D398" s="56" t="n"/>
      <c r="E398" s="17" t="n"/>
      <c r="F398" s="20" t="str">
        <f>IF(AND(ISNUMBER(D398),ISNUMBER(E398)),D398*E398,"")</f>
        <v/>
      </c>
      <c r="G398" s="51" t="str">
        <f>IF(ISNUMBER(F398),ROUND(MAX(F398*'参数'!$C$12,'参数'!$C$13),2),"")</f>
        <v/>
      </c>
      <c r="H398" s="51" t="str">
        <f>IF(ISNUMBER(F398),IF(C398="卖",ROUND(F398*'参数'!$C$14,2),0),"")</f>
        <v/>
      </c>
      <c r="I398" s="51" t="str">
        <f>IF(ISNUMBER(F398),ROUND(F398*'参数'!$C$15,2),"")</f>
        <v/>
      </c>
      <c r="J398" s="21" t="n"/>
      <c r="K398" s="20" t="str">
        <f>IF(ISNUMBER(J398),J398,IF(ISNUMBER(F398),G398+H398+I398+ROUND(F398*'参数'!$C$16,2),""))</f>
        <v/>
      </c>
      <c r="L398" s="43" t="str">
        <f>IF(A398="","",IFERROR(T(INDEX('交易记录'!$C$5:$C$304,MATCH(A398,'交易记录'!$A$5:$A$304,0))),"编号没找到"))</f>
        <v/>
      </c>
      <c r="M398" s="57" t="str">
        <f>IF(AND(C398="买",ISNUMBER(B398)),WORKDAY(B398,1,'参数'!$B$58:$B$80),"")</f>
        <v/>
      </c>
      <c r="N398" s="36" t="str">
        <f>IF(C398&lt;&gt;"卖","",IF(AND(ISNUMBER(B398),A398&lt;&gt;""),IF(SUMIFS($E$5:$E$804,$A$5:$A$804,A398,$C$5:$C$804,"卖",$B$5:$B$804,"&lt;="&amp;B398)&gt;SUMIFS($E$5:$E$804,$A$5:$A$804,A398,$C$5:$C$804,"买",$B$5:$B$804,"&lt;"&amp;B398),"超出可卖股数","OK"),""))</f>
        <v/>
      </c>
      <c r="O398" s="32" t="n"/>
    </row>
    <row r="399">
      <c r="A399" s="46" t="n"/>
      <c r="B399" s="31" t="n"/>
      <c r="C399" s="27" t="n"/>
      <c r="D399" s="56" t="n"/>
      <c r="E399" s="17" t="n"/>
      <c r="F399" s="20" t="str">
        <f>IF(AND(ISNUMBER(D399),ISNUMBER(E399)),D399*E399,"")</f>
        <v/>
      </c>
      <c r="G399" s="51" t="str">
        <f>IF(ISNUMBER(F399),ROUND(MAX(F399*'参数'!$C$12,'参数'!$C$13),2),"")</f>
        <v/>
      </c>
      <c r="H399" s="51" t="str">
        <f>IF(ISNUMBER(F399),IF(C399="卖",ROUND(F399*'参数'!$C$14,2),0),"")</f>
        <v/>
      </c>
      <c r="I399" s="51" t="str">
        <f>IF(ISNUMBER(F399),ROUND(F399*'参数'!$C$15,2),"")</f>
        <v/>
      </c>
      <c r="J399" s="21" t="n"/>
      <c r="K399" s="20" t="str">
        <f>IF(ISNUMBER(J399),J399,IF(ISNUMBER(F399),G399+H399+I399+ROUND(F399*'参数'!$C$16,2),""))</f>
        <v/>
      </c>
      <c r="L399" s="43" t="str">
        <f>IF(A399="","",IFERROR(T(INDEX('交易记录'!$C$5:$C$304,MATCH(A399,'交易记录'!$A$5:$A$304,0))),"编号没找到"))</f>
        <v/>
      </c>
      <c r="M399" s="57" t="str">
        <f>IF(AND(C399="买",ISNUMBER(B399)),WORKDAY(B399,1,'参数'!$B$58:$B$80),"")</f>
        <v/>
      </c>
      <c r="N399" s="36" t="str">
        <f>IF(C399&lt;&gt;"卖","",IF(AND(ISNUMBER(B399),A399&lt;&gt;""),IF(SUMIFS($E$5:$E$804,$A$5:$A$804,A399,$C$5:$C$804,"卖",$B$5:$B$804,"&lt;="&amp;B399)&gt;SUMIFS($E$5:$E$804,$A$5:$A$804,A399,$C$5:$C$804,"买",$B$5:$B$804,"&lt;"&amp;B399),"超出可卖股数","OK"),""))</f>
        <v/>
      </c>
      <c r="O399" s="32" t="n"/>
    </row>
    <row r="400">
      <c r="A400" s="46" t="n"/>
      <c r="B400" s="31" t="n"/>
      <c r="C400" s="27" t="n"/>
      <c r="D400" s="56" t="n"/>
      <c r="E400" s="17" t="n"/>
      <c r="F400" s="20" t="str">
        <f>IF(AND(ISNUMBER(D400),ISNUMBER(E400)),D400*E400,"")</f>
        <v/>
      </c>
      <c r="G400" s="51" t="str">
        <f>IF(ISNUMBER(F400),ROUND(MAX(F400*'参数'!$C$12,'参数'!$C$13),2),"")</f>
        <v/>
      </c>
      <c r="H400" s="51" t="str">
        <f>IF(ISNUMBER(F400),IF(C400="卖",ROUND(F400*'参数'!$C$14,2),0),"")</f>
        <v/>
      </c>
      <c r="I400" s="51" t="str">
        <f>IF(ISNUMBER(F400),ROUND(F400*'参数'!$C$15,2),"")</f>
        <v/>
      </c>
      <c r="J400" s="21" t="n"/>
      <c r="K400" s="20" t="str">
        <f>IF(ISNUMBER(J400),J400,IF(ISNUMBER(F400),G400+H400+I400+ROUND(F400*'参数'!$C$16,2),""))</f>
        <v/>
      </c>
      <c r="L400" s="43" t="str">
        <f>IF(A400="","",IFERROR(T(INDEX('交易记录'!$C$5:$C$304,MATCH(A400,'交易记录'!$A$5:$A$304,0))),"编号没找到"))</f>
        <v/>
      </c>
      <c r="M400" s="57" t="str">
        <f>IF(AND(C400="买",ISNUMBER(B400)),WORKDAY(B400,1,'参数'!$B$58:$B$80),"")</f>
        <v/>
      </c>
      <c r="N400" s="36" t="str">
        <f>IF(C400&lt;&gt;"卖","",IF(AND(ISNUMBER(B400),A400&lt;&gt;""),IF(SUMIFS($E$5:$E$804,$A$5:$A$804,A400,$C$5:$C$804,"卖",$B$5:$B$804,"&lt;="&amp;B400)&gt;SUMIFS($E$5:$E$804,$A$5:$A$804,A400,$C$5:$C$804,"买",$B$5:$B$804,"&lt;"&amp;B400),"超出可卖股数","OK"),""))</f>
        <v/>
      </c>
      <c r="O400" s="32" t="n"/>
    </row>
    <row r="401">
      <c r="A401" s="46" t="n"/>
      <c r="B401" s="31" t="n"/>
      <c r="C401" s="27" t="n"/>
      <c r="D401" s="56" t="n"/>
      <c r="E401" s="17" t="n"/>
      <c r="F401" s="20" t="str">
        <f>IF(AND(ISNUMBER(D401),ISNUMBER(E401)),D401*E401,"")</f>
        <v/>
      </c>
      <c r="G401" s="51" t="str">
        <f>IF(ISNUMBER(F401),ROUND(MAX(F401*'参数'!$C$12,'参数'!$C$13),2),"")</f>
        <v/>
      </c>
      <c r="H401" s="51" t="str">
        <f>IF(ISNUMBER(F401),IF(C401="卖",ROUND(F401*'参数'!$C$14,2),0),"")</f>
        <v/>
      </c>
      <c r="I401" s="51" t="str">
        <f>IF(ISNUMBER(F401),ROUND(F401*'参数'!$C$15,2),"")</f>
        <v/>
      </c>
      <c r="J401" s="21" t="n"/>
      <c r="K401" s="20" t="str">
        <f>IF(ISNUMBER(J401),J401,IF(ISNUMBER(F401),G401+H401+I401+ROUND(F401*'参数'!$C$16,2),""))</f>
        <v/>
      </c>
      <c r="L401" s="43" t="str">
        <f>IF(A401="","",IFERROR(T(INDEX('交易记录'!$C$5:$C$304,MATCH(A401,'交易记录'!$A$5:$A$304,0))),"编号没找到"))</f>
        <v/>
      </c>
      <c r="M401" s="57" t="str">
        <f>IF(AND(C401="买",ISNUMBER(B401)),WORKDAY(B401,1,'参数'!$B$58:$B$80),"")</f>
        <v/>
      </c>
      <c r="N401" s="36" t="str">
        <f>IF(C401&lt;&gt;"卖","",IF(AND(ISNUMBER(B401),A401&lt;&gt;""),IF(SUMIFS($E$5:$E$804,$A$5:$A$804,A401,$C$5:$C$804,"卖",$B$5:$B$804,"&lt;="&amp;B401)&gt;SUMIFS($E$5:$E$804,$A$5:$A$804,A401,$C$5:$C$804,"买",$B$5:$B$804,"&lt;"&amp;B401),"超出可卖股数","OK"),""))</f>
        <v/>
      </c>
      <c r="O401" s="32" t="n"/>
    </row>
    <row r="402">
      <c r="A402" s="46" t="n"/>
      <c r="B402" s="31" t="n"/>
      <c r="C402" s="27" t="n"/>
      <c r="D402" s="56" t="n"/>
      <c r="E402" s="17" t="n"/>
      <c r="F402" s="20" t="str">
        <f>IF(AND(ISNUMBER(D402),ISNUMBER(E402)),D402*E402,"")</f>
        <v/>
      </c>
      <c r="G402" s="51" t="str">
        <f>IF(ISNUMBER(F402),ROUND(MAX(F402*'参数'!$C$12,'参数'!$C$13),2),"")</f>
        <v/>
      </c>
      <c r="H402" s="51" t="str">
        <f>IF(ISNUMBER(F402),IF(C402="卖",ROUND(F402*'参数'!$C$14,2),0),"")</f>
        <v/>
      </c>
      <c r="I402" s="51" t="str">
        <f>IF(ISNUMBER(F402),ROUND(F402*'参数'!$C$15,2),"")</f>
        <v/>
      </c>
      <c r="J402" s="21" t="n"/>
      <c r="K402" s="20" t="str">
        <f>IF(ISNUMBER(J402),J402,IF(ISNUMBER(F402),G402+H402+I402+ROUND(F402*'参数'!$C$16,2),""))</f>
        <v/>
      </c>
      <c r="L402" s="43" t="str">
        <f>IF(A402="","",IFERROR(T(INDEX('交易记录'!$C$5:$C$304,MATCH(A402,'交易记录'!$A$5:$A$304,0))),"编号没找到"))</f>
        <v/>
      </c>
      <c r="M402" s="57" t="str">
        <f>IF(AND(C402="买",ISNUMBER(B402)),WORKDAY(B402,1,'参数'!$B$58:$B$80),"")</f>
        <v/>
      </c>
      <c r="N402" s="36" t="str">
        <f>IF(C402&lt;&gt;"卖","",IF(AND(ISNUMBER(B402),A402&lt;&gt;""),IF(SUMIFS($E$5:$E$804,$A$5:$A$804,A402,$C$5:$C$804,"卖",$B$5:$B$804,"&lt;="&amp;B402)&gt;SUMIFS($E$5:$E$804,$A$5:$A$804,A402,$C$5:$C$804,"买",$B$5:$B$804,"&lt;"&amp;B402),"超出可卖股数","OK"),""))</f>
        <v/>
      </c>
      <c r="O402" s="32" t="n"/>
    </row>
    <row r="403">
      <c r="A403" s="46" t="n"/>
      <c r="B403" s="31" t="n"/>
      <c r="C403" s="27" t="n"/>
      <c r="D403" s="56" t="n"/>
      <c r="E403" s="17" t="n"/>
      <c r="F403" s="20" t="str">
        <f>IF(AND(ISNUMBER(D403),ISNUMBER(E403)),D403*E403,"")</f>
        <v/>
      </c>
      <c r="G403" s="51" t="str">
        <f>IF(ISNUMBER(F403),ROUND(MAX(F403*'参数'!$C$12,'参数'!$C$13),2),"")</f>
        <v/>
      </c>
      <c r="H403" s="51" t="str">
        <f>IF(ISNUMBER(F403),IF(C403="卖",ROUND(F403*'参数'!$C$14,2),0),"")</f>
        <v/>
      </c>
      <c r="I403" s="51" t="str">
        <f>IF(ISNUMBER(F403),ROUND(F403*'参数'!$C$15,2),"")</f>
        <v/>
      </c>
      <c r="J403" s="21" t="n"/>
      <c r="K403" s="20" t="str">
        <f>IF(ISNUMBER(J403),J403,IF(ISNUMBER(F403),G403+H403+I403+ROUND(F403*'参数'!$C$16,2),""))</f>
        <v/>
      </c>
      <c r="L403" s="43" t="str">
        <f>IF(A403="","",IFERROR(T(INDEX('交易记录'!$C$5:$C$304,MATCH(A403,'交易记录'!$A$5:$A$304,0))),"编号没找到"))</f>
        <v/>
      </c>
      <c r="M403" s="57" t="str">
        <f>IF(AND(C403="买",ISNUMBER(B403)),WORKDAY(B403,1,'参数'!$B$58:$B$80),"")</f>
        <v/>
      </c>
      <c r="N403" s="36" t="str">
        <f>IF(C403&lt;&gt;"卖","",IF(AND(ISNUMBER(B403),A403&lt;&gt;""),IF(SUMIFS($E$5:$E$804,$A$5:$A$804,A403,$C$5:$C$804,"卖",$B$5:$B$804,"&lt;="&amp;B403)&gt;SUMIFS($E$5:$E$804,$A$5:$A$804,A403,$C$5:$C$804,"买",$B$5:$B$804,"&lt;"&amp;B403),"超出可卖股数","OK"),""))</f>
        <v/>
      </c>
      <c r="O403" s="32" t="n"/>
    </row>
    <row r="404">
      <c r="A404" s="46" t="n"/>
      <c r="B404" s="31" t="n"/>
      <c r="C404" s="27" t="n"/>
      <c r="D404" s="56" t="n"/>
      <c r="E404" s="17" t="n"/>
      <c r="F404" s="20" t="str">
        <f>IF(AND(ISNUMBER(D404),ISNUMBER(E404)),D404*E404,"")</f>
        <v/>
      </c>
      <c r="G404" s="51" t="str">
        <f>IF(ISNUMBER(F404),ROUND(MAX(F404*'参数'!$C$12,'参数'!$C$13),2),"")</f>
        <v/>
      </c>
      <c r="H404" s="51" t="str">
        <f>IF(ISNUMBER(F404),IF(C404="卖",ROUND(F404*'参数'!$C$14,2),0),"")</f>
        <v/>
      </c>
      <c r="I404" s="51" t="str">
        <f>IF(ISNUMBER(F404),ROUND(F404*'参数'!$C$15,2),"")</f>
        <v/>
      </c>
      <c r="J404" s="21" t="n"/>
      <c r="K404" s="20" t="str">
        <f>IF(ISNUMBER(J404),J404,IF(ISNUMBER(F404),G404+H404+I404+ROUND(F404*'参数'!$C$16,2),""))</f>
        <v/>
      </c>
      <c r="L404" s="43" t="str">
        <f>IF(A404="","",IFERROR(T(INDEX('交易记录'!$C$5:$C$304,MATCH(A404,'交易记录'!$A$5:$A$304,0))),"编号没找到"))</f>
        <v/>
      </c>
      <c r="M404" s="57" t="str">
        <f>IF(AND(C404="买",ISNUMBER(B404)),WORKDAY(B404,1,'参数'!$B$58:$B$80),"")</f>
        <v/>
      </c>
      <c r="N404" s="36" t="str">
        <f>IF(C404&lt;&gt;"卖","",IF(AND(ISNUMBER(B404),A404&lt;&gt;""),IF(SUMIFS($E$5:$E$804,$A$5:$A$804,A404,$C$5:$C$804,"卖",$B$5:$B$804,"&lt;="&amp;B404)&gt;SUMIFS($E$5:$E$804,$A$5:$A$804,A404,$C$5:$C$804,"买",$B$5:$B$804,"&lt;"&amp;B404),"超出可卖股数","OK"),""))</f>
        <v/>
      </c>
      <c r="O404" s="32" t="n"/>
    </row>
    <row r="405">
      <c r="A405" s="46" t="n"/>
      <c r="B405" s="31" t="n"/>
      <c r="C405" s="27" t="n"/>
      <c r="D405" s="56" t="n"/>
      <c r="E405" s="17" t="n"/>
      <c r="F405" s="20" t="str">
        <f>IF(AND(ISNUMBER(D405),ISNUMBER(E405)),D405*E405,"")</f>
        <v/>
      </c>
      <c r="G405" s="51" t="str">
        <f>IF(ISNUMBER(F405),ROUND(MAX(F405*'参数'!$C$12,'参数'!$C$13),2),"")</f>
        <v/>
      </c>
      <c r="H405" s="51" t="str">
        <f>IF(ISNUMBER(F405),IF(C405="卖",ROUND(F405*'参数'!$C$14,2),0),"")</f>
        <v/>
      </c>
      <c r="I405" s="51" t="str">
        <f>IF(ISNUMBER(F405),ROUND(F405*'参数'!$C$15,2),"")</f>
        <v/>
      </c>
      <c r="J405" s="21" t="n"/>
      <c r="K405" s="20" t="str">
        <f>IF(ISNUMBER(J405),J405,IF(ISNUMBER(F405),G405+H405+I405+ROUND(F405*'参数'!$C$16,2),""))</f>
        <v/>
      </c>
      <c r="L405" s="43" t="str">
        <f>IF(A405="","",IFERROR(T(INDEX('交易记录'!$C$5:$C$304,MATCH(A405,'交易记录'!$A$5:$A$304,0))),"编号没找到"))</f>
        <v/>
      </c>
      <c r="M405" s="57" t="str">
        <f>IF(AND(C405="买",ISNUMBER(B405)),WORKDAY(B405,1,'参数'!$B$58:$B$80),"")</f>
        <v/>
      </c>
      <c r="N405" s="36" t="str">
        <f>IF(C405&lt;&gt;"卖","",IF(AND(ISNUMBER(B405),A405&lt;&gt;""),IF(SUMIFS($E$5:$E$804,$A$5:$A$804,A405,$C$5:$C$804,"卖",$B$5:$B$804,"&lt;="&amp;B405)&gt;SUMIFS($E$5:$E$804,$A$5:$A$804,A405,$C$5:$C$804,"买",$B$5:$B$804,"&lt;"&amp;B405),"超出可卖股数","OK"),""))</f>
        <v/>
      </c>
      <c r="O405" s="32" t="n"/>
    </row>
    <row r="406">
      <c r="A406" s="46" t="n"/>
      <c r="B406" s="31" t="n"/>
      <c r="C406" s="27" t="n"/>
      <c r="D406" s="56" t="n"/>
      <c r="E406" s="17" t="n"/>
      <c r="F406" s="20" t="str">
        <f>IF(AND(ISNUMBER(D406),ISNUMBER(E406)),D406*E406,"")</f>
        <v/>
      </c>
      <c r="G406" s="51" t="str">
        <f>IF(ISNUMBER(F406),ROUND(MAX(F406*'参数'!$C$12,'参数'!$C$13),2),"")</f>
        <v/>
      </c>
      <c r="H406" s="51" t="str">
        <f>IF(ISNUMBER(F406),IF(C406="卖",ROUND(F406*'参数'!$C$14,2),0),"")</f>
        <v/>
      </c>
      <c r="I406" s="51" t="str">
        <f>IF(ISNUMBER(F406),ROUND(F406*'参数'!$C$15,2),"")</f>
        <v/>
      </c>
      <c r="J406" s="21" t="n"/>
      <c r="K406" s="20" t="str">
        <f>IF(ISNUMBER(J406),J406,IF(ISNUMBER(F406),G406+H406+I406+ROUND(F406*'参数'!$C$16,2),""))</f>
        <v/>
      </c>
      <c r="L406" s="43" t="str">
        <f>IF(A406="","",IFERROR(T(INDEX('交易记录'!$C$5:$C$304,MATCH(A406,'交易记录'!$A$5:$A$304,0))),"编号没找到"))</f>
        <v/>
      </c>
      <c r="M406" s="57" t="str">
        <f>IF(AND(C406="买",ISNUMBER(B406)),WORKDAY(B406,1,'参数'!$B$58:$B$80),"")</f>
        <v/>
      </c>
      <c r="N406" s="36" t="str">
        <f>IF(C406&lt;&gt;"卖","",IF(AND(ISNUMBER(B406),A406&lt;&gt;""),IF(SUMIFS($E$5:$E$804,$A$5:$A$804,A406,$C$5:$C$804,"卖",$B$5:$B$804,"&lt;="&amp;B406)&gt;SUMIFS($E$5:$E$804,$A$5:$A$804,A406,$C$5:$C$804,"买",$B$5:$B$804,"&lt;"&amp;B406),"超出可卖股数","OK"),""))</f>
        <v/>
      </c>
      <c r="O406" s="32" t="n"/>
    </row>
    <row r="407">
      <c r="A407" s="46" t="n"/>
      <c r="B407" s="31" t="n"/>
      <c r="C407" s="27" t="n"/>
      <c r="D407" s="56" t="n"/>
      <c r="E407" s="17" t="n"/>
      <c r="F407" s="20" t="str">
        <f>IF(AND(ISNUMBER(D407),ISNUMBER(E407)),D407*E407,"")</f>
        <v/>
      </c>
      <c r="G407" s="51" t="str">
        <f>IF(ISNUMBER(F407),ROUND(MAX(F407*'参数'!$C$12,'参数'!$C$13),2),"")</f>
        <v/>
      </c>
      <c r="H407" s="51" t="str">
        <f>IF(ISNUMBER(F407),IF(C407="卖",ROUND(F407*'参数'!$C$14,2),0),"")</f>
        <v/>
      </c>
      <c r="I407" s="51" t="str">
        <f>IF(ISNUMBER(F407),ROUND(F407*'参数'!$C$15,2),"")</f>
        <v/>
      </c>
      <c r="J407" s="21" t="n"/>
      <c r="K407" s="20" t="str">
        <f>IF(ISNUMBER(J407),J407,IF(ISNUMBER(F407),G407+H407+I407+ROUND(F407*'参数'!$C$16,2),""))</f>
        <v/>
      </c>
      <c r="L407" s="43" t="str">
        <f>IF(A407="","",IFERROR(T(INDEX('交易记录'!$C$5:$C$304,MATCH(A407,'交易记录'!$A$5:$A$304,0))),"编号没找到"))</f>
        <v/>
      </c>
      <c r="M407" s="57" t="str">
        <f>IF(AND(C407="买",ISNUMBER(B407)),WORKDAY(B407,1,'参数'!$B$58:$B$80),"")</f>
        <v/>
      </c>
      <c r="N407" s="36" t="str">
        <f>IF(C407&lt;&gt;"卖","",IF(AND(ISNUMBER(B407),A407&lt;&gt;""),IF(SUMIFS($E$5:$E$804,$A$5:$A$804,A407,$C$5:$C$804,"卖",$B$5:$B$804,"&lt;="&amp;B407)&gt;SUMIFS($E$5:$E$804,$A$5:$A$804,A407,$C$5:$C$804,"买",$B$5:$B$804,"&lt;"&amp;B407),"超出可卖股数","OK"),""))</f>
        <v/>
      </c>
      <c r="O407" s="32" t="n"/>
    </row>
    <row r="408">
      <c r="A408" s="46" t="n"/>
      <c r="B408" s="31" t="n"/>
      <c r="C408" s="27" t="n"/>
      <c r="D408" s="56" t="n"/>
      <c r="E408" s="17" t="n"/>
      <c r="F408" s="20" t="str">
        <f>IF(AND(ISNUMBER(D408),ISNUMBER(E408)),D408*E408,"")</f>
        <v/>
      </c>
      <c r="G408" s="51" t="str">
        <f>IF(ISNUMBER(F408),ROUND(MAX(F408*'参数'!$C$12,'参数'!$C$13),2),"")</f>
        <v/>
      </c>
      <c r="H408" s="51" t="str">
        <f>IF(ISNUMBER(F408),IF(C408="卖",ROUND(F408*'参数'!$C$14,2),0),"")</f>
        <v/>
      </c>
      <c r="I408" s="51" t="str">
        <f>IF(ISNUMBER(F408),ROUND(F408*'参数'!$C$15,2),"")</f>
        <v/>
      </c>
      <c r="J408" s="21" t="n"/>
      <c r="K408" s="20" t="str">
        <f>IF(ISNUMBER(J408),J408,IF(ISNUMBER(F408),G408+H408+I408+ROUND(F408*'参数'!$C$16,2),""))</f>
        <v/>
      </c>
      <c r="L408" s="43" t="str">
        <f>IF(A408="","",IFERROR(T(INDEX('交易记录'!$C$5:$C$304,MATCH(A408,'交易记录'!$A$5:$A$304,0))),"编号没找到"))</f>
        <v/>
      </c>
      <c r="M408" s="57" t="str">
        <f>IF(AND(C408="买",ISNUMBER(B408)),WORKDAY(B408,1,'参数'!$B$58:$B$80),"")</f>
        <v/>
      </c>
      <c r="N408" s="36" t="str">
        <f>IF(C408&lt;&gt;"卖","",IF(AND(ISNUMBER(B408),A408&lt;&gt;""),IF(SUMIFS($E$5:$E$804,$A$5:$A$804,A408,$C$5:$C$804,"卖",$B$5:$B$804,"&lt;="&amp;B408)&gt;SUMIFS($E$5:$E$804,$A$5:$A$804,A408,$C$5:$C$804,"买",$B$5:$B$804,"&lt;"&amp;B408),"超出可卖股数","OK"),""))</f>
        <v/>
      </c>
      <c r="O408" s="32" t="n"/>
    </row>
    <row r="409">
      <c r="A409" s="46" t="n"/>
      <c r="B409" s="31" t="n"/>
      <c r="C409" s="27" t="n"/>
      <c r="D409" s="56" t="n"/>
      <c r="E409" s="17" t="n"/>
      <c r="F409" s="20" t="str">
        <f>IF(AND(ISNUMBER(D409),ISNUMBER(E409)),D409*E409,"")</f>
        <v/>
      </c>
      <c r="G409" s="51" t="str">
        <f>IF(ISNUMBER(F409),ROUND(MAX(F409*'参数'!$C$12,'参数'!$C$13),2),"")</f>
        <v/>
      </c>
      <c r="H409" s="51" t="str">
        <f>IF(ISNUMBER(F409),IF(C409="卖",ROUND(F409*'参数'!$C$14,2),0),"")</f>
        <v/>
      </c>
      <c r="I409" s="51" t="str">
        <f>IF(ISNUMBER(F409),ROUND(F409*'参数'!$C$15,2),"")</f>
        <v/>
      </c>
      <c r="J409" s="21" t="n"/>
      <c r="K409" s="20" t="str">
        <f>IF(ISNUMBER(J409),J409,IF(ISNUMBER(F409),G409+H409+I409+ROUND(F409*'参数'!$C$16,2),""))</f>
        <v/>
      </c>
      <c r="L409" s="43" t="str">
        <f>IF(A409="","",IFERROR(T(INDEX('交易记录'!$C$5:$C$304,MATCH(A409,'交易记录'!$A$5:$A$304,0))),"编号没找到"))</f>
        <v/>
      </c>
      <c r="M409" s="57" t="str">
        <f>IF(AND(C409="买",ISNUMBER(B409)),WORKDAY(B409,1,'参数'!$B$58:$B$80),"")</f>
        <v/>
      </c>
      <c r="N409" s="36" t="str">
        <f>IF(C409&lt;&gt;"卖","",IF(AND(ISNUMBER(B409),A409&lt;&gt;""),IF(SUMIFS($E$5:$E$804,$A$5:$A$804,A409,$C$5:$C$804,"卖",$B$5:$B$804,"&lt;="&amp;B409)&gt;SUMIFS($E$5:$E$804,$A$5:$A$804,A409,$C$5:$C$804,"买",$B$5:$B$804,"&lt;"&amp;B409),"超出可卖股数","OK"),""))</f>
        <v/>
      </c>
      <c r="O409" s="32" t="n"/>
    </row>
    <row r="410">
      <c r="A410" s="46" t="n"/>
      <c r="B410" s="31" t="n"/>
      <c r="C410" s="27" t="n"/>
      <c r="D410" s="56" t="n"/>
      <c r="E410" s="17" t="n"/>
      <c r="F410" s="20" t="str">
        <f>IF(AND(ISNUMBER(D410),ISNUMBER(E410)),D410*E410,"")</f>
        <v/>
      </c>
      <c r="G410" s="51" t="str">
        <f>IF(ISNUMBER(F410),ROUND(MAX(F410*'参数'!$C$12,'参数'!$C$13),2),"")</f>
        <v/>
      </c>
      <c r="H410" s="51" t="str">
        <f>IF(ISNUMBER(F410),IF(C410="卖",ROUND(F410*'参数'!$C$14,2),0),"")</f>
        <v/>
      </c>
      <c r="I410" s="51" t="str">
        <f>IF(ISNUMBER(F410),ROUND(F410*'参数'!$C$15,2),"")</f>
        <v/>
      </c>
      <c r="J410" s="21" t="n"/>
      <c r="K410" s="20" t="str">
        <f>IF(ISNUMBER(J410),J410,IF(ISNUMBER(F410),G410+H410+I410+ROUND(F410*'参数'!$C$16,2),""))</f>
        <v/>
      </c>
      <c r="L410" s="43" t="str">
        <f>IF(A410="","",IFERROR(T(INDEX('交易记录'!$C$5:$C$304,MATCH(A410,'交易记录'!$A$5:$A$304,0))),"编号没找到"))</f>
        <v/>
      </c>
      <c r="M410" s="57" t="str">
        <f>IF(AND(C410="买",ISNUMBER(B410)),WORKDAY(B410,1,'参数'!$B$58:$B$80),"")</f>
        <v/>
      </c>
      <c r="N410" s="36" t="str">
        <f>IF(C410&lt;&gt;"卖","",IF(AND(ISNUMBER(B410),A410&lt;&gt;""),IF(SUMIFS($E$5:$E$804,$A$5:$A$804,A410,$C$5:$C$804,"卖",$B$5:$B$804,"&lt;="&amp;B410)&gt;SUMIFS($E$5:$E$804,$A$5:$A$804,A410,$C$5:$C$804,"买",$B$5:$B$804,"&lt;"&amp;B410),"超出可卖股数","OK"),""))</f>
        <v/>
      </c>
      <c r="O410" s="32" t="n"/>
    </row>
    <row r="411">
      <c r="A411" s="46" t="n"/>
      <c r="B411" s="31" t="n"/>
      <c r="C411" s="27" t="n"/>
      <c r="D411" s="56" t="n"/>
      <c r="E411" s="17" t="n"/>
      <c r="F411" s="20" t="str">
        <f>IF(AND(ISNUMBER(D411),ISNUMBER(E411)),D411*E411,"")</f>
        <v/>
      </c>
      <c r="G411" s="51" t="str">
        <f>IF(ISNUMBER(F411),ROUND(MAX(F411*'参数'!$C$12,'参数'!$C$13),2),"")</f>
        <v/>
      </c>
      <c r="H411" s="51" t="str">
        <f>IF(ISNUMBER(F411),IF(C411="卖",ROUND(F411*'参数'!$C$14,2),0),"")</f>
        <v/>
      </c>
      <c r="I411" s="51" t="str">
        <f>IF(ISNUMBER(F411),ROUND(F411*'参数'!$C$15,2),"")</f>
        <v/>
      </c>
      <c r="J411" s="21" t="n"/>
      <c r="K411" s="20" t="str">
        <f>IF(ISNUMBER(J411),J411,IF(ISNUMBER(F411),G411+H411+I411+ROUND(F411*'参数'!$C$16,2),""))</f>
        <v/>
      </c>
      <c r="L411" s="43" t="str">
        <f>IF(A411="","",IFERROR(T(INDEX('交易记录'!$C$5:$C$304,MATCH(A411,'交易记录'!$A$5:$A$304,0))),"编号没找到"))</f>
        <v/>
      </c>
      <c r="M411" s="57" t="str">
        <f>IF(AND(C411="买",ISNUMBER(B411)),WORKDAY(B411,1,'参数'!$B$58:$B$80),"")</f>
        <v/>
      </c>
      <c r="N411" s="36" t="str">
        <f>IF(C411&lt;&gt;"卖","",IF(AND(ISNUMBER(B411),A411&lt;&gt;""),IF(SUMIFS($E$5:$E$804,$A$5:$A$804,A411,$C$5:$C$804,"卖",$B$5:$B$804,"&lt;="&amp;B411)&gt;SUMIFS($E$5:$E$804,$A$5:$A$804,A411,$C$5:$C$804,"买",$B$5:$B$804,"&lt;"&amp;B411),"超出可卖股数","OK"),""))</f>
        <v/>
      </c>
      <c r="O411" s="32" t="n"/>
    </row>
    <row r="412">
      <c r="A412" s="46" t="n"/>
      <c r="B412" s="31" t="n"/>
      <c r="C412" s="27" t="n"/>
      <c r="D412" s="56" t="n"/>
      <c r="E412" s="17" t="n"/>
      <c r="F412" s="20" t="str">
        <f>IF(AND(ISNUMBER(D412),ISNUMBER(E412)),D412*E412,"")</f>
        <v/>
      </c>
      <c r="G412" s="51" t="str">
        <f>IF(ISNUMBER(F412),ROUND(MAX(F412*'参数'!$C$12,'参数'!$C$13),2),"")</f>
        <v/>
      </c>
      <c r="H412" s="51" t="str">
        <f>IF(ISNUMBER(F412),IF(C412="卖",ROUND(F412*'参数'!$C$14,2),0),"")</f>
        <v/>
      </c>
      <c r="I412" s="51" t="str">
        <f>IF(ISNUMBER(F412),ROUND(F412*'参数'!$C$15,2),"")</f>
        <v/>
      </c>
      <c r="J412" s="21" t="n"/>
      <c r="K412" s="20" t="str">
        <f>IF(ISNUMBER(J412),J412,IF(ISNUMBER(F412),G412+H412+I412+ROUND(F412*'参数'!$C$16,2),""))</f>
        <v/>
      </c>
      <c r="L412" s="43" t="str">
        <f>IF(A412="","",IFERROR(T(INDEX('交易记录'!$C$5:$C$304,MATCH(A412,'交易记录'!$A$5:$A$304,0))),"编号没找到"))</f>
        <v/>
      </c>
      <c r="M412" s="57" t="str">
        <f>IF(AND(C412="买",ISNUMBER(B412)),WORKDAY(B412,1,'参数'!$B$58:$B$80),"")</f>
        <v/>
      </c>
      <c r="N412" s="36" t="str">
        <f>IF(C412&lt;&gt;"卖","",IF(AND(ISNUMBER(B412),A412&lt;&gt;""),IF(SUMIFS($E$5:$E$804,$A$5:$A$804,A412,$C$5:$C$804,"卖",$B$5:$B$804,"&lt;="&amp;B412)&gt;SUMIFS($E$5:$E$804,$A$5:$A$804,A412,$C$5:$C$804,"买",$B$5:$B$804,"&lt;"&amp;B412),"超出可卖股数","OK"),""))</f>
        <v/>
      </c>
      <c r="O412" s="32" t="n"/>
    </row>
    <row r="413">
      <c r="A413" s="46" t="n"/>
      <c r="B413" s="31" t="n"/>
      <c r="C413" s="27" t="n"/>
      <c r="D413" s="56" t="n"/>
      <c r="E413" s="17" t="n"/>
      <c r="F413" s="20" t="str">
        <f>IF(AND(ISNUMBER(D413),ISNUMBER(E413)),D413*E413,"")</f>
        <v/>
      </c>
      <c r="G413" s="51" t="str">
        <f>IF(ISNUMBER(F413),ROUND(MAX(F413*'参数'!$C$12,'参数'!$C$13),2),"")</f>
        <v/>
      </c>
      <c r="H413" s="51" t="str">
        <f>IF(ISNUMBER(F413),IF(C413="卖",ROUND(F413*'参数'!$C$14,2),0),"")</f>
        <v/>
      </c>
      <c r="I413" s="51" t="str">
        <f>IF(ISNUMBER(F413),ROUND(F413*'参数'!$C$15,2),"")</f>
        <v/>
      </c>
      <c r="J413" s="21" t="n"/>
      <c r="K413" s="20" t="str">
        <f>IF(ISNUMBER(J413),J413,IF(ISNUMBER(F413),G413+H413+I413+ROUND(F413*'参数'!$C$16,2),""))</f>
        <v/>
      </c>
      <c r="L413" s="43" t="str">
        <f>IF(A413="","",IFERROR(T(INDEX('交易记录'!$C$5:$C$304,MATCH(A413,'交易记录'!$A$5:$A$304,0))),"编号没找到"))</f>
        <v/>
      </c>
      <c r="M413" s="57" t="str">
        <f>IF(AND(C413="买",ISNUMBER(B413)),WORKDAY(B413,1,'参数'!$B$58:$B$80),"")</f>
        <v/>
      </c>
      <c r="N413" s="36" t="str">
        <f>IF(C413&lt;&gt;"卖","",IF(AND(ISNUMBER(B413),A413&lt;&gt;""),IF(SUMIFS($E$5:$E$804,$A$5:$A$804,A413,$C$5:$C$804,"卖",$B$5:$B$804,"&lt;="&amp;B413)&gt;SUMIFS($E$5:$E$804,$A$5:$A$804,A413,$C$5:$C$804,"买",$B$5:$B$804,"&lt;"&amp;B413),"超出可卖股数","OK"),""))</f>
        <v/>
      </c>
      <c r="O413" s="32" t="n"/>
    </row>
    <row r="414">
      <c r="A414" s="46" t="n"/>
      <c r="B414" s="31" t="n"/>
      <c r="C414" s="27" t="n"/>
      <c r="D414" s="56" t="n"/>
      <c r="E414" s="17" t="n"/>
      <c r="F414" s="20" t="str">
        <f>IF(AND(ISNUMBER(D414),ISNUMBER(E414)),D414*E414,"")</f>
        <v/>
      </c>
      <c r="G414" s="51" t="str">
        <f>IF(ISNUMBER(F414),ROUND(MAX(F414*'参数'!$C$12,'参数'!$C$13),2),"")</f>
        <v/>
      </c>
      <c r="H414" s="51" t="str">
        <f>IF(ISNUMBER(F414),IF(C414="卖",ROUND(F414*'参数'!$C$14,2),0),"")</f>
        <v/>
      </c>
      <c r="I414" s="51" t="str">
        <f>IF(ISNUMBER(F414),ROUND(F414*'参数'!$C$15,2),"")</f>
        <v/>
      </c>
      <c r="J414" s="21" t="n"/>
      <c r="K414" s="20" t="str">
        <f>IF(ISNUMBER(J414),J414,IF(ISNUMBER(F414),G414+H414+I414+ROUND(F414*'参数'!$C$16,2),""))</f>
        <v/>
      </c>
      <c r="L414" s="43" t="str">
        <f>IF(A414="","",IFERROR(T(INDEX('交易记录'!$C$5:$C$304,MATCH(A414,'交易记录'!$A$5:$A$304,0))),"编号没找到"))</f>
        <v/>
      </c>
      <c r="M414" s="57" t="str">
        <f>IF(AND(C414="买",ISNUMBER(B414)),WORKDAY(B414,1,'参数'!$B$58:$B$80),"")</f>
        <v/>
      </c>
      <c r="N414" s="36" t="str">
        <f>IF(C414&lt;&gt;"卖","",IF(AND(ISNUMBER(B414),A414&lt;&gt;""),IF(SUMIFS($E$5:$E$804,$A$5:$A$804,A414,$C$5:$C$804,"卖",$B$5:$B$804,"&lt;="&amp;B414)&gt;SUMIFS($E$5:$E$804,$A$5:$A$804,A414,$C$5:$C$804,"买",$B$5:$B$804,"&lt;"&amp;B414),"超出可卖股数","OK"),""))</f>
        <v/>
      </c>
      <c r="O414" s="32" t="n"/>
    </row>
    <row r="415">
      <c r="A415" s="46" t="n"/>
      <c r="B415" s="31" t="n"/>
      <c r="C415" s="27" t="n"/>
      <c r="D415" s="56" t="n"/>
      <c r="E415" s="17" t="n"/>
      <c r="F415" s="20" t="str">
        <f>IF(AND(ISNUMBER(D415),ISNUMBER(E415)),D415*E415,"")</f>
        <v/>
      </c>
      <c r="G415" s="51" t="str">
        <f>IF(ISNUMBER(F415),ROUND(MAX(F415*'参数'!$C$12,'参数'!$C$13),2),"")</f>
        <v/>
      </c>
      <c r="H415" s="51" t="str">
        <f>IF(ISNUMBER(F415),IF(C415="卖",ROUND(F415*'参数'!$C$14,2),0),"")</f>
        <v/>
      </c>
      <c r="I415" s="51" t="str">
        <f>IF(ISNUMBER(F415),ROUND(F415*'参数'!$C$15,2),"")</f>
        <v/>
      </c>
      <c r="J415" s="21" t="n"/>
      <c r="K415" s="20" t="str">
        <f>IF(ISNUMBER(J415),J415,IF(ISNUMBER(F415),G415+H415+I415+ROUND(F415*'参数'!$C$16,2),""))</f>
        <v/>
      </c>
      <c r="L415" s="43" t="str">
        <f>IF(A415="","",IFERROR(T(INDEX('交易记录'!$C$5:$C$304,MATCH(A415,'交易记录'!$A$5:$A$304,0))),"编号没找到"))</f>
        <v/>
      </c>
      <c r="M415" s="57" t="str">
        <f>IF(AND(C415="买",ISNUMBER(B415)),WORKDAY(B415,1,'参数'!$B$58:$B$80),"")</f>
        <v/>
      </c>
      <c r="N415" s="36" t="str">
        <f>IF(C415&lt;&gt;"卖","",IF(AND(ISNUMBER(B415),A415&lt;&gt;""),IF(SUMIFS($E$5:$E$804,$A$5:$A$804,A415,$C$5:$C$804,"卖",$B$5:$B$804,"&lt;="&amp;B415)&gt;SUMIFS($E$5:$E$804,$A$5:$A$804,A415,$C$5:$C$804,"买",$B$5:$B$804,"&lt;"&amp;B415),"超出可卖股数","OK"),""))</f>
        <v/>
      </c>
      <c r="O415" s="32" t="n"/>
    </row>
    <row r="416">
      <c r="A416" s="46" t="n"/>
      <c r="B416" s="31" t="n"/>
      <c r="C416" s="27" t="n"/>
      <c r="D416" s="56" t="n"/>
      <c r="E416" s="17" t="n"/>
      <c r="F416" s="20" t="str">
        <f>IF(AND(ISNUMBER(D416),ISNUMBER(E416)),D416*E416,"")</f>
        <v/>
      </c>
      <c r="G416" s="51" t="str">
        <f>IF(ISNUMBER(F416),ROUND(MAX(F416*'参数'!$C$12,'参数'!$C$13),2),"")</f>
        <v/>
      </c>
      <c r="H416" s="51" t="str">
        <f>IF(ISNUMBER(F416),IF(C416="卖",ROUND(F416*'参数'!$C$14,2),0),"")</f>
        <v/>
      </c>
      <c r="I416" s="51" t="str">
        <f>IF(ISNUMBER(F416),ROUND(F416*'参数'!$C$15,2),"")</f>
        <v/>
      </c>
      <c r="J416" s="21" t="n"/>
      <c r="K416" s="20" t="str">
        <f>IF(ISNUMBER(J416),J416,IF(ISNUMBER(F416),G416+H416+I416+ROUND(F416*'参数'!$C$16,2),""))</f>
        <v/>
      </c>
      <c r="L416" s="43" t="str">
        <f>IF(A416="","",IFERROR(T(INDEX('交易记录'!$C$5:$C$304,MATCH(A416,'交易记录'!$A$5:$A$304,0))),"编号没找到"))</f>
        <v/>
      </c>
      <c r="M416" s="57" t="str">
        <f>IF(AND(C416="买",ISNUMBER(B416)),WORKDAY(B416,1,'参数'!$B$58:$B$80),"")</f>
        <v/>
      </c>
      <c r="N416" s="36" t="str">
        <f>IF(C416&lt;&gt;"卖","",IF(AND(ISNUMBER(B416),A416&lt;&gt;""),IF(SUMIFS($E$5:$E$804,$A$5:$A$804,A416,$C$5:$C$804,"卖",$B$5:$B$804,"&lt;="&amp;B416)&gt;SUMIFS($E$5:$E$804,$A$5:$A$804,A416,$C$5:$C$804,"买",$B$5:$B$804,"&lt;"&amp;B416),"超出可卖股数","OK"),""))</f>
        <v/>
      </c>
      <c r="O416" s="32" t="n"/>
    </row>
    <row r="417">
      <c r="A417" s="46" t="n"/>
      <c r="B417" s="31" t="n"/>
      <c r="C417" s="27" t="n"/>
      <c r="D417" s="56" t="n"/>
      <c r="E417" s="17" t="n"/>
      <c r="F417" s="20" t="str">
        <f>IF(AND(ISNUMBER(D417),ISNUMBER(E417)),D417*E417,"")</f>
        <v/>
      </c>
      <c r="G417" s="51" t="str">
        <f>IF(ISNUMBER(F417),ROUND(MAX(F417*'参数'!$C$12,'参数'!$C$13),2),"")</f>
        <v/>
      </c>
      <c r="H417" s="51" t="str">
        <f>IF(ISNUMBER(F417),IF(C417="卖",ROUND(F417*'参数'!$C$14,2),0),"")</f>
        <v/>
      </c>
      <c r="I417" s="51" t="str">
        <f>IF(ISNUMBER(F417),ROUND(F417*'参数'!$C$15,2),"")</f>
        <v/>
      </c>
      <c r="J417" s="21" t="n"/>
      <c r="K417" s="20" t="str">
        <f>IF(ISNUMBER(J417),J417,IF(ISNUMBER(F417),G417+H417+I417+ROUND(F417*'参数'!$C$16,2),""))</f>
        <v/>
      </c>
      <c r="L417" s="43" t="str">
        <f>IF(A417="","",IFERROR(T(INDEX('交易记录'!$C$5:$C$304,MATCH(A417,'交易记录'!$A$5:$A$304,0))),"编号没找到"))</f>
        <v/>
      </c>
      <c r="M417" s="57" t="str">
        <f>IF(AND(C417="买",ISNUMBER(B417)),WORKDAY(B417,1,'参数'!$B$58:$B$80),"")</f>
        <v/>
      </c>
      <c r="N417" s="36" t="str">
        <f>IF(C417&lt;&gt;"卖","",IF(AND(ISNUMBER(B417),A417&lt;&gt;""),IF(SUMIFS($E$5:$E$804,$A$5:$A$804,A417,$C$5:$C$804,"卖",$B$5:$B$804,"&lt;="&amp;B417)&gt;SUMIFS($E$5:$E$804,$A$5:$A$804,A417,$C$5:$C$804,"买",$B$5:$B$804,"&lt;"&amp;B417),"超出可卖股数","OK"),""))</f>
        <v/>
      </c>
      <c r="O417" s="32" t="n"/>
    </row>
    <row r="418">
      <c r="A418" s="46" t="n"/>
      <c r="B418" s="31" t="n"/>
      <c r="C418" s="27" t="n"/>
      <c r="D418" s="56" t="n"/>
      <c r="E418" s="17" t="n"/>
      <c r="F418" s="20" t="str">
        <f>IF(AND(ISNUMBER(D418),ISNUMBER(E418)),D418*E418,"")</f>
        <v/>
      </c>
      <c r="G418" s="51" t="str">
        <f>IF(ISNUMBER(F418),ROUND(MAX(F418*'参数'!$C$12,'参数'!$C$13),2),"")</f>
        <v/>
      </c>
      <c r="H418" s="51" t="str">
        <f>IF(ISNUMBER(F418),IF(C418="卖",ROUND(F418*'参数'!$C$14,2),0),"")</f>
        <v/>
      </c>
      <c r="I418" s="51" t="str">
        <f>IF(ISNUMBER(F418),ROUND(F418*'参数'!$C$15,2),"")</f>
        <v/>
      </c>
      <c r="J418" s="21" t="n"/>
      <c r="K418" s="20" t="str">
        <f>IF(ISNUMBER(J418),J418,IF(ISNUMBER(F418),G418+H418+I418+ROUND(F418*'参数'!$C$16,2),""))</f>
        <v/>
      </c>
      <c r="L418" s="43" t="str">
        <f>IF(A418="","",IFERROR(T(INDEX('交易记录'!$C$5:$C$304,MATCH(A418,'交易记录'!$A$5:$A$304,0))),"编号没找到"))</f>
        <v/>
      </c>
      <c r="M418" s="57" t="str">
        <f>IF(AND(C418="买",ISNUMBER(B418)),WORKDAY(B418,1,'参数'!$B$58:$B$80),"")</f>
        <v/>
      </c>
      <c r="N418" s="36" t="str">
        <f>IF(C418&lt;&gt;"卖","",IF(AND(ISNUMBER(B418),A418&lt;&gt;""),IF(SUMIFS($E$5:$E$804,$A$5:$A$804,A418,$C$5:$C$804,"卖",$B$5:$B$804,"&lt;="&amp;B418)&gt;SUMIFS($E$5:$E$804,$A$5:$A$804,A418,$C$5:$C$804,"买",$B$5:$B$804,"&lt;"&amp;B418),"超出可卖股数","OK"),""))</f>
        <v/>
      </c>
      <c r="O418" s="32" t="n"/>
    </row>
    <row r="419">
      <c r="A419" s="46" t="n"/>
      <c r="B419" s="31" t="n"/>
      <c r="C419" s="27" t="n"/>
      <c r="D419" s="56" t="n"/>
      <c r="E419" s="17" t="n"/>
      <c r="F419" s="20" t="str">
        <f>IF(AND(ISNUMBER(D419),ISNUMBER(E419)),D419*E419,"")</f>
        <v/>
      </c>
      <c r="G419" s="51" t="str">
        <f>IF(ISNUMBER(F419),ROUND(MAX(F419*'参数'!$C$12,'参数'!$C$13),2),"")</f>
        <v/>
      </c>
      <c r="H419" s="51" t="str">
        <f>IF(ISNUMBER(F419),IF(C419="卖",ROUND(F419*'参数'!$C$14,2),0),"")</f>
        <v/>
      </c>
      <c r="I419" s="51" t="str">
        <f>IF(ISNUMBER(F419),ROUND(F419*'参数'!$C$15,2),"")</f>
        <v/>
      </c>
      <c r="J419" s="21" t="n"/>
      <c r="K419" s="20" t="str">
        <f>IF(ISNUMBER(J419),J419,IF(ISNUMBER(F419),G419+H419+I419+ROUND(F419*'参数'!$C$16,2),""))</f>
        <v/>
      </c>
      <c r="L419" s="43" t="str">
        <f>IF(A419="","",IFERROR(T(INDEX('交易记录'!$C$5:$C$304,MATCH(A419,'交易记录'!$A$5:$A$304,0))),"编号没找到"))</f>
        <v/>
      </c>
      <c r="M419" s="57" t="str">
        <f>IF(AND(C419="买",ISNUMBER(B419)),WORKDAY(B419,1,'参数'!$B$58:$B$80),"")</f>
        <v/>
      </c>
      <c r="N419" s="36" t="str">
        <f>IF(C419&lt;&gt;"卖","",IF(AND(ISNUMBER(B419),A419&lt;&gt;""),IF(SUMIFS($E$5:$E$804,$A$5:$A$804,A419,$C$5:$C$804,"卖",$B$5:$B$804,"&lt;="&amp;B419)&gt;SUMIFS($E$5:$E$804,$A$5:$A$804,A419,$C$5:$C$804,"买",$B$5:$B$804,"&lt;"&amp;B419),"超出可卖股数","OK"),""))</f>
        <v/>
      </c>
      <c r="O419" s="32" t="n"/>
    </row>
    <row r="420">
      <c r="A420" s="46" t="n"/>
      <c r="B420" s="31" t="n"/>
      <c r="C420" s="27" t="n"/>
      <c r="D420" s="56" t="n"/>
      <c r="E420" s="17" t="n"/>
      <c r="F420" s="20" t="str">
        <f>IF(AND(ISNUMBER(D420),ISNUMBER(E420)),D420*E420,"")</f>
        <v/>
      </c>
      <c r="G420" s="51" t="str">
        <f>IF(ISNUMBER(F420),ROUND(MAX(F420*'参数'!$C$12,'参数'!$C$13),2),"")</f>
        <v/>
      </c>
      <c r="H420" s="51" t="str">
        <f>IF(ISNUMBER(F420),IF(C420="卖",ROUND(F420*'参数'!$C$14,2),0),"")</f>
        <v/>
      </c>
      <c r="I420" s="51" t="str">
        <f>IF(ISNUMBER(F420),ROUND(F420*'参数'!$C$15,2),"")</f>
        <v/>
      </c>
      <c r="J420" s="21" t="n"/>
      <c r="K420" s="20" t="str">
        <f>IF(ISNUMBER(J420),J420,IF(ISNUMBER(F420),G420+H420+I420+ROUND(F420*'参数'!$C$16,2),""))</f>
        <v/>
      </c>
      <c r="L420" s="43" t="str">
        <f>IF(A420="","",IFERROR(T(INDEX('交易记录'!$C$5:$C$304,MATCH(A420,'交易记录'!$A$5:$A$304,0))),"编号没找到"))</f>
        <v/>
      </c>
      <c r="M420" s="57" t="str">
        <f>IF(AND(C420="买",ISNUMBER(B420)),WORKDAY(B420,1,'参数'!$B$58:$B$80),"")</f>
        <v/>
      </c>
      <c r="N420" s="36" t="str">
        <f>IF(C420&lt;&gt;"卖","",IF(AND(ISNUMBER(B420),A420&lt;&gt;""),IF(SUMIFS($E$5:$E$804,$A$5:$A$804,A420,$C$5:$C$804,"卖",$B$5:$B$804,"&lt;="&amp;B420)&gt;SUMIFS($E$5:$E$804,$A$5:$A$804,A420,$C$5:$C$804,"买",$B$5:$B$804,"&lt;"&amp;B420),"超出可卖股数","OK"),""))</f>
        <v/>
      </c>
      <c r="O420" s="32" t="n"/>
    </row>
    <row r="421">
      <c r="A421" s="46" t="n"/>
      <c r="B421" s="31" t="n"/>
      <c r="C421" s="27" t="n"/>
      <c r="D421" s="56" t="n"/>
      <c r="E421" s="17" t="n"/>
      <c r="F421" s="20" t="str">
        <f>IF(AND(ISNUMBER(D421),ISNUMBER(E421)),D421*E421,"")</f>
        <v/>
      </c>
      <c r="G421" s="51" t="str">
        <f>IF(ISNUMBER(F421),ROUND(MAX(F421*'参数'!$C$12,'参数'!$C$13),2),"")</f>
        <v/>
      </c>
      <c r="H421" s="51" t="str">
        <f>IF(ISNUMBER(F421),IF(C421="卖",ROUND(F421*'参数'!$C$14,2),0),"")</f>
        <v/>
      </c>
      <c r="I421" s="51" t="str">
        <f>IF(ISNUMBER(F421),ROUND(F421*'参数'!$C$15,2),"")</f>
        <v/>
      </c>
      <c r="J421" s="21" t="n"/>
      <c r="K421" s="20" t="str">
        <f>IF(ISNUMBER(J421),J421,IF(ISNUMBER(F421),G421+H421+I421+ROUND(F421*'参数'!$C$16,2),""))</f>
        <v/>
      </c>
      <c r="L421" s="43" t="str">
        <f>IF(A421="","",IFERROR(T(INDEX('交易记录'!$C$5:$C$304,MATCH(A421,'交易记录'!$A$5:$A$304,0))),"编号没找到"))</f>
        <v/>
      </c>
      <c r="M421" s="57" t="str">
        <f>IF(AND(C421="买",ISNUMBER(B421)),WORKDAY(B421,1,'参数'!$B$58:$B$80),"")</f>
        <v/>
      </c>
      <c r="N421" s="36" t="str">
        <f>IF(C421&lt;&gt;"卖","",IF(AND(ISNUMBER(B421),A421&lt;&gt;""),IF(SUMIFS($E$5:$E$804,$A$5:$A$804,A421,$C$5:$C$804,"卖",$B$5:$B$804,"&lt;="&amp;B421)&gt;SUMIFS($E$5:$E$804,$A$5:$A$804,A421,$C$5:$C$804,"买",$B$5:$B$804,"&lt;"&amp;B421),"超出可卖股数","OK"),""))</f>
        <v/>
      </c>
      <c r="O421" s="32" t="n"/>
    </row>
    <row r="422">
      <c r="A422" s="46" t="n"/>
      <c r="B422" s="31" t="n"/>
      <c r="C422" s="27" t="n"/>
      <c r="D422" s="56" t="n"/>
      <c r="E422" s="17" t="n"/>
      <c r="F422" s="20" t="str">
        <f>IF(AND(ISNUMBER(D422),ISNUMBER(E422)),D422*E422,"")</f>
        <v/>
      </c>
      <c r="G422" s="51" t="str">
        <f>IF(ISNUMBER(F422),ROUND(MAX(F422*'参数'!$C$12,'参数'!$C$13),2),"")</f>
        <v/>
      </c>
      <c r="H422" s="51" t="str">
        <f>IF(ISNUMBER(F422),IF(C422="卖",ROUND(F422*'参数'!$C$14,2),0),"")</f>
        <v/>
      </c>
      <c r="I422" s="51" t="str">
        <f>IF(ISNUMBER(F422),ROUND(F422*'参数'!$C$15,2),"")</f>
        <v/>
      </c>
      <c r="J422" s="21" t="n"/>
      <c r="K422" s="20" t="str">
        <f>IF(ISNUMBER(J422),J422,IF(ISNUMBER(F422),G422+H422+I422+ROUND(F422*'参数'!$C$16,2),""))</f>
        <v/>
      </c>
      <c r="L422" s="43" t="str">
        <f>IF(A422="","",IFERROR(T(INDEX('交易记录'!$C$5:$C$304,MATCH(A422,'交易记录'!$A$5:$A$304,0))),"编号没找到"))</f>
        <v/>
      </c>
      <c r="M422" s="57" t="str">
        <f>IF(AND(C422="买",ISNUMBER(B422)),WORKDAY(B422,1,'参数'!$B$58:$B$80),"")</f>
        <v/>
      </c>
      <c r="N422" s="36" t="str">
        <f>IF(C422&lt;&gt;"卖","",IF(AND(ISNUMBER(B422),A422&lt;&gt;""),IF(SUMIFS($E$5:$E$804,$A$5:$A$804,A422,$C$5:$C$804,"卖",$B$5:$B$804,"&lt;="&amp;B422)&gt;SUMIFS($E$5:$E$804,$A$5:$A$804,A422,$C$5:$C$804,"买",$B$5:$B$804,"&lt;"&amp;B422),"超出可卖股数","OK"),""))</f>
        <v/>
      </c>
      <c r="O422" s="32" t="n"/>
    </row>
    <row r="423">
      <c r="A423" s="46" t="n"/>
      <c r="B423" s="31" t="n"/>
      <c r="C423" s="27" t="n"/>
      <c r="D423" s="56" t="n"/>
      <c r="E423" s="17" t="n"/>
      <c r="F423" s="20" t="str">
        <f>IF(AND(ISNUMBER(D423),ISNUMBER(E423)),D423*E423,"")</f>
        <v/>
      </c>
      <c r="G423" s="51" t="str">
        <f>IF(ISNUMBER(F423),ROUND(MAX(F423*'参数'!$C$12,'参数'!$C$13),2),"")</f>
        <v/>
      </c>
      <c r="H423" s="51" t="str">
        <f>IF(ISNUMBER(F423),IF(C423="卖",ROUND(F423*'参数'!$C$14,2),0),"")</f>
        <v/>
      </c>
      <c r="I423" s="51" t="str">
        <f>IF(ISNUMBER(F423),ROUND(F423*'参数'!$C$15,2),"")</f>
        <v/>
      </c>
      <c r="J423" s="21" t="n"/>
      <c r="K423" s="20" t="str">
        <f>IF(ISNUMBER(J423),J423,IF(ISNUMBER(F423),G423+H423+I423+ROUND(F423*'参数'!$C$16,2),""))</f>
        <v/>
      </c>
      <c r="L423" s="43" t="str">
        <f>IF(A423="","",IFERROR(T(INDEX('交易记录'!$C$5:$C$304,MATCH(A423,'交易记录'!$A$5:$A$304,0))),"编号没找到"))</f>
        <v/>
      </c>
      <c r="M423" s="57" t="str">
        <f>IF(AND(C423="买",ISNUMBER(B423)),WORKDAY(B423,1,'参数'!$B$58:$B$80),"")</f>
        <v/>
      </c>
      <c r="N423" s="36" t="str">
        <f>IF(C423&lt;&gt;"卖","",IF(AND(ISNUMBER(B423),A423&lt;&gt;""),IF(SUMIFS($E$5:$E$804,$A$5:$A$804,A423,$C$5:$C$804,"卖",$B$5:$B$804,"&lt;="&amp;B423)&gt;SUMIFS($E$5:$E$804,$A$5:$A$804,A423,$C$5:$C$804,"买",$B$5:$B$804,"&lt;"&amp;B423),"超出可卖股数","OK"),""))</f>
        <v/>
      </c>
      <c r="O423" s="32" t="n"/>
    </row>
    <row r="424">
      <c r="A424" s="46" t="n"/>
      <c r="B424" s="31" t="n"/>
      <c r="C424" s="27" t="n"/>
      <c r="D424" s="56" t="n"/>
      <c r="E424" s="17" t="n"/>
      <c r="F424" s="20" t="str">
        <f>IF(AND(ISNUMBER(D424),ISNUMBER(E424)),D424*E424,"")</f>
        <v/>
      </c>
      <c r="G424" s="51" t="str">
        <f>IF(ISNUMBER(F424),ROUND(MAX(F424*'参数'!$C$12,'参数'!$C$13),2),"")</f>
        <v/>
      </c>
      <c r="H424" s="51" t="str">
        <f>IF(ISNUMBER(F424),IF(C424="卖",ROUND(F424*'参数'!$C$14,2),0),"")</f>
        <v/>
      </c>
      <c r="I424" s="51" t="str">
        <f>IF(ISNUMBER(F424),ROUND(F424*'参数'!$C$15,2),"")</f>
        <v/>
      </c>
      <c r="J424" s="21" t="n"/>
      <c r="K424" s="20" t="str">
        <f>IF(ISNUMBER(J424),J424,IF(ISNUMBER(F424),G424+H424+I424+ROUND(F424*'参数'!$C$16,2),""))</f>
        <v/>
      </c>
      <c r="L424" s="43" t="str">
        <f>IF(A424="","",IFERROR(T(INDEX('交易记录'!$C$5:$C$304,MATCH(A424,'交易记录'!$A$5:$A$304,0))),"编号没找到"))</f>
        <v/>
      </c>
      <c r="M424" s="57" t="str">
        <f>IF(AND(C424="买",ISNUMBER(B424)),WORKDAY(B424,1,'参数'!$B$58:$B$80),"")</f>
        <v/>
      </c>
      <c r="N424" s="36" t="str">
        <f>IF(C424&lt;&gt;"卖","",IF(AND(ISNUMBER(B424),A424&lt;&gt;""),IF(SUMIFS($E$5:$E$804,$A$5:$A$804,A424,$C$5:$C$804,"卖",$B$5:$B$804,"&lt;="&amp;B424)&gt;SUMIFS($E$5:$E$804,$A$5:$A$804,A424,$C$5:$C$804,"买",$B$5:$B$804,"&lt;"&amp;B424),"超出可卖股数","OK"),""))</f>
        <v/>
      </c>
      <c r="O424" s="32" t="n"/>
    </row>
    <row r="425">
      <c r="A425" s="46" t="n"/>
      <c r="B425" s="31" t="n"/>
      <c r="C425" s="27" t="n"/>
      <c r="D425" s="56" t="n"/>
      <c r="E425" s="17" t="n"/>
      <c r="F425" s="20" t="str">
        <f>IF(AND(ISNUMBER(D425),ISNUMBER(E425)),D425*E425,"")</f>
        <v/>
      </c>
      <c r="G425" s="51" t="str">
        <f>IF(ISNUMBER(F425),ROUND(MAX(F425*'参数'!$C$12,'参数'!$C$13),2),"")</f>
        <v/>
      </c>
      <c r="H425" s="51" t="str">
        <f>IF(ISNUMBER(F425),IF(C425="卖",ROUND(F425*'参数'!$C$14,2),0),"")</f>
        <v/>
      </c>
      <c r="I425" s="51" t="str">
        <f>IF(ISNUMBER(F425),ROUND(F425*'参数'!$C$15,2),"")</f>
        <v/>
      </c>
      <c r="J425" s="21" t="n"/>
      <c r="K425" s="20" t="str">
        <f>IF(ISNUMBER(J425),J425,IF(ISNUMBER(F425),G425+H425+I425+ROUND(F425*'参数'!$C$16,2),""))</f>
        <v/>
      </c>
      <c r="L425" s="43" t="str">
        <f>IF(A425="","",IFERROR(T(INDEX('交易记录'!$C$5:$C$304,MATCH(A425,'交易记录'!$A$5:$A$304,0))),"编号没找到"))</f>
        <v/>
      </c>
      <c r="M425" s="57" t="str">
        <f>IF(AND(C425="买",ISNUMBER(B425)),WORKDAY(B425,1,'参数'!$B$58:$B$80),"")</f>
        <v/>
      </c>
      <c r="N425" s="36" t="str">
        <f>IF(C425&lt;&gt;"卖","",IF(AND(ISNUMBER(B425),A425&lt;&gt;""),IF(SUMIFS($E$5:$E$804,$A$5:$A$804,A425,$C$5:$C$804,"卖",$B$5:$B$804,"&lt;="&amp;B425)&gt;SUMIFS($E$5:$E$804,$A$5:$A$804,A425,$C$5:$C$804,"买",$B$5:$B$804,"&lt;"&amp;B425),"超出可卖股数","OK"),""))</f>
        <v/>
      </c>
      <c r="O425" s="32" t="n"/>
    </row>
    <row r="426">
      <c r="A426" s="46" t="n"/>
      <c r="B426" s="31" t="n"/>
      <c r="C426" s="27" t="n"/>
      <c r="D426" s="56" t="n"/>
      <c r="E426" s="17" t="n"/>
      <c r="F426" s="20" t="str">
        <f>IF(AND(ISNUMBER(D426),ISNUMBER(E426)),D426*E426,"")</f>
        <v/>
      </c>
      <c r="G426" s="51" t="str">
        <f>IF(ISNUMBER(F426),ROUND(MAX(F426*'参数'!$C$12,'参数'!$C$13),2),"")</f>
        <v/>
      </c>
      <c r="H426" s="51" t="str">
        <f>IF(ISNUMBER(F426),IF(C426="卖",ROUND(F426*'参数'!$C$14,2),0),"")</f>
        <v/>
      </c>
      <c r="I426" s="51" t="str">
        <f>IF(ISNUMBER(F426),ROUND(F426*'参数'!$C$15,2),"")</f>
        <v/>
      </c>
      <c r="J426" s="21" t="n"/>
      <c r="K426" s="20" t="str">
        <f>IF(ISNUMBER(J426),J426,IF(ISNUMBER(F426),G426+H426+I426+ROUND(F426*'参数'!$C$16,2),""))</f>
        <v/>
      </c>
      <c r="L426" s="43" t="str">
        <f>IF(A426="","",IFERROR(T(INDEX('交易记录'!$C$5:$C$304,MATCH(A426,'交易记录'!$A$5:$A$304,0))),"编号没找到"))</f>
        <v/>
      </c>
      <c r="M426" s="57" t="str">
        <f>IF(AND(C426="买",ISNUMBER(B426)),WORKDAY(B426,1,'参数'!$B$58:$B$80),"")</f>
        <v/>
      </c>
      <c r="N426" s="36" t="str">
        <f>IF(C426&lt;&gt;"卖","",IF(AND(ISNUMBER(B426),A426&lt;&gt;""),IF(SUMIFS($E$5:$E$804,$A$5:$A$804,A426,$C$5:$C$804,"卖",$B$5:$B$804,"&lt;="&amp;B426)&gt;SUMIFS($E$5:$E$804,$A$5:$A$804,A426,$C$5:$C$804,"买",$B$5:$B$804,"&lt;"&amp;B426),"超出可卖股数","OK"),""))</f>
        <v/>
      </c>
      <c r="O426" s="32" t="n"/>
    </row>
    <row r="427">
      <c r="A427" s="46" t="n"/>
      <c r="B427" s="31" t="n"/>
      <c r="C427" s="27" t="n"/>
      <c r="D427" s="56" t="n"/>
      <c r="E427" s="17" t="n"/>
      <c r="F427" s="20" t="str">
        <f>IF(AND(ISNUMBER(D427),ISNUMBER(E427)),D427*E427,"")</f>
        <v/>
      </c>
      <c r="G427" s="51" t="str">
        <f>IF(ISNUMBER(F427),ROUND(MAX(F427*'参数'!$C$12,'参数'!$C$13),2),"")</f>
        <v/>
      </c>
      <c r="H427" s="51" t="str">
        <f>IF(ISNUMBER(F427),IF(C427="卖",ROUND(F427*'参数'!$C$14,2),0),"")</f>
        <v/>
      </c>
      <c r="I427" s="51" t="str">
        <f>IF(ISNUMBER(F427),ROUND(F427*'参数'!$C$15,2),"")</f>
        <v/>
      </c>
      <c r="J427" s="21" t="n"/>
      <c r="K427" s="20" t="str">
        <f>IF(ISNUMBER(J427),J427,IF(ISNUMBER(F427),G427+H427+I427+ROUND(F427*'参数'!$C$16,2),""))</f>
        <v/>
      </c>
      <c r="L427" s="43" t="str">
        <f>IF(A427="","",IFERROR(T(INDEX('交易记录'!$C$5:$C$304,MATCH(A427,'交易记录'!$A$5:$A$304,0))),"编号没找到"))</f>
        <v/>
      </c>
      <c r="M427" s="57" t="str">
        <f>IF(AND(C427="买",ISNUMBER(B427)),WORKDAY(B427,1,'参数'!$B$58:$B$80),"")</f>
        <v/>
      </c>
      <c r="N427" s="36" t="str">
        <f>IF(C427&lt;&gt;"卖","",IF(AND(ISNUMBER(B427),A427&lt;&gt;""),IF(SUMIFS($E$5:$E$804,$A$5:$A$804,A427,$C$5:$C$804,"卖",$B$5:$B$804,"&lt;="&amp;B427)&gt;SUMIFS($E$5:$E$804,$A$5:$A$804,A427,$C$5:$C$804,"买",$B$5:$B$804,"&lt;"&amp;B427),"超出可卖股数","OK"),""))</f>
        <v/>
      </c>
      <c r="O427" s="32" t="n"/>
    </row>
    <row r="428">
      <c r="A428" s="46" t="n"/>
      <c r="B428" s="31" t="n"/>
      <c r="C428" s="27" t="n"/>
      <c r="D428" s="56" t="n"/>
      <c r="E428" s="17" t="n"/>
      <c r="F428" s="20" t="str">
        <f>IF(AND(ISNUMBER(D428),ISNUMBER(E428)),D428*E428,"")</f>
        <v/>
      </c>
      <c r="G428" s="51" t="str">
        <f>IF(ISNUMBER(F428),ROUND(MAX(F428*'参数'!$C$12,'参数'!$C$13),2),"")</f>
        <v/>
      </c>
      <c r="H428" s="51" t="str">
        <f>IF(ISNUMBER(F428),IF(C428="卖",ROUND(F428*'参数'!$C$14,2),0),"")</f>
        <v/>
      </c>
      <c r="I428" s="51" t="str">
        <f>IF(ISNUMBER(F428),ROUND(F428*'参数'!$C$15,2),"")</f>
        <v/>
      </c>
      <c r="J428" s="21" t="n"/>
      <c r="K428" s="20" t="str">
        <f>IF(ISNUMBER(J428),J428,IF(ISNUMBER(F428),G428+H428+I428+ROUND(F428*'参数'!$C$16,2),""))</f>
        <v/>
      </c>
      <c r="L428" s="43" t="str">
        <f>IF(A428="","",IFERROR(T(INDEX('交易记录'!$C$5:$C$304,MATCH(A428,'交易记录'!$A$5:$A$304,0))),"编号没找到"))</f>
        <v/>
      </c>
      <c r="M428" s="57" t="str">
        <f>IF(AND(C428="买",ISNUMBER(B428)),WORKDAY(B428,1,'参数'!$B$58:$B$80),"")</f>
        <v/>
      </c>
      <c r="N428" s="36" t="str">
        <f>IF(C428&lt;&gt;"卖","",IF(AND(ISNUMBER(B428),A428&lt;&gt;""),IF(SUMIFS($E$5:$E$804,$A$5:$A$804,A428,$C$5:$C$804,"卖",$B$5:$B$804,"&lt;="&amp;B428)&gt;SUMIFS($E$5:$E$804,$A$5:$A$804,A428,$C$5:$C$804,"买",$B$5:$B$804,"&lt;"&amp;B428),"超出可卖股数","OK"),""))</f>
        <v/>
      </c>
      <c r="O428" s="32" t="n"/>
    </row>
    <row r="429">
      <c r="A429" s="46" t="n"/>
      <c r="B429" s="31" t="n"/>
      <c r="C429" s="27" t="n"/>
      <c r="D429" s="56" t="n"/>
      <c r="E429" s="17" t="n"/>
      <c r="F429" s="20" t="str">
        <f>IF(AND(ISNUMBER(D429),ISNUMBER(E429)),D429*E429,"")</f>
        <v/>
      </c>
      <c r="G429" s="51" t="str">
        <f>IF(ISNUMBER(F429),ROUND(MAX(F429*'参数'!$C$12,'参数'!$C$13),2),"")</f>
        <v/>
      </c>
      <c r="H429" s="51" t="str">
        <f>IF(ISNUMBER(F429),IF(C429="卖",ROUND(F429*'参数'!$C$14,2),0),"")</f>
        <v/>
      </c>
      <c r="I429" s="51" t="str">
        <f>IF(ISNUMBER(F429),ROUND(F429*'参数'!$C$15,2),"")</f>
        <v/>
      </c>
      <c r="J429" s="21" t="n"/>
      <c r="K429" s="20" t="str">
        <f>IF(ISNUMBER(J429),J429,IF(ISNUMBER(F429),G429+H429+I429+ROUND(F429*'参数'!$C$16,2),""))</f>
        <v/>
      </c>
      <c r="L429" s="43" t="str">
        <f>IF(A429="","",IFERROR(T(INDEX('交易记录'!$C$5:$C$304,MATCH(A429,'交易记录'!$A$5:$A$304,0))),"编号没找到"))</f>
        <v/>
      </c>
      <c r="M429" s="57" t="str">
        <f>IF(AND(C429="买",ISNUMBER(B429)),WORKDAY(B429,1,'参数'!$B$58:$B$80),"")</f>
        <v/>
      </c>
      <c r="N429" s="36" t="str">
        <f>IF(C429&lt;&gt;"卖","",IF(AND(ISNUMBER(B429),A429&lt;&gt;""),IF(SUMIFS($E$5:$E$804,$A$5:$A$804,A429,$C$5:$C$804,"卖",$B$5:$B$804,"&lt;="&amp;B429)&gt;SUMIFS($E$5:$E$804,$A$5:$A$804,A429,$C$5:$C$804,"买",$B$5:$B$804,"&lt;"&amp;B429),"超出可卖股数","OK"),""))</f>
        <v/>
      </c>
      <c r="O429" s="32" t="n"/>
    </row>
    <row r="430">
      <c r="A430" s="46" t="n"/>
      <c r="B430" s="31" t="n"/>
      <c r="C430" s="27" t="n"/>
      <c r="D430" s="56" t="n"/>
      <c r="E430" s="17" t="n"/>
      <c r="F430" s="20" t="str">
        <f>IF(AND(ISNUMBER(D430),ISNUMBER(E430)),D430*E430,"")</f>
        <v/>
      </c>
      <c r="G430" s="51" t="str">
        <f>IF(ISNUMBER(F430),ROUND(MAX(F430*'参数'!$C$12,'参数'!$C$13),2),"")</f>
        <v/>
      </c>
      <c r="H430" s="51" t="str">
        <f>IF(ISNUMBER(F430),IF(C430="卖",ROUND(F430*'参数'!$C$14,2),0),"")</f>
        <v/>
      </c>
      <c r="I430" s="51" t="str">
        <f>IF(ISNUMBER(F430),ROUND(F430*'参数'!$C$15,2),"")</f>
        <v/>
      </c>
      <c r="J430" s="21" t="n"/>
      <c r="K430" s="20" t="str">
        <f>IF(ISNUMBER(J430),J430,IF(ISNUMBER(F430),G430+H430+I430+ROUND(F430*'参数'!$C$16,2),""))</f>
        <v/>
      </c>
      <c r="L430" s="43" t="str">
        <f>IF(A430="","",IFERROR(T(INDEX('交易记录'!$C$5:$C$304,MATCH(A430,'交易记录'!$A$5:$A$304,0))),"编号没找到"))</f>
        <v/>
      </c>
      <c r="M430" s="57" t="str">
        <f>IF(AND(C430="买",ISNUMBER(B430)),WORKDAY(B430,1,'参数'!$B$58:$B$80),"")</f>
        <v/>
      </c>
      <c r="N430" s="36" t="str">
        <f>IF(C430&lt;&gt;"卖","",IF(AND(ISNUMBER(B430),A430&lt;&gt;""),IF(SUMIFS($E$5:$E$804,$A$5:$A$804,A430,$C$5:$C$804,"卖",$B$5:$B$804,"&lt;="&amp;B430)&gt;SUMIFS($E$5:$E$804,$A$5:$A$804,A430,$C$5:$C$804,"买",$B$5:$B$804,"&lt;"&amp;B430),"超出可卖股数","OK"),""))</f>
        <v/>
      </c>
      <c r="O430" s="32" t="n"/>
    </row>
    <row r="431">
      <c r="A431" s="46" t="n"/>
      <c r="B431" s="31" t="n"/>
      <c r="C431" s="27" t="n"/>
      <c r="D431" s="56" t="n"/>
      <c r="E431" s="17" t="n"/>
      <c r="F431" s="20" t="str">
        <f>IF(AND(ISNUMBER(D431),ISNUMBER(E431)),D431*E431,"")</f>
        <v/>
      </c>
      <c r="G431" s="51" t="str">
        <f>IF(ISNUMBER(F431),ROUND(MAX(F431*'参数'!$C$12,'参数'!$C$13),2),"")</f>
        <v/>
      </c>
      <c r="H431" s="51" t="str">
        <f>IF(ISNUMBER(F431),IF(C431="卖",ROUND(F431*'参数'!$C$14,2),0),"")</f>
        <v/>
      </c>
      <c r="I431" s="51" t="str">
        <f>IF(ISNUMBER(F431),ROUND(F431*'参数'!$C$15,2),"")</f>
        <v/>
      </c>
      <c r="J431" s="21" t="n"/>
      <c r="K431" s="20" t="str">
        <f>IF(ISNUMBER(J431),J431,IF(ISNUMBER(F431),G431+H431+I431+ROUND(F431*'参数'!$C$16,2),""))</f>
        <v/>
      </c>
      <c r="L431" s="43" t="str">
        <f>IF(A431="","",IFERROR(T(INDEX('交易记录'!$C$5:$C$304,MATCH(A431,'交易记录'!$A$5:$A$304,0))),"编号没找到"))</f>
        <v/>
      </c>
      <c r="M431" s="57" t="str">
        <f>IF(AND(C431="买",ISNUMBER(B431)),WORKDAY(B431,1,'参数'!$B$58:$B$80),"")</f>
        <v/>
      </c>
      <c r="N431" s="36" t="str">
        <f>IF(C431&lt;&gt;"卖","",IF(AND(ISNUMBER(B431),A431&lt;&gt;""),IF(SUMIFS($E$5:$E$804,$A$5:$A$804,A431,$C$5:$C$804,"卖",$B$5:$B$804,"&lt;="&amp;B431)&gt;SUMIFS($E$5:$E$804,$A$5:$A$804,A431,$C$5:$C$804,"买",$B$5:$B$804,"&lt;"&amp;B431),"超出可卖股数","OK"),""))</f>
        <v/>
      </c>
      <c r="O431" s="32" t="n"/>
    </row>
    <row r="432">
      <c r="A432" s="46" t="n"/>
      <c r="B432" s="31" t="n"/>
      <c r="C432" s="27" t="n"/>
      <c r="D432" s="56" t="n"/>
      <c r="E432" s="17" t="n"/>
      <c r="F432" s="20" t="str">
        <f>IF(AND(ISNUMBER(D432),ISNUMBER(E432)),D432*E432,"")</f>
        <v/>
      </c>
      <c r="G432" s="51" t="str">
        <f>IF(ISNUMBER(F432),ROUND(MAX(F432*'参数'!$C$12,'参数'!$C$13),2),"")</f>
        <v/>
      </c>
      <c r="H432" s="51" t="str">
        <f>IF(ISNUMBER(F432),IF(C432="卖",ROUND(F432*'参数'!$C$14,2),0),"")</f>
        <v/>
      </c>
      <c r="I432" s="51" t="str">
        <f>IF(ISNUMBER(F432),ROUND(F432*'参数'!$C$15,2),"")</f>
        <v/>
      </c>
      <c r="J432" s="21" t="n"/>
      <c r="K432" s="20" t="str">
        <f>IF(ISNUMBER(J432),J432,IF(ISNUMBER(F432),G432+H432+I432+ROUND(F432*'参数'!$C$16,2),""))</f>
        <v/>
      </c>
      <c r="L432" s="43" t="str">
        <f>IF(A432="","",IFERROR(T(INDEX('交易记录'!$C$5:$C$304,MATCH(A432,'交易记录'!$A$5:$A$304,0))),"编号没找到"))</f>
        <v/>
      </c>
      <c r="M432" s="57" t="str">
        <f>IF(AND(C432="买",ISNUMBER(B432)),WORKDAY(B432,1,'参数'!$B$58:$B$80),"")</f>
        <v/>
      </c>
      <c r="N432" s="36" t="str">
        <f>IF(C432&lt;&gt;"卖","",IF(AND(ISNUMBER(B432),A432&lt;&gt;""),IF(SUMIFS($E$5:$E$804,$A$5:$A$804,A432,$C$5:$C$804,"卖",$B$5:$B$804,"&lt;="&amp;B432)&gt;SUMIFS($E$5:$E$804,$A$5:$A$804,A432,$C$5:$C$804,"买",$B$5:$B$804,"&lt;"&amp;B432),"超出可卖股数","OK"),""))</f>
        <v/>
      </c>
      <c r="O432" s="32" t="n"/>
    </row>
    <row r="433">
      <c r="A433" s="46" t="n"/>
      <c r="B433" s="31" t="n"/>
      <c r="C433" s="27" t="n"/>
      <c r="D433" s="56" t="n"/>
      <c r="E433" s="17" t="n"/>
      <c r="F433" s="20" t="str">
        <f>IF(AND(ISNUMBER(D433),ISNUMBER(E433)),D433*E433,"")</f>
        <v/>
      </c>
      <c r="G433" s="51" t="str">
        <f>IF(ISNUMBER(F433),ROUND(MAX(F433*'参数'!$C$12,'参数'!$C$13),2),"")</f>
        <v/>
      </c>
      <c r="H433" s="51" t="str">
        <f>IF(ISNUMBER(F433),IF(C433="卖",ROUND(F433*'参数'!$C$14,2),0),"")</f>
        <v/>
      </c>
      <c r="I433" s="51" t="str">
        <f>IF(ISNUMBER(F433),ROUND(F433*'参数'!$C$15,2),"")</f>
        <v/>
      </c>
      <c r="J433" s="21" t="n"/>
      <c r="K433" s="20" t="str">
        <f>IF(ISNUMBER(J433),J433,IF(ISNUMBER(F433),G433+H433+I433+ROUND(F433*'参数'!$C$16,2),""))</f>
        <v/>
      </c>
      <c r="L433" s="43" t="str">
        <f>IF(A433="","",IFERROR(T(INDEX('交易记录'!$C$5:$C$304,MATCH(A433,'交易记录'!$A$5:$A$304,0))),"编号没找到"))</f>
        <v/>
      </c>
      <c r="M433" s="57" t="str">
        <f>IF(AND(C433="买",ISNUMBER(B433)),WORKDAY(B433,1,'参数'!$B$58:$B$80),"")</f>
        <v/>
      </c>
      <c r="N433" s="36" t="str">
        <f>IF(C433&lt;&gt;"卖","",IF(AND(ISNUMBER(B433),A433&lt;&gt;""),IF(SUMIFS($E$5:$E$804,$A$5:$A$804,A433,$C$5:$C$804,"卖",$B$5:$B$804,"&lt;="&amp;B433)&gt;SUMIFS($E$5:$E$804,$A$5:$A$804,A433,$C$5:$C$804,"买",$B$5:$B$804,"&lt;"&amp;B433),"超出可卖股数","OK"),""))</f>
        <v/>
      </c>
      <c r="O433" s="32" t="n"/>
    </row>
    <row r="434">
      <c r="A434" s="46" t="n"/>
      <c r="B434" s="31" t="n"/>
      <c r="C434" s="27" t="n"/>
      <c r="D434" s="56" t="n"/>
      <c r="E434" s="17" t="n"/>
      <c r="F434" s="20" t="str">
        <f>IF(AND(ISNUMBER(D434),ISNUMBER(E434)),D434*E434,"")</f>
        <v/>
      </c>
      <c r="G434" s="51" t="str">
        <f>IF(ISNUMBER(F434),ROUND(MAX(F434*'参数'!$C$12,'参数'!$C$13),2),"")</f>
        <v/>
      </c>
      <c r="H434" s="51" t="str">
        <f>IF(ISNUMBER(F434),IF(C434="卖",ROUND(F434*'参数'!$C$14,2),0),"")</f>
        <v/>
      </c>
      <c r="I434" s="51" t="str">
        <f>IF(ISNUMBER(F434),ROUND(F434*'参数'!$C$15,2),"")</f>
        <v/>
      </c>
      <c r="J434" s="21" t="n"/>
      <c r="K434" s="20" t="str">
        <f>IF(ISNUMBER(J434),J434,IF(ISNUMBER(F434),G434+H434+I434+ROUND(F434*'参数'!$C$16,2),""))</f>
        <v/>
      </c>
      <c r="L434" s="43" t="str">
        <f>IF(A434="","",IFERROR(T(INDEX('交易记录'!$C$5:$C$304,MATCH(A434,'交易记录'!$A$5:$A$304,0))),"编号没找到"))</f>
        <v/>
      </c>
      <c r="M434" s="57" t="str">
        <f>IF(AND(C434="买",ISNUMBER(B434)),WORKDAY(B434,1,'参数'!$B$58:$B$80),"")</f>
        <v/>
      </c>
      <c r="N434" s="36" t="str">
        <f>IF(C434&lt;&gt;"卖","",IF(AND(ISNUMBER(B434),A434&lt;&gt;""),IF(SUMIFS($E$5:$E$804,$A$5:$A$804,A434,$C$5:$C$804,"卖",$B$5:$B$804,"&lt;="&amp;B434)&gt;SUMIFS($E$5:$E$804,$A$5:$A$804,A434,$C$5:$C$804,"买",$B$5:$B$804,"&lt;"&amp;B434),"超出可卖股数","OK"),""))</f>
        <v/>
      </c>
      <c r="O434" s="32" t="n"/>
    </row>
    <row r="435">
      <c r="A435" s="46" t="n"/>
      <c r="B435" s="31" t="n"/>
      <c r="C435" s="27" t="n"/>
      <c r="D435" s="56" t="n"/>
      <c r="E435" s="17" t="n"/>
      <c r="F435" s="20" t="str">
        <f>IF(AND(ISNUMBER(D435),ISNUMBER(E435)),D435*E435,"")</f>
        <v/>
      </c>
      <c r="G435" s="51" t="str">
        <f>IF(ISNUMBER(F435),ROUND(MAX(F435*'参数'!$C$12,'参数'!$C$13),2),"")</f>
        <v/>
      </c>
      <c r="H435" s="51" t="str">
        <f>IF(ISNUMBER(F435),IF(C435="卖",ROUND(F435*'参数'!$C$14,2),0),"")</f>
        <v/>
      </c>
      <c r="I435" s="51" t="str">
        <f>IF(ISNUMBER(F435),ROUND(F435*'参数'!$C$15,2),"")</f>
        <v/>
      </c>
      <c r="J435" s="21" t="n"/>
      <c r="K435" s="20" t="str">
        <f>IF(ISNUMBER(J435),J435,IF(ISNUMBER(F435),G435+H435+I435+ROUND(F435*'参数'!$C$16,2),""))</f>
        <v/>
      </c>
      <c r="L435" s="43" t="str">
        <f>IF(A435="","",IFERROR(T(INDEX('交易记录'!$C$5:$C$304,MATCH(A435,'交易记录'!$A$5:$A$304,0))),"编号没找到"))</f>
        <v/>
      </c>
      <c r="M435" s="57" t="str">
        <f>IF(AND(C435="买",ISNUMBER(B435)),WORKDAY(B435,1,'参数'!$B$58:$B$80),"")</f>
        <v/>
      </c>
      <c r="N435" s="36" t="str">
        <f>IF(C435&lt;&gt;"卖","",IF(AND(ISNUMBER(B435),A435&lt;&gt;""),IF(SUMIFS($E$5:$E$804,$A$5:$A$804,A435,$C$5:$C$804,"卖",$B$5:$B$804,"&lt;="&amp;B435)&gt;SUMIFS($E$5:$E$804,$A$5:$A$804,A435,$C$5:$C$804,"买",$B$5:$B$804,"&lt;"&amp;B435),"超出可卖股数","OK"),""))</f>
        <v/>
      </c>
      <c r="O435" s="32" t="n"/>
    </row>
    <row r="436">
      <c r="A436" s="46" t="n"/>
      <c r="B436" s="31" t="n"/>
      <c r="C436" s="27" t="n"/>
      <c r="D436" s="56" t="n"/>
      <c r="E436" s="17" t="n"/>
      <c r="F436" s="20" t="str">
        <f>IF(AND(ISNUMBER(D436),ISNUMBER(E436)),D436*E436,"")</f>
        <v/>
      </c>
      <c r="G436" s="51" t="str">
        <f>IF(ISNUMBER(F436),ROUND(MAX(F436*'参数'!$C$12,'参数'!$C$13),2),"")</f>
        <v/>
      </c>
      <c r="H436" s="51" t="str">
        <f>IF(ISNUMBER(F436),IF(C436="卖",ROUND(F436*'参数'!$C$14,2),0),"")</f>
        <v/>
      </c>
      <c r="I436" s="51" t="str">
        <f>IF(ISNUMBER(F436),ROUND(F436*'参数'!$C$15,2),"")</f>
        <v/>
      </c>
      <c r="J436" s="21" t="n"/>
      <c r="K436" s="20" t="str">
        <f>IF(ISNUMBER(J436),J436,IF(ISNUMBER(F436),G436+H436+I436+ROUND(F436*'参数'!$C$16,2),""))</f>
        <v/>
      </c>
      <c r="L436" s="43" t="str">
        <f>IF(A436="","",IFERROR(T(INDEX('交易记录'!$C$5:$C$304,MATCH(A436,'交易记录'!$A$5:$A$304,0))),"编号没找到"))</f>
        <v/>
      </c>
      <c r="M436" s="57" t="str">
        <f>IF(AND(C436="买",ISNUMBER(B436)),WORKDAY(B436,1,'参数'!$B$58:$B$80),"")</f>
        <v/>
      </c>
      <c r="N436" s="36" t="str">
        <f>IF(C436&lt;&gt;"卖","",IF(AND(ISNUMBER(B436),A436&lt;&gt;""),IF(SUMIFS($E$5:$E$804,$A$5:$A$804,A436,$C$5:$C$804,"卖",$B$5:$B$804,"&lt;="&amp;B436)&gt;SUMIFS($E$5:$E$804,$A$5:$A$804,A436,$C$5:$C$804,"买",$B$5:$B$804,"&lt;"&amp;B436),"超出可卖股数","OK"),""))</f>
        <v/>
      </c>
      <c r="O436" s="32" t="n"/>
    </row>
    <row r="437">
      <c r="A437" s="46" t="n"/>
      <c r="B437" s="31" t="n"/>
      <c r="C437" s="27" t="n"/>
      <c r="D437" s="56" t="n"/>
      <c r="E437" s="17" t="n"/>
      <c r="F437" s="20" t="str">
        <f>IF(AND(ISNUMBER(D437),ISNUMBER(E437)),D437*E437,"")</f>
        <v/>
      </c>
      <c r="G437" s="51" t="str">
        <f>IF(ISNUMBER(F437),ROUND(MAX(F437*'参数'!$C$12,'参数'!$C$13),2),"")</f>
        <v/>
      </c>
      <c r="H437" s="51" t="str">
        <f>IF(ISNUMBER(F437),IF(C437="卖",ROUND(F437*'参数'!$C$14,2),0),"")</f>
        <v/>
      </c>
      <c r="I437" s="51" t="str">
        <f>IF(ISNUMBER(F437),ROUND(F437*'参数'!$C$15,2),"")</f>
        <v/>
      </c>
      <c r="J437" s="21" t="n"/>
      <c r="K437" s="20" t="str">
        <f>IF(ISNUMBER(J437),J437,IF(ISNUMBER(F437),G437+H437+I437+ROUND(F437*'参数'!$C$16,2),""))</f>
        <v/>
      </c>
      <c r="L437" s="43" t="str">
        <f>IF(A437="","",IFERROR(T(INDEX('交易记录'!$C$5:$C$304,MATCH(A437,'交易记录'!$A$5:$A$304,0))),"编号没找到"))</f>
        <v/>
      </c>
      <c r="M437" s="57" t="str">
        <f>IF(AND(C437="买",ISNUMBER(B437)),WORKDAY(B437,1,'参数'!$B$58:$B$80),"")</f>
        <v/>
      </c>
      <c r="N437" s="36" t="str">
        <f>IF(C437&lt;&gt;"卖","",IF(AND(ISNUMBER(B437),A437&lt;&gt;""),IF(SUMIFS($E$5:$E$804,$A$5:$A$804,A437,$C$5:$C$804,"卖",$B$5:$B$804,"&lt;="&amp;B437)&gt;SUMIFS($E$5:$E$804,$A$5:$A$804,A437,$C$5:$C$804,"买",$B$5:$B$804,"&lt;"&amp;B437),"超出可卖股数","OK"),""))</f>
        <v/>
      </c>
      <c r="O437" s="32" t="n"/>
    </row>
    <row r="438">
      <c r="A438" s="46" t="n"/>
      <c r="B438" s="31" t="n"/>
      <c r="C438" s="27" t="n"/>
      <c r="D438" s="56" t="n"/>
      <c r="E438" s="17" t="n"/>
      <c r="F438" s="20" t="str">
        <f>IF(AND(ISNUMBER(D438),ISNUMBER(E438)),D438*E438,"")</f>
        <v/>
      </c>
      <c r="G438" s="51" t="str">
        <f>IF(ISNUMBER(F438),ROUND(MAX(F438*'参数'!$C$12,'参数'!$C$13),2),"")</f>
        <v/>
      </c>
      <c r="H438" s="51" t="str">
        <f>IF(ISNUMBER(F438),IF(C438="卖",ROUND(F438*'参数'!$C$14,2),0),"")</f>
        <v/>
      </c>
      <c r="I438" s="51" t="str">
        <f>IF(ISNUMBER(F438),ROUND(F438*'参数'!$C$15,2),"")</f>
        <v/>
      </c>
      <c r="J438" s="21" t="n"/>
      <c r="K438" s="20" t="str">
        <f>IF(ISNUMBER(J438),J438,IF(ISNUMBER(F438),G438+H438+I438+ROUND(F438*'参数'!$C$16,2),""))</f>
        <v/>
      </c>
      <c r="L438" s="43" t="str">
        <f>IF(A438="","",IFERROR(T(INDEX('交易记录'!$C$5:$C$304,MATCH(A438,'交易记录'!$A$5:$A$304,0))),"编号没找到"))</f>
        <v/>
      </c>
      <c r="M438" s="57" t="str">
        <f>IF(AND(C438="买",ISNUMBER(B438)),WORKDAY(B438,1,'参数'!$B$58:$B$80),"")</f>
        <v/>
      </c>
      <c r="N438" s="36" t="str">
        <f>IF(C438&lt;&gt;"卖","",IF(AND(ISNUMBER(B438),A438&lt;&gt;""),IF(SUMIFS($E$5:$E$804,$A$5:$A$804,A438,$C$5:$C$804,"卖",$B$5:$B$804,"&lt;="&amp;B438)&gt;SUMIFS($E$5:$E$804,$A$5:$A$804,A438,$C$5:$C$804,"买",$B$5:$B$804,"&lt;"&amp;B438),"超出可卖股数","OK"),""))</f>
        <v/>
      </c>
      <c r="O438" s="32" t="n"/>
    </row>
    <row r="439">
      <c r="A439" s="46" t="n"/>
      <c r="B439" s="31" t="n"/>
      <c r="C439" s="27" t="n"/>
      <c r="D439" s="56" t="n"/>
      <c r="E439" s="17" t="n"/>
      <c r="F439" s="20" t="str">
        <f>IF(AND(ISNUMBER(D439),ISNUMBER(E439)),D439*E439,"")</f>
        <v/>
      </c>
      <c r="G439" s="51" t="str">
        <f>IF(ISNUMBER(F439),ROUND(MAX(F439*'参数'!$C$12,'参数'!$C$13),2),"")</f>
        <v/>
      </c>
      <c r="H439" s="51" t="str">
        <f>IF(ISNUMBER(F439),IF(C439="卖",ROUND(F439*'参数'!$C$14,2),0),"")</f>
        <v/>
      </c>
      <c r="I439" s="51" t="str">
        <f>IF(ISNUMBER(F439),ROUND(F439*'参数'!$C$15,2),"")</f>
        <v/>
      </c>
      <c r="J439" s="21" t="n"/>
      <c r="K439" s="20" t="str">
        <f>IF(ISNUMBER(J439),J439,IF(ISNUMBER(F439),G439+H439+I439+ROUND(F439*'参数'!$C$16,2),""))</f>
        <v/>
      </c>
      <c r="L439" s="43" t="str">
        <f>IF(A439="","",IFERROR(T(INDEX('交易记录'!$C$5:$C$304,MATCH(A439,'交易记录'!$A$5:$A$304,0))),"编号没找到"))</f>
        <v/>
      </c>
      <c r="M439" s="57" t="str">
        <f>IF(AND(C439="买",ISNUMBER(B439)),WORKDAY(B439,1,'参数'!$B$58:$B$80),"")</f>
        <v/>
      </c>
      <c r="N439" s="36" t="str">
        <f>IF(C439&lt;&gt;"卖","",IF(AND(ISNUMBER(B439),A439&lt;&gt;""),IF(SUMIFS($E$5:$E$804,$A$5:$A$804,A439,$C$5:$C$804,"卖",$B$5:$B$804,"&lt;="&amp;B439)&gt;SUMIFS($E$5:$E$804,$A$5:$A$804,A439,$C$5:$C$804,"买",$B$5:$B$804,"&lt;"&amp;B439),"超出可卖股数","OK"),""))</f>
        <v/>
      </c>
      <c r="O439" s="32" t="n"/>
    </row>
    <row r="440">
      <c r="A440" s="46" t="n"/>
      <c r="B440" s="31" t="n"/>
      <c r="C440" s="27" t="n"/>
      <c r="D440" s="56" t="n"/>
      <c r="E440" s="17" t="n"/>
      <c r="F440" s="20" t="str">
        <f>IF(AND(ISNUMBER(D440),ISNUMBER(E440)),D440*E440,"")</f>
        <v/>
      </c>
      <c r="G440" s="51" t="str">
        <f>IF(ISNUMBER(F440),ROUND(MAX(F440*'参数'!$C$12,'参数'!$C$13),2),"")</f>
        <v/>
      </c>
      <c r="H440" s="51" t="str">
        <f>IF(ISNUMBER(F440),IF(C440="卖",ROUND(F440*'参数'!$C$14,2),0),"")</f>
        <v/>
      </c>
      <c r="I440" s="51" t="str">
        <f>IF(ISNUMBER(F440),ROUND(F440*'参数'!$C$15,2),"")</f>
        <v/>
      </c>
      <c r="J440" s="21" t="n"/>
      <c r="K440" s="20" t="str">
        <f>IF(ISNUMBER(J440),J440,IF(ISNUMBER(F440),G440+H440+I440+ROUND(F440*'参数'!$C$16,2),""))</f>
        <v/>
      </c>
      <c r="L440" s="43" t="str">
        <f>IF(A440="","",IFERROR(T(INDEX('交易记录'!$C$5:$C$304,MATCH(A440,'交易记录'!$A$5:$A$304,0))),"编号没找到"))</f>
        <v/>
      </c>
      <c r="M440" s="57" t="str">
        <f>IF(AND(C440="买",ISNUMBER(B440)),WORKDAY(B440,1,'参数'!$B$58:$B$80),"")</f>
        <v/>
      </c>
      <c r="N440" s="36" t="str">
        <f>IF(C440&lt;&gt;"卖","",IF(AND(ISNUMBER(B440),A440&lt;&gt;""),IF(SUMIFS($E$5:$E$804,$A$5:$A$804,A440,$C$5:$C$804,"卖",$B$5:$B$804,"&lt;="&amp;B440)&gt;SUMIFS($E$5:$E$804,$A$5:$A$804,A440,$C$5:$C$804,"买",$B$5:$B$804,"&lt;"&amp;B440),"超出可卖股数","OK"),""))</f>
        <v/>
      </c>
      <c r="O440" s="32" t="n"/>
    </row>
    <row r="441">
      <c r="A441" s="46" t="n"/>
      <c r="B441" s="31" t="n"/>
      <c r="C441" s="27" t="n"/>
      <c r="D441" s="56" t="n"/>
      <c r="E441" s="17" t="n"/>
      <c r="F441" s="20" t="str">
        <f>IF(AND(ISNUMBER(D441),ISNUMBER(E441)),D441*E441,"")</f>
        <v/>
      </c>
      <c r="G441" s="51" t="str">
        <f>IF(ISNUMBER(F441),ROUND(MAX(F441*'参数'!$C$12,'参数'!$C$13),2),"")</f>
        <v/>
      </c>
      <c r="H441" s="51" t="str">
        <f>IF(ISNUMBER(F441),IF(C441="卖",ROUND(F441*'参数'!$C$14,2),0),"")</f>
        <v/>
      </c>
      <c r="I441" s="51" t="str">
        <f>IF(ISNUMBER(F441),ROUND(F441*'参数'!$C$15,2),"")</f>
        <v/>
      </c>
      <c r="J441" s="21" t="n"/>
      <c r="K441" s="20" t="str">
        <f>IF(ISNUMBER(J441),J441,IF(ISNUMBER(F441),G441+H441+I441+ROUND(F441*'参数'!$C$16,2),""))</f>
        <v/>
      </c>
      <c r="L441" s="43" t="str">
        <f>IF(A441="","",IFERROR(T(INDEX('交易记录'!$C$5:$C$304,MATCH(A441,'交易记录'!$A$5:$A$304,0))),"编号没找到"))</f>
        <v/>
      </c>
      <c r="M441" s="57" t="str">
        <f>IF(AND(C441="买",ISNUMBER(B441)),WORKDAY(B441,1,'参数'!$B$58:$B$80),"")</f>
        <v/>
      </c>
      <c r="N441" s="36" t="str">
        <f>IF(C441&lt;&gt;"卖","",IF(AND(ISNUMBER(B441),A441&lt;&gt;""),IF(SUMIFS($E$5:$E$804,$A$5:$A$804,A441,$C$5:$C$804,"卖",$B$5:$B$804,"&lt;="&amp;B441)&gt;SUMIFS($E$5:$E$804,$A$5:$A$804,A441,$C$5:$C$804,"买",$B$5:$B$804,"&lt;"&amp;B441),"超出可卖股数","OK"),""))</f>
        <v/>
      </c>
      <c r="O441" s="32" t="n"/>
    </row>
    <row r="442">
      <c r="A442" s="46" t="n"/>
      <c r="B442" s="31" t="n"/>
      <c r="C442" s="27" t="n"/>
      <c r="D442" s="56" t="n"/>
      <c r="E442" s="17" t="n"/>
      <c r="F442" s="20" t="str">
        <f>IF(AND(ISNUMBER(D442),ISNUMBER(E442)),D442*E442,"")</f>
        <v/>
      </c>
      <c r="G442" s="51" t="str">
        <f>IF(ISNUMBER(F442),ROUND(MAX(F442*'参数'!$C$12,'参数'!$C$13),2),"")</f>
        <v/>
      </c>
      <c r="H442" s="51" t="str">
        <f>IF(ISNUMBER(F442),IF(C442="卖",ROUND(F442*'参数'!$C$14,2),0),"")</f>
        <v/>
      </c>
      <c r="I442" s="51" t="str">
        <f>IF(ISNUMBER(F442),ROUND(F442*'参数'!$C$15,2),"")</f>
        <v/>
      </c>
      <c r="J442" s="21" t="n"/>
      <c r="K442" s="20" t="str">
        <f>IF(ISNUMBER(J442),J442,IF(ISNUMBER(F442),G442+H442+I442+ROUND(F442*'参数'!$C$16,2),""))</f>
        <v/>
      </c>
      <c r="L442" s="43" t="str">
        <f>IF(A442="","",IFERROR(T(INDEX('交易记录'!$C$5:$C$304,MATCH(A442,'交易记录'!$A$5:$A$304,0))),"编号没找到"))</f>
        <v/>
      </c>
      <c r="M442" s="57" t="str">
        <f>IF(AND(C442="买",ISNUMBER(B442)),WORKDAY(B442,1,'参数'!$B$58:$B$80),"")</f>
        <v/>
      </c>
      <c r="N442" s="36" t="str">
        <f>IF(C442&lt;&gt;"卖","",IF(AND(ISNUMBER(B442),A442&lt;&gt;""),IF(SUMIFS($E$5:$E$804,$A$5:$A$804,A442,$C$5:$C$804,"卖",$B$5:$B$804,"&lt;="&amp;B442)&gt;SUMIFS($E$5:$E$804,$A$5:$A$804,A442,$C$5:$C$804,"买",$B$5:$B$804,"&lt;"&amp;B442),"超出可卖股数","OK"),""))</f>
        <v/>
      </c>
      <c r="O442" s="32" t="n"/>
    </row>
    <row r="443">
      <c r="A443" s="46" t="n"/>
      <c r="B443" s="31" t="n"/>
      <c r="C443" s="27" t="n"/>
      <c r="D443" s="56" t="n"/>
      <c r="E443" s="17" t="n"/>
      <c r="F443" s="20" t="str">
        <f>IF(AND(ISNUMBER(D443),ISNUMBER(E443)),D443*E443,"")</f>
        <v/>
      </c>
      <c r="G443" s="51" t="str">
        <f>IF(ISNUMBER(F443),ROUND(MAX(F443*'参数'!$C$12,'参数'!$C$13),2),"")</f>
        <v/>
      </c>
      <c r="H443" s="51" t="str">
        <f>IF(ISNUMBER(F443),IF(C443="卖",ROUND(F443*'参数'!$C$14,2),0),"")</f>
        <v/>
      </c>
      <c r="I443" s="51" t="str">
        <f>IF(ISNUMBER(F443),ROUND(F443*'参数'!$C$15,2),"")</f>
        <v/>
      </c>
      <c r="J443" s="21" t="n"/>
      <c r="K443" s="20" t="str">
        <f>IF(ISNUMBER(J443),J443,IF(ISNUMBER(F443),G443+H443+I443+ROUND(F443*'参数'!$C$16,2),""))</f>
        <v/>
      </c>
      <c r="L443" s="43" t="str">
        <f>IF(A443="","",IFERROR(T(INDEX('交易记录'!$C$5:$C$304,MATCH(A443,'交易记录'!$A$5:$A$304,0))),"编号没找到"))</f>
        <v/>
      </c>
      <c r="M443" s="57" t="str">
        <f>IF(AND(C443="买",ISNUMBER(B443)),WORKDAY(B443,1,'参数'!$B$58:$B$80),"")</f>
        <v/>
      </c>
      <c r="N443" s="36" t="str">
        <f>IF(C443&lt;&gt;"卖","",IF(AND(ISNUMBER(B443),A443&lt;&gt;""),IF(SUMIFS($E$5:$E$804,$A$5:$A$804,A443,$C$5:$C$804,"卖",$B$5:$B$804,"&lt;="&amp;B443)&gt;SUMIFS($E$5:$E$804,$A$5:$A$804,A443,$C$5:$C$804,"买",$B$5:$B$804,"&lt;"&amp;B443),"超出可卖股数","OK"),""))</f>
        <v/>
      </c>
      <c r="O443" s="32" t="n"/>
    </row>
    <row r="444">
      <c r="A444" s="46" t="n"/>
      <c r="B444" s="31" t="n"/>
      <c r="C444" s="27" t="n"/>
      <c r="D444" s="56" t="n"/>
      <c r="E444" s="17" t="n"/>
      <c r="F444" s="20" t="str">
        <f>IF(AND(ISNUMBER(D444),ISNUMBER(E444)),D444*E444,"")</f>
        <v/>
      </c>
      <c r="G444" s="51" t="str">
        <f>IF(ISNUMBER(F444),ROUND(MAX(F444*'参数'!$C$12,'参数'!$C$13),2),"")</f>
        <v/>
      </c>
      <c r="H444" s="51" t="str">
        <f>IF(ISNUMBER(F444),IF(C444="卖",ROUND(F444*'参数'!$C$14,2),0),"")</f>
        <v/>
      </c>
      <c r="I444" s="51" t="str">
        <f>IF(ISNUMBER(F444),ROUND(F444*'参数'!$C$15,2),"")</f>
        <v/>
      </c>
      <c r="J444" s="21" t="n"/>
      <c r="K444" s="20" t="str">
        <f>IF(ISNUMBER(J444),J444,IF(ISNUMBER(F444),G444+H444+I444+ROUND(F444*'参数'!$C$16,2),""))</f>
        <v/>
      </c>
      <c r="L444" s="43" t="str">
        <f>IF(A444="","",IFERROR(T(INDEX('交易记录'!$C$5:$C$304,MATCH(A444,'交易记录'!$A$5:$A$304,0))),"编号没找到"))</f>
        <v/>
      </c>
      <c r="M444" s="57" t="str">
        <f>IF(AND(C444="买",ISNUMBER(B444)),WORKDAY(B444,1,'参数'!$B$58:$B$80),"")</f>
        <v/>
      </c>
      <c r="N444" s="36" t="str">
        <f>IF(C444&lt;&gt;"卖","",IF(AND(ISNUMBER(B444),A444&lt;&gt;""),IF(SUMIFS($E$5:$E$804,$A$5:$A$804,A444,$C$5:$C$804,"卖",$B$5:$B$804,"&lt;="&amp;B444)&gt;SUMIFS($E$5:$E$804,$A$5:$A$804,A444,$C$5:$C$804,"买",$B$5:$B$804,"&lt;"&amp;B444),"超出可卖股数","OK"),""))</f>
        <v/>
      </c>
      <c r="O444" s="32" t="n"/>
    </row>
    <row r="445">
      <c r="A445" s="46" t="n"/>
      <c r="B445" s="31" t="n"/>
      <c r="C445" s="27" t="n"/>
      <c r="D445" s="56" t="n"/>
      <c r="E445" s="17" t="n"/>
      <c r="F445" s="20" t="str">
        <f>IF(AND(ISNUMBER(D445),ISNUMBER(E445)),D445*E445,"")</f>
        <v/>
      </c>
      <c r="G445" s="51" t="str">
        <f>IF(ISNUMBER(F445),ROUND(MAX(F445*'参数'!$C$12,'参数'!$C$13),2),"")</f>
        <v/>
      </c>
      <c r="H445" s="51" t="str">
        <f>IF(ISNUMBER(F445),IF(C445="卖",ROUND(F445*'参数'!$C$14,2),0),"")</f>
        <v/>
      </c>
      <c r="I445" s="51" t="str">
        <f>IF(ISNUMBER(F445),ROUND(F445*'参数'!$C$15,2),"")</f>
        <v/>
      </c>
      <c r="J445" s="21" t="n"/>
      <c r="K445" s="20" t="str">
        <f>IF(ISNUMBER(J445),J445,IF(ISNUMBER(F445),G445+H445+I445+ROUND(F445*'参数'!$C$16,2),""))</f>
        <v/>
      </c>
      <c r="L445" s="43" t="str">
        <f>IF(A445="","",IFERROR(T(INDEX('交易记录'!$C$5:$C$304,MATCH(A445,'交易记录'!$A$5:$A$304,0))),"编号没找到"))</f>
        <v/>
      </c>
      <c r="M445" s="57" t="str">
        <f>IF(AND(C445="买",ISNUMBER(B445)),WORKDAY(B445,1,'参数'!$B$58:$B$80),"")</f>
        <v/>
      </c>
      <c r="N445" s="36" t="str">
        <f>IF(C445&lt;&gt;"卖","",IF(AND(ISNUMBER(B445),A445&lt;&gt;""),IF(SUMIFS($E$5:$E$804,$A$5:$A$804,A445,$C$5:$C$804,"卖",$B$5:$B$804,"&lt;="&amp;B445)&gt;SUMIFS($E$5:$E$804,$A$5:$A$804,A445,$C$5:$C$804,"买",$B$5:$B$804,"&lt;"&amp;B445),"超出可卖股数","OK"),""))</f>
        <v/>
      </c>
      <c r="O445" s="32" t="n"/>
    </row>
    <row r="446">
      <c r="A446" s="46" t="n"/>
      <c r="B446" s="31" t="n"/>
      <c r="C446" s="27" t="n"/>
      <c r="D446" s="56" t="n"/>
      <c r="E446" s="17" t="n"/>
      <c r="F446" s="20" t="str">
        <f>IF(AND(ISNUMBER(D446),ISNUMBER(E446)),D446*E446,"")</f>
        <v/>
      </c>
      <c r="G446" s="51" t="str">
        <f>IF(ISNUMBER(F446),ROUND(MAX(F446*'参数'!$C$12,'参数'!$C$13),2),"")</f>
        <v/>
      </c>
      <c r="H446" s="51" t="str">
        <f>IF(ISNUMBER(F446),IF(C446="卖",ROUND(F446*'参数'!$C$14,2),0),"")</f>
        <v/>
      </c>
      <c r="I446" s="51" t="str">
        <f>IF(ISNUMBER(F446),ROUND(F446*'参数'!$C$15,2),"")</f>
        <v/>
      </c>
      <c r="J446" s="21" t="n"/>
      <c r="K446" s="20" t="str">
        <f>IF(ISNUMBER(J446),J446,IF(ISNUMBER(F446),G446+H446+I446+ROUND(F446*'参数'!$C$16,2),""))</f>
        <v/>
      </c>
      <c r="L446" s="43" t="str">
        <f>IF(A446="","",IFERROR(T(INDEX('交易记录'!$C$5:$C$304,MATCH(A446,'交易记录'!$A$5:$A$304,0))),"编号没找到"))</f>
        <v/>
      </c>
      <c r="M446" s="57" t="str">
        <f>IF(AND(C446="买",ISNUMBER(B446)),WORKDAY(B446,1,'参数'!$B$58:$B$80),"")</f>
        <v/>
      </c>
      <c r="N446" s="36" t="str">
        <f>IF(C446&lt;&gt;"卖","",IF(AND(ISNUMBER(B446),A446&lt;&gt;""),IF(SUMIFS($E$5:$E$804,$A$5:$A$804,A446,$C$5:$C$804,"卖",$B$5:$B$804,"&lt;="&amp;B446)&gt;SUMIFS($E$5:$E$804,$A$5:$A$804,A446,$C$5:$C$804,"买",$B$5:$B$804,"&lt;"&amp;B446),"超出可卖股数","OK"),""))</f>
        <v/>
      </c>
      <c r="O446" s="32" t="n"/>
    </row>
    <row r="447">
      <c r="A447" s="46" t="n"/>
      <c r="B447" s="31" t="n"/>
      <c r="C447" s="27" t="n"/>
      <c r="D447" s="56" t="n"/>
      <c r="E447" s="17" t="n"/>
      <c r="F447" s="20" t="str">
        <f>IF(AND(ISNUMBER(D447),ISNUMBER(E447)),D447*E447,"")</f>
        <v/>
      </c>
      <c r="G447" s="51" t="str">
        <f>IF(ISNUMBER(F447),ROUND(MAX(F447*'参数'!$C$12,'参数'!$C$13),2),"")</f>
        <v/>
      </c>
      <c r="H447" s="51" t="str">
        <f>IF(ISNUMBER(F447),IF(C447="卖",ROUND(F447*'参数'!$C$14,2),0),"")</f>
        <v/>
      </c>
      <c r="I447" s="51" t="str">
        <f>IF(ISNUMBER(F447),ROUND(F447*'参数'!$C$15,2),"")</f>
        <v/>
      </c>
      <c r="J447" s="21" t="n"/>
      <c r="K447" s="20" t="str">
        <f>IF(ISNUMBER(J447),J447,IF(ISNUMBER(F447),G447+H447+I447+ROUND(F447*'参数'!$C$16,2),""))</f>
        <v/>
      </c>
      <c r="L447" s="43" t="str">
        <f>IF(A447="","",IFERROR(T(INDEX('交易记录'!$C$5:$C$304,MATCH(A447,'交易记录'!$A$5:$A$304,0))),"编号没找到"))</f>
        <v/>
      </c>
      <c r="M447" s="57" t="str">
        <f>IF(AND(C447="买",ISNUMBER(B447)),WORKDAY(B447,1,'参数'!$B$58:$B$80),"")</f>
        <v/>
      </c>
      <c r="N447" s="36" t="str">
        <f>IF(C447&lt;&gt;"卖","",IF(AND(ISNUMBER(B447),A447&lt;&gt;""),IF(SUMIFS($E$5:$E$804,$A$5:$A$804,A447,$C$5:$C$804,"卖",$B$5:$B$804,"&lt;="&amp;B447)&gt;SUMIFS($E$5:$E$804,$A$5:$A$804,A447,$C$5:$C$804,"买",$B$5:$B$804,"&lt;"&amp;B447),"超出可卖股数","OK"),""))</f>
        <v/>
      </c>
      <c r="O447" s="32" t="n"/>
    </row>
    <row r="448">
      <c r="A448" s="46" t="n"/>
      <c r="B448" s="31" t="n"/>
      <c r="C448" s="27" t="n"/>
      <c r="D448" s="56" t="n"/>
      <c r="E448" s="17" t="n"/>
      <c r="F448" s="20" t="str">
        <f>IF(AND(ISNUMBER(D448),ISNUMBER(E448)),D448*E448,"")</f>
        <v/>
      </c>
      <c r="G448" s="51" t="str">
        <f>IF(ISNUMBER(F448),ROUND(MAX(F448*'参数'!$C$12,'参数'!$C$13),2),"")</f>
        <v/>
      </c>
      <c r="H448" s="51" t="str">
        <f>IF(ISNUMBER(F448),IF(C448="卖",ROUND(F448*'参数'!$C$14,2),0),"")</f>
        <v/>
      </c>
      <c r="I448" s="51" t="str">
        <f>IF(ISNUMBER(F448),ROUND(F448*'参数'!$C$15,2),"")</f>
        <v/>
      </c>
      <c r="J448" s="21" t="n"/>
      <c r="K448" s="20" t="str">
        <f>IF(ISNUMBER(J448),J448,IF(ISNUMBER(F448),G448+H448+I448+ROUND(F448*'参数'!$C$16,2),""))</f>
        <v/>
      </c>
      <c r="L448" s="43" t="str">
        <f>IF(A448="","",IFERROR(T(INDEX('交易记录'!$C$5:$C$304,MATCH(A448,'交易记录'!$A$5:$A$304,0))),"编号没找到"))</f>
        <v/>
      </c>
      <c r="M448" s="57" t="str">
        <f>IF(AND(C448="买",ISNUMBER(B448)),WORKDAY(B448,1,'参数'!$B$58:$B$80),"")</f>
        <v/>
      </c>
      <c r="N448" s="36" t="str">
        <f>IF(C448&lt;&gt;"卖","",IF(AND(ISNUMBER(B448),A448&lt;&gt;""),IF(SUMIFS($E$5:$E$804,$A$5:$A$804,A448,$C$5:$C$804,"卖",$B$5:$B$804,"&lt;="&amp;B448)&gt;SUMIFS($E$5:$E$804,$A$5:$A$804,A448,$C$5:$C$804,"买",$B$5:$B$804,"&lt;"&amp;B448),"超出可卖股数","OK"),""))</f>
        <v/>
      </c>
      <c r="O448" s="32" t="n"/>
    </row>
    <row r="449">
      <c r="A449" s="46" t="n"/>
      <c r="B449" s="31" t="n"/>
      <c r="C449" s="27" t="n"/>
      <c r="D449" s="56" t="n"/>
      <c r="E449" s="17" t="n"/>
      <c r="F449" s="20" t="str">
        <f>IF(AND(ISNUMBER(D449),ISNUMBER(E449)),D449*E449,"")</f>
        <v/>
      </c>
      <c r="G449" s="51" t="str">
        <f>IF(ISNUMBER(F449),ROUND(MAX(F449*'参数'!$C$12,'参数'!$C$13),2),"")</f>
        <v/>
      </c>
      <c r="H449" s="51" t="str">
        <f>IF(ISNUMBER(F449),IF(C449="卖",ROUND(F449*'参数'!$C$14,2),0),"")</f>
        <v/>
      </c>
      <c r="I449" s="51" t="str">
        <f>IF(ISNUMBER(F449),ROUND(F449*'参数'!$C$15,2),"")</f>
        <v/>
      </c>
      <c r="J449" s="21" t="n"/>
      <c r="K449" s="20" t="str">
        <f>IF(ISNUMBER(J449),J449,IF(ISNUMBER(F449),G449+H449+I449+ROUND(F449*'参数'!$C$16,2),""))</f>
        <v/>
      </c>
      <c r="L449" s="43" t="str">
        <f>IF(A449="","",IFERROR(T(INDEX('交易记录'!$C$5:$C$304,MATCH(A449,'交易记录'!$A$5:$A$304,0))),"编号没找到"))</f>
        <v/>
      </c>
      <c r="M449" s="57" t="str">
        <f>IF(AND(C449="买",ISNUMBER(B449)),WORKDAY(B449,1,'参数'!$B$58:$B$80),"")</f>
        <v/>
      </c>
      <c r="N449" s="36" t="str">
        <f>IF(C449&lt;&gt;"卖","",IF(AND(ISNUMBER(B449),A449&lt;&gt;""),IF(SUMIFS($E$5:$E$804,$A$5:$A$804,A449,$C$5:$C$804,"卖",$B$5:$B$804,"&lt;="&amp;B449)&gt;SUMIFS($E$5:$E$804,$A$5:$A$804,A449,$C$5:$C$804,"买",$B$5:$B$804,"&lt;"&amp;B449),"超出可卖股数","OK"),""))</f>
        <v/>
      </c>
      <c r="O449" s="32" t="n"/>
    </row>
    <row r="450">
      <c r="A450" s="46" t="n"/>
      <c r="B450" s="31" t="n"/>
      <c r="C450" s="27" t="n"/>
      <c r="D450" s="56" t="n"/>
      <c r="E450" s="17" t="n"/>
      <c r="F450" s="20" t="str">
        <f>IF(AND(ISNUMBER(D450),ISNUMBER(E450)),D450*E450,"")</f>
        <v/>
      </c>
      <c r="G450" s="51" t="str">
        <f>IF(ISNUMBER(F450),ROUND(MAX(F450*'参数'!$C$12,'参数'!$C$13),2),"")</f>
        <v/>
      </c>
      <c r="H450" s="51" t="str">
        <f>IF(ISNUMBER(F450),IF(C450="卖",ROUND(F450*'参数'!$C$14,2),0),"")</f>
        <v/>
      </c>
      <c r="I450" s="51" t="str">
        <f>IF(ISNUMBER(F450),ROUND(F450*'参数'!$C$15,2),"")</f>
        <v/>
      </c>
      <c r="J450" s="21" t="n"/>
      <c r="K450" s="20" t="str">
        <f>IF(ISNUMBER(J450),J450,IF(ISNUMBER(F450),G450+H450+I450+ROUND(F450*'参数'!$C$16,2),""))</f>
        <v/>
      </c>
      <c r="L450" s="43" t="str">
        <f>IF(A450="","",IFERROR(T(INDEX('交易记录'!$C$5:$C$304,MATCH(A450,'交易记录'!$A$5:$A$304,0))),"编号没找到"))</f>
        <v/>
      </c>
      <c r="M450" s="57" t="str">
        <f>IF(AND(C450="买",ISNUMBER(B450)),WORKDAY(B450,1,'参数'!$B$58:$B$80),"")</f>
        <v/>
      </c>
      <c r="N450" s="36" t="str">
        <f>IF(C450&lt;&gt;"卖","",IF(AND(ISNUMBER(B450),A450&lt;&gt;""),IF(SUMIFS($E$5:$E$804,$A$5:$A$804,A450,$C$5:$C$804,"卖",$B$5:$B$804,"&lt;="&amp;B450)&gt;SUMIFS($E$5:$E$804,$A$5:$A$804,A450,$C$5:$C$804,"买",$B$5:$B$804,"&lt;"&amp;B450),"超出可卖股数","OK"),""))</f>
        <v/>
      </c>
      <c r="O450" s="32" t="n"/>
    </row>
    <row r="451">
      <c r="A451" s="46" t="n"/>
      <c r="B451" s="31" t="n"/>
      <c r="C451" s="27" t="n"/>
      <c r="D451" s="56" t="n"/>
      <c r="E451" s="17" t="n"/>
      <c r="F451" s="20" t="str">
        <f>IF(AND(ISNUMBER(D451),ISNUMBER(E451)),D451*E451,"")</f>
        <v/>
      </c>
      <c r="G451" s="51" t="str">
        <f>IF(ISNUMBER(F451),ROUND(MAX(F451*'参数'!$C$12,'参数'!$C$13),2),"")</f>
        <v/>
      </c>
      <c r="H451" s="51" t="str">
        <f>IF(ISNUMBER(F451),IF(C451="卖",ROUND(F451*'参数'!$C$14,2),0),"")</f>
        <v/>
      </c>
      <c r="I451" s="51" t="str">
        <f>IF(ISNUMBER(F451),ROUND(F451*'参数'!$C$15,2),"")</f>
        <v/>
      </c>
      <c r="J451" s="21" t="n"/>
      <c r="K451" s="20" t="str">
        <f>IF(ISNUMBER(J451),J451,IF(ISNUMBER(F451),G451+H451+I451+ROUND(F451*'参数'!$C$16,2),""))</f>
        <v/>
      </c>
      <c r="L451" s="43" t="str">
        <f>IF(A451="","",IFERROR(T(INDEX('交易记录'!$C$5:$C$304,MATCH(A451,'交易记录'!$A$5:$A$304,0))),"编号没找到"))</f>
        <v/>
      </c>
      <c r="M451" s="57" t="str">
        <f>IF(AND(C451="买",ISNUMBER(B451)),WORKDAY(B451,1,'参数'!$B$58:$B$80),"")</f>
        <v/>
      </c>
      <c r="N451" s="36" t="str">
        <f>IF(C451&lt;&gt;"卖","",IF(AND(ISNUMBER(B451),A451&lt;&gt;""),IF(SUMIFS($E$5:$E$804,$A$5:$A$804,A451,$C$5:$C$804,"卖",$B$5:$B$804,"&lt;="&amp;B451)&gt;SUMIFS($E$5:$E$804,$A$5:$A$804,A451,$C$5:$C$804,"买",$B$5:$B$804,"&lt;"&amp;B451),"超出可卖股数","OK"),""))</f>
        <v/>
      </c>
      <c r="O451" s="32" t="n"/>
    </row>
    <row r="452">
      <c r="A452" s="46" t="n"/>
      <c r="B452" s="31" t="n"/>
      <c r="C452" s="27" t="n"/>
      <c r="D452" s="56" t="n"/>
      <c r="E452" s="17" t="n"/>
      <c r="F452" s="20" t="str">
        <f>IF(AND(ISNUMBER(D452),ISNUMBER(E452)),D452*E452,"")</f>
        <v/>
      </c>
      <c r="G452" s="51" t="str">
        <f>IF(ISNUMBER(F452),ROUND(MAX(F452*'参数'!$C$12,'参数'!$C$13),2),"")</f>
        <v/>
      </c>
      <c r="H452" s="51" t="str">
        <f>IF(ISNUMBER(F452),IF(C452="卖",ROUND(F452*'参数'!$C$14,2),0),"")</f>
        <v/>
      </c>
      <c r="I452" s="51" t="str">
        <f>IF(ISNUMBER(F452),ROUND(F452*'参数'!$C$15,2),"")</f>
        <v/>
      </c>
      <c r="J452" s="21" t="n"/>
      <c r="K452" s="20" t="str">
        <f>IF(ISNUMBER(J452),J452,IF(ISNUMBER(F452),G452+H452+I452+ROUND(F452*'参数'!$C$16,2),""))</f>
        <v/>
      </c>
      <c r="L452" s="43" t="str">
        <f>IF(A452="","",IFERROR(T(INDEX('交易记录'!$C$5:$C$304,MATCH(A452,'交易记录'!$A$5:$A$304,0))),"编号没找到"))</f>
        <v/>
      </c>
      <c r="M452" s="57" t="str">
        <f>IF(AND(C452="买",ISNUMBER(B452)),WORKDAY(B452,1,'参数'!$B$58:$B$80),"")</f>
        <v/>
      </c>
      <c r="N452" s="36" t="str">
        <f>IF(C452&lt;&gt;"卖","",IF(AND(ISNUMBER(B452),A452&lt;&gt;""),IF(SUMIFS($E$5:$E$804,$A$5:$A$804,A452,$C$5:$C$804,"卖",$B$5:$B$804,"&lt;="&amp;B452)&gt;SUMIFS($E$5:$E$804,$A$5:$A$804,A452,$C$5:$C$804,"买",$B$5:$B$804,"&lt;"&amp;B452),"超出可卖股数","OK"),""))</f>
        <v/>
      </c>
      <c r="O452" s="32" t="n"/>
    </row>
    <row r="453">
      <c r="A453" s="46" t="n"/>
      <c r="B453" s="31" t="n"/>
      <c r="C453" s="27" t="n"/>
      <c r="D453" s="56" t="n"/>
      <c r="E453" s="17" t="n"/>
      <c r="F453" s="20" t="str">
        <f>IF(AND(ISNUMBER(D453),ISNUMBER(E453)),D453*E453,"")</f>
        <v/>
      </c>
      <c r="G453" s="51" t="str">
        <f>IF(ISNUMBER(F453),ROUND(MAX(F453*'参数'!$C$12,'参数'!$C$13),2),"")</f>
        <v/>
      </c>
      <c r="H453" s="51" t="str">
        <f>IF(ISNUMBER(F453),IF(C453="卖",ROUND(F453*'参数'!$C$14,2),0),"")</f>
        <v/>
      </c>
      <c r="I453" s="51" t="str">
        <f>IF(ISNUMBER(F453),ROUND(F453*'参数'!$C$15,2),"")</f>
        <v/>
      </c>
      <c r="J453" s="21" t="n"/>
      <c r="K453" s="20" t="str">
        <f>IF(ISNUMBER(J453),J453,IF(ISNUMBER(F453),G453+H453+I453+ROUND(F453*'参数'!$C$16,2),""))</f>
        <v/>
      </c>
      <c r="L453" s="43" t="str">
        <f>IF(A453="","",IFERROR(T(INDEX('交易记录'!$C$5:$C$304,MATCH(A453,'交易记录'!$A$5:$A$304,0))),"编号没找到"))</f>
        <v/>
      </c>
      <c r="M453" s="57" t="str">
        <f>IF(AND(C453="买",ISNUMBER(B453)),WORKDAY(B453,1,'参数'!$B$58:$B$80),"")</f>
        <v/>
      </c>
      <c r="N453" s="36" t="str">
        <f>IF(C453&lt;&gt;"卖","",IF(AND(ISNUMBER(B453),A453&lt;&gt;""),IF(SUMIFS($E$5:$E$804,$A$5:$A$804,A453,$C$5:$C$804,"卖",$B$5:$B$804,"&lt;="&amp;B453)&gt;SUMIFS($E$5:$E$804,$A$5:$A$804,A453,$C$5:$C$804,"买",$B$5:$B$804,"&lt;"&amp;B453),"超出可卖股数","OK"),""))</f>
        <v/>
      </c>
      <c r="O453" s="32" t="n"/>
    </row>
    <row r="454">
      <c r="A454" s="46" t="n"/>
      <c r="B454" s="31" t="n"/>
      <c r="C454" s="27" t="n"/>
      <c r="D454" s="56" t="n"/>
      <c r="E454" s="17" t="n"/>
      <c r="F454" s="20" t="str">
        <f>IF(AND(ISNUMBER(D454),ISNUMBER(E454)),D454*E454,"")</f>
        <v/>
      </c>
      <c r="G454" s="51" t="str">
        <f>IF(ISNUMBER(F454),ROUND(MAX(F454*'参数'!$C$12,'参数'!$C$13),2),"")</f>
        <v/>
      </c>
      <c r="H454" s="51" t="str">
        <f>IF(ISNUMBER(F454),IF(C454="卖",ROUND(F454*'参数'!$C$14,2),0),"")</f>
        <v/>
      </c>
      <c r="I454" s="51" t="str">
        <f>IF(ISNUMBER(F454),ROUND(F454*'参数'!$C$15,2),"")</f>
        <v/>
      </c>
      <c r="J454" s="21" t="n"/>
      <c r="K454" s="20" t="str">
        <f>IF(ISNUMBER(J454),J454,IF(ISNUMBER(F454),G454+H454+I454+ROUND(F454*'参数'!$C$16,2),""))</f>
        <v/>
      </c>
      <c r="L454" s="43" t="str">
        <f>IF(A454="","",IFERROR(T(INDEX('交易记录'!$C$5:$C$304,MATCH(A454,'交易记录'!$A$5:$A$304,0))),"编号没找到"))</f>
        <v/>
      </c>
      <c r="M454" s="57" t="str">
        <f>IF(AND(C454="买",ISNUMBER(B454)),WORKDAY(B454,1,'参数'!$B$58:$B$80),"")</f>
        <v/>
      </c>
      <c r="N454" s="36" t="str">
        <f>IF(C454&lt;&gt;"卖","",IF(AND(ISNUMBER(B454),A454&lt;&gt;""),IF(SUMIFS($E$5:$E$804,$A$5:$A$804,A454,$C$5:$C$804,"卖",$B$5:$B$804,"&lt;="&amp;B454)&gt;SUMIFS($E$5:$E$804,$A$5:$A$804,A454,$C$5:$C$804,"买",$B$5:$B$804,"&lt;"&amp;B454),"超出可卖股数","OK"),""))</f>
        <v/>
      </c>
      <c r="O454" s="32" t="n"/>
    </row>
    <row r="455">
      <c r="A455" s="46" t="n"/>
      <c r="B455" s="31" t="n"/>
      <c r="C455" s="27" t="n"/>
      <c r="D455" s="56" t="n"/>
      <c r="E455" s="17" t="n"/>
      <c r="F455" s="20" t="str">
        <f>IF(AND(ISNUMBER(D455),ISNUMBER(E455)),D455*E455,"")</f>
        <v/>
      </c>
      <c r="G455" s="51" t="str">
        <f>IF(ISNUMBER(F455),ROUND(MAX(F455*'参数'!$C$12,'参数'!$C$13),2),"")</f>
        <v/>
      </c>
      <c r="H455" s="51" t="str">
        <f>IF(ISNUMBER(F455),IF(C455="卖",ROUND(F455*'参数'!$C$14,2),0),"")</f>
        <v/>
      </c>
      <c r="I455" s="51" t="str">
        <f>IF(ISNUMBER(F455),ROUND(F455*'参数'!$C$15,2),"")</f>
        <v/>
      </c>
      <c r="J455" s="21" t="n"/>
      <c r="K455" s="20" t="str">
        <f>IF(ISNUMBER(J455),J455,IF(ISNUMBER(F455),G455+H455+I455+ROUND(F455*'参数'!$C$16,2),""))</f>
        <v/>
      </c>
      <c r="L455" s="43" t="str">
        <f>IF(A455="","",IFERROR(T(INDEX('交易记录'!$C$5:$C$304,MATCH(A455,'交易记录'!$A$5:$A$304,0))),"编号没找到"))</f>
        <v/>
      </c>
      <c r="M455" s="57" t="str">
        <f>IF(AND(C455="买",ISNUMBER(B455)),WORKDAY(B455,1,'参数'!$B$58:$B$80),"")</f>
        <v/>
      </c>
      <c r="N455" s="36" t="str">
        <f>IF(C455&lt;&gt;"卖","",IF(AND(ISNUMBER(B455),A455&lt;&gt;""),IF(SUMIFS($E$5:$E$804,$A$5:$A$804,A455,$C$5:$C$804,"卖",$B$5:$B$804,"&lt;="&amp;B455)&gt;SUMIFS($E$5:$E$804,$A$5:$A$804,A455,$C$5:$C$804,"买",$B$5:$B$804,"&lt;"&amp;B455),"超出可卖股数","OK"),""))</f>
        <v/>
      </c>
      <c r="O455" s="32" t="n"/>
    </row>
    <row r="456">
      <c r="A456" s="46" t="n"/>
      <c r="B456" s="31" t="n"/>
      <c r="C456" s="27" t="n"/>
      <c r="D456" s="56" t="n"/>
      <c r="E456" s="17" t="n"/>
      <c r="F456" s="20" t="str">
        <f>IF(AND(ISNUMBER(D456),ISNUMBER(E456)),D456*E456,"")</f>
        <v/>
      </c>
      <c r="G456" s="51" t="str">
        <f>IF(ISNUMBER(F456),ROUND(MAX(F456*'参数'!$C$12,'参数'!$C$13),2),"")</f>
        <v/>
      </c>
      <c r="H456" s="51" t="str">
        <f>IF(ISNUMBER(F456),IF(C456="卖",ROUND(F456*'参数'!$C$14,2),0),"")</f>
        <v/>
      </c>
      <c r="I456" s="51" t="str">
        <f>IF(ISNUMBER(F456),ROUND(F456*'参数'!$C$15,2),"")</f>
        <v/>
      </c>
      <c r="J456" s="21" t="n"/>
      <c r="K456" s="20" t="str">
        <f>IF(ISNUMBER(J456),J456,IF(ISNUMBER(F456),G456+H456+I456+ROUND(F456*'参数'!$C$16,2),""))</f>
        <v/>
      </c>
      <c r="L456" s="43" t="str">
        <f>IF(A456="","",IFERROR(T(INDEX('交易记录'!$C$5:$C$304,MATCH(A456,'交易记录'!$A$5:$A$304,0))),"编号没找到"))</f>
        <v/>
      </c>
      <c r="M456" s="57" t="str">
        <f>IF(AND(C456="买",ISNUMBER(B456)),WORKDAY(B456,1,'参数'!$B$58:$B$80),"")</f>
        <v/>
      </c>
      <c r="N456" s="36" t="str">
        <f>IF(C456&lt;&gt;"卖","",IF(AND(ISNUMBER(B456),A456&lt;&gt;""),IF(SUMIFS($E$5:$E$804,$A$5:$A$804,A456,$C$5:$C$804,"卖",$B$5:$B$804,"&lt;="&amp;B456)&gt;SUMIFS($E$5:$E$804,$A$5:$A$804,A456,$C$5:$C$804,"买",$B$5:$B$804,"&lt;"&amp;B456),"超出可卖股数","OK"),""))</f>
        <v/>
      </c>
      <c r="O456" s="32" t="n"/>
    </row>
    <row r="457">
      <c r="A457" s="46" t="n"/>
      <c r="B457" s="31" t="n"/>
      <c r="C457" s="27" t="n"/>
      <c r="D457" s="56" t="n"/>
      <c r="E457" s="17" t="n"/>
      <c r="F457" s="20" t="str">
        <f>IF(AND(ISNUMBER(D457),ISNUMBER(E457)),D457*E457,"")</f>
        <v/>
      </c>
      <c r="G457" s="51" t="str">
        <f>IF(ISNUMBER(F457),ROUND(MAX(F457*'参数'!$C$12,'参数'!$C$13),2),"")</f>
        <v/>
      </c>
      <c r="H457" s="51" t="str">
        <f>IF(ISNUMBER(F457),IF(C457="卖",ROUND(F457*'参数'!$C$14,2),0),"")</f>
        <v/>
      </c>
      <c r="I457" s="51" t="str">
        <f>IF(ISNUMBER(F457),ROUND(F457*'参数'!$C$15,2),"")</f>
        <v/>
      </c>
      <c r="J457" s="21" t="n"/>
      <c r="K457" s="20" t="str">
        <f>IF(ISNUMBER(J457),J457,IF(ISNUMBER(F457),G457+H457+I457+ROUND(F457*'参数'!$C$16,2),""))</f>
        <v/>
      </c>
      <c r="L457" s="43" t="str">
        <f>IF(A457="","",IFERROR(T(INDEX('交易记录'!$C$5:$C$304,MATCH(A457,'交易记录'!$A$5:$A$304,0))),"编号没找到"))</f>
        <v/>
      </c>
      <c r="M457" s="57" t="str">
        <f>IF(AND(C457="买",ISNUMBER(B457)),WORKDAY(B457,1,'参数'!$B$58:$B$80),"")</f>
        <v/>
      </c>
      <c r="N457" s="36" t="str">
        <f>IF(C457&lt;&gt;"卖","",IF(AND(ISNUMBER(B457),A457&lt;&gt;""),IF(SUMIFS($E$5:$E$804,$A$5:$A$804,A457,$C$5:$C$804,"卖",$B$5:$B$804,"&lt;="&amp;B457)&gt;SUMIFS($E$5:$E$804,$A$5:$A$804,A457,$C$5:$C$804,"买",$B$5:$B$804,"&lt;"&amp;B457),"超出可卖股数","OK"),""))</f>
        <v/>
      </c>
      <c r="O457" s="32" t="n"/>
    </row>
    <row r="458">
      <c r="A458" s="46" t="n"/>
      <c r="B458" s="31" t="n"/>
      <c r="C458" s="27" t="n"/>
      <c r="D458" s="56" t="n"/>
      <c r="E458" s="17" t="n"/>
      <c r="F458" s="20" t="str">
        <f>IF(AND(ISNUMBER(D458),ISNUMBER(E458)),D458*E458,"")</f>
        <v/>
      </c>
      <c r="G458" s="51" t="str">
        <f>IF(ISNUMBER(F458),ROUND(MAX(F458*'参数'!$C$12,'参数'!$C$13),2),"")</f>
        <v/>
      </c>
      <c r="H458" s="51" t="str">
        <f>IF(ISNUMBER(F458),IF(C458="卖",ROUND(F458*'参数'!$C$14,2),0),"")</f>
        <v/>
      </c>
      <c r="I458" s="51" t="str">
        <f>IF(ISNUMBER(F458),ROUND(F458*'参数'!$C$15,2),"")</f>
        <v/>
      </c>
      <c r="J458" s="21" t="n"/>
      <c r="K458" s="20" t="str">
        <f>IF(ISNUMBER(J458),J458,IF(ISNUMBER(F458),G458+H458+I458+ROUND(F458*'参数'!$C$16,2),""))</f>
        <v/>
      </c>
      <c r="L458" s="43" t="str">
        <f>IF(A458="","",IFERROR(T(INDEX('交易记录'!$C$5:$C$304,MATCH(A458,'交易记录'!$A$5:$A$304,0))),"编号没找到"))</f>
        <v/>
      </c>
      <c r="M458" s="57" t="str">
        <f>IF(AND(C458="买",ISNUMBER(B458)),WORKDAY(B458,1,'参数'!$B$58:$B$80),"")</f>
        <v/>
      </c>
      <c r="N458" s="36" t="str">
        <f>IF(C458&lt;&gt;"卖","",IF(AND(ISNUMBER(B458),A458&lt;&gt;""),IF(SUMIFS($E$5:$E$804,$A$5:$A$804,A458,$C$5:$C$804,"卖",$B$5:$B$804,"&lt;="&amp;B458)&gt;SUMIFS($E$5:$E$804,$A$5:$A$804,A458,$C$5:$C$804,"买",$B$5:$B$804,"&lt;"&amp;B458),"超出可卖股数","OK"),""))</f>
        <v/>
      </c>
      <c r="O458" s="32" t="n"/>
    </row>
    <row r="459">
      <c r="A459" s="46" t="n"/>
      <c r="B459" s="31" t="n"/>
      <c r="C459" s="27" t="n"/>
      <c r="D459" s="56" t="n"/>
      <c r="E459" s="17" t="n"/>
      <c r="F459" s="20" t="str">
        <f>IF(AND(ISNUMBER(D459),ISNUMBER(E459)),D459*E459,"")</f>
        <v/>
      </c>
      <c r="G459" s="51" t="str">
        <f>IF(ISNUMBER(F459),ROUND(MAX(F459*'参数'!$C$12,'参数'!$C$13),2),"")</f>
        <v/>
      </c>
      <c r="H459" s="51" t="str">
        <f>IF(ISNUMBER(F459),IF(C459="卖",ROUND(F459*'参数'!$C$14,2),0),"")</f>
        <v/>
      </c>
      <c r="I459" s="51" t="str">
        <f>IF(ISNUMBER(F459),ROUND(F459*'参数'!$C$15,2),"")</f>
        <v/>
      </c>
      <c r="J459" s="21" t="n"/>
      <c r="K459" s="20" t="str">
        <f>IF(ISNUMBER(J459),J459,IF(ISNUMBER(F459),G459+H459+I459+ROUND(F459*'参数'!$C$16,2),""))</f>
        <v/>
      </c>
      <c r="L459" s="43" t="str">
        <f>IF(A459="","",IFERROR(T(INDEX('交易记录'!$C$5:$C$304,MATCH(A459,'交易记录'!$A$5:$A$304,0))),"编号没找到"))</f>
        <v/>
      </c>
      <c r="M459" s="57" t="str">
        <f>IF(AND(C459="买",ISNUMBER(B459)),WORKDAY(B459,1,'参数'!$B$58:$B$80),"")</f>
        <v/>
      </c>
      <c r="N459" s="36" t="str">
        <f>IF(C459&lt;&gt;"卖","",IF(AND(ISNUMBER(B459),A459&lt;&gt;""),IF(SUMIFS($E$5:$E$804,$A$5:$A$804,A459,$C$5:$C$804,"卖",$B$5:$B$804,"&lt;="&amp;B459)&gt;SUMIFS($E$5:$E$804,$A$5:$A$804,A459,$C$5:$C$804,"买",$B$5:$B$804,"&lt;"&amp;B459),"超出可卖股数","OK"),""))</f>
        <v/>
      </c>
      <c r="O459" s="32" t="n"/>
    </row>
    <row r="460">
      <c r="A460" s="46" t="n"/>
      <c r="B460" s="31" t="n"/>
      <c r="C460" s="27" t="n"/>
      <c r="D460" s="56" t="n"/>
      <c r="E460" s="17" t="n"/>
      <c r="F460" s="20" t="str">
        <f>IF(AND(ISNUMBER(D460),ISNUMBER(E460)),D460*E460,"")</f>
        <v/>
      </c>
      <c r="G460" s="51" t="str">
        <f>IF(ISNUMBER(F460),ROUND(MAX(F460*'参数'!$C$12,'参数'!$C$13),2),"")</f>
        <v/>
      </c>
      <c r="H460" s="51" t="str">
        <f>IF(ISNUMBER(F460),IF(C460="卖",ROUND(F460*'参数'!$C$14,2),0),"")</f>
        <v/>
      </c>
      <c r="I460" s="51" t="str">
        <f>IF(ISNUMBER(F460),ROUND(F460*'参数'!$C$15,2),"")</f>
        <v/>
      </c>
      <c r="J460" s="21" t="n"/>
      <c r="K460" s="20" t="str">
        <f>IF(ISNUMBER(J460),J460,IF(ISNUMBER(F460),G460+H460+I460+ROUND(F460*'参数'!$C$16,2),""))</f>
        <v/>
      </c>
      <c r="L460" s="43" t="str">
        <f>IF(A460="","",IFERROR(T(INDEX('交易记录'!$C$5:$C$304,MATCH(A460,'交易记录'!$A$5:$A$304,0))),"编号没找到"))</f>
        <v/>
      </c>
      <c r="M460" s="57" t="str">
        <f>IF(AND(C460="买",ISNUMBER(B460)),WORKDAY(B460,1,'参数'!$B$58:$B$80),"")</f>
        <v/>
      </c>
      <c r="N460" s="36" t="str">
        <f>IF(C460&lt;&gt;"卖","",IF(AND(ISNUMBER(B460),A460&lt;&gt;""),IF(SUMIFS($E$5:$E$804,$A$5:$A$804,A460,$C$5:$C$804,"卖",$B$5:$B$804,"&lt;="&amp;B460)&gt;SUMIFS($E$5:$E$804,$A$5:$A$804,A460,$C$5:$C$804,"买",$B$5:$B$804,"&lt;"&amp;B460),"超出可卖股数","OK"),""))</f>
        <v/>
      </c>
      <c r="O460" s="32" t="n"/>
    </row>
    <row r="461">
      <c r="A461" s="46" t="n"/>
      <c r="B461" s="31" t="n"/>
      <c r="C461" s="27" t="n"/>
      <c r="D461" s="56" t="n"/>
      <c r="E461" s="17" t="n"/>
      <c r="F461" s="20" t="str">
        <f>IF(AND(ISNUMBER(D461),ISNUMBER(E461)),D461*E461,"")</f>
        <v/>
      </c>
      <c r="G461" s="51" t="str">
        <f>IF(ISNUMBER(F461),ROUND(MAX(F461*'参数'!$C$12,'参数'!$C$13),2),"")</f>
        <v/>
      </c>
      <c r="H461" s="51" t="str">
        <f>IF(ISNUMBER(F461),IF(C461="卖",ROUND(F461*'参数'!$C$14,2),0),"")</f>
        <v/>
      </c>
      <c r="I461" s="51" t="str">
        <f>IF(ISNUMBER(F461),ROUND(F461*'参数'!$C$15,2),"")</f>
        <v/>
      </c>
      <c r="J461" s="21" t="n"/>
      <c r="K461" s="20" t="str">
        <f>IF(ISNUMBER(J461),J461,IF(ISNUMBER(F461),G461+H461+I461+ROUND(F461*'参数'!$C$16,2),""))</f>
        <v/>
      </c>
      <c r="L461" s="43" t="str">
        <f>IF(A461="","",IFERROR(T(INDEX('交易记录'!$C$5:$C$304,MATCH(A461,'交易记录'!$A$5:$A$304,0))),"编号没找到"))</f>
        <v/>
      </c>
      <c r="M461" s="57" t="str">
        <f>IF(AND(C461="买",ISNUMBER(B461)),WORKDAY(B461,1,'参数'!$B$58:$B$80),"")</f>
        <v/>
      </c>
      <c r="N461" s="36" t="str">
        <f>IF(C461&lt;&gt;"卖","",IF(AND(ISNUMBER(B461),A461&lt;&gt;""),IF(SUMIFS($E$5:$E$804,$A$5:$A$804,A461,$C$5:$C$804,"卖",$B$5:$B$804,"&lt;="&amp;B461)&gt;SUMIFS($E$5:$E$804,$A$5:$A$804,A461,$C$5:$C$804,"买",$B$5:$B$804,"&lt;"&amp;B461),"超出可卖股数","OK"),""))</f>
        <v/>
      </c>
      <c r="O461" s="32" t="n"/>
    </row>
    <row r="462">
      <c r="A462" s="46" t="n"/>
      <c r="B462" s="31" t="n"/>
      <c r="C462" s="27" t="n"/>
      <c r="D462" s="56" t="n"/>
      <c r="E462" s="17" t="n"/>
      <c r="F462" s="20" t="str">
        <f>IF(AND(ISNUMBER(D462),ISNUMBER(E462)),D462*E462,"")</f>
        <v/>
      </c>
      <c r="G462" s="51" t="str">
        <f>IF(ISNUMBER(F462),ROUND(MAX(F462*'参数'!$C$12,'参数'!$C$13),2),"")</f>
        <v/>
      </c>
      <c r="H462" s="51" t="str">
        <f>IF(ISNUMBER(F462),IF(C462="卖",ROUND(F462*'参数'!$C$14,2),0),"")</f>
        <v/>
      </c>
      <c r="I462" s="51" t="str">
        <f>IF(ISNUMBER(F462),ROUND(F462*'参数'!$C$15,2),"")</f>
        <v/>
      </c>
      <c r="J462" s="21" t="n"/>
      <c r="K462" s="20" t="str">
        <f>IF(ISNUMBER(J462),J462,IF(ISNUMBER(F462),G462+H462+I462+ROUND(F462*'参数'!$C$16,2),""))</f>
        <v/>
      </c>
      <c r="L462" s="43" t="str">
        <f>IF(A462="","",IFERROR(T(INDEX('交易记录'!$C$5:$C$304,MATCH(A462,'交易记录'!$A$5:$A$304,0))),"编号没找到"))</f>
        <v/>
      </c>
      <c r="M462" s="57" t="str">
        <f>IF(AND(C462="买",ISNUMBER(B462)),WORKDAY(B462,1,'参数'!$B$58:$B$80),"")</f>
        <v/>
      </c>
      <c r="N462" s="36" t="str">
        <f>IF(C462&lt;&gt;"卖","",IF(AND(ISNUMBER(B462),A462&lt;&gt;""),IF(SUMIFS($E$5:$E$804,$A$5:$A$804,A462,$C$5:$C$804,"卖",$B$5:$B$804,"&lt;="&amp;B462)&gt;SUMIFS($E$5:$E$804,$A$5:$A$804,A462,$C$5:$C$804,"买",$B$5:$B$804,"&lt;"&amp;B462),"超出可卖股数","OK"),""))</f>
        <v/>
      </c>
      <c r="O462" s="32" t="n"/>
    </row>
    <row r="463">
      <c r="A463" s="46" t="n"/>
      <c r="B463" s="31" t="n"/>
      <c r="C463" s="27" t="n"/>
      <c r="D463" s="56" t="n"/>
      <c r="E463" s="17" t="n"/>
      <c r="F463" s="20" t="str">
        <f>IF(AND(ISNUMBER(D463),ISNUMBER(E463)),D463*E463,"")</f>
        <v/>
      </c>
      <c r="G463" s="51" t="str">
        <f>IF(ISNUMBER(F463),ROUND(MAX(F463*'参数'!$C$12,'参数'!$C$13),2),"")</f>
        <v/>
      </c>
      <c r="H463" s="51" t="str">
        <f>IF(ISNUMBER(F463),IF(C463="卖",ROUND(F463*'参数'!$C$14,2),0),"")</f>
        <v/>
      </c>
      <c r="I463" s="51" t="str">
        <f>IF(ISNUMBER(F463),ROUND(F463*'参数'!$C$15,2),"")</f>
        <v/>
      </c>
      <c r="J463" s="21" t="n"/>
      <c r="K463" s="20" t="str">
        <f>IF(ISNUMBER(J463),J463,IF(ISNUMBER(F463),G463+H463+I463+ROUND(F463*'参数'!$C$16,2),""))</f>
        <v/>
      </c>
      <c r="L463" s="43" t="str">
        <f>IF(A463="","",IFERROR(T(INDEX('交易记录'!$C$5:$C$304,MATCH(A463,'交易记录'!$A$5:$A$304,0))),"编号没找到"))</f>
        <v/>
      </c>
      <c r="M463" s="57" t="str">
        <f>IF(AND(C463="买",ISNUMBER(B463)),WORKDAY(B463,1,'参数'!$B$58:$B$80),"")</f>
        <v/>
      </c>
      <c r="N463" s="36" t="str">
        <f>IF(C463&lt;&gt;"卖","",IF(AND(ISNUMBER(B463),A463&lt;&gt;""),IF(SUMIFS($E$5:$E$804,$A$5:$A$804,A463,$C$5:$C$804,"卖",$B$5:$B$804,"&lt;="&amp;B463)&gt;SUMIFS($E$5:$E$804,$A$5:$A$804,A463,$C$5:$C$804,"买",$B$5:$B$804,"&lt;"&amp;B463),"超出可卖股数","OK"),""))</f>
        <v/>
      </c>
      <c r="O463" s="32" t="n"/>
    </row>
    <row r="464">
      <c r="A464" s="46" t="n"/>
      <c r="B464" s="31" t="n"/>
      <c r="C464" s="27" t="n"/>
      <c r="D464" s="56" t="n"/>
      <c r="E464" s="17" t="n"/>
      <c r="F464" s="20" t="str">
        <f>IF(AND(ISNUMBER(D464),ISNUMBER(E464)),D464*E464,"")</f>
        <v/>
      </c>
      <c r="G464" s="51" t="str">
        <f>IF(ISNUMBER(F464),ROUND(MAX(F464*'参数'!$C$12,'参数'!$C$13),2),"")</f>
        <v/>
      </c>
      <c r="H464" s="51" t="str">
        <f>IF(ISNUMBER(F464),IF(C464="卖",ROUND(F464*'参数'!$C$14,2),0),"")</f>
        <v/>
      </c>
      <c r="I464" s="51" t="str">
        <f>IF(ISNUMBER(F464),ROUND(F464*'参数'!$C$15,2),"")</f>
        <v/>
      </c>
      <c r="J464" s="21" t="n"/>
      <c r="K464" s="20" t="str">
        <f>IF(ISNUMBER(J464),J464,IF(ISNUMBER(F464),G464+H464+I464+ROUND(F464*'参数'!$C$16,2),""))</f>
        <v/>
      </c>
      <c r="L464" s="43" t="str">
        <f>IF(A464="","",IFERROR(T(INDEX('交易记录'!$C$5:$C$304,MATCH(A464,'交易记录'!$A$5:$A$304,0))),"编号没找到"))</f>
        <v/>
      </c>
      <c r="M464" s="57" t="str">
        <f>IF(AND(C464="买",ISNUMBER(B464)),WORKDAY(B464,1,'参数'!$B$58:$B$80),"")</f>
        <v/>
      </c>
      <c r="N464" s="36" t="str">
        <f>IF(C464&lt;&gt;"卖","",IF(AND(ISNUMBER(B464),A464&lt;&gt;""),IF(SUMIFS($E$5:$E$804,$A$5:$A$804,A464,$C$5:$C$804,"卖",$B$5:$B$804,"&lt;="&amp;B464)&gt;SUMIFS($E$5:$E$804,$A$5:$A$804,A464,$C$5:$C$804,"买",$B$5:$B$804,"&lt;"&amp;B464),"超出可卖股数","OK"),""))</f>
        <v/>
      </c>
      <c r="O464" s="32" t="n"/>
    </row>
    <row r="465">
      <c r="A465" s="46" t="n"/>
      <c r="B465" s="31" t="n"/>
      <c r="C465" s="27" t="n"/>
      <c r="D465" s="56" t="n"/>
      <c r="E465" s="17" t="n"/>
      <c r="F465" s="20" t="str">
        <f>IF(AND(ISNUMBER(D465),ISNUMBER(E465)),D465*E465,"")</f>
        <v/>
      </c>
      <c r="G465" s="51" t="str">
        <f>IF(ISNUMBER(F465),ROUND(MAX(F465*'参数'!$C$12,'参数'!$C$13),2),"")</f>
        <v/>
      </c>
      <c r="H465" s="51" t="str">
        <f>IF(ISNUMBER(F465),IF(C465="卖",ROUND(F465*'参数'!$C$14,2),0),"")</f>
        <v/>
      </c>
      <c r="I465" s="51" t="str">
        <f>IF(ISNUMBER(F465),ROUND(F465*'参数'!$C$15,2),"")</f>
        <v/>
      </c>
      <c r="J465" s="21" t="n"/>
      <c r="K465" s="20" t="str">
        <f>IF(ISNUMBER(J465),J465,IF(ISNUMBER(F465),G465+H465+I465+ROUND(F465*'参数'!$C$16,2),""))</f>
        <v/>
      </c>
      <c r="L465" s="43" t="str">
        <f>IF(A465="","",IFERROR(T(INDEX('交易记录'!$C$5:$C$304,MATCH(A465,'交易记录'!$A$5:$A$304,0))),"编号没找到"))</f>
        <v/>
      </c>
      <c r="M465" s="57" t="str">
        <f>IF(AND(C465="买",ISNUMBER(B465)),WORKDAY(B465,1,'参数'!$B$58:$B$80),"")</f>
        <v/>
      </c>
      <c r="N465" s="36" t="str">
        <f>IF(C465&lt;&gt;"卖","",IF(AND(ISNUMBER(B465),A465&lt;&gt;""),IF(SUMIFS($E$5:$E$804,$A$5:$A$804,A465,$C$5:$C$804,"卖",$B$5:$B$804,"&lt;="&amp;B465)&gt;SUMIFS($E$5:$E$804,$A$5:$A$804,A465,$C$5:$C$804,"买",$B$5:$B$804,"&lt;"&amp;B465),"超出可卖股数","OK"),""))</f>
        <v/>
      </c>
      <c r="O465" s="32" t="n"/>
    </row>
    <row r="466">
      <c r="A466" s="46" t="n"/>
      <c r="B466" s="31" t="n"/>
      <c r="C466" s="27" t="n"/>
      <c r="D466" s="56" t="n"/>
      <c r="E466" s="17" t="n"/>
      <c r="F466" s="20" t="str">
        <f>IF(AND(ISNUMBER(D466),ISNUMBER(E466)),D466*E466,"")</f>
        <v/>
      </c>
      <c r="G466" s="51" t="str">
        <f>IF(ISNUMBER(F466),ROUND(MAX(F466*'参数'!$C$12,'参数'!$C$13),2),"")</f>
        <v/>
      </c>
      <c r="H466" s="51" t="str">
        <f>IF(ISNUMBER(F466),IF(C466="卖",ROUND(F466*'参数'!$C$14,2),0),"")</f>
        <v/>
      </c>
      <c r="I466" s="51" t="str">
        <f>IF(ISNUMBER(F466),ROUND(F466*'参数'!$C$15,2),"")</f>
        <v/>
      </c>
      <c r="J466" s="21" t="n"/>
      <c r="K466" s="20" t="str">
        <f>IF(ISNUMBER(J466),J466,IF(ISNUMBER(F466),G466+H466+I466+ROUND(F466*'参数'!$C$16,2),""))</f>
        <v/>
      </c>
      <c r="L466" s="43" t="str">
        <f>IF(A466="","",IFERROR(T(INDEX('交易记录'!$C$5:$C$304,MATCH(A466,'交易记录'!$A$5:$A$304,0))),"编号没找到"))</f>
        <v/>
      </c>
      <c r="M466" s="57" t="str">
        <f>IF(AND(C466="买",ISNUMBER(B466)),WORKDAY(B466,1,'参数'!$B$58:$B$80),"")</f>
        <v/>
      </c>
      <c r="N466" s="36" t="str">
        <f>IF(C466&lt;&gt;"卖","",IF(AND(ISNUMBER(B466),A466&lt;&gt;""),IF(SUMIFS($E$5:$E$804,$A$5:$A$804,A466,$C$5:$C$804,"卖",$B$5:$B$804,"&lt;="&amp;B466)&gt;SUMIFS($E$5:$E$804,$A$5:$A$804,A466,$C$5:$C$804,"买",$B$5:$B$804,"&lt;"&amp;B466),"超出可卖股数","OK"),""))</f>
        <v/>
      </c>
      <c r="O466" s="32" t="n"/>
    </row>
    <row r="467">
      <c r="A467" s="46" t="n"/>
      <c r="B467" s="31" t="n"/>
      <c r="C467" s="27" t="n"/>
      <c r="D467" s="56" t="n"/>
      <c r="E467" s="17" t="n"/>
      <c r="F467" s="20" t="str">
        <f>IF(AND(ISNUMBER(D467),ISNUMBER(E467)),D467*E467,"")</f>
        <v/>
      </c>
      <c r="G467" s="51" t="str">
        <f>IF(ISNUMBER(F467),ROUND(MAX(F467*'参数'!$C$12,'参数'!$C$13),2),"")</f>
        <v/>
      </c>
      <c r="H467" s="51" t="str">
        <f>IF(ISNUMBER(F467),IF(C467="卖",ROUND(F467*'参数'!$C$14,2),0),"")</f>
        <v/>
      </c>
      <c r="I467" s="51" t="str">
        <f>IF(ISNUMBER(F467),ROUND(F467*'参数'!$C$15,2),"")</f>
        <v/>
      </c>
      <c r="J467" s="21" t="n"/>
      <c r="K467" s="20" t="str">
        <f>IF(ISNUMBER(J467),J467,IF(ISNUMBER(F467),G467+H467+I467+ROUND(F467*'参数'!$C$16,2),""))</f>
        <v/>
      </c>
      <c r="L467" s="43" t="str">
        <f>IF(A467="","",IFERROR(T(INDEX('交易记录'!$C$5:$C$304,MATCH(A467,'交易记录'!$A$5:$A$304,0))),"编号没找到"))</f>
        <v/>
      </c>
      <c r="M467" s="57" t="str">
        <f>IF(AND(C467="买",ISNUMBER(B467)),WORKDAY(B467,1,'参数'!$B$58:$B$80),"")</f>
        <v/>
      </c>
      <c r="N467" s="36" t="str">
        <f>IF(C467&lt;&gt;"卖","",IF(AND(ISNUMBER(B467),A467&lt;&gt;""),IF(SUMIFS($E$5:$E$804,$A$5:$A$804,A467,$C$5:$C$804,"卖",$B$5:$B$804,"&lt;="&amp;B467)&gt;SUMIFS($E$5:$E$804,$A$5:$A$804,A467,$C$5:$C$804,"买",$B$5:$B$804,"&lt;"&amp;B467),"超出可卖股数","OK"),""))</f>
        <v/>
      </c>
      <c r="O467" s="32" t="n"/>
    </row>
    <row r="468">
      <c r="A468" s="46" t="n"/>
      <c r="B468" s="31" t="n"/>
      <c r="C468" s="27" t="n"/>
      <c r="D468" s="56" t="n"/>
      <c r="E468" s="17" t="n"/>
      <c r="F468" s="20" t="str">
        <f>IF(AND(ISNUMBER(D468),ISNUMBER(E468)),D468*E468,"")</f>
        <v/>
      </c>
      <c r="G468" s="51" t="str">
        <f>IF(ISNUMBER(F468),ROUND(MAX(F468*'参数'!$C$12,'参数'!$C$13),2),"")</f>
        <v/>
      </c>
      <c r="H468" s="51" t="str">
        <f>IF(ISNUMBER(F468),IF(C468="卖",ROUND(F468*'参数'!$C$14,2),0),"")</f>
        <v/>
      </c>
      <c r="I468" s="51" t="str">
        <f>IF(ISNUMBER(F468),ROUND(F468*'参数'!$C$15,2),"")</f>
        <v/>
      </c>
      <c r="J468" s="21" t="n"/>
      <c r="K468" s="20" t="str">
        <f>IF(ISNUMBER(J468),J468,IF(ISNUMBER(F468),G468+H468+I468+ROUND(F468*'参数'!$C$16,2),""))</f>
        <v/>
      </c>
      <c r="L468" s="43" t="str">
        <f>IF(A468="","",IFERROR(T(INDEX('交易记录'!$C$5:$C$304,MATCH(A468,'交易记录'!$A$5:$A$304,0))),"编号没找到"))</f>
        <v/>
      </c>
      <c r="M468" s="57" t="str">
        <f>IF(AND(C468="买",ISNUMBER(B468)),WORKDAY(B468,1,'参数'!$B$58:$B$80),"")</f>
        <v/>
      </c>
      <c r="N468" s="36" t="str">
        <f>IF(C468&lt;&gt;"卖","",IF(AND(ISNUMBER(B468),A468&lt;&gt;""),IF(SUMIFS($E$5:$E$804,$A$5:$A$804,A468,$C$5:$C$804,"卖",$B$5:$B$804,"&lt;="&amp;B468)&gt;SUMIFS($E$5:$E$804,$A$5:$A$804,A468,$C$5:$C$804,"买",$B$5:$B$804,"&lt;"&amp;B468),"超出可卖股数","OK"),""))</f>
        <v/>
      </c>
      <c r="O468" s="32" t="n"/>
    </row>
    <row r="469">
      <c r="A469" s="46" t="n"/>
      <c r="B469" s="31" t="n"/>
      <c r="C469" s="27" t="n"/>
      <c r="D469" s="56" t="n"/>
      <c r="E469" s="17" t="n"/>
      <c r="F469" s="20" t="str">
        <f>IF(AND(ISNUMBER(D469),ISNUMBER(E469)),D469*E469,"")</f>
        <v/>
      </c>
      <c r="G469" s="51" t="str">
        <f>IF(ISNUMBER(F469),ROUND(MAX(F469*'参数'!$C$12,'参数'!$C$13),2),"")</f>
        <v/>
      </c>
      <c r="H469" s="51" t="str">
        <f>IF(ISNUMBER(F469),IF(C469="卖",ROUND(F469*'参数'!$C$14,2),0),"")</f>
        <v/>
      </c>
      <c r="I469" s="51" t="str">
        <f>IF(ISNUMBER(F469),ROUND(F469*'参数'!$C$15,2),"")</f>
        <v/>
      </c>
      <c r="J469" s="21" t="n"/>
      <c r="K469" s="20" t="str">
        <f>IF(ISNUMBER(J469),J469,IF(ISNUMBER(F469),G469+H469+I469+ROUND(F469*'参数'!$C$16,2),""))</f>
        <v/>
      </c>
      <c r="L469" s="43" t="str">
        <f>IF(A469="","",IFERROR(T(INDEX('交易记录'!$C$5:$C$304,MATCH(A469,'交易记录'!$A$5:$A$304,0))),"编号没找到"))</f>
        <v/>
      </c>
      <c r="M469" s="57" t="str">
        <f>IF(AND(C469="买",ISNUMBER(B469)),WORKDAY(B469,1,'参数'!$B$58:$B$80),"")</f>
        <v/>
      </c>
      <c r="N469" s="36" t="str">
        <f>IF(C469&lt;&gt;"卖","",IF(AND(ISNUMBER(B469),A469&lt;&gt;""),IF(SUMIFS($E$5:$E$804,$A$5:$A$804,A469,$C$5:$C$804,"卖",$B$5:$B$804,"&lt;="&amp;B469)&gt;SUMIFS($E$5:$E$804,$A$5:$A$804,A469,$C$5:$C$804,"买",$B$5:$B$804,"&lt;"&amp;B469),"超出可卖股数","OK"),""))</f>
        <v/>
      </c>
      <c r="O469" s="32" t="n"/>
    </row>
    <row r="470">
      <c r="A470" s="46" t="n"/>
      <c r="B470" s="31" t="n"/>
      <c r="C470" s="27" t="n"/>
      <c r="D470" s="56" t="n"/>
      <c r="E470" s="17" t="n"/>
      <c r="F470" s="20" t="str">
        <f>IF(AND(ISNUMBER(D470),ISNUMBER(E470)),D470*E470,"")</f>
        <v/>
      </c>
      <c r="G470" s="51" t="str">
        <f>IF(ISNUMBER(F470),ROUND(MAX(F470*'参数'!$C$12,'参数'!$C$13),2),"")</f>
        <v/>
      </c>
      <c r="H470" s="51" t="str">
        <f>IF(ISNUMBER(F470),IF(C470="卖",ROUND(F470*'参数'!$C$14,2),0),"")</f>
        <v/>
      </c>
      <c r="I470" s="51" t="str">
        <f>IF(ISNUMBER(F470),ROUND(F470*'参数'!$C$15,2),"")</f>
        <v/>
      </c>
      <c r="J470" s="21" t="n"/>
      <c r="K470" s="20" t="str">
        <f>IF(ISNUMBER(J470),J470,IF(ISNUMBER(F470),G470+H470+I470+ROUND(F470*'参数'!$C$16,2),""))</f>
        <v/>
      </c>
      <c r="L470" s="43" t="str">
        <f>IF(A470="","",IFERROR(T(INDEX('交易记录'!$C$5:$C$304,MATCH(A470,'交易记录'!$A$5:$A$304,0))),"编号没找到"))</f>
        <v/>
      </c>
      <c r="M470" s="57" t="str">
        <f>IF(AND(C470="买",ISNUMBER(B470)),WORKDAY(B470,1,'参数'!$B$58:$B$80),"")</f>
        <v/>
      </c>
      <c r="N470" s="36" t="str">
        <f>IF(C470&lt;&gt;"卖","",IF(AND(ISNUMBER(B470),A470&lt;&gt;""),IF(SUMIFS($E$5:$E$804,$A$5:$A$804,A470,$C$5:$C$804,"卖",$B$5:$B$804,"&lt;="&amp;B470)&gt;SUMIFS($E$5:$E$804,$A$5:$A$804,A470,$C$5:$C$804,"买",$B$5:$B$804,"&lt;"&amp;B470),"超出可卖股数","OK"),""))</f>
        <v/>
      </c>
      <c r="O470" s="32" t="n"/>
    </row>
    <row r="471">
      <c r="A471" s="46" t="n"/>
      <c r="B471" s="31" t="n"/>
      <c r="C471" s="27" t="n"/>
      <c r="D471" s="56" t="n"/>
      <c r="E471" s="17" t="n"/>
      <c r="F471" s="20" t="str">
        <f>IF(AND(ISNUMBER(D471),ISNUMBER(E471)),D471*E471,"")</f>
        <v/>
      </c>
      <c r="G471" s="51" t="str">
        <f>IF(ISNUMBER(F471),ROUND(MAX(F471*'参数'!$C$12,'参数'!$C$13),2),"")</f>
        <v/>
      </c>
      <c r="H471" s="51" t="str">
        <f>IF(ISNUMBER(F471),IF(C471="卖",ROUND(F471*'参数'!$C$14,2),0),"")</f>
        <v/>
      </c>
      <c r="I471" s="51" t="str">
        <f>IF(ISNUMBER(F471),ROUND(F471*'参数'!$C$15,2),"")</f>
        <v/>
      </c>
      <c r="J471" s="21" t="n"/>
      <c r="K471" s="20" t="str">
        <f>IF(ISNUMBER(J471),J471,IF(ISNUMBER(F471),G471+H471+I471+ROUND(F471*'参数'!$C$16,2),""))</f>
        <v/>
      </c>
      <c r="L471" s="43" t="str">
        <f>IF(A471="","",IFERROR(T(INDEX('交易记录'!$C$5:$C$304,MATCH(A471,'交易记录'!$A$5:$A$304,0))),"编号没找到"))</f>
        <v/>
      </c>
      <c r="M471" s="57" t="str">
        <f>IF(AND(C471="买",ISNUMBER(B471)),WORKDAY(B471,1,'参数'!$B$58:$B$80),"")</f>
        <v/>
      </c>
      <c r="N471" s="36" t="str">
        <f>IF(C471&lt;&gt;"卖","",IF(AND(ISNUMBER(B471),A471&lt;&gt;""),IF(SUMIFS($E$5:$E$804,$A$5:$A$804,A471,$C$5:$C$804,"卖",$B$5:$B$804,"&lt;="&amp;B471)&gt;SUMIFS($E$5:$E$804,$A$5:$A$804,A471,$C$5:$C$804,"买",$B$5:$B$804,"&lt;"&amp;B471),"超出可卖股数","OK"),""))</f>
        <v/>
      </c>
      <c r="O471" s="32" t="n"/>
    </row>
    <row r="472">
      <c r="A472" s="46" t="n"/>
      <c r="B472" s="31" t="n"/>
      <c r="C472" s="27" t="n"/>
      <c r="D472" s="56" t="n"/>
      <c r="E472" s="17" t="n"/>
      <c r="F472" s="20" t="str">
        <f>IF(AND(ISNUMBER(D472),ISNUMBER(E472)),D472*E472,"")</f>
        <v/>
      </c>
      <c r="G472" s="51" t="str">
        <f>IF(ISNUMBER(F472),ROUND(MAX(F472*'参数'!$C$12,'参数'!$C$13),2),"")</f>
        <v/>
      </c>
      <c r="H472" s="51" t="str">
        <f>IF(ISNUMBER(F472),IF(C472="卖",ROUND(F472*'参数'!$C$14,2),0),"")</f>
        <v/>
      </c>
      <c r="I472" s="51" t="str">
        <f>IF(ISNUMBER(F472),ROUND(F472*'参数'!$C$15,2),"")</f>
        <v/>
      </c>
      <c r="J472" s="21" t="n"/>
      <c r="K472" s="20" t="str">
        <f>IF(ISNUMBER(J472),J472,IF(ISNUMBER(F472),G472+H472+I472+ROUND(F472*'参数'!$C$16,2),""))</f>
        <v/>
      </c>
      <c r="L472" s="43" t="str">
        <f>IF(A472="","",IFERROR(T(INDEX('交易记录'!$C$5:$C$304,MATCH(A472,'交易记录'!$A$5:$A$304,0))),"编号没找到"))</f>
        <v/>
      </c>
      <c r="M472" s="57" t="str">
        <f>IF(AND(C472="买",ISNUMBER(B472)),WORKDAY(B472,1,'参数'!$B$58:$B$80),"")</f>
        <v/>
      </c>
      <c r="N472" s="36" t="str">
        <f>IF(C472&lt;&gt;"卖","",IF(AND(ISNUMBER(B472),A472&lt;&gt;""),IF(SUMIFS($E$5:$E$804,$A$5:$A$804,A472,$C$5:$C$804,"卖",$B$5:$B$804,"&lt;="&amp;B472)&gt;SUMIFS($E$5:$E$804,$A$5:$A$804,A472,$C$5:$C$804,"买",$B$5:$B$804,"&lt;"&amp;B472),"超出可卖股数","OK"),""))</f>
        <v/>
      </c>
      <c r="O472" s="32" t="n"/>
    </row>
    <row r="473">
      <c r="A473" s="46" t="n"/>
      <c r="B473" s="31" t="n"/>
      <c r="C473" s="27" t="n"/>
      <c r="D473" s="56" t="n"/>
      <c r="E473" s="17" t="n"/>
      <c r="F473" s="20" t="str">
        <f>IF(AND(ISNUMBER(D473),ISNUMBER(E473)),D473*E473,"")</f>
        <v/>
      </c>
      <c r="G473" s="51" t="str">
        <f>IF(ISNUMBER(F473),ROUND(MAX(F473*'参数'!$C$12,'参数'!$C$13),2),"")</f>
        <v/>
      </c>
      <c r="H473" s="51" t="str">
        <f>IF(ISNUMBER(F473),IF(C473="卖",ROUND(F473*'参数'!$C$14,2),0),"")</f>
        <v/>
      </c>
      <c r="I473" s="51" t="str">
        <f>IF(ISNUMBER(F473),ROUND(F473*'参数'!$C$15,2),"")</f>
        <v/>
      </c>
      <c r="J473" s="21" t="n"/>
      <c r="K473" s="20" t="str">
        <f>IF(ISNUMBER(J473),J473,IF(ISNUMBER(F473),G473+H473+I473+ROUND(F473*'参数'!$C$16,2),""))</f>
        <v/>
      </c>
      <c r="L473" s="43" t="str">
        <f>IF(A473="","",IFERROR(T(INDEX('交易记录'!$C$5:$C$304,MATCH(A473,'交易记录'!$A$5:$A$304,0))),"编号没找到"))</f>
        <v/>
      </c>
      <c r="M473" s="57" t="str">
        <f>IF(AND(C473="买",ISNUMBER(B473)),WORKDAY(B473,1,'参数'!$B$58:$B$80),"")</f>
        <v/>
      </c>
      <c r="N473" s="36" t="str">
        <f>IF(C473&lt;&gt;"卖","",IF(AND(ISNUMBER(B473),A473&lt;&gt;""),IF(SUMIFS($E$5:$E$804,$A$5:$A$804,A473,$C$5:$C$804,"卖",$B$5:$B$804,"&lt;="&amp;B473)&gt;SUMIFS($E$5:$E$804,$A$5:$A$804,A473,$C$5:$C$804,"买",$B$5:$B$804,"&lt;"&amp;B473),"超出可卖股数","OK"),""))</f>
        <v/>
      </c>
      <c r="O473" s="32" t="n"/>
    </row>
    <row r="474">
      <c r="A474" s="46" t="n"/>
      <c r="B474" s="31" t="n"/>
      <c r="C474" s="27" t="n"/>
      <c r="D474" s="56" t="n"/>
      <c r="E474" s="17" t="n"/>
      <c r="F474" s="20" t="str">
        <f>IF(AND(ISNUMBER(D474),ISNUMBER(E474)),D474*E474,"")</f>
        <v/>
      </c>
      <c r="G474" s="51" t="str">
        <f>IF(ISNUMBER(F474),ROUND(MAX(F474*'参数'!$C$12,'参数'!$C$13),2),"")</f>
        <v/>
      </c>
      <c r="H474" s="51" t="str">
        <f>IF(ISNUMBER(F474),IF(C474="卖",ROUND(F474*'参数'!$C$14,2),0),"")</f>
        <v/>
      </c>
      <c r="I474" s="51" t="str">
        <f>IF(ISNUMBER(F474),ROUND(F474*'参数'!$C$15,2),"")</f>
        <v/>
      </c>
      <c r="J474" s="21" t="n"/>
      <c r="K474" s="20" t="str">
        <f>IF(ISNUMBER(J474),J474,IF(ISNUMBER(F474),G474+H474+I474+ROUND(F474*'参数'!$C$16,2),""))</f>
        <v/>
      </c>
      <c r="L474" s="43" t="str">
        <f>IF(A474="","",IFERROR(T(INDEX('交易记录'!$C$5:$C$304,MATCH(A474,'交易记录'!$A$5:$A$304,0))),"编号没找到"))</f>
        <v/>
      </c>
      <c r="M474" s="57" t="str">
        <f>IF(AND(C474="买",ISNUMBER(B474)),WORKDAY(B474,1,'参数'!$B$58:$B$80),"")</f>
        <v/>
      </c>
      <c r="N474" s="36" t="str">
        <f>IF(C474&lt;&gt;"卖","",IF(AND(ISNUMBER(B474),A474&lt;&gt;""),IF(SUMIFS($E$5:$E$804,$A$5:$A$804,A474,$C$5:$C$804,"卖",$B$5:$B$804,"&lt;="&amp;B474)&gt;SUMIFS($E$5:$E$804,$A$5:$A$804,A474,$C$5:$C$804,"买",$B$5:$B$804,"&lt;"&amp;B474),"超出可卖股数","OK"),""))</f>
        <v/>
      </c>
      <c r="O474" s="32" t="n"/>
    </row>
    <row r="475">
      <c r="A475" s="46" t="n"/>
      <c r="B475" s="31" t="n"/>
      <c r="C475" s="27" t="n"/>
      <c r="D475" s="56" t="n"/>
      <c r="E475" s="17" t="n"/>
      <c r="F475" s="20" t="str">
        <f>IF(AND(ISNUMBER(D475),ISNUMBER(E475)),D475*E475,"")</f>
        <v/>
      </c>
      <c r="G475" s="51" t="str">
        <f>IF(ISNUMBER(F475),ROUND(MAX(F475*'参数'!$C$12,'参数'!$C$13),2),"")</f>
        <v/>
      </c>
      <c r="H475" s="51" t="str">
        <f>IF(ISNUMBER(F475),IF(C475="卖",ROUND(F475*'参数'!$C$14,2),0),"")</f>
        <v/>
      </c>
      <c r="I475" s="51" t="str">
        <f>IF(ISNUMBER(F475),ROUND(F475*'参数'!$C$15,2),"")</f>
        <v/>
      </c>
      <c r="J475" s="21" t="n"/>
      <c r="K475" s="20" t="str">
        <f>IF(ISNUMBER(J475),J475,IF(ISNUMBER(F475),G475+H475+I475+ROUND(F475*'参数'!$C$16,2),""))</f>
        <v/>
      </c>
      <c r="L475" s="43" t="str">
        <f>IF(A475="","",IFERROR(T(INDEX('交易记录'!$C$5:$C$304,MATCH(A475,'交易记录'!$A$5:$A$304,0))),"编号没找到"))</f>
        <v/>
      </c>
      <c r="M475" s="57" t="str">
        <f>IF(AND(C475="买",ISNUMBER(B475)),WORKDAY(B475,1,'参数'!$B$58:$B$80),"")</f>
        <v/>
      </c>
      <c r="N475" s="36" t="str">
        <f>IF(C475&lt;&gt;"卖","",IF(AND(ISNUMBER(B475),A475&lt;&gt;""),IF(SUMIFS($E$5:$E$804,$A$5:$A$804,A475,$C$5:$C$804,"卖",$B$5:$B$804,"&lt;="&amp;B475)&gt;SUMIFS($E$5:$E$804,$A$5:$A$804,A475,$C$5:$C$804,"买",$B$5:$B$804,"&lt;"&amp;B475),"超出可卖股数","OK"),""))</f>
        <v/>
      </c>
      <c r="O475" s="32" t="n"/>
    </row>
    <row r="476">
      <c r="A476" s="46" t="n"/>
      <c r="B476" s="31" t="n"/>
      <c r="C476" s="27" t="n"/>
      <c r="D476" s="56" t="n"/>
      <c r="E476" s="17" t="n"/>
      <c r="F476" s="20" t="str">
        <f>IF(AND(ISNUMBER(D476),ISNUMBER(E476)),D476*E476,"")</f>
        <v/>
      </c>
      <c r="G476" s="51" t="str">
        <f>IF(ISNUMBER(F476),ROUND(MAX(F476*'参数'!$C$12,'参数'!$C$13),2),"")</f>
        <v/>
      </c>
      <c r="H476" s="51" t="str">
        <f>IF(ISNUMBER(F476),IF(C476="卖",ROUND(F476*'参数'!$C$14,2),0),"")</f>
        <v/>
      </c>
      <c r="I476" s="51" t="str">
        <f>IF(ISNUMBER(F476),ROUND(F476*'参数'!$C$15,2),"")</f>
        <v/>
      </c>
      <c r="J476" s="21" t="n"/>
      <c r="K476" s="20" t="str">
        <f>IF(ISNUMBER(J476),J476,IF(ISNUMBER(F476),G476+H476+I476+ROUND(F476*'参数'!$C$16,2),""))</f>
        <v/>
      </c>
      <c r="L476" s="43" t="str">
        <f>IF(A476="","",IFERROR(T(INDEX('交易记录'!$C$5:$C$304,MATCH(A476,'交易记录'!$A$5:$A$304,0))),"编号没找到"))</f>
        <v/>
      </c>
      <c r="M476" s="57" t="str">
        <f>IF(AND(C476="买",ISNUMBER(B476)),WORKDAY(B476,1,'参数'!$B$58:$B$80),"")</f>
        <v/>
      </c>
      <c r="N476" s="36" t="str">
        <f>IF(C476&lt;&gt;"卖","",IF(AND(ISNUMBER(B476),A476&lt;&gt;""),IF(SUMIFS($E$5:$E$804,$A$5:$A$804,A476,$C$5:$C$804,"卖",$B$5:$B$804,"&lt;="&amp;B476)&gt;SUMIFS($E$5:$E$804,$A$5:$A$804,A476,$C$5:$C$804,"买",$B$5:$B$804,"&lt;"&amp;B476),"超出可卖股数","OK"),""))</f>
        <v/>
      </c>
      <c r="O476" s="32" t="n"/>
    </row>
    <row r="477">
      <c r="A477" s="46" t="n"/>
      <c r="B477" s="31" t="n"/>
      <c r="C477" s="27" t="n"/>
      <c r="D477" s="56" t="n"/>
      <c r="E477" s="17" t="n"/>
      <c r="F477" s="20" t="str">
        <f>IF(AND(ISNUMBER(D477),ISNUMBER(E477)),D477*E477,"")</f>
        <v/>
      </c>
      <c r="G477" s="51" t="str">
        <f>IF(ISNUMBER(F477),ROUND(MAX(F477*'参数'!$C$12,'参数'!$C$13),2),"")</f>
        <v/>
      </c>
      <c r="H477" s="51" t="str">
        <f>IF(ISNUMBER(F477),IF(C477="卖",ROUND(F477*'参数'!$C$14,2),0),"")</f>
        <v/>
      </c>
      <c r="I477" s="51" t="str">
        <f>IF(ISNUMBER(F477),ROUND(F477*'参数'!$C$15,2),"")</f>
        <v/>
      </c>
      <c r="J477" s="21" t="n"/>
      <c r="K477" s="20" t="str">
        <f>IF(ISNUMBER(J477),J477,IF(ISNUMBER(F477),G477+H477+I477+ROUND(F477*'参数'!$C$16,2),""))</f>
        <v/>
      </c>
      <c r="L477" s="43" t="str">
        <f>IF(A477="","",IFERROR(T(INDEX('交易记录'!$C$5:$C$304,MATCH(A477,'交易记录'!$A$5:$A$304,0))),"编号没找到"))</f>
        <v/>
      </c>
      <c r="M477" s="57" t="str">
        <f>IF(AND(C477="买",ISNUMBER(B477)),WORKDAY(B477,1,'参数'!$B$58:$B$80),"")</f>
        <v/>
      </c>
      <c r="N477" s="36" t="str">
        <f>IF(C477&lt;&gt;"卖","",IF(AND(ISNUMBER(B477),A477&lt;&gt;""),IF(SUMIFS($E$5:$E$804,$A$5:$A$804,A477,$C$5:$C$804,"卖",$B$5:$B$804,"&lt;="&amp;B477)&gt;SUMIFS($E$5:$E$804,$A$5:$A$804,A477,$C$5:$C$804,"买",$B$5:$B$804,"&lt;"&amp;B477),"超出可卖股数","OK"),""))</f>
        <v/>
      </c>
      <c r="O477" s="32" t="n"/>
    </row>
    <row r="478">
      <c r="A478" s="46" t="n"/>
      <c r="B478" s="31" t="n"/>
      <c r="C478" s="27" t="n"/>
      <c r="D478" s="56" t="n"/>
      <c r="E478" s="17" t="n"/>
      <c r="F478" s="20" t="str">
        <f>IF(AND(ISNUMBER(D478),ISNUMBER(E478)),D478*E478,"")</f>
        <v/>
      </c>
      <c r="G478" s="51" t="str">
        <f>IF(ISNUMBER(F478),ROUND(MAX(F478*'参数'!$C$12,'参数'!$C$13),2),"")</f>
        <v/>
      </c>
      <c r="H478" s="51" t="str">
        <f>IF(ISNUMBER(F478),IF(C478="卖",ROUND(F478*'参数'!$C$14,2),0),"")</f>
        <v/>
      </c>
      <c r="I478" s="51" t="str">
        <f>IF(ISNUMBER(F478),ROUND(F478*'参数'!$C$15,2),"")</f>
        <v/>
      </c>
      <c r="J478" s="21" t="n"/>
      <c r="K478" s="20" t="str">
        <f>IF(ISNUMBER(J478),J478,IF(ISNUMBER(F478),G478+H478+I478+ROUND(F478*'参数'!$C$16,2),""))</f>
        <v/>
      </c>
      <c r="L478" s="43" t="str">
        <f>IF(A478="","",IFERROR(T(INDEX('交易记录'!$C$5:$C$304,MATCH(A478,'交易记录'!$A$5:$A$304,0))),"编号没找到"))</f>
        <v/>
      </c>
      <c r="M478" s="57" t="str">
        <f>IF(AND(C478="买",ISNUMBER(B478)),WORKDAY(B478,1,'参数'!$B$58:$B$80),"")</f>
        <v/>
      </c>
      <c r="N478" s="36" t="str">
        <f>IF(C478&lt;&gt;"卖","",IF(AND(ISNUMBER(B478),A478&lt;&gt;""),IF(SUMIFS($E$5:$E$804,$A$5:$A$804,A478,$C$5:$C$804,"卖",$B$5:$B$804,"&lt;="&amp;B478)&gt;SUMIFS($E$5:$E$804,$A$5:$A$804,A478,$C$5:$C$804,"买",$B$5:$B$804,"&lt;"&amp;B478),"超出可卖股数","OK"),""))</f>
        <v/>
      </c>
      <c r="O478" s="32" t="n"/>
    </row>
    <row r="479">
      <c r="A479" s="46" t="n"/>
      <c r="B479" s="31" t="n"/>
      <c r="C479" s="27" t="n"/>
      <c r="D479" s="56" t="n"/>
      <c r="E479" s="17" t="n"/>
      <c r="F479" s="20" t="str">
        <f>IF(AND(ISNUMBER(D479),ISNUMBER(E479)),D479*E479,"")</f>
        <v/>
      </c>
      <c r="G479" s="51" t="str">
        <f>IF(ISNUMBER(F479),ROUND(MAX(F479*'参数'!$C$12,'参数'!$C$13),2),"")</f>
        <v/>
      </c>
      <c r="H479" s="51" t="str">
        <f>IF(ISNUMBER(F479),IF(C479="卖",ROUND(F479*'参数'!$C$14,2),0),"")</f>
        <v/>
      </c>
      <c r="I479" s="51" t="str">
        <f>IF(ISNUMBER(F479),ROUND(F479*'参数'!$C$15,2),"")</f>
        <v/>
      </c>
      <c r="J479" s="21" t="n"/>
      <c r="K479" s="20" t="str">
        <f>IF(ISNUMBER(J479),J479,IF(ISNUMBER(F479),G479+H479+I479+ROUND(F479*'参数'!$C$16,2),""))</f>
        <v/>
      </c>
      <c r="L479" s="43" t="str">
        <f>IF(A479="","",IFERROR(T(INDEX('交易记录'!$C$5:$C$304,MATCH(A479,'交易记录'!$A$5:$A$304,0))),"编号没找到"))</f>
        <v/>
      </c>
      <c r="M479" s="57" t="str">
        <f>IF(AND(C479="买",ISNUMBER(B479)),WORKDAY(B479,1,'参数'!$B$58:$B$80),"")</f>
        <v/>
      </c>
      <c r="N479" s="36" t="str">
        <f>IF(C479&lt;&gt;"卖","",IF(AND(ISNUMBER(B479),A479&lt;&gt;""),IF(SUMIFS($E$5:$E$804,$A$5:$A$804,A479,$C$5:$C$804,"卖",$B$5:$B$804,"&lt;="&amp;B479)&gt;SUMIFS($E$5:$E$804,$A$5:$A$804,A479,$C$5:$C$804,"买",$B$5:$B$804,"&lt;"&amp;B479),"超出可卖股数","OK"),""))</f>
        <v/>
      </c>
      <c r="O479" s="32" t="n"/>
    </row>
    <row r="480">
      <c r="A480" s="46" t="n"/>
      <c r="B480" s="31" t="n"/>
      <c r="C480" s="27" t="n"/>
      <c r="D480" s="56" t="n"/>
      <c r="E480" s="17" t="n"/>
      <c r="F480" s="20" t="str">
        <f>IF(AND(ISNUMBER(D480),ISNUMBER(E480)),D480*E480,"")</f>
        <v/>
      </c>
      <c r="G480" s="51" t="str">
        <f>IF(ISNUMBER(F480),ROUND(MAX(F480*'参数'!$C$12,'参数'!$C$13),2),"")</f>
        <v/>
      </c>
      <c r="H480" s="51" t="str">
        <f>IF(ISNUMBER(F480),IF(C480="卖",ROUND(F480*'参数'!$C$14,2),0),"")</f>
        <v/>
      </c>
      <c r="I480" s="51" t="str">
        <f>IF(ISNUMBER(F480),ROUND(F480*'参数'!$C$15,2),"")</f>
        <v/>
      </c>
      <c r="J480" s="21" t="n"/>
      <c r="K480" s="20" t="str">
        <f>IF(ISNUMBER(J480),J480,IF(ISNUMBER(F480),G480+H480+I480+ROUND(F480*'参数'!$C$16,2),""))</f>
        <v/>
      </c>
      <c r="L480" s="43" t="str">
        <f>IF(A480="","",IFERROR(T(INDEX('交易记录'!$C$5:$C$304,MATCH(A480,'交易记录'!$A$5:$A$304,0))),"编号没找到"))</f>
        <v/>
      </c>
      <c r="M480" s="57" t="str">
        <f>IF(AND(C480="买",ISNUMBER(B480)),WORKDAY(B480,1,'参数'!$B$58:$B$80),"")</f>
        <v/>
      </c>
      <c r="N480" s="36" t="str">
        <f>IF(C480&lt;&gt;"卖","",IF(AND(ISNUMBER(B480),A480&lt;&gt;""),IF(SUMIFS($E$5:$E$804,$A$5:$A$804,A480,$C$5:$C$804,"卖",$B$5:$B$804,"&lt;="&amp;B480)&gt;SUMIFS($E$5:$E$804,$A$5:$A$804,A480,$C$5:$C$804,"买",$B$5:$B$804,"&lt;"&amp;B480),"超出可卖股数","OK"),""))</f>
        <v/>
      </c>
      <c r="O480" s="32" t="n"/>
    </row>
    <row r="481">
      <c r="A481" s="46" t="n"/>
      <c r="B481" s="31" t="n"/>
      <c r="C481" s="27" t="n"/>
      <c r="D481" s="56" t="n"/>
      <c r="E481" s="17" t="n"/>
      <c r="F481" s="20" t="str">
        <f>IF(AND(ISNUMBER(D481),ISNUMBER(E481)),D481*E481,"")</f>
        <v/>
      </c>
      <c r="G481" s="51" t="str">
        <f>IF(ISNUMBER(F481),ROUND(MAX(F481*'参数'!$C$12,'参数'!$C$13),2),"")</f>
        <v/>
      </c>
      <c r="H481" s="51" t="str">
        <f>IF(ISNUMBER(F481),IF(C481="卖",ROUND(F481*'参数'!$C$14,2),0),"")</f>
        <v/>
      </c>
      <c r="I481" s="51" t="str">
        <f>IF(ISNUMBER(F481),ROUND(F481*'参数'!$C$15,2),"")</f>
        <v/>
      </c>
      <c r="J481" s="21" t="n"/>
      <c r="K481" s="20" t="str">
        <f>IF(ISNUMBER(J481),J481,IF(ISNUMBER(F481),G481+H481+I481+ROUND(F481*'参数'!$C$16,2),""))</f>
        <v/>
      </c>
      <c r="L481" s="43" t="str">
        <f>IF(A481="","",IFERROR(T(INDEX('交易记录'!$C$5:$C$304,MATCH(A481,'交易记录'!$A$5:$A$304,0))),"编号没找到"))</f>
        <v/>
      </c>
      <c r="M481" s="57" t="str">
        <f>IF(AND(C481="买",ISNUMBER(B481)),WORKDAY(B481,1,'参数'!$B$58:$B$80),"")</f>
        <v/>
      </c>
      <c r="N481" s="36" t="str">
        <f>IF(C481&lt;&gt;"卖","",IF(AND(ISNUMBER(B481),A481&lt;&gt;""),IF(SUMIFS($E$5:$E$804,$A$5:$A$804,A481,$C$5:$C$804,"卖",$B$5:$B$804,"&lt;="&amp;B481)&gt;SUMIFS($E$5:$E$804,$A$5:$A$804,A481,$C$5:$C$804,"买",$B$5:$B$804,"&lt;"&amp;B481),"超出可卖股数","OK"),""))</f>
        <v/>
      </c>
      <c r="O481" s="32" t="n"/>
    </row>
    <row r="482">
      <c r="A482" s="46" t="n"/>
      <c r="B482" s="31" t="n"/>
      <c r="C482" s="27" t="n"/>
      <c r="D482" s="56" t="n"/>
      <c r="E482" s="17" t="n"/>
      <c r="F482" s="20" t="str">
        <f>IF(AND(ISNUMBER(D482),ISNUMBER(E482)),D482*E482,"")</f>
        <v/>
      </c>
      <c r="G482" s="51" t="str">
        <f>IF(ISNUMBER(F482),ROUND(MAX(F482*'参数'!$C$12,'参数'!$C$13),2),"")</f>
        <v/>
      </c>
      <c r="H482" s="51" t="str">
        <f>IF(ISNUMBER(F482),IF(C482="卖",ROUND(F482*'参数'!$C$14,2),0),"")</f>
        <v/>
      </c>
      <c r="I482" s="51" t="str">
        <f>IF(ISNUMBER(F482),ROUND(F482*'参数'!$C$15,2),"")</f>
        <v/>
      </c>
      <c r="J482" s="21" t="n"/>
      <c r="K482" s="20" t="str">
        <f>IF(ISNUMBER(J482),J482,IF(ISNUMBER(F482),G482+H482+I482+ROUND(F482*'参数'!$C$16,2),""))</f>
        <v/>
      </c>
      <c r="L482" s="43" t="str">
        <f>IF(A482="","",IFERROR(T(INDEX('交易记录'!$C$5:$C$304,MATCH(A482,'交易记录'!$A$5:$A$304,0))),"编号没找到"))</f>
        <v/>
      </c>
      <c r="M482" s="57" t="str">
        <f>IF(AND(C482="买",ISNUMBER(B482)),WORKDAY(B482,1,'参数'!$B$58:$B$80),"")</f>
        <v/>
      </c>
      <c r="N482" s="36" t="str">
        <f>IF(C482&lt;&gt;"卖","",IF(AND(ISNUMBER(B482),A482&lt;&gt;""),IF(SUMIFS($E$5:$E$804,$A$5:$A$804,A482,$C$5:$C$804,"卖",$B$5:$B$804,"&lt;="&amp;B482)&gt;SUMIFS($E$5:$E$804,$A$5:$A$804,A482,$C$5:$C$804,"买",$B$5:$B$804,"&lt;"&amp;B482),"超出可卖股数","OK"),""))</f>
        <v/>
      </c>
      <c r="O482" s="32" t="n"/>
    </row>
    <row r="483">
      <c r="A483" s="46" t="n"/>
      <c r="B483" s="31" t="n"/>
      <c r="C483" s="27" t="n"/>
      <c r="D483" s="56" t="n"/>
      <c r="E483" s="17" t="n"/>
      <c r="F483" s="20" t="str">
        <f>IF(AND(ISNUMBER(D483),ISNUMBER(E483)),D483*E483,"")</f>
        <v/>
      </c>
      <c r="G483" s="51" t="str">
        <f>IF(ISNUMBER(F483),ROUND(MAX(F483*'参数'!$C$12,'参数'!$C$13),2),"")</f>
        <v/>
      </c>
      <c r="H483" s="51" t="str">
        <f>IF(ISNUMBER(F483),IF(C483="卖",ROUND(F483*'参数'!$C$14,2),0),"")</f>
        <v/>
      </c>
      <c r="I483" s="51" t="str">
        <f>IF(ISNUMBER(F483),ROUND(F483*'参数'!$C$15,2),"")</f>
        <v/>
      </c>
      <c r="J483" s="21" t="n"/>
      <c r="K483" s="20" t="str">
        <f>IF(ISNUMBER(J483),J483,IF(ISNUMBER(F483),G483+H483+I483+ROUND(F483*'参数'!$C$16,2),""))</f>
        <v/>
      </c>
      <c r="L483" s="43" t="str">
        <f>IF(A483="","",IFERROR(T(INDEX('交易记录'!$C$5:$C$304,MATCH(A483,'交易记录'!$A$5:$A$304,0))),"编号没找到"))</f>
        <v/>
      </c>
      <c r="M483" s="57" t="str">
        <f>IF(AND(C483="买",ISNUMBER(B483)),WORKDAY(B483,1,'参数'!$B$58:$B$80),"")</f>
        <v/>
      </c>
      <c r="N483" s="36" t="str">
        <f>IF(C483&lt;&gt;"卖","",IF(AND(ISNUMBER(B483),A483&lt;&gt;""),IF(SUMIFS($E$5:$E$804,$A$5:$A$804,A483,$C$5:$C$804,"卖",$B$5:$B$804,"&lt;="&amp;B483)&gt;SUMIFS($E$5:$E$804,$A$5:$A$804,A483,$C$5:$C$804,"买",$B$5:$B$804,"&lt;"&amp;B483),"超出可卖股数","OK"),""))</f>
        <v/>
      </c>
      <c r="O483" s="32" t="n"/>
    </row>
    <row r="484">
      <c r="A484" s="46" t="n"/>
      <c r="B484" s="31" t="n"/>
      <c r="C484" s="27" t="n"/>
      <c r="D484" s="56" t="n"/>
      <c r="E484" s="17" t="n"/>
      <c r="F484" s="20" t="str">
        <f>IF(AND(ISNUMBER(D484),ISNUMBER(E484)),D484*E484,"")</f>
        <v/>
      </c>
      <c r="G484" s="51" t="str">
        <f>IF(ISNUMBER(F484),ROUND(MAX(F484*'参数'!$C$12,'参数'!$C$13),2),"")</f>
        <v/>
      </c>
      <c r="H484" s="51" t="str">
        <f>IF(ISNUMBER(F484),IF(C484="卖",ROUND(F484*'参数'!$C$14,2),0),"")</f>
        <v/>
      </c>
      <c r="I484" s="51" t="str">
        <f>IF(ISNUMBER(F484),ROUND(F484*'参数'!$C$15,2),"")</f>
        <v/>
      </c>
      <c r="J484" s="21" t="n"/>
      <c r="K484" s="20" t="str">
        <f>IF(ISNUMBER(J484),J484,IF(ISNUMBER(F484),G484+H484+I484+ROUND(F484*'参数'!$C$16,2),""))</f>
        <v/>
      </c>
      <c r="L484" s="43" t="str">
        <f>IF(A484="","",IFERROR(T(INDEX('交易记录'!$C$5:$C$304,MATCH(A484,'交易记录'!$A$5:$A$304,0))),"编号没找到"))</f>
        <v/>
      </c>
      <c r="M484" s="57" t="str">
        <f>IF(AND(C484="买",ISNUMBER(B484)),WORKDAY(B484,1,'参数'!$B$58:$B$80),"")</f>
        <v/>
      </c>
      <c r="N484" s="36" t="str">
        <f>IF(C484&lt;&gt;"卖","",IF(AND(ISNUMBER(B484),A484&lt;&gt;""),IF(SUMIFS($E$5:$E$804,$A$5:$A$804,A484,$C$5:$C$804,"卖",$B$5:$B$804,"&lt;="&amp;B484)&gt;SUMIFS($E$5:$E$804,$A$5:$A$804,A484,$C$5:$C$804,"买",$B$5:$B$804,"&lt;"&amp;B484),"超出可卖股数","OK"),""))</f>
        <v/>
      </c>
      <c r="O484" s="32" t="n"/>
    </row>
    <row r="485">
      <c r="A485" s="46" t="n"/>
      <c r="B485" s="31" t="n"/>
      <c r="C485" s="27" t="n"/>
      <c r="D485" s="56" t="n"/>
      <c r="E485" s="17" t="n"/>
      <c r="F485" s="20" t="str">
        <f>IF(AND(ISNUMBER(D485),ISNUMBER(E485)),D485*E485,"")</f>
        <v/>
      </c>
      <c r="G485" s="51" t="str">
        <f>IF(ISNUMBER(F485),ROUND(MAX(F485*'参数'!$C$12,'参数'!$C$13),2),"")</f>
        <v/>
      </c>
      <c r="H485" s="51" t="str">
        <f>IF(ISNUMBER(F485),IF(C485="卖",ROUND(F485*'参数'!$C$14,2),0),"")</f>
        <v/>
      </c>
      <c r="I485" s="51" t="str">
        <f>IF(ISNUMBER(F485),ROUND(F485*'参数'!$C$15,2),"")</f>
        <v/>
      </c>
      <c r="J485" s="21" t="n"/>
      <c r="K485" s="20" t="str">
        <f>IF(ISNUMBER(J485),J485,IF(ISNUMBER(F485),G485+H485+I485+ROUND(F485*'参数'!$C$16,2),""))</f>
        <v/>
      </c>
      <c r="L485" s="43" t="str">
        <f>IF(A485="","",IFERROR(T(INDEX('交易记录'!$C$5:$C$304,MATCH(A485,'交易记录'!$A$5:$A$304,0))),"编号没找到"))</f>
        <v/>
      </c>
      <c r="M485" s="57" t="str">
        <f>IF(AND(C485="买",ISNUMBER(B485)),WORKDAY(B485,1,'参数'!$B$58:$B$80),"")</f>
        <v/>
      </c>
      <c r="N485" s="36" t="str">
        <f>IF(C485&lt;&gt;"卖","",IF(AND(ISNUMBER(B485),A485&lt;&gt;""),IF(SUMIFS($E$5:$E$804,$A$5:$A$804,A485,$C$5:$C$804,"卖",$B$5:$B$804,"&lt;="&amp;B485)&gt;SUMIFS($E$5:$E$804,$A$5:$A$804,A485,$C$5:$C$804,"买",$B$5:$B$804,"&lt;"&amp;B485),"超出可卖股数","OK"),""))</f>
        <v/>
      </c>
      <c r="O485" s="32" t="n"/>
    </row>
    <row r="486">
      <c r="A486" s="46" t="n"/>
      <c r="B486" s="31" t="n"/>
      <c r="C486" s="27" t="n"/>
      <c r="D486" s="56" t="n"/>
      <c r="E486" s="17" t="n"/>
      <c r="F486" s="20" t="str">
        <f>IF(AND(ISNUMBER(D486),ISNUMBER(E486)),D486*E486,"")</f>
        <v/>
      </c>
      <c r="G486" s="51" t="str">
        <f>IF(ISNUMBER(F486),ROUND(MAX(F486*'参数'!$C$12,'参数'!$C$13),2),"")</f>
        <v/>
      </c>
      <c r="H486" s="51" t="str">
        <f>IF(ISNUMBER(F486),IF(C486="卖",ROUND(F486*'参数'!$C$14,2),0),"")</f>
        <v/>
      </c>
      <c r="I486" s="51" t="str">
        <f>IF(ISNUMBER(F486),ROUND(F486*'参数'!$C$15,2),"")</f>
        <v/>
      </c>
      <c r="J486" s="21" t="n"/>
      <c r="K486" s="20" t="str">
        <f>IF(ISNUMBER(J486),J486,IF(ISNUMBER(F486),G486+H486+I486+ROUND(F486*'参数'!$C$16,2),""))</f>
        <v/>
      </c>
      <c r="L486" s="43" t="str">
        <f>IF(A486="","",IFERROR(T(INDEX('交易记录'!$C$5:$C$304,MATCH(A486,'交易记录'!$A$5:$A$304,0))),"编号没找到"))</f>
        <v/>
      </c>
      <c r="M486" s="57" t="str">
        <f>IF(AND(C486="买",ISNUMBER(B486)),WORKDAY(B486,1,'参数'!$B$58:$B$80),"")</f>
        <v/>
      </c>
      <c r="N486" s="36" t="str">
        <f>IF(C486&lt;&gt;"卖","",IF(AND(ISNUMBER(B486),A486&lt;&gt;""),IF(SUMIFS($E$5:$E$804,$A$5:$A$804,A486,$C$5:$C$804,"卖",$B$5:$B$804,"&lt;="&amp;B486)&gt;SUMIFS($E$5:$E$804,$A$5:$A$804,A486,$C$5:$C$804,"买",$B$5:$B$804,"&lt;"&amp;B486),"超出可卖股数","OK"),""))</f>
        <v/>
      </c>
      <c r="O486" s="32" t="n"/>
    </row>
    <row r="487">
      <c r="A487" s="46" t="n"/>
      <c r="B487" s="31" t="n"/>
      <c r="C487" s="27" t="n"/>
      <c r="D487" s="56" t="n"/>
      <c r="E487" s="17" t="n"/>
      <c r="F487" s="20" t="str">
        <f>IF(AND(ISNUMBER(D487),ISNUMBER(E487)),D487*E487,"")</f>
        <v/>
      </c>
      <c r="G487" s="51" t="str">
        <f>IF(ISNUMBER(F487),ROUND(MAX(F487*'参数'!$C$12,'参数'!$C$13),2),"")</f>
        <v/>
      </c>
      <c r="H487" s="51" t="str">
        <f>IF(ISNUMBER(F487),IF(C487="卖",ROUND(F487*'参数'!$C$14,2),0),"")</f>
        <v/>
      </c>
      <c r="I487" s="51" t="str">
        <f>IF(ISNUMBER(F487),ROUND(F487*'参数'!$C$15,2),"")</f>
        <v/>
      </c>
      <c r="J487" s="21" t="n"/>
      <c r="K487" s="20" t="str">
        <f>IF(ISNUMBER(J487),J487,IF(ISNUMBER(F487),G487+H487+I487+ROUND(F487*'参数'!$C$16,2),""))</f>
        <v/>
      </c>
      <c r="L487" s="43" t="str">
        <f>IF(A487="","",IFERROR(T(INDEX('交易记录'!$C$5:$C$304,MATCH(A487,'交易记录'!$A$5:$A$304,0))),"编号没找到"))</f>
        <v/>
      </c>
      <c r="M487" s="57" t="str">
        <f>IF(AND(C487="买",ISNUMBER(B487)),WORKDAY(B487,1,'参数'!$B$58:$B$80),"")</f>
        <v/>
      </c>
      <c r="N487" s="36" t="str">
        <f>IF(C487&lt;&gt;"卖","",IF(AND(ISNUMBER(B487),A487&lt;&gt;""),IF(SUMIFS($E$5:$E$804,$A$5:$A$804,A487,$C$5:$C$804,"卖",$B$5:$B$804,"&lt;="&amp;B487)&gt;SUMIFS($E$5:$E$804,$A$5:$A$804,A487,$C$5:$C$804,"买",$B$5:$B$804,"&lt;"&amp;B487),"超出可卖股数","OK"),""))</f>
        <v/>
      </c>
      <c r="O487" s="32" t="n"/>
    </row>
    <row r="488">
      <c r="A488" s="46" t="n"/>
      <c r="B488" s="31" t="n"/>
      <c r="C488" s="27" t="n"/>
      <c r="D488" s="56" t="n"/>
      <c r="E488" s="17" t="n"/>
      <c r="F488" s="20" t="str">
        <f>IF(AND(ISNUMBER(D488),ISNUMBER(E488)),D488*E488,"")</f>
        <v/>
      </c>
      <c r="G488" s="51" t="str">
        <f>IF(ISNUMBER(F488),ROUND(MAX(F488*'参数'!$C$12,'参数'!$C$13),2),"")</f>
        <v/>
      </c>
      <c r="H488" s="51" t="str">
        <f>IF(ISNUMBER(F488),IF(C488="卖",ROUND(F488*'参数'!$C$14,2),0),"")</f>
        <v/>
      </c>
      <c r="I488" s="51" t="str">
        <f>IF(ISNUMBER(F488),ROUND(F488*'参数'!$C$15,2),"")</f>
        <v/>
      </c>
      <c r="J488" s="21" t="n"/>
      <c r="K488" s="20" t="str">
        <f>IF(ISNUMBER(J488),J488,IF(ISNUMBER(F488),G488+H488+I488+ROUND(F488*'参数'!$C$16,2),""))</f>
        <v/>
      </c>
      <c r="L488" s="43" t="str">
        <f>IF(A488="","",IFERROR(T(INDEX('交易记录'!$C$5:$C$304,MATCH(A488,'交易记录'!$A$5:$A$304,0))),"编号没找到"))</f>
        <v/>
      </c>
      <c r="M488" s="57" t="str">
        <f>IF(AND(C488="买",ISNUMBER(B488)),WORKDAY(B488,1,'参数'!$B$58:$B$80),"")</f>
        <v/>
      </c>
      <c r="N488" s="36" t="str">
        <f>IF(C488&lt;&gt;"卖","",IF(AND(ISNUMBER(B488),A488&lt;&gt;""),IF(SUMIFS($E$5:$E$804,$A$5:$A$804,A488,$C$5:$C$804,"卖",$B$5:$B$804,"&lt;="&amp;B488)&gt;SUMIFS($E$5:$E$804,$A$5:$A$804,A488,$C$5:$C$804,"买",$B$5:$B$804,"&lt;"&amp;B488),"超出可卖股数","OK"),""))</f>
        <v/>
      </c>
      <c r="O488" s="32" t="n"/>
    </row>
    <row r="489">
      <c r="A489" s="46" t="n"/>
      <c r="B489" s="31" t="n"/>
      <c r="C489" s="27" t="n"/>
      <c r="D489" s="56" t="n"/>
      <c r="E489" s="17" t="n"/>
      <c r="F489" s="20" t="str">
        <f>IF(AND(ISNUMBER(D489),ISNUMBER(E489)),D489*E489,"")</f>
        <v/>
      </c>
      <c r="G489" s="51" t="str">
        <f>IF(ISNUMBER(F489),ROUND(MAX(F489*'参数'!$C$12,'参数'!$C$13),2),"")</f>
        <v/>
      </c>
      <c r="H489" s="51" t="str">
        <f>IF(ISNUMBER(F489),IF(C489="卖",ROUND(F489*'参数'!$C$14,2),0),"")</f>
        <v/>
      </c>
      <c r="I489" s="51" t="str">
        <f>IF(ISNUMBER(F489),ROUND(F489*'参数'!$C$15,2),"")</f>
        <v/>
      </c>
      <c r="J489" s="21" t="n"/>
      <c r="K489" s="20" t="str">
        <f>IF(ISNUMBER(J489),J489,IF(ISNUMBER(F489),G489+H489+I489+ROUND(F489*'参数'!$C$16,2),""))</f>
        <v/>
      </c>
      <c r="L489" s="43" t="str">
        <f>IF(A489="","",IFERROR(T(INDEX('交易记录'!$C$5:$C$304,MATCH(A489,'交易记录'!$A$5:$A$304,0))),"编号没找到"))</f>
        <v/>
      </c>
      <c r="M489" s="57" t="str">
        <f>IF(AND(C489="买",ISNUMBER(B489)),WORKDAY(B489,1,'参数'!$B$58:$B$80),"")</f>
        <v/>
      </c>
      <c r="N489" s="36" t="str">
        <f>IF(C489&lt;&gt;"卖","",IF(AND(ISNUMBER(B489),A489&lt;&gt;""),IF(SUMIFS($E$5:$E$804,$A$5:$A$804,A489,$C$5:$C$804,"卖",$B$5:$B$804,"&lt;="&amp;B489)&gt;SUMIFS($E$5:$E$804,$A$5:$A$804,A489,$C$5:$C$804,"买",$B$5:$B$804,"&lt;"&amp;B489),"超出可卖股数","OK"),""))</f>
        <v/>
      </c>
      <c r="O489" s="32" t="n"/>
    </row>
    <row r="490">
      <c r="A490" s="46" t="n"/>
      <c r="B490" s="31" t="n"/>
      <c r="C490" s="27" t="n"/>
      <c r="D490" s="56" t="n"/>
      <c r="E490" s="17" t="n"/>
      <c r="F490" s="20" t="str">
        <f>IF(AND(ISNUMBER(D490),ISNUMBER(E490)),D490*E490,"")</f>
        <v/>
      </c>
      <c r="G490" s="51" t="str">
        <f>IF(ISNUMBER(F490),ROUND(MAX(F490*'参数'!$C$12,'参数'!$C$13),2),"")</f>
        <v/>
      </c>
      <c r="H490" s="51" t="str">
        <f>IF(ISNUMBER(F490),IF(C490="卖",ROUND(F490*'参数'!$C$14,2),0),"")</f>
        <v/>
      </c>
      <c r="I490" s="51" t="str">
        <f>IF(ISNUMBER(F490),ROUND(F490*'参数'!$C$15,2),"")</f>
        <v/>
      </c>
      <c r="J490" s="21" t="n"/>
      <c r="K490" s="20" t="str">
        <f>IF(ISNUMBER(J490),J490,IF(ISNUMBER(F490),G490+H490+I490+ROUND(F490*'参数'!$C$16,2),""))</f>
        <v/>
      </c>
      <c r="L490" s="43" t="str">
        <f>IF(A490="","",IFERROR(T(INDEX('交易记录'!$C$5:$C$304,MATCH(A490,'交易记录'!$A$5:$A$304,0))),"编号没找到"))</f>
        <v/>
      </c>
      <c r="M490" s="57" t="str">
        <f>IF(AND(C490="买",ISNUMBER(B490)),WORKDAY(B490,1,'参数'!$B$58:$B$80),"")</f>
        <v/>
      </c>
      <c r="N490" s="36" t="str">
        <f>IF(C490&lt;&gt;"卖","",IF(AND(ISNUMBER(B490),A490&lt;&gt;""),IF(SUMIFS($E$5:$E$804,$A$5:$A$804,A490,$C$5:$C$804,"卖",$B$5:$B$804,"&lt;="&amp;B490)&gt;SUMIFS($E$5:$E$804,$A$5:$A$804,A490,$C$5:$C$804,"买",$B$5:$B$804,"&lt;"&amp;B490),"超出可卖股数","OK"),""))</f>
        <v/>
      </c>
      <c r="O490" s="32" t="n"/>
    </row>
    <row r="491">
      <c r="A491" s="46" t="n"/>
      <c r="B491" s="31" t="n"/>
      <c r="C491" s="27" t="n"/>
      <c r="D491" s="56" t="n"/>
      <c r="E491" s="17" t="n"/>
      <c r="F491" s="20" t="str">
        <f>IF(AND(ISNUMBER(D491),ISNUMBER(E491)),D491*E491,"")</f>
        <v/>
      </c>
      <c r="G491" s="51" t="str">
        <f>IF(ISNUMBER(F491),ROUND(MAX(F491*'参数'!$C$12,'参数'!$C$13),2),"")</f>
        <v/>
      </c>
      <c r="H491" s="51" t="str">
        <f>IF(ISNUMBER(F491),IF(C491="卖",ROUND(F491*'参数'!$C$14,2),0),"")</f>
        <v/>
      </c>
      <c r="I491" s="51" t="str">
        <f>IF(ISNUMBER(F491),ROUND(F491*'参数'!$C$15,2),"")</f>
        <v/>
      </c>
      <c r="J491" s="21" t="n"/>
      <c r="K491" s="20" t="str">
        <f>IF(ISNUMBER(J491),J491,IF(ISNUMBER(F491),G491+H491+I491+ROUND(F491*'参数'!$C$16,2),""))</f>
        <v/>
      </c>
      <c r="L491" s="43" t="str">
        <f>IF(A491="","",IFERROR(T(INDEX('交易记录'!$C$5:$C$304,MATCH(A491,'交易记录'!$A$5:$A$304,0))),"编号没找到"))</f>
        <v/>
      </c>
      <c r="M491" s="57" t="str">
        <f>IF(AND(C491="买",ISNUMBER(B491)),WORKDAY(B491,1,'参数'!$B$58:$B$80),"")</f>
        <v/>
      </c>
      <c r="N491" s="36" t="str">
        <f>IF(C491&lt;&gt;"卖","",IF(AND(ISNUMBER(B491),A491&lt;&gt;""),IF(SUMIFS($E$5:$E$804,$A$5:$A$804,A491,$C$5:$C$804,"卖",$B$5:$B$804,"&lt;="&amp;B491)&gt;SUMIFS($E$5:$E$804,$A$5:$A$804,A491,$C$5:$C$804,"买",$B$5:$B$804,"&lt;"&amp;B491),"超出可卖股数","OK"),""))</f>
        <v/>
      </c>
      <c r="O491" s="32" t="n"/>
    </row>
    <row r="492">
      <c r="A492" s="46" t="n"/>
      <c r="B492" s="31" t="n"/>
      <c r="C492" s="27" t="n"/>
      <c r="D492" s="56" t="n"/>
      <c r="E492" s="17" t="n"/>
      <c r="F492" s="20" t="str">
        <f>IF(AND(ISNUMBER(D492),ISNUMBER(E492)),D492*E492,"")</f>
        <v/>
      </c>
      <c r="G492" s="51" t="str">
        <f>IF(ISNUMBER(F492),ROUND(MAX(F492*'参数'!$C$12,'参数'!$C$13),2),"")</f>
        <v/>
      </c>
      <c r="H492" s="51" t="str">
        <f>IF(ISNUMBER(F492),IF(C492="卖",ROUND(F492*'参数'!$C$14,2),0),"")</f>
        <v/>
      </c>
      <c r="I492" s="51" t="str">
        <f>IF(ISNUMBER(F492),ROUND(F492*'参数'!$C$15,2),"")</f>
        <v/>
      </c>
      <c r="J492" s="21" t="n"/>
      <c r="K492" s="20" t="str">
        <f>IF(ISNUMBER(J492),J492,IF(ISNUMBER(F492),G492+H492+I492+ROUND(F492*'参数'!$C$16,2),""))</f>
        <v/>
      </c>
      <c r="L492" s="43" t="str">
        <f>IF(A492="","",IFERROR(T(INDEX('交易记录'!$C$5:$C$304,MATCH(A492,'交易记录'!$A$5:$A$304,0))),"编号没找到"))</f>
        <v/>
      </c>
      <c r="M492" s="57" t="str">
        <f>IF(AND(C492="买",ISNUMBER(B492)),WORKDAY(B492,1,'参数'!$B$58:$B$80),"")</f>
        <v/>
      </c>
      <c r="N492" s="36" t="str">
        <f>IF(C492&lt;&gt;"卖","",IF(AND(ISNUMBER(B492),A492&lt;&gt;""),IF(SUMIFS($E$5:$E$804,$A$5:$A$804,A492,$C$5:$C$804,"卖",$B$5:$B$804,"&lt;="&amp;B492)&gt;SUMIFS($E$5:$E$804,$A$5:$A$804,A492,$C$5:$C$804,"买",$B$5:$B$804,"&lt;"&amp;B492),"超出可卖股数","OK"),""))</f>
        <v/>
      </c>
      <c r="O492" s="32" t="n"/>
    </row>
    <row r="493">
      <c r="A493" s="46" t="n"/>
      <c r="B493" s="31" t="n"/>
      <c r="C493" s="27" t="n"/>
      <c r="D493" s="56" t="n"/>
      <c r="E493" s="17" t="n"/>
      <c r="F493" s="20" t="str">
        <f>IF(AND(ISNUMBER(D493),ISNUMBER(E493)),D493*E493,"")</f>
        <v/>
      </c>
      <c r="G493" s="51" t="str">
        <f>IF(ISNUMBER(F493),ROUND(MAX(F493*'参数'!$C$12,'参数'!$C$13),2),"")</f>
        <v/>
      </c>
      <c r="H493" s="51" t="str">
        <f>IF(ISNUMBER(F493),IF(C493="卖",ROUND(F493*'参数'!$C$14,2),0),"")</f>
        <v/>
      </c>
      <c r="I493" s="51" t="str">
        <f>IF(ISNUMBER(F493),ROUND(F493*'参数'!$C$15,2),"")</f>
        <v/>
      </c>
      <c r="J493" s="21" t="n"/>
      <c r="K493" s="20" t="str">
        <f>IF(ISNUMBER(J493),J493,IF(ISNUMBER(F493),G493+H493+I493+ROUND(F493*'参数'!$C$16,2),""))</f>
        <v/>
      </c>
      <c r="L493" s="43" t="str">
        <f>IF(A493="","",IFERROR(T(INDEX('交易记录'!$C$5:$C$304,MATCH(A493,'交易记录'!$A$5:$A$304,0))),"编号没找到"))</f>
        <v/>
      </c>
      <c r="M493" s="57" t="str">
        <f>IF(AND(C493="买",ISNUMBER(B493)),WORKDAY(B493,1,'参数'!$B$58:$B$80),"")</f>
        <v/>
      </c>
      <c r="N493" s="36" t="str">
        <f>IF(C493&lt;&gt;"卖","",IF(AND(ISNUMBER(B493),A493&lt;&gt;""),IF(SUMIFS($E$5:$E$804,$A$5:$A$804,A493,$C$5:$C$804,"卖",$B$5:$B$804,"&lt;="&amp;B493)&gt;SUMIFS($E$5:$E$804,$A$5:$A$804,A493,$C$5:$C$804,"买",$B$5:$B$804,"&lt;"&amp;B493),"超出可卖股数","OK"),""))</f>
        <v/>
      </c>
      <c r="O493" s="32" t="n"/>
    </row>
    <row r="494">
      <c r="A494" s="46" t="n"/>
      <c r="B494" s="31" t="n"/>
      <c r="C494" s="27" t="n"/>
      <c r="D494" s="56" t="n"/>
      <c r="E494" s="17" t="n"/>
      <c r="F494" s="20" t="str">
        <f>IF(AND(ISNUMBER(D494),ISNUMBER(E494)),D494*E494,"")</f>
        <v/>
      </c>
      <c r="G494" s="51" t="str">
        <f>IF(ISNUMBER(F494),ROUND(MAX(F494*'参数'!$C$12,'参数'!$C$13),2),"")</f>
        <v/>
      </c>
      <c r="H494" s="51" t="str">
        <f>IF(ISNUMBER(F494),IF(C494="卖",ROUND(F494*'参数'!$C$14,2),0),"")</f>
        <v/>
      </c>
      <c r="I494" s="51" t="str">
        <f>IF(ISNUMBER(F494),ROUND(F494*'参数'!$C$15,2),"")</f>
        <v/>
      </c>
      <c r="J494" s="21" t="n"/>
      <c r="K494" s="20" t="str">
        <f>IF(ISNUMBER(J494),J494,IF(ISNUMBER(F494),G494+H494+I494+ROUND(F494*'参数'!$C$16,2),""))</f>
        <v/>
      </c>
      <c r="L494" s="43" t="str">
        <f>IF(A494="","",IFERROR(T(INDEX('交易记录'!$C$5:$C$304,MATCH(A494,'交易记录'!$A$5:$A$304,0))),"编号没找到"))</f>
        <v/>
      </c>
      <c r="M494" s="57" t="str">
        <f>IF(AND(C494="买",ISNUMBER(B494)),WORKDAY(B494,1,'参数'!$B$58:$B$80),"")</f>
        <v/>
      </c>
      <c r="N494" s="36" t="str">
        <f>IF(C494&lt;&gt;"卖","",IF(AND(ISNUMBER(B494),A494&lt;&gt;""),IF(SUMIFS($E$5:$E$804,$A$5:$A$804,A494,$C$5:$C$804,"卖",$B$5:$B$804,"&lt;="&amp;B494)&gt;SUMIFS($E$5:$E$804,$A$5:$A$804,A494,$C$5:$C$804,"买",$B$5:$B$804,"&lt;"&amp;B494),"超出可卖股数","OK"),""))</f>
        <v/>
      </c>
      <c r="O494" s="32" t="n"/>
    </row>
    <row r="495">
      <c r="A495" s="46" t="n"/>
      <c r="B495" s="31" t="n"/>
      <c r="C495" s="27" t="n"/>
      <c r="D495" s="56" t="n"/>
      <c r="E495" s="17" t="n"/>
      <c r="F495" s="20" t="str">
        <f>IF(AND(ISNUMBER(D495),ISNUMBER(E495)),D495*E495,"")</f>
        <v/>
      </c>
      <c r="G495" s="51" t="str">
        <f>IF(ISNUMBER(F495),ROUND(MAX(F495*'参数'!$C$12,'参数'!$C$13),2),"")</f>
        <v/>
      </c>
      <c r="H495" s="51" t="str">
        <f>IF(ISNUMBER(F495),IF(C495="卖",ROUND(F495*'参数'!$C$14,2),0),"")</f>
        <v/>
      </c>
      <c r="I495" s="51" t="str">
        <f>IF(ISNUMBER(F495),ROUND(F495*'参数'!$C$15,2),"")</f>
        <v/>
      </c>
      <c r="J495" s="21" t="n"/>
      <c r="K495" s="20" t="str">
        <f>IF(ISNUMBER(J495),J495,IF(ISNUMBER(F495),G495+H495+I495+ROUND(F495*'参数'!$C$16,2),""))</f>
        <v/>
      </c>
      <c r="L495" s="43" t="str">
        <f>IF(A495="","",IFERROR(T(INDEX('交易记录'!$C$5:$C$304,MATCH(A495,'交易记录'!$A$5:$A$304,0))),"编号没找到"))</f>
        <v/>
      </c>
      <c r="M495" s="57" t="str">
        <f>IF(AND(C495="买",ISNUMBER(B495)),WORKDAY(B495,1,'参数'!$B$58:$B$80),"")</f>
        <v/>
      </c>
      <c r="N495" s="36" t="str">
        <f>IF(C495&lt;&gt;"卖","",IF(AND(ISNUMBER(B495),A495&lt;&gt;""),IF(SUMIFS($E$5:$E$804,$A$5:$A$804,A495,$C$5:$C$804,"卖",$B$5:$B$804,"&lt;="&amp;B495)&gt;SUMIFS($E$5:$E$804,$A$5:$A$804,A495,$C$5:$C$804,"买",$B$5:$B$804,"&lt;"&amp;B495),"超出可卖股数","OK"),""))</f>
        <v/>
      </c>
      <c r="O495" s="32" t="n"/>
    </row>
    <row r="496">
      <c r="A496" s="46" t="n"/>
      <c r="B496" s="31" t="n"/>
      <c r="C496" s="27" t="n"/>
      <c r="D496" s="56" t="n"/>
      <c r="E496" s="17" t="n"/>
      <c r="F496" s="20" t="str">
        <f>IF(AND(ISNUMBER(D496),ISNUMBER(E496)),D496*E496,"")</f>
        <v/>
      </c>
      <c r="G496" s="51" t="str">
        <f>IF(ISNUMBER(F496),ROUND(MAX(F496*'参数'!$C$12,'参数'!$C$13),2),"")</f>
        <v/>
      </c>
      <c r="H496" s="51" t="str">
        <f>IF(ISNUMBER(F496),IF(C496="卖",ROUND(F496*'参数'!$C$14,2),0),"")</f>
        <v/>
      </c>
      <c r="I496" s="51" t="str">
        <f>IF(ISNUMBER(F496),ROUND(F496*'参数'!$C$15,2),"")</f>
        <v/>
      </c>
      <c r="J496" s="21" t="n"/>
      <c r="K496" s="20" t="str">
        <f>IF(ISNUMBER(J496),J496,IF(ISNUMBER(F496),G496+H496+I496+ROUND(F496*'参数'!$C$16,2),""))</f>
        <v/>
      </c>
      <c r="L496" s="43" t="str">
        <f>IF(A496="","",IFERROR(T(INDEX('交易记录'!$C$5:$C$304,MATCH(A496,'交易记录'!$A$5:$A$304,0))),"编号没找到"))</f>
        <v/>
      </c>
      <c r="M496" s="57" t="str">
        <f>IF(AND(C496="买",ISNUMBER(B496)),WORKDAY(B496,1,'参数'!$B$58:$B$80),"")</f>
        <v/>
      </c>
      <c r="N496" s="36" t="str">
        <f>IF(C496&lt;&gt;"卖","",IF(AND(ISNUMBER(B496),A496&lt;&gt;""),IF(SUMIFS($E$5:$E$804,$A$5:$A$804,A496,$C$5:$C$804,"卖",$B$5:$B$804,"&lt;="&amp;B496)&gt;SUMIFS($E$5:$E$804,$A$5:$A$804,A496,$C$5:$C$804,"买",$B$5:$B$804,"&lt;"&amp;B496),"超出可卖股数","OK"),""))</f>
        <v/>
      </c>
      <c r="O496" s="32" t="n"/>
    </row>
    <row r="497">
      <c r="A497" s="46" t="n"/>
      <c r="B497" s="31" t="n"/>
      <c r="C497" s="27" t="n"/>
      <c r="D497" s="56" t="n"/>
      <c r="E497" s="17" t="n"/>
      <c r="F497" s="20" t="str">
        <f>IF(AND(ISNUMBER(D497),ISNUMBER(E497)),D497*E497,"")</f>
        <v/>
      </c>
      <c r="G497" s="51" t="str">
        <f>IF(ISNUMBER(F497),ROUND(MAX(F497*'参数'!$C$12,'参数'!$C$13),2),"")</f>
        <v/>
      </c>
      <c r="H497" s="51" t="str">
        <f>IF(ISNUMBER(F497),IF(C497="卖",ROUND(F497*'参数'!$C$14,2),0),"")</f>
        <v/>
      </c>
      <c r="I497" s="51" t="str">
        <f>IF(ISNUMBER(F497),ROUND(F497*'参数'!$C$15,2),"")</f>
        <v/>
      </c>
      <c r="J497" s="21" t="n"/>
      <c r="K497" s="20" t="str">
        <f>IF(ISNUMBER(J497),J497,IF(ISNUMBER(F497),G497+H497+I497+ROUND(F497*'参数'!$C$16,2),""))</f>
        <v/>
      </c>
      <c r="L497" s="43" t="str">
        <f>IF(A497="","",IFERROR(T(INDEX('交易记录'!$C$5:$C$304,MATCH(A497,'交易记录'!$A$5:$A$304,0))),"编号没找到"))</f>
        <v/>
      </c>
      <c r="M497" s="57" t="str">
        <f>IF(AND(C497="买",ISNUMBER(B497)),WORKDAY(B497,1,'参数'!$B$58:$B$80),"")</f>
        <v/>
      </c>
      <c r="N497" s="36" t="str">
        <f>IF(C497&lt;&gt;"卖","",IF(AND(ISNUMBER(B497),A497&lt;&gt;""),IF(SUMIFS($E$5:$E$804,$A$5:$A$804,A497,$C$5:$C$804,"卖",$B$5:$B$804,"&lt;="&amp;B497)&gt;SUMIFS($E$5:$E$804,$A$5:$A$804,A497,$C$5:$C$804,"买",$B$5:$B$804,"&lt;"&amp;B497),"超出可卖股数","OK"),""))</f>
        <v/>
      </c>
      <c r="O497" s="32" t="n"/>
    </row>
    <row r="498">
      <c r="A498" s="46" t="n"/>
      <c r="B498" s="31" t="n"/>
      <c r="C498" s="27" t="n"/>
      <c r="D498" s="56" t="n"/>
      <c r="E498" s="17" t="n"/>
      <c r="F498" s="20" t="str">
        <f>IF(AND(ISNUMBER(D498),ISNUMBER(E498)),D498*E498,"")</f>
        <v/>
      </c>
      <c r="G498" s="51" t="str">
        <f>IF(ISNUMBER(F498),ROUND(MAX(F498*'参数'!$C$12,'参数'!$C$13),2),"")</f>
        <v/>
      </c>
      <c r="H498" s="51" t="str">
        <f>IF(ISNUMBER(F498),IF(C498="卖",ROUND(F498*'参数'!$C$14,2),0),"")</f>
        <v/>
      </c>
      <c r="I498" s="51" t="str">
        <f>IF(ISNUMBER(F498),ROUND(F498*'参数'!$C$15,2),"")</f>
        <v/>
      </c>
      <c r="J498" s="21" t="n"/>
      <c r="K498" s="20" t="str">
        <f>IF(ISNUMBER(J498),J498,IF(ISNUMBER(F498),G498+H498+I498+ROUND(F498*'参数'!$C$16,2),""))</f>
        <v/>
      </c>
      <c r="L498" s="43" t="str">
        <f>IF(A498="","",IFERROR(T(INDEX('交易记录'!$C$5:$C$304,MATCH(A498,'交易记录'!$A$5:$A$304,0))),"编号没找到"))</f>
        <v/>
      </c>
      <c r="M498" s="57" t="str">
        <f>IF(AND(C498="买",ISNUMBER(B498)),WORKDAY(B498,1,'参数'!$B$58:$B$80),"")</f>
        <v/>
      </c>
      <c r="N498" s="36" t="str">
        <f>IF(C498&lt;&gt;"卖","",IF(AND(ISNUMBER(B498),A498&lt;&gt;""),IF(SUMIFS($E$5:$E$804,$A$5:$A$804,A498,$C$5:$C$804,"卖",$B$5:$B$804,"&lt;="&amp;B498)&gt;SUMIFS($E$5:$E$804,$A$5:$A$804,A498,$C$5:$C$804,"买",$B$5:$B$804,"&lt;"&amp;B498),"超出可卖股数","OK"),""))</f>
        <v/>
      </c>
      <c r="O498" s="32" t="n"/>
    </row>
    <row r="499">
      <c r="A499" s="46" t="n"/>
      <c r="B499" s="31" t="n"/>
      <c r="C499" s="27" t="n"/>
      <c r="D499" s="56" t="n"/>
      <c r="E499" s="17" t="n"/>
      <c r="F499" s="20" t="str">
        <f>IF(AND(ISNUMBER(D499),ISNUMBER(E499)),D499*E499,"")</f>
        <v/>
      </c>
      <c r="G499" s="51" t="str">
        <f>IF(ISNUMBER(F499),ROUND(MAX(F499*'参数'!$C$12,'参数'!$C$13),2),"")</f>
        <v/>
      </c>
      <c r="H499" s="51" t="str">
        <f>IF(ISNUMBER(F499),IF(C499="卖",ROUND(F499*'参数'!$C$14,2),0),"")</f>
        <v/>
      </c>
      <c r="I499" s="51" t="str">
        <f>IF(ISNUMBER(F499),ROUND(F499*'参数'!$C$15,2),"")</f>
        <v/>
      </c>
      <c r="J499" s="21" t="n"/>
      <c r="K499" s="20" t="str">
        <f>IF(ISNUMBER(J499),J499,IF(ISNUMBER(F499),G499+H499+I499+ROUND(F499*'参数'!$C$16,2),""))</f>
        <v/>
      </c>
      <c r="L499" s="43" t="str">
        <f>IF(A499="","",IFERROR(T(INDEX('交易记录'!$C$5:$C$304,MATCH(A499,'交易记录'!$A$5:$A$304,0))),"编号没找到"))</f>
        <v/>
      </c>
      <c r="M499" s="57" t="str">
        <f>IF(AND(C499="买",ISNUMBER(B499)),WORKDAY(B499,1,'参数'!$B$58:$B$80),"")</f>
        <v/>
      </c>
      <c r="N499" s="36" t="str">
        <f>IF(C499&lt;&gt;"卖","",IF(AND(ISNUMBER(B499),A499&lt;&gt;""),IF(SUMIFS($E$5:$E$804,$A$5:$A$804,A499,$C$5:$C$804,"卖",$B$5:$B$804,"&lt;="&amp;B499)&gt;SUMIFS($E$5:$E$804,$A$5:$A$804,A499,$C$5:$C$804,"买",$B$5:$B$804,"&lt;"&amp;B499),"超出可卖股数","OK"),""))</f>
        <v/>
      </c>
      <c r="O499" s="32" t="n"/>
    </row>
    <row r="500">
      <c r="A500" s="46" t="n"/>
      <c r="B500" s="31" t="n"/>
      <c r="C500" s="27" t="n"/>
      <c r="D500" s="56" t="n"/>
      <c r="E500" s="17" t="n"/>
      <c r="F500" s="20" t="str">
        <f>IF(AND(ISNUMBER(D500),ISNUMBER(E500)),D500*E500,"")</f>
        <v/>
      </c>
      <c r="G500" s="51" t="str">
        <f>IF(ISNUMBER(F500),ROUND(MAX(F500*'参数'!$C$12,'参数'!$C$13),2),"")</f>
        <v/>
      </c>
      <c r="H500" s="51" t="str">
        <f>IF(ISNUMBER(F500),IF(C500="卖",ROUND(F500*'参数'!$C$14,2),0),"")</f>
        <v/>
      </c>
      <c r="I500" s="51" t="str">
        <f>IF(ISNUMBER(F500),ROUND(F500*'参数'!$C$15,2),"")</f>
        <v/>
      </c>
      <c r="J500" s="21" t="n"/>
      <c r="K500" s="20" t="str">
        <f>IF(ISNUMBER(J500),J500,IF(ISNUMBER(F500),G500+H500+I500+ROUND(F500*'参数'!$C$16,2),""))</f>
        <v/>
      </c>
      <c r="L500" s="43" t="str">
        <f>IF(A500="","",IFERROR(T(INDEX('交易记录'!$C$5:$C$304,MATCH(A500,'交易记录'!$A$5:$A$304,0))),"编号没找到"))</f>
        <v/>
      </c>
      <c r="M500" s="57" t="str">
        <f>IF(AND(C500="买",ISNUMBER(B500)),WORKDAY(B500,1,'参数'!$B$58:$B$80),"")</f>
        <v/>
      </c>
      <c r="N500" s="36" t="str">
        <f>IF(C500&lt;&gt;"卖","",IF(AND(ISNUMBER(B500),A500&lt;&gt;""),IF(SUMIFS($E$5:$E$804,$A$5:$A$804,A500,$C$5:$C$804,"卖",$B$5:$B$804,"&lt;="&amp;B500)&gt;SUMIFS($E$5:$E$804,$A$5:$A$804,A500,$C$5:$C$804,"买",$B$5:$B$804,"&lt;"&amp;B500),"超出可卖股数","OK"),""))</f>
        <v/>
      </c>
      <c r="O500" s="32" t="n"/>
    </row>
    <row r="501">
      <c r="A501" s="46" t="n"/>
      <c r="B501" s="31" t="n"/>
      <c r="C501" s="27" t="n"/>
      <c r="D501" s="56" t="n"/>
      <c r="E501" s="17" t="n"/>
      <c r="F501" s="20" t="str">
        <f>IF(AND(ISNUMBER(D501),ISNUMBER(E501)),D501*E501,"")</f>
        <v/>
      </c>
      <c r="G501" s="51" t="str">
        <f>IF(ISNUMBER(F501),ROUND(MAX(F501*'参数'!$C$12,'参数'!$C$13),2),"")</f>
        <v/>
      </c>
      <c r="H501" s="51" t="str">
        <f>IF(ISNUMBER(F501),IF(C501="卖",ROUND(F501*'参数'!$C$14,2),0),"")</f>
        <v/>
      </c>
      <c r="I501" s="51" t="str">
        <f>IF(ISNUMBER(F501),ROUND(F501*'参数'!$C$15,2),"")</f>
        <v/>
      </c>
      <c r="J501" s="21" t="n"/>
      <c r="K501" s="20" t="str">
        <f>IF(ISNUMBER(J501),J501,IF(ISNUMBER(F501),G501+H501+I501+ROUND(F501*'参数'!$C$16,2),""))</f>
        <v/>
      </c>
      <c r="L501" s="43" t="str">
        <f>IF(A501="","",IFERROR(T(INDEX('交易记录'!$C$5:$C$304,MATCH(A501,'交易记录'!$A$5:$A$304,0))),"编号没找到"))</f>
        <v/>
      </c>
      <c r="M501" s="57" t="str">
        <f>IF(AND(C501="买",ISNUMBER(B501)),WORKDAY(B501,1,'参数'!$B$58:$B$80),"")</f>
        <v/>
      </c>
      <c r="N501" s="36" t="str">
        <f>IF(C501&lt;&gt;"卖","",IF(AND(ISNUMBER(B501),A501&lt;&gt;""),IF(SUMIFS($E$5:$E$804,$A$5:$A$804,A501,$C$5:$C$804,"卖",$B$5:$B$804,"&lt;="&amp;B501)&gt;SUMIFS($E$5:$E$804,$A$5:$A$804,A501,$C$5:$C$804,"买",$B$5:$B$804,"&lt;"&amp;B501),"超出可卖股数","OK"),""))</f>
        <v/>
      </c>
      <c r="O501" s="32" t="n"/>
    </row>
    <row r="502">
      <c r="A502" s="46" t="n"/>
      <c r="B502" s="31" t="n"/>
      <c r="C502" s="27" t="n"/>
      <c r="D502" s="56" t="n"/>
      <c r="E502" s="17" t="n"/>
      <c r="F502" s="20" t="str">
        <f>IF(AND(ISNUMBER(D502),ISNUMBER(E502)),D502*E502,"")</f>
        <v/>
      </c>
      <c r="G502" s="51" t="str">
        <f>IF(ISNUMBER(F502),ROUND(MAX(F502*'参数'!$C$12,'参数'!$C$13),2),"")</f>
        <v/>
      </c>
      <c r="H502" s="51" t="str">
        <f>IF(ISNUMBER(F502),IF(C502="卖",ROUND(F502*'参数'!$C$14,2),0),"")</f>
        <v/>
      </c>
      <c r="I502" s="51" t="str">
        <f>IF(ISNUMBER(F502),ROUND(F502*'参数'!$C$15,2),"")</f>
        <v/>
      </c>
      <c r="J502" s="21" t="n"/>
      <c r="K502" s="20" t="str">
        <f>IF(ISNUMBER(J502),J502,IF(ISNUMBER(F502),G502+H502+I502+ROUND(F502*'参数'!$C$16,2),""))</f>
        <v/>
      </c>
      <c r="L502" s="43" t="str">
        <f>IF(A502="","",IFERROR(T(INDEX('交易记录'!$C$5:$C$304,MATCH(A502,'交易记录'!$A$5:$A$304,0))),"编号没找到"))</f>
        <v/>
      </c>
      <c r="M502" s="57" t="str">
        <f>IF(AND(C502="买",ISNUMBER(B502)),WORKDAY(B502,1,'参数'!$B$58:$B$80),"")</f>
        <v/>
      </c>
      <c r="N502" s="36" t="str">
        <f>IF(C502&lt;&gt;"卖","",IF(AND(ISNUMBER(B502),A502&lt;&gt;""),IF(SUMIFS($E$5:$E$804,$A$5:$A$804,A502,$C$5:$C$804,"卖",$B$5:$B$804,"&lt;="&amp;B502)&gt;SUMIFS($E$5:$E$804,$A$5:$A$804,A502,$C$5:$C$804,"买",$B$5:$B$804,"&lt;"&amp;B502),"超出可卖股数","OK"),""))</f>
        <v/>
      </c>
      <c r="O502" s="32" t="n"/>
    </row>
    <row r="503">
      <c r="A503" s="46" t="n"/>
      <c r="B503" s="31" t="n"/>
      <c r="C503" s="27" t="n"/>
      <c r="D503" s="56" t="n"/>
      <c r="E503" s="17" t="n"/>
      <c r="F503" s="20" t="str">
        <f>IF(AND(ISNUMBER(D503),ISNUMBER(E503)),D503*E503,"")</f>
        <v/>
      </c>
      <c r="G503" s="51" t="str">
        <f>IF(ISNUMBER(F503),ROUND(MAX(F503*'参数'!$C$12,'参数'!$C$13),2),"")</f>
        <v/>
      </c>
      <c r="H503" s="51" t="str">
        <f>IF(ISNUMBER(F503),IF(C503="卖",ROUND(F503*'参数'!$C$14,2),0),"")</f>
        <v/>
      </c>
      <c r="I503" s="51" t="str">
        <f>IF(ISNUMBER(F503),ROUND(F503*'参数'!$C$15,2),"")</f>
        <v/>
      </c>
      <c r="J503" s="21" t="n"/>
      <c r="K503" s="20" t="str">
        <f>IF(ISNUMBER(J503),J503,IF(ISNUMBER(F503),G503+H503+I503+ROUND(F503*'参数'!$C$16,2),""))</f>
        <v/>
      </c>
      <c r="L503" s="43" t="str">
        <f>IF(A503="","",IFERROR(T(INDEX('交易记录'!$C$5:$C$304,MATCH(A503,'交易记录'!$A$5:$A$304,0))),"编号没找到"))</f>
        <v/>
      </c>
      <c r="M503" s="57" t="str">
        <f>IF(AND(C503="买",ISNUMBER(B503)),WORKDAY(B503,1,'参数'!$B$58:$B$80),"")</f>
        <v/>
      </c>
      <c r="N503" s="36" t="str">
        <f>IF(C503&lt;&gt;"卖","",IF(AND(ISNUMBER(B503),A503&lt;&gt;""),IF(SUMIFS($E$5:$E$804,$A$5:$A$804,A503,$C$5:$C$804,"卖",$B$5:$B$804,"&lt;="&amp;B503)&gt;SUMIFS($E$5:$E$804,$A$5:$A$804,A503,$C$5:$C$804,"买",$B$5:$B$804,"&lt;"&amp;B503),"超出可卖股数","OK"),""))</f>
        <v/>
      </c>
      <c r="O503" s="32" t="n"/>
    </row>
    <row r="504">
      <c r="A504" s="46" t="n"/>
      <c r="B504" s="31" t="n"/>
      <c r="C504" s="27" t="n"/>
      <c r="D504" s="56" t="n"/>
      <c r="E504" s="17" t="n"/>
      <c r="F504" s="20" t="str">
        <f>IF(AND(ISNUMBER(D504),ISNUMBER(E504)),D504*E504,"")</f>
        <v/>
      </c>
      <c r="G504" s="51" t="str">
        <f>IF(ISNUMBER(F504),ROUND(MAX(F504*'参数'!$C$12,'参数'!$C$13),2),"")</f>
        <v/>
      </c>
      <c r="H504" s="51" t="str">
        <f>IF(ISNUMBER(F504),IF(C504="卖",ROUND(F504*'参数'!$C$14,2),0),"")</f>
        <v/>
      </c>
      <c r="I504" s="51" t="str">
        <f>IF(ISNUMBER(F504),ROUND(F504*'参数'!$C$15,2),"")</f>
        <v/>
      </c>
      <c r="J504" s="21" t="n"/>
      <c r="K504" s="20" t="str">
        <f>IF(ISNUMBER(J504),J504,IF(ISNUMBER(F504),G504+H504+I504+ROUND(F504*'参数'!$C$16,2),""))</f>
        <v/>
      </c>
      <c r="L504" s="43" t="str">
        <f>IF(A504="","",IFERROR(T(INDEX('交易记录'!$C$5:$C$304,MATCH(A504,'交易记录'!$A$5:$A$304,0))),"编号没找到"))</f>
        <v/>
      </c>
      <c r="M504" s="57" t="str">
        <f>IF(AND(C504="买",ISNUMBER(B504)),WORKDAY(B504,1,'参数'!$B$58:$B$80),"")</f>
        <v/>
      </c>
      <c r="N504" s="36" t="str">
        <f>IF(C504&lt;&gt;"卖","",IF(AND(ISNUMBER(B504),A504&lt;&gt;""),IF(SUMIFS($E$5:$E$804,$A$5:$A$804,A504,$C$5:$C$804,"卖",$B$5:$B$804,"&lt;="&amp;B504)&gt;SUMIFS($E$5:$E$804,$A$5:$A$804,A504,$C$5:$C$804,"买",$B$5:$B$804,"&lt;"&amp;B504),"超出可卖股数","OK"),""))</f>
        <v/>
      </c>
      <c r="O504" s="32" t="n"/>
    </row>
    <row r="505">
      <c r="A505" s="46" t="n"/>
      <c r="B505" s="31" t="n"/>
      <c r="C505" s="27" t="n"/>
      <c r="D505" s="56" t="n"/>
      <c r="E505" s="17" t="n"/>
      <c r="F505" s="20" t="str">
        <f>IF(AND(ISNUMBER(D505),ISNUMBER(E505)),D505*E505,"")</f>
        <v/>
      </c>
      <c r="G505" s="51" t="str">
        <f>IF(ISNUMBER(F505),ROUND(MAX(F505*'参数'!$C$12,'参数'!$C$13),2),"")</f>
        <v/>
      </c>
      <c r="H505" s="51" t="str">
        <f>IF(ISNUMBER(F505),IF(C505="卖",ROUND(F505*'参数'!$C$14,2),0),"")</f>
        <v/>
      </c>
      <c r="I505" s="51" t="str">
        <f>IF(ISNUMBER(F505),ROUND(F505*'参数'!$C$15,2),"")</f>
        <v/>
      </c>
      <c r="J505" s="21" t="n"/>
      <c r="K505" s="20" t="str">
        <f>IF(ISNUMBER(J505),J505,IF(ISNUMBER(F505),G505+H505+I505+ROUND(F505*'参数'!$C$16,2),""))</f>
        <v/>
      </c>
      <c r="L505" s="43" t="str">
        <f>IF(A505="","",IFERROR(T(INDEX('交易记录'!$C$5:$C$304,MATCH(A505,'交易记录'!$A$5:$A$304,0))),"编号没找到"))</f>
        <v/>
      </c>
      <c r="M505" s="57" t="str">
        <f>IF(AND(C505="买",ISNUMBER(B505)),WORKDAY(B505,1,'参数'!$B$58:$B$80),"")</f>
        <v/>
      </c>
      <c r="N505" s="36" t="str">
        <f>IF(C505&lt;&gt;"卖","",IF(AND(ISNUMBER(B505),A505&lt;&gt;""),IF(SUMIFS($E$5:$E$804,$A$5:$A$804,A505,$C$5:$C$804,"卖",$B$5:$B$804,"&lt;="&amp;B505)&gt;SUMIFS($E$5:$E$804,$A$5:$A$804,A505,$C$5:$C$804,"买",$B$5:$B$804,"&lt;"&amp;B505),"超出可卖股数","OK"),""))</f>
        <v/>
      </c>
      <c r="O505" s="32" t="n"/>
    </row>
    <row r="506">
      <c r="A506" s="46" t="n"/>
      <c r="B506" s="31" t="n"/>
      <c r="C506" s="27" t="n"/>
      <c r="D506" s="56" t="n"/>
      <c r="E506" s="17" t="n"/>
      <c r="F506" s="20" t="str">
        <f>IF(AND(ISNUMBER(D506),ISNUMBER(E506)),D506*E506,"")</f>
        <v/>
      </c>
      <c r="G506" s="51" t="str">
        <f>IF(ISNUMBER(F506),ROUND(MAX(F506*'参数'!$C$12,'参数'!$C$13),2),"")</f>
        <v/>
      </c>
      <c r="H506" s="51" t="str">
        <f>IF(ISNUMBER(F506),IF(C506="卖",ROUND(F506*'参数'!$C$14,2),0),"")</f>
        <v/>
      </c>
      <c r="I506" s="51" t="str">
        <f>IF(ISNUMBER(F506),ROUND(F506*'参数'!$C$15,2),"")</f>
        <v/>
      </c>
      <c r="J506" s="21" t="n"/>
      <c r="K506" s="20" t="str">
        <f>IF(ISNUMBER(J506),J506,IF(ISNUMBER(F506),G506+H506+I506+ROUND(F506*'参数'!$C$16,2),""))</f>
        <v/>
      </c>
      <c r="L506" s="43" t="str">
        <f>IF(A506="","",IFERROR(T(INDEX('交易记录'!$C$5:$C$304,MATCH(A506,'交易记录'!$A$5:$A$304,0))),"编号没找到"))</f>
        <v/>
      </c>
      <c r="M506" s="57" t="str">
        <f>IF(AND(C506="买",ISNUMBER(B506)),WORKDAY(B506,1,'参数'!$B$58:$B$80),"")</f>
        <v/>
      </c>
      <c r="N506" s="36" t="str">
        <f>IF(C506&lt;&gt;"卖","",IF(AND(ISNUMBER(B506),A506&lt;&gt;""),IF(SUMIFS($E$5:$E$804,$A$5:$A$804,A506,$C$5:$C$804,"卖",$B$5:$B$804,"&lt;="&amp;B506)&gt;SUMIFS($E$5:$E$804,$A$5:$A$804,A506,$C$5:$C$804,"买",$B$5:$B$804,"&lt;"&amp;B506),"超出可卖股数","OK"),""))</f>
        <v/>
      </c>
      <c r="O506" s="32" t="n"/>
    </row>
    <row r="507">
      <c r="A507" s="46" t="n"/>
      <c r="B507" s="31" t="n"/>
      <c r="C507" s="27" t="n"/>
      <c r="D507" s="56" t="n"/>
      <c r="E507" s="17" t="n"/>
      <c r="F507" s="20" t="str">
        <f>IF(AND(ISNUMBER(D507),ISNUMBER(E507)),D507*E507,"")</f>
        <v/>
      </c>
      <c r="G507" s="51" t="str">
        <f>IF(ISNUMBER(F507),ROUND(MAX(F507*'参数'!$C$12,'参数'!$C$13),2),"")</f>
        <v/>
      </c>
      <c r="H507" s="51" t="str">
        <f>IF(ISNUMBER(F507),IF(C507="卖",ROUND(F507*'参数'!$C$14,2),0),"")</f>
        <v/>
      </c>
      <c r="I507" s="51" t="str">
        <f>IF(ISNUMBER(F507),ROUND(F507*'参数'!$C$15,2),"")</f>
        <v/>
      </c>
      <c r="J507" s="21" t="n"/>
      <c r="K507" s="20" t="str">
        <f>IF(ISNUMBER(J507),J507,IF(ISNUMBER(F507),G507+H507+I507+ROUND(F507*'参数'!$C$16,2),""))</f>
        <v/>
      </c>
      <c r="L507" s="43" t="str">
        <f>IF(A507="","",IFERROR(T(INDEX('交易记录'!$C$5:$C$304,MATCH(A507,'交易记录'!$A$5:$A$304,0))),"编号没找到"))</f>
        <v/>
      </c>
      <c r="M507" s="57" t="str">
        <f>IF(AND(C507="买",ISNUMBER(B507)),WORKDAY(B507,1,'参数'!$B$58:$B$80),"")</f>
        <v/>
      </c>
      <c r="N507" s="36" t="str">
        <f>IF(C507&lt;&gt;"卖","",IF(AND(ISNUMBER(B507),A507&lt;&gt;""),IF(SUMIFS($E$5:$E$804,$A$5:$A$804,A507,$C$5:$C$804,"卖",$B$5:$B$804,"&lt;="&amp;B507)&gt;SUMIFS($E$5:$E$804,$A$5:$A$804,A507,$C$5:$C$804,"买",$B$5:$B$804,"&lt;"&amp;B507),"超出可卖股数","OK"),""))</f>
        <v/>
      </c>
      <c r="O507" s="32" t="n"/>
    </row>
    <row r="508">
      <c r="A508" s="46" t="n"/>
      <c r="B508" s="31" t="n"/>
      <c r="C508" s="27" t="n"/>
      <c r="D508" s="56" t="n"/>
      <c r="E508" s="17" t="n"/>
      <c r="F508" s="20" t="str">
        <f>IF(AND(ISNUMBER(D508),ISNUMBER(E508)),D508*E508,"")</f>
        <v/>
      </c>
      <c r="G508" s="51" t="str">
        <f>IF(ISNUMBER(F508),ROUND(MAX(F508*'参数'!$C$12,'参数'!$C$13),2),"")</f>
        <v/>
      </c>
      <c r="H508" s="51" t="str">
        <f>IF(ISNUMBER(F508),IF(C508="卖",ROUND(F508*'参数'!$C$14,2),0),"")</f>
        <v/>
      </c>
      <c r="I508" s="51" t="str">
        <f>IF(ISNUMBER(F508),ROUND(F508*'参数'!$C$15,2),"")</f>
        <v/>
      </c>
      <c r="J508" s="21" t="n"/>
      <c r="K508" s="20" t="str">
        <f>IF(ISNUMBER(J508),J508,IF(ISNUMBER(F508),G508+H508+I508+ROUND(F508*'参数'!$C$16,2),""))</f>
        <v/>
      </c>
      <c r="L508" s="43" t="str">
        <f>IF(A508="","",IFERROR(T(INDEX('交易记录'!$C$5:$C$304,MATCH(A508,'交易记录'!$A$5:$A$304,0))),"编号没找到"))</f>
        <v/>
      </c>
      <c r="M508" s="57" t="str">
        <f>IF(AND(C508="买",ISNUMBER(B508)),WORKDAY(B508,1,'参数'!$B$58:$B$80),"")</f>
        <v/>
      </c>
      <c r="N508" s="36" t="str">
        <f>IF(C508&lt;&gt;"卖","",IF(AND(ISNUMBER(B508),A508&lt;&gt;""),IF(SUMIFS($E$5:$E$804,$A$5:$A$804,A508,$C$5:$C$804,"卖",$B$5:$B$804,"&lt;="&amp;B508)&gt;SUMIFS($E$5:$E$804,$A$5:$A$804,A508,$C$5:$C$804,"买",$B$5:$B$804,"&lt;"&amp;B508),"超出可卖股数","OK"),""))</f>
        <v/>
      </c>
      <c r="O508" s="32" t="n"/>
    </row>
    <row r="509">
      <c r="A509" s="46" t="n"/>
      <c r="B509" s="31" t="n"/>
      <c r="C509" s="27" t="n"/>
      <c r="D509" s="56" t="n"/>
      <c r="E509" s="17" t="n"/>
      <c r="F509" s="20" t="str">
        <f>IF(AND(ISNUMBER(D509),ISNUMBER(E509)),D509*E509,"")</f>
        <v/>
      </c>
      <c r="G509" s="51" t="str">
        <f>IF(ISNUMBER(F509),ROUND(MAX(F509*'参数'!$C$12,'参数'!$C$13),2),"")</f>
        <v/>
      </c>
      <c r="H509" s="51" t="str">
        <f>IF(ISNUMBER(F509),IF(C509="卖",ROUND(F509*'参数'!$C$14,2),0),"")</f>
        <v/>
      </c>
      <c r="I509" s="51" t="str">
        <f>IF(ISNUMBER(F509),ROUND(F509*'参数'!$C$15,2),"")</f>
        <v/>
      </c>
      <c r="J509" s="21" t="n"/>
      <c r="K509" s="20" t="str">
        <f>IF(ISNUMBER(J509),J509,IF(ISNUMBER(F509),G509+H509+I509+ROUND(F509*'参数'!$C$16,2),""))</f>
        <v/>
      </c>
      <c r="L509" s="43" t="str">
        <f>IF(A509="","",IFERROR(T(INDEX('交易记录'!$C$5:$C$304,MATCH(A509,'交易记录'!$A$5:$A$304,0))),"编号没找到"))</f>
        <v/>
      </c>
      <c r="M509" s="57" t="str">
        <f>IF(AND(C509="买",ISNUMBER(B509)),WORKDAY(B509,1,'参数'!$B$58:$B$80),"")</f>
        <v/>
      </c>
      <c r="N509" s="36" t="str">
        <f>IF(C509&lt;&gt;"卖","",IF(AND(ISNUMBER(B509),A509&lt;&gt;""),IF(SUMIFS($E$5:$E$804,$A$5:$A$804,A509,$C$5:$C$804,"卖",$B$5:$B$804,"&lt;="&amp;B509)&gt;SUMIFS($E$5:$E$804,$A$5:$A$804,A509,$C$5:$C$804,"买",$B$5:$B$804,"&lt;"&amp;B509),"超出可卖股数","OK"),""))</f>
        <v/>
      </c>
      <c r="O509" s="32" t="n"/>
    </row>
    <row r="510">
      <c r="A510" s="46" t="n"/>
      <c r="B510" s="31" t="n"/>
      <c r="C510" s="27" t="n"/>
      <c r="D510" s="56" t="n"/>
      <c r="E510" s="17" t="n"/>
      <c r="F510" s="20" t="str">
        <f>IF(AND(ISNUMBER(D510),ISNUMBER(E510)),D510*E510,"")</f>
        <v/>
      </c>
      <c r="G510" s="51" t="str">
        <f>IF(ISNUMBER(F510),ROUND(MAX(F510*'参数'!$C$12,'参数'!$C$13),2),"")</f>
        <v/>
      </c>
      <c r="H510" s="51" t="str">
        <f>IF(ISNUMBER(F510),IF(C510="卖",ROUND(F510*'参数'!$C$14,2),0),"")</f>
        <v/>
      </c>
      <c r="I510" s="51" t="str">
        <f>IF(ISNUMBER(F510),ROUND(F510*'参数'!$C$15,2),"")</f>
        <v/>
      </c>
      <c r="J510" s="21" t="n"/>
      <c r="K510" s="20" t="str">
        <f>IF(ISNUMBER(J510),J510,IF(ISNUMBER(F510),G510+H510+I510+ROUND(F510*'参数'!$C$16,2),""))</f>
        <v/>
      </c>
      <c r="L510" s="43" t="str">
        <f>IF(A510="","",IFERROR(T(INDEX('交易记录'!$C$5:$C$304,MATCH(A510,'交易记录'!$A$5:$A$304,0))),"编号没找到"))</f>
        <v/>
      </c>
      <c r="M510" s="57" t="str">
        <f>IF(AND(C510="买",ISNUMBER(B510)),WORKDAY(B510,1,'参数'!$B$58:$B$80),"")</f>
        <v/>
      </c>
      <c r="N510" s="36" t="str">
        <f>IF(C510&lt;&gt;"卖","",IF(AND(ISNUMBER(B510),A510&lt;&gt;""),IF(SUMIFS($E$5:$E$804,$A$5:$A$804,A510,$C$5:$C$804,"卖",$B$5:$B$804,"&lt;="&amp;B510)&gt;SUMIFS($E$5:$E$804,$A$5:$A$804,A510,$C$5:$C$804,"买",$B$5:$B$804,"&lt;"&amp;B510),"超出可卖股数","OK"),""))</f>
        <v/>
      </c>
      <c r="O510" s="32" t="n"/>
    </row>
    <row r="511">
      <c r="A511" s="46" t="n"/>
      <c r="B511" s="31" t="n"/>
      <c r="C511" s="27" t="n"/>
      <c r="D511" s="56" t="n"/>
      <c r="E511" s="17" t="n"/>
      <c r="F511" s="20" t="str">
        <f>IF(AND(ISNUMBER(D511),ISNUMBER(E511)),D511*E511,"")</f>
        <v/>
      </c>
      <c r="G511" s="51" t="str">
        <f>IF(ISNUMBER(F511),ROUND(MAX(F511*'参数'!$C$12,'参数'!$C$13),2),"")</f>
        <v/>
      </c>
      <c r="H511" s="51" t="str">
        <f>IF(ISNUMBER(F511),IF(C511="卖",ROUND(F511*'参数'!$C$14,2),0),"")</f>
        <v/>
      </c>
      <c r="I511" s="51" t="str">
        <f>IF(ISNUMBER(F511),ROUND(F511*'参数'!$C$15,2),"")</f>
        <v/>
      </c>
      <c r="J511" s="21" t="n"/>
      <c r="K511" s="20" t="str">
        <f>IF(ISNUMBER(J511),J511,IF(ISNUMBER(F511),G511+H511+I511+ROUND(F511*'参数'!$C$16,2),""))</f>
        <v/>
      </c>
      <c r="L511" s="43" t="str">
        <f>IF(A511="","",IFERROR(T(INDEX('交易记录'!$C$5:$C$304,MATCH(A511,'交易记录'!$A$5:$A$304,0))),"编号没找到"))</f>
        <v/>
      </c>
      <c r="M511" s="57" t="str">
        <f>IF(AND(C511="买",ISNUMBER(B511)),WORKDAY(B511,1,'参数'!$B$58:$B$80),"")</f>
        <v/>
      </c>
      <c r="N511" s="36" t="str">
        <f>IF(C511&lt;&gt;"卖","",IF(AND(ISNUMBER(B511),A511&lt;&gt;""),IF(SUMIFS($E$5:$E$804,$A$5:$A$804,A511,$C$5:$C$804,"卖",$B$5:$B$804,"&lt;="&amp;B511)&gt;SUMIFS($E$5:$E$804,$A$5:$A$804,A511,$C$5:$C$804,"买",$B$5:$B$804,"&lt;"&amp;B511),"超出可卖股数","OK"),""))</f>
        <v/>
      </c>
      <c r="O511" s="32" t="n"/>
    </row>
    <row r="512">
      <c r="A512" s="46" t="n"/>
      <c r="B512" s="31" t="n"/>
      <c r="C512" s="27" t="n"/>
      <c r="D512" s="56" t="n"/>
      <c r="E512" s="17" t="n"/>
      <c r="F512" s="20" t="str">
        <f>IF(AND(ISNUMBER(D512),ISNUMBER(E512)),D512*E512,"")</f>
        <v/>
      </c>
      <c r="G512" s="51" t="str">
        <f>IF(ISNUMBER(F512),ROUND(MAX(F512*'参数'!$C$12,'参数'!$C$13),2),"")</f>
        <v/>
      </c>
      <c r="H512" s="51" t="str">
        <f>IF(ISNUMBER(F512),IF(C512="卖",ROUND(F512*'参数'!$C$14,2),0),"")</f>
        <v/>
      </c>
      <c r="I512" s="51" t="str">
        <f>IF(ISNUMBER(F512),ROUND(F512*'参数'!$C$15,2),"")</f>
        <v/>
      </c>
      <c r="J512" s="21" t="n"/>
      <c r="K512" s="20" t="str">
        <f>IF(ISNUMBER(J512),J512,IF(ISNUMBER(F512),G512+H512+I512+ROUND(F512*'参数'!$C$16,2),""))</f>
        <v/>
      </c>
      <c r="L512" s="43" t="str">
        <f>IF(A512="","",IFERROR(T(INDEX('交易记录'!$C$5:$C$304,MATCH(A512,'交易记录'!$A$5:$A$304,0))),"编号没找到"))</f>
        <v/>
      </c>
      <c r="M512" s="57" t="str">
        <f>IF(AND(C512="买",ISNUMBER(B512)),WORKDAY(B512,1,'参数'!$B$58:$B$80),"")</f>
        <v/>
      </c>
      <c r="N512" s="36" t="str">
        <f>IF(C512&lt;&gt;"卖","",IF(AND(ISNUMBER(B512),A512&lt;&gt;""),IF(SUMIFS($E$5:$E$804,$A$5:$A$804,A512,$C$5:$C$804,"卖",$B$5:$B$804,"&lt;="&amp;B512)&gt;SUMIFS($E$5:$E$804,$A$5:$A$804,A512,$C$5:$C$804,"买",$B$5:$B$804,"&lt;"&amp;B512),"超出可卖股数","OK"),""))</f>
        <v/>
      </c>
      <c r="O512" s="32" t="n"/>
    </row>
    <row r="513">
      <c r="A513" s="46" t="n"/>
      <c r="B513" s="31" t="n"/>
      <c r="C513" s="27" t="n"/>
      <c r="D513" s="56" t="n"/>
      <c r="E513" s="17" t="n"/>
      <c r="F513" s="20" t="str">
        <f>IF(AND(ISNUMBER(D513),ISNUMBER(E513)),D513*E513,"")</f>
        <v/>
      </c>
      <c r="G513" s="51" t="str">
        <f>IF(ISNUMBER(F513),ROUND(MAX(F513*'参数'!$C$12,'参数'!$C$13),2),"")</f>
        <v/>
      </c>
      <c r="H513" s="51" t="str">
        <f>IF(ISNUMBER(F513),IF(C513="卖",ROUND(F513*'参数'!$C$14,2),0),"")</f>
        <v/>
      </c>
      <c r="I513" s="51" t="str">
        <f>IF(ISNUMBER(F513),ROUND(F513*'参数'!$C$15,2),"")</f>
        <v/>
      </c>
      <c r="J513" s="21" t="n"/>
      <c r="K513" s="20" t="str">
        <f>IF(ISNUMBER(J513),J513,IF(ISNUMBER(F513),G513+H513+I513+ROUND(F513*'参数'!$C$16,2),""))</f>
        <v/>
      </c>
      <c r="L513" s="43" t="str">
        <f>IF(A513="","",IFERROR(T(INDEX('交易记录'!$C$5:$C$304,MATCH(A513,'交易记录'!$A$5:$A$304,0))),"编号没找到"))</f>
        <v/>
      </c>
      <c r="M513" s="57" t="str">
        <f>IF(AND(C513="买",ISNUMBER(B513)),WORKDAY(B513,1,'参数'!$B$58:$B$80),"")</f>
        <v/>
      </c>
      <c r="N513" s="36" t="str">
        <f>IF(C513&lt;&gt;"卖","",IF(AND(ISNUMBER(B513),A513&lt;&gt;""),IF(SUMIFS($E$5:$E$804,$A$5:$A$804,A513,$C$5:$C$804,"卖",$B$5:$B$804,"&lt;="&amp;B513)&gt;SUMIFS($E$5:$E$804,$A$5:$A$804,A513,$C$5:$C$804,"买",$B$5:$B$804,"&lt;"&amp;B513),"超出可卖股数","OK"),""))</f>
        <v/>
      </c>
      <c r="O513" s="32" t="n"/>
    </row>
    <row r="514">
      <c r="A514" s="46" t="n"/>
      <c r="B514" s="31" t="n"/>
      <c r="C514" s="27" t="n"/>
      <c r="D514" s="56" t="n"/>
      <c r="E514" s="17" t="n"/>
      <c r="F514" s="20" t="str">
        <f>IF(AND(ISNUMBER(D514),ISNUMBER(E514)),D514*E514,"")</f>
        <v/>
      </c>
      <c r="G514" s="51" t="str">
        <f>IF(ISNUMBER(F514),ROUND(MAX(F514*'参数'!$C$12,'参数'!$C$13),2),"")</f>
        <v/>
      </c>
      <c r="H514" s="51" t="str">
        <f>IF(ISNUMBER(F514),IF(C514="卖",ROUND(F514*'参数'!$C$14,2),0),"")</f>
        <v/>
      </c>
      <c r="I514" s="51" t="str">
        <f>IF(ISNUMBER(F514),ROUND(F514*'参数'!$C$15,2),"")</f>
        <v/>
      </c>
      <c r="J514" s="21" t="n"/>
      <c r="K514" s="20" t="str">
        <f>IF(ISNUMBER(J514),J514,IF(ISNUMBER(F514),G514+H514+I514+ROUND(F514*'参数'!$C$16,2),""))</f>
        <v/>
      </c>
      <c r="L514" s="43" t="str">
        <f>IF(A514="","",IFERROR(T(INDEX('交易记录'!$C$5:$C$304,MATCH(A514,'交易记录'!$A$5:$A$304,0))),"编号没找到"))</f>
        <v/>
      </c>
      <c r="M514" s="57" t="str">
        <f>IF(AND(C514="买",ISNUMBER(B514)),WORKDAY(B514,1,'参数'!$B$58:$B$80),"")</f>
        <v/>
      </c>
      <c r="N514" s="36" t="str">
        <f>IF(C514&lt;&gt;"卖","",IF(AND(ISNUMBER(B514),A514&lt;&gt;""),IF(SUMIFS($E$5:$E$804,$A$5:$A$804,A514,$C$5:$C$804,"卖",$B$5:$B$804,"&lt;="&amp;B514)&gt;SUMIFS($E$5:$E$804,$A$5:$A$804,A514,$C$5:$C$804,"买",$B$5:$B$804,"&lt;"&amp;B514),"超出可卖股数","OK"),""))</f>
        <v/>
      </c>
      <c r="O514" s="32" t="n"/>
    </row>
    <row r="515">
      <c r="A515" s="46" t="n"/>
      <c r="B515" s="31" t="n"/>
      <c r="C515" s="27" t="n"/>
      <c r="D515" s="56" t="n"/>
      <c r="E515" s="17" t="n"/>
      <c r="F515" s="20" t="str">
        <f>IF(AND(ISNUMBER(D515),ISNUMBER(E515)),D515*E515,"")</f>
        <v/>
      </c>
      <c r="G515" s="51" t="str">
        <f>IF(ISNUMBER(F515),ROUND(MAX(F515*'参数'!$C$12,'参数'!$C$13),2),"")</f>
        <v/>
      </c>
      <c r="H515" s="51" t="str">
        <f>IF(ISNUMBER(F515),IF(C515="卖",ROUND(F515*'参数'!$C$14,2),0),"")</f>
        <v/>
      </c>
      <c r="I515" s="51" t="str">
        <f>IF(ISNUMBER(F515),ROUND(F515*'参数'!$C$15,2),"")</f>
        <v/>
      </c>
      <c r="J515" s="21" t="n"/>
      <c r="K515" s="20" t="str">
        <f>IF(ISNUMBER(J515),J515,IF(ISNUMBER(F515),G515+H515+I515+ROUND(F515*'参数'!$C$16,2),""))</f>
        <v/>
      </c>
      <c r="L515" s="43" t="str">
        <f>IF(A515="","",IFERROR(T(INDEX('交易记录'!$C$5:$C$304,MATCH(A515,'交易记录'!$A$5:$A$304,0))),"编号没找到"))</f>
        <v/>
      </c>
      <c r="M515" s="57" t="str">
        <f>IF(AND(C515="买",ISNUMBER(B515)),WORKDAY(B515,1,'参数'!$B$58:$B$80),"")</f>
        <v/>
      </c>
      <c r="N515" s="36" t="str">
        <f>IF(C515&lt;&gt;"卖","",IF(AND(ISNUMBER(B515),A515&lt;&gt;""),IF(SUMIFS($E$5:$E$804,$A$5:$A$804,A515,$C$5:$C$804,"卖",$B$5:$B$804,"&lt;="&amp;B515)&gt;SUMIFS($E$5:$E$804,$A$5:$A$804,A515,$C$5:$C$804,"买",$B$5:$B$804,"&lt;"&amp;B515),"超出可卖股数","OK"),""))</f>
        <v/>
      </c>
      <c r="O515" s="32" t="n"/>
    </row>
    <row r="516">
      <c r="A516" s="46" t="n"/>
      <c r="B516" s="31" t="n"/>
      <c r="C516" s="27" t="n"/>
      <c r="D516" s="56" t="n"/>
      <c r="E516" s="17" t="n"/>
      <c r="F516" s="20" t="str">
        <f>IF(AND(ISNUMBER(D516),ISNUMBER(E516)),D516*E516,"")</f>
        <v/>
      </c>
      <c r="G516" s="51" t="str">
        <f>IF(ISNUMBER(F516),ROUND(MAX(F516*'参数'!$C$12,'参数'!$C$13),2),"")</f>
        <v/>
      </c>
      <c r="H516" s="51" t="str">
        <f>IF(ISNUMBER(F516),IF(C516="卖",ROUND(F516*'参数'!$C$14,2),0),"")</f>
        <v/>
      </c>
      <c r="I516" s="51" t="str">
        <f>IF(ISNUMBER(F516),ROUND(F516*'参数'!$C$15,2),"")</f>
        <v/>
      </c>
      <c r="J516" s="21" t="n"/>
      <c r="K516" s="20" t="str">
        <f>IF(ISNUMBER(J516),J516,IF(ISNUMBER(F516),G516+H516+I516+ROUND(F516*'参数'!$C$16,2),""))</f>
        <v/>
      </c>
      <c r="L516" s="43" t="str">
        <f>IF(A516="","",IFERROR(T(INDEX('交易记录'!$C$5:$C$304,MATCH(A516,'交易记录'!$A$5:$A$304,0))),"编号没找到"))</f>
        <v/>
      </c>
      <c r="M516" s="57" t="str">
        <f>IF(AND(C516="买",ISNUMBER(B516)),WORKDAY(B516,1,'参数'!$B$58:$B$80),"")</f>
        <v/>
      </c>
      <c r="N516" s="36" t="str">
        <f>IF(C516&lt;&gt;"卖","",IF(AND(ISNUMBER(B516),A516&lt;&gt;""),IF(SUMIFS($E$5:$E$804,$A$5:$A$804,A516,$C$5:$C$804,"卖",$B$5:$B$804,"&lt;="&amp;B516)&gt;SUMIFS($E$5:$E$804,$A$5:$A$804,A516,$C$5:$C$804,"买",$B$5:$B$804,"&lt;"&amp;B516),"超出可卖股数","OK"),""))</f>
        <v/>
      </c>
      <c r="O516" s="32" t="n"/>
    </row>
    <row r="517">
      <c r="A517" s="46" t="n"/>
      <c r="B517" s="31" t="n"/>
      <c r="C517" s="27" t="n"/>
      <c r="D517" s="56" t="n"/>
      <c r="E517" s="17" t="n"/>
      <c r="F517" s="20" t="str">
        <f>IF(AND(ISNUMBER(D517),ISNUMBER(E517)),D517*E517,"")</f>
        <v/>
      </c>
      <c r="G517" s="51" t="str">
        <f>IF(ISNUMBER(F517),ROUND(MAX(F517*'参数'!$C$12,'参数'!$C$13),2),"")</f>
        <v/>
      </c>
      <c r="H517" s="51" t="str">
        <f>IF(ISNUMBER(F517),IF(C517="卖",ROUND(F517*'参数'!$C$14,2),0),"")</f>
        <v/>
      </c>
      <c r="I517" s="51" t="str">
        <f>IF(ISNUMBER(F517),ROUND(F517*'参数'!$C$15,2),"")</f>
        <v/>
      </c>
      <c r="J517" s="21" t="n"/>
      <c r="K517" s="20" t="str">
        <f>IF(ISNUMBER(J517),J517,IF(ISNUMBER(F517),G517+H517+I517+ROUND(F517*'参数'!$C$16,2),""))</f>
        <v/>
      </c>
      <c r="L517" s="43" t="str">
        <f>IF(A517="","",IFERROR(T(INDEX('交易记录'!$C$5:$C$304,MATCH(A517,'交易记录'!$A$5:$A$304,0))),"编号没找到"))</f>
        <v/>
      </c>
      <c r="M517" s="57" t="str">
        <f>IF(AND(C517="买",ISNUMBER(B517)),WORKDAY(B517,1,'参数'!$B$58:$B$80),"")</f>
        <v/>
      </c>
      <c r="N517" s="36" t="str">
        <f>IF(C517&lt;&gt;"卖","",IF(AND(ISNUMBER(B517),A517&lt;&gt;""),IF(SUMIFS($E$5:$E$804,$A$5:$A$804,A517,$C$5:$C$804,"卖",$B$5:$B$804,"&lt;="&amp;B517)&gt;SUMIFS($E$5:$E$804,$A$5:$A$804,A517,$C$5:$C$804,"买",$B$5:$B$804,"&lt;"&amp;B517),"超出可卖股数","OK"),""))</f>
        <v/>
      </c>
      <c r="O517" s="32" t="n"/>
    </row>
    <row r="518">
      <c r="A518" s="46" t="n"/>
      <c r="B518" s="31" t="n"/>
      <c r="C518" s="27" t="n"/>
      <c r="D518" s="56" t="n"/>
      <c r="E518" s="17" t="n"/>
      <c r="F518" s="20" t="str">
        <f>IF(AND(ISNUMBER(D518),ISNUMBER(E518)),D518*E518,"")</f>
        <v/>
      </c>
      <c r="G518" s="51" t="str">
        <f>IF(ISNUMBER(F518),ROUND(MAX(F518*'参数'!$C$12,'参数'!$C$13),2),"")</f>
        <v/>
      </c>
      <c r="H518" s="51" t="str">
        <f>IF(ISNUMBER(F518),IF(C518="卖",ROUND(F518*'参数'!$C$14,2),0),"")</f>
        <v/>
      </c>
      <c r="I518" s="51" t="str">
        <f>IF(ISNUMBER(F518),ROUND(F518*'参数'!$C$15,2),"")</f>
        <v/>
      </c>
      <c r="J518" s="21" t="n"/>
      <c r="K518" s="20" t="str">
        <f>IF(ISNUMBER(J518),J518,IF(ISNUMBER(F518),G518+H518+I518+ROUND(F518*'参数'!$C$16,2),""))</f>
        <v/>
      </c>
      <c r="L518" s="43" t="str">
        <f>IF(A518="","",IFERROR(T(INDEX('交易记录'!$C$5:$C$304,MATCH(A518,'交易记录'!$A$5:$A$304,0))),"编号没找到"))</f>
        <v/>
      </c>
      <c r="M518" s="57" t="str">
        <f>IF(AND(C518="买",ISNUMBER(B518)),WORKDAY(B518,1,'参数'!$B$58:$B$80),"")</f>
        <v/>
      </c>
      <c r="N518" s="36" t="str">
        <f>IF(C518&lt;&gt;"卖","",IF(AND(ISNUMBER(B518),A518&lt;&gt;""),IF(SUMIFS($E$5:$E$804,$A$5:$A$804,A518,$C$5:$C$804,"卖",$B$5:$B$804,"&lt;="&amp;B518)&gt;SUMIFS($E$5:$E$804,$A$5:$A$804,A518,$C$5:$C$804,"买",$B$5:$B$804,"&lt;"&amp;B518),"超出可卖股数","OK"),""))</f>
        <v/>
      </c>
      <c r="O518" s="32" t="n"/>
    </row>
    <row r="519">
      <c r="A519" s="46" t="n"/>
      <c r="B519" s="31" t="n"/>
      <c r="C519" s="27" t="n"/>
      <c r="D519" s="56" t="n"/>
      <c r="E519" s="17" t="n"/>
      <c r="F519" s="20" t="str">
        <f>IF(AND(ISNUMBER(D519),ISNUMBER(E519)),D519*E519,"")</f>
        <v/>
      </c>
      <c r="G519" s="51" t="str">
        <f>IF(ISNUMBER(F519),ROUND(MAX(F519*'参数'!$C$12,'参数'!$C$13),2),"")</f>
        <v/>
      </c>
      <c r="H519" s="51" t="str">
        <f>IF(ISNUMBER(F519),IF(C519="卖",ROUND(F519*'参数'!$C$14,2),0),"")</f>
        <v/>
      </c>
      <c r="I519" s="51" t="str">
        <f>IF(ISNUMBER(F519),ROUND(F519*'参数'!$C$15,2),"")</f>
        <v/>
      </c>
      <c r="J519" s="21" t="n"/>
      <c r="K519" s="20" t="str">
        <f>IF(ISNUMBER(J519),J519,IF(ISNUMBER(F519),G519+H519+I519+ROUND(F519*'参数'!$C$16,2),""))</f>
        <v/>
      </c>
      <c r="L519" s="43" t="str">
        <f>IF(A519="","",IFERROR(T(INDEX('交易记录'!$C$5:$C$304,MATCH(A519,'交易记录'!$A$5:$A$304,0))),"编号没找到"))</f>
        <v/>
      </c>
      <c r="M519" s="57" t="str">
        <f>IF(AND(C519="买",ISNUMBER(B519)),WORKDAY(B519,1,'参数'!$B$58:$B$80),"")</f>
        <v/>
      </c>
      <c r="N519" s="36" t="str">
        <f>IF(C519&lt;&gt;"卖","",IF(AND(ISNUMBER(B519),A519&lt;&gt;""),IF(SUMIFS($E$5:$E$804,$A$5:$A$804,A519,$C$5:$C$804,"卖",$B$5:$B$804,"&lt;="&amp;B519)&gt;SUMIFS($E$5:$E$804,$A$5:$A$804,A519,$C$5:$C$804,"买",$B$5:$B$804,"&lt;"&amp;B519),"超出可卖股数","OK"),""))</f>
        <v/>
      </c>
      <c r="O519" s="32" t="n"/>
    </row>
    <row r="520">
      <c r="A520" s="46" t="n"/>
      <c r="B520" s="31" t="n"/>
      <c r="C520" s="27" t="n"/>
      <c r="D520" s="56" t="n"/>
      <c r="E520" s="17" t="n"/>
      <c r="F520" s="20" t="str">
        <f>IF(AND(ISNUMBER(D520),ISNUMBER(E520)),D520*E520,"")</f>
        <v/>
      </c>
      <c r="G520" s="51" t="str">
        <f>IF(ISNUMBER(F520),ROUND(MAX(F520*'参数'!$C$12,'参数'!$C$13),2),"")</f>
        <v/>
      </c>
      <c r="H520" s="51" t="str">
        <f>IF(ISNUMBER(F520),IF(C520="卖",ROUND(F520*'参数'!$C$14,2),0),"")</f>
        <v/>
      </c>
      <c r="I520" s="51" t="str">
        <f>IF(ISNUMBER(F520),ROUND(F520*'参数'!$C$15,2),"")</f>
        <v/>
      </c>
      <c r="J520" s="21" t="n"/>
      <c r="K520" s="20" t="str">
        <f>IF(ISNUMBER(J520),J520,IF(ISNUMBER(F520),G520+H520+I520+ROUND(F520*'参数'!$C$16,2),""))</f>
        <v/>
      </c>
      <c r="L520" s="43" t="str">
        <f>IF(A520="","",IFERROR(T(INDEX('交易记录'!$C$5:$C$304,MATCH(A520,'交易记录'!$A$5:$A$304,0))),"编号没找到"))</f>
        <v/>
      </c>
      <c r="M520" s="57" t="str">
        <f>IF(AND(C520="买",ISNUMBER(B520)),WORKDAY(B520,1,'参数'!$B$58:$B$80),"")</f>
        <v/>
      </c>
      <c r="N520" s="36" t="str">
        <f>IF(C520&lt;&gt;"卖","",IF(AND(ISNUMBER(B520),A520&lt;&gt;""),IF(SUMIFS($E$5:$E$804,$A$5:$A$804,A520,$C$5:$C$804,"卖",$B$5:$B$804,"&lt;="&amp;B520)&gt;SUMIFS($E$5:$E$804,$A$5:$A$804,A520,$C$5:$C$804,"买",$B$5:$B$804,"&lt;"&amp;B520),"超出可卖股数","OK"),""))</f>
        <v/>
      </c>
      <c r="O520" s="32" t="n"/>
    </row>
    <row r="521">
      <c r="A521" s="46" t="n"/>
      <c r="B521" s="31" t="n"/>
      <c r="C521" s="27" t="n"/>
      <c r="D521" s="56" t="n"/>
      <c r="E521" s="17" t="n"/>
      <c r="F521" s="20" t="str">
        <f>IF(AND(ISNUMBER(D521),ISNUMBER(E521)),D521*E521,"")</f>
        <v/>
      </c>
      <c r="G521" s="51" t="str">
        <f>IF(ISNUMBER(F521),ROUND(MAX(F521*'参数'!$C$12,'参数'!$C$13),2),"")</f>
        <v/>
      </c>
      <c r="H521" s="51" t="str">
        <f>IF(ISNUMBER(F521),IF(C521="卖",ROUND(F521*'参数'!$C$14,2),0),"")</f>
        <v/>
      </c>
      <c r="I521" s="51" t="str">
        <f>IF(ISNUMBER(F521),ROUND(F521*'参数'!$C$15,2),"")</f>
        <v/>
      </c>
      <c r="J521" s="21" t="n"/>
      <c r="K521" s="20" t="str">
        <f>IF(ISNUMBER(J521),J521,IF(ISNUMBER(F521),G521+H521+I521+ROUND(F521*'参数'!$C$16,2),""))</f>
        <v/>
      </c>
      <c r="L521" s="43" t="str">
        <f>IF(A521="","",IFERROR(T(INDEX('交易记录'!$C$5:$C$304,MATCH(A521,'交易记录'!$A$5:$A$304,0))),"编号没找到"))</f>
        <v/>
      </c>
      <c r="M521" s="57" t="str">
        <f>IF(AND(C521="买",ISNUMBER(B521)),WORKDAY(B521,1,'参数'!$B$58:$B$80),"")</f>
        <v/>
      </c>
      <c r="N521" s="36" t="str">
        <f>IF(C521&lt;&gt;"卖","",IF(AND(ISNUMBER(B521),A521&lt;&gt;""),IF(SUMIFS($E$5:$E$804,$A$5:$A$804,A521,$C$5:$C$804,"卖",$B$5:$B$804,"&lt;="&amp;B521)&gt;SUMIFS($E$5:$E$804,$A$5:$A$804,A521,$C$5:$C$804,"买",$B$5:$B$804,"&lt;"&amp;B521),"超出可卖股数","OK"),""))</f>
        <v/>
      </c>
      <c r="O521" s="32" t="n"/>
    </row>
    <row r="522">
      <c r="A522" s="46" t="n"/>
      <c r="B522" s="31" t="n"/>
      <c r="C522" s="27" t="n"/>
      <c r="D522" s="56" t="n"/>
      <c r="E522" s="17" t="n"/>
      <c r="F522" s="20" t="str">
        <f>IF(AND(ISNUMBER(D522),ISNUMBER(E522)),D522*E522,"")</f>
        <v/>
      </c>
      <c r="G522" s="51" t="str">
        <f>IF(ISNUMBER(F522),ROUND(MAX(F522*'参数'!$C$12,'参数'!$C$13),2),"")</f>
        <v/>
      </c>
      <c r="H522" s="51" t="str">
        <f>IF(ISNUMBER(F522),IF(C522="卖",ROUND(F522*'参数'!$C$14,2),0),"")</f>
        <v/>
      </c>
      <c r="I522" s="51" t="str">
        <f>IF(ISNUMBER(F522),ROUND(F522*'参数'!$C$15,2),"")</f>
        <v/>
      </c>
      <c r="J522" s="21" t="n"/>
      <c r="K522" s="20" t="str">
        <f>IF(ISNUMBER(J522),J522,IF(ISNUMBER(F522),G522+H522+I522+ROUND(F522*'参数'!$C$16,2),""))</f>
        <v/>
      </c>
      <c r="L522" s="43" t="str">
        <f>IF(A522="","",IFERROR(T(INDEX('交易记录'!$C$5:$C$304,MATCH(A522,'交易记录'!$A$5:$A$304,0))),"编号没找到"))</f>
        <v/>
      </c>
      <c r="M522" s="57" t="str">
        <f>IF(AND(C522="买",ISNUMBER(B522)),WORKDAY(B522,1,'参数'!$B$58:$B$80),"")</f>
        <v/>
      </c>
      <c r="N522" s="36" t="str">
        <f>IF(C522&lt;&gt;"卖","",IF(AND(ISNUMBER(B522),A522&lt;&gt;""),IF(SUMIFS($E$5:$E$804,$A$5:$A$804,A522,$C$5:$C$804,"卖",$B$5:$B$804,"&lt;="&amp;B522)&gt;SUMIFS($E$5:$E$804,$A$5:$A$804,A522,$C$5:$C$804,"买",$B$5:$B$804,"&lt;"&amp;B522),"超出可卖股数","OK"),""))</f>
        <v/>
      </c>
      <c r="O522" s="32" t="n"/>
    </row>
    <row r="523">
      <c r="A523" s="46" t="n"/>
      <c r="B523" s="31" t="n"/>
      <c r="C523" s="27" t="n"/>
      <c r="D523" s="56" t="n"/>
      <c r="E523" s="17" t="n"/>
      <c r="F523" s="20" t="str">
        <f>IF(AND(ISNUMBER(D523),ISNUMBER(E523)),D523*E523,"")</f>
        <v/>
      </c>
      <c r="G523" s="51" t="str">
        <f>IF(ISNUMBER(F523),ROUND(MAX(F523*'参数'!$C$12,'参数'!$C$13),2),"")</f>
        <v/>
      </c>
      <c r="H523" s="51" t="str">
        <f>IF(ISNUMBER(F523),IF(C523="卖",ROUND(F523*'参数'!$C$14,2),0),"")</f>
        <v/>
      </c>
      <c r="I523" s="51" t="str">
        <f>IF(ISNUMBER(F523),ROUND(F523*'参数'!$C$15,2),"")</f>
        <v/>
      </c>
      <c r="J523" s="21" t="n"/>
      <c r="K523" s="20" t="str">
        <f>IF(ISNUMBER(J523),J523,IF(ISNUMBER(F523),G523+H523+I523+ROUND(F523*'参数'!$C$16,2),""))</f>
        <v/>
      </c>
      <c r="L523" s="43" t="str">
        <f>IF(A523="","",IFERROR(T(INDEX('交易记录'!$C$5:$C$304,MATCH(A523,'交易记录'!$A$5:$A$304,0))),"编号没找到"))</f>
        <v/>
      </c>
      <c r="M523" s="57" t="str">
        <f>IF(AND(C523="买",ISNUMBER(B523)),WORKDAY(B523,1,'参数'!$B$58:$B$80),"")</f>
        <v/>
      </c>
      <c r="N523" s="36" t="str">
        <f>IF(C523&lt;&gt;"卖","",IF(AND(ISNUMBER(B523),A523&lt;&gt;""),IF(SUMIFS($E$5:$E$804,$A$5:$A$804,A523,$C$5:$C$804,"卖",$B$5:$B$804,"&lt;="&amp;B523)&gt;SUMIFS($E$5:$E$804,$A$5:$A$804,A523,$C$5:$C$804,"买",$B$5:$B$804,"&lt;"&amp;B523),"超出可卖股数","OK"),""))</f>
        <v/>
      </c>
      <c r="O523" s="32" t="n"/>
    </row>
    <row r="524">
      <c r="A524" s="46" t="n"/>
      <c r="B524" s="31" t="n"/>
      <c r="C524" s="27" t="n"/>
      <c r="D524" s="56" t="n"/>
      <c r="E524" s="17" t="n"/>
      <c r="F524" s="20" t="str">
        <f>IF(AND(ISNUMBER(D524),ISNUMBER(E524)),D524*E524,"")</f>
        <v/>
      </c>
      <c r="G524" s="51" t="str">
        <f>IF(ISNUMBER(F524),ROUND(MAX(F524*'参数'!$C$12,'参数'!$C$13),2),"")</f>
        <v/>
      </c>
      <c r="H524" s="51" t="str">
        <f>IF(ISNUMBER(F524),IF(C524="卖",ROUND(F524*'参数'!$C$14,2),0),"")</f>
        <v/>
      </c>
      <c r="I524" s="51" t="str">
        <f>IF(ISNUMBER(F524),ROUND(F524*'参数'!$C$15,2),"")</f>
        <v/>
      </c>
      <c r="J524" s="21" t="n"/>
      <c r="K524" s="20" t="str">
        <f>IF(ISNUMBER(J524),J524,IF(ISNUMBER(F524),G524+H524+I524+ROUND(F524*'参数'!$C$16,2),""))</f>
        <v/>
      </c>
      <c r="L524" s="43" t="str">
        <f>IF(A524="","",IFERROR(T(INDEX('交易记录'!$C$5:$C$304,MATCH(A524,'交易记录'!$A$5:$A$304,0))),"编号没找到"))</f>
        <v/>
      </c>
      <c r="M524" s="57" t="str">
        <f>IF(AND(C524="买",ISNUMBER(B524)),WORKDAY(B524,1,'参数'!$B$58:$B$80),"")</f>
        <v/>
      </c>
      <c r="N524" s="36" t="str">
        <f>IF(C524&lt;&gt;"卖","",IF(AND(ISNUMBER(B524),A524&lt;&gt;""),IF(SUMIFS($E$5:$E$804,$A$5:$A$804,A524,$C$5:$C$804,"卖",$B$5:$B$804,"&lt;="&amp;B524)&gt;SUMIFS($E$5:$E$804,$A$5:$A$804,A524,$C$5:$C$804,"买",$B$5:$B$804,"&lt;"&amp;B524),"超出可卖股数","OK"),""))</f>
        <v/>
      </c>
      <c r="O524" s="32" t="n"/>
    </row>
    <row r="525">
      <c r="A525" s="46" t="n"/>
      <c r="B525" s="31" t="n"/>
      <c r="C525" s="27" t="n"/>
      <c r="D525" s="56" t="n"/>
      <c r="E525" s="17" t="n"/>
      <c r="F525" s="20" t="str">
        <f>IF(AND(ISNUMBER(D525),ISNUMBER(E525)),D525*E525,"")</f>
        <v/>
      </c>
      <c r="G525" s="51" t="str">
        <f>IF(ISNUMBER(F525),ROUND(MAX(F525*'参数'!$C$12,'参数'!$C$13),2),"")</f>
        <v/>
      </c>
      <c r="H525" s="51" t="str">
        <f>IF(ISNUMBER(F525),IF(C525="卖",ROUND(F525*'参数'!$C$14,2),0),"")</f>
        <v/>
      </c>
      <c r="I525" s="51" t="str">
        <f>IF(ISNUMBER(F525),ROUND(F525*'参数'!$C$15,2),"")</f>
        <v/>
      </c>
      <c r="J525" s="21" t="n"/>
      <c r="K525" s="20" t="str">
        <f>IF(ISNUMBER(J525),J525,IF(ISNUMBER(F525),G525+H525+I525+ROUND(F525*'参数'!$C$16,2),""))</f>
        <v/>
      </c>
      <c r="L525" s="43" t="str">
        <f>IF(A525="","",IFERROR(T(INDEX('交易记录'!$C$5:$C$304,MATCH(A525,'交易记录'!$A$5:$A$304,0))),"编号没找到"))</f>
        <v/>
      </c>
      <c r="M525" s="57" t="str">
        <f>IF(AND(C525="买",ISNUMBER(B525)),WORKDAY(B525,1,'参数'!$B$58:$B$80),"")</f>
        <v/>
      </c>
      <c r="N525" s="36" t="str">
        <f>IF(C525&lt;&gt;"卖","",IF(AND(ISNUMBER(B525),A525&lt;&gt;""),IF(SUMIFS($E$5:$E$804,$A$5:$A$804,A525,$C$5:$C$804,"卖",$B$5:$B$804,"&lt;="&amp;B525)&gt;SUMIFS($E$5:$E$804,$A$5:$A$804,A525,$C$5:$C$804,"买",$B$5:$B$804,"&lt;"&amp;B525),"超出可卖股数","OK"),""))</f>
        <v/>
      </c>
      <c r="O525" s="32" t="n"/>
    </row>
    <row r="526">
      <c r="A526" s="46" t="n"/>
      <c r="B526" s="31" t="n"/>
      <c r="C526" s="27" t="n"/>
      <c r="D526" s="56" t="n"/>
      <c r="E526" s="17" t="n"/>
      <c r="F526" s="20" t="str">
        <f>IF(AND(ISNUMBER(D526),ISNUMBER(E526)),D526*E526,"")</f>
        <v/>
      </c>
      <c r="G526" s="51" t="str">
        <f>IF(ISNUMBER(F526),ROUND(MAX(F526*'参数'!$C$12,'参数'!$C$13),2),"")</f>
        <v/>
      </c>
      <c r="H526" s="51" t="str">
        <f>IF(ISNUMBER(F526),IF(C526="卖",ROUND(F526*'参数'!$C$14,2),0),"")</f>
        <v/>
      </c>
      <c r="I526" s="51" t="str">
        <f>IF(ISNUMBER(F526),ROUND(F526*'参数'!$C$15,2),"")</f>
        <v/>
      </c>
      <c r="J526" s="21" t="n"/>
      <c r="K526" s="20" t="str">
        <f>IF(ISNUMBER(J526),J526,IF(ISNUMBER(F526),G526+H526+I526+ROUND(F526*'参数'!$C$16,2),""))</f>
        <v/>
      </c>
      <c r="L526" s="43" t="str">
        <f>IF(A526="","",IFERROR(T(INDEX('交易记录'!$C$5:$C$304,MATCH(A526,'交易记录'!$A$5:$A$304,0))),"编号没找到"))</f>
        <v/>
      </c>
      <c r="M526" s="57" t="str">
        <f>IF(AND(C526="买",ISNUMBER(B526)),WORKDAY(B526,1,'参数'!$B$58:$B$80),"")</f>
        <v/>
      </c>
      <c r="N526" s="36" t="str">
        <f>IF(C526&lt;&gt;"卖","",IF(AND(ISNUMBER(B526),A526&lt;&gt;""),IF(SUMIFS($E$5:$E$804,$A$5:$A$804,A526,$C$5:$C$804,"卖",$B$5:$B$804,"&lt;="&amp;B526)&gt;SUMIFS($E$5:$E$804,$A$5:$A$804,A526,$C$5:$C$804,"买",$B$5:$B$804,"&lt;"&amp;B526),"超出可卖股数","OK"),""))</f>
        <v/>
      </c>
      <c r="O526" s="32" t="n"/>
    </row>
    <row r="527">
      <c r="A527" s="46" t="n"/>
      <c r="B527" s="31" t="n"/>
      <c r="C527" s="27" t="n"/>
      <c r="D527" s="56" t="n"/>
      <c r="E527" s="17" t="n"/>
      <c r="F527" s="20" t="str">
        <f>IF(AND(ISNUMBER(D527),ISNUMBER(E527)),D527*E527,"")</f>
        <v/>
      </c>
      <c r="G527" s="51" t="str">
        <f>IF(ISNUMBER(F527),ROUND(MAX(F527*'参数'!$C$12,'参数'!$C$13),2),"")</f>
        <v/>
      </c>
      <c r="H527" s="51" t="str">
        <f>IF(ISNUMBER(F527),IF(C527="卖",ROUND(F527*'参数'!$C$14,2),0),"")</f>
        <v/>
      </c>
      <c r="I527" s="51" t="str">
        <f>IF(ISNUMBER(F527),ROUND(F527*'参数'!$C$15,2),"")</f>
        <v/>
      </c>
      <c r="J527" s="21" t="n"/>
      <c r="K527" s="20" t="str">
        <f>IF(ISNUMBER(J527),J527,IF(ISNUMBER(F527),G527+H527+I527+ROUND(F527*'参数'!$C$16,2),""))</f>
        <v/>
      </c>
      <c r="L527" s="43" t="str">
        <f>IF(A527="","",IFERROR(T(INDEX('交易记录'!$C$5:$C$304,MATCH(A527,'交易记录'!$A$5:$A$304,0))),"编号没找到"))</f>
        <v/>
      </c>
      <c r="M527" s="57" t="str">
        <f>IF(AND(C527="买",ISNUMBER(B527)),WORKDAY(B527,1,'参数'!$B$58:$B$80),"")</f>
        <v/>
      </c>
      <c r="N527" s="36" t="str">
        <f>IF(C527&lt;&gt;"卖","",IF(AND(ISNUMBER(B527),A527&lt;&gt;""),IF(SUMIFS($E$5:$E$804,$A$5:$A$804,A527,$C$5:$C$804,"卖",$B$5:$B$804,"&lt;="&amp;B527)&gt;SUMIFS($E$5:$E$804,$A$5:$A$804,A527,$C$5:$C$804,"买",$B$5:$B$804,"&lt;"&amp;B527),"超出可卖股数","OK"),""))</f>
        <v/>
      </c>
      <c r="O527" s="32" t="n"/>
    </row>
    <row r="528">
      <c r="A528" s="46" t="n"/>
      <c r="B528" s="31" t="n"/>
      <c r="C528" s="27" t="n"/>
      <c r="D528" s="56" t="n"/>
      <c r="E528" s="17" t="n"/>
      <c r="F528" s="20" t="str">
        <f>IF(AND(ISNUMBER(D528),ISNUMBER(E528)),D528*E528,"")</f>
        <v/>
      </c>
      <c r="G528" s="51" t="str">
        <f>IF(ISNUMBER(F528),ROUND(MAX(F528*'参数'!$C$12,'参数'!$C$13),2),"")</f>
        <v/>
      </c>
      <c r="H528" s="51" t="str">
        <f>IF(ISNUMBER(F528),IF(C528="卖",ROUND(F528*'参数'!$C$14,2),0),"")</f>
        <v/>
      </c>
      <c r="I528" s="51" t="str">
        <f>IF(ISNUMBER(F528),ROUND(F528*'参数'!$C$15,2),"")</f>
        <v/>
      </c>
      <c r="J528" s="21" t="n"/>
      <c r="K528" s="20" t="str">
        <f>IF(ISNUMBER(J528),J528,IF(ISNUMBER(F528),G528+H528+I528+ROUND(F528*'参数'!$C$16,2),""))</f>
        <v/>
      </c>
      <c r="L528" s="43" t="str">
        <f>IF(A528="","",IFERROR(T(INDEX('交易记录'!$C$5:$C$304,MATCH(A528,'交易记录'!$A$5:$A$304,0))),"编号没找到"))</f>
        <v/>
      </c>
      <c r="M528" s="57" t="str">
        <f>IF(AND(C528="买",ISNUMBER(B528)),WORKDAY(B528,1,'参数'!$B$58:$B$80),"")</f>
        <v/>
      </c>
      <c r="N528" s="36" t="str">
        <f>IF(C528&lt;&gt;"卖","",IF(AND(ISNUMBER(B528),A528&lt;&gt;""),IF(SUMIFS($E$5:$E$804,$A$5:$A$804,A528,$C$5:$C$804,"卖",$B$5:$B$804,"&lt;="&amp;B528)&gt;SUMIFS($E$5:$E$804,$A$5:$A$804,A528,$C$5:$C$804,"买",$B$5:$B$804,"&lt;"&amp;B528),"超出可卖股数","OK"),""))</f>
        <v/>
      </c>
      <c r="O528" s="32" t="n"/>
    </row>
    <row r="529">
      <c r="A529" s="46" t="n"/>
      <c r="B529" s="31" t="n"/>
      <c r="C529" s="27" t="n"/>
      <c r="D529" s="56" t="n"/>
      <c r="E529" s="17" t="n"/>
      <c r="F529" s="20" t="str">
        <f>IF(AND(ISNUMBER(D529),ISNUMBER(E529)),D529*E529,"")</f>
        <v/>
      </c>
      <c r="G529" s="51" t="str">
        <f>IF(ISNUMBER(F529),ROUND(MAX(F529*'参数'!$C$12,'参数'!$C$13),2),"")</f>
        <v/>
      </c>
      <c r="H529" s="51" t="str">
        <f>IF(ISNUMBER(F529),IF(C529="卖",ROUND(F529*'参数'!$C$14,2),0),"")</f>
        <v/>
      </c>
      <c r="I529" s="51" t="str">
        <f>IF(ISNUMBER(F529),ROUND(F529*'参数'!$C$15,2),"")</f>
        <v/>
      </c>
      <c r="J529" s="21" t="n"/>
      <c r="K529" s="20" t="str">
        <f>IF(ISNUMBER(J529),J529,IF(ISNUMBER(F529),G529+H529+I529+ROUND(F529*'参数'!$C$16,2),""))</f>
        <v/>
      </c>
      <c r="L529" s="43" t="str">
        <f>IF(A529="","",IFERROR(T(INDEX('交易记录'!$C$5:$C$304,MATCH(A529,'交易记录'!$A$5:$A$304,0))),"编号没找到"))</f>
        <v/>
      </c>
      <c r="M529" s="57" t="str">
        <f>IF(AND(C529="买",ISNUMBER(B529)),WORKDAY(B529,1,'参数'!$B$58:$B$80),"")</f>
        <v/>
      </c>
      <c r="N529" s="36" t="str">
        <f>IF(C529&lt;&gt;"卖","",IF(AND(ISNUMBER(B529),A529&lt;&gt;""),IF(SUMIFS($E$5:$E$804,$A$5:$A$804,A529,$C$5:$C$804,"卖",$B$5:$B$804,"&lt;="&amp;B529)&gt;SUMIFS($E$5:$E$804,$A$5:$A$804,A529,$C$5:$C$804,"买",$B$5:$B$804,"&lt;"&amp;B529),"超出可卖股数","OK"),""))</f>
        <v/>
      </c>
      <c r="O529" s="32" t="n"/>
    </row>
    <row r="530">
      <c r="A530" s="46" t="n"/>
      <c r="B530" s="31" t="n"/>
      <c r="C530" s="27" t="n"/>
      <c r="D530" s="56" t="n"/>
      <c r="E530" s="17" t="n"/>
      <c r="F530" s="20" t="str">
        <f>IF(AND(ISNUMBER(D530),ISNUMBER(E530)),D530*E530,"")</f>
        <v/>
      </c>
      <c r="G530" s="51" t="str">
        <f>IF(ISNUMBER(F530),ROUND(MAX(F530*'参数'!$C$12,'参数'!$C$13),2),"")</f>
        <v/>
      </c>
      <c r="H530" s="51" t="str">
        <f>IF(ISNUMBER(F530),IF(C530="卖",ROUND(F530*'参数'!$C$14,2),0),"")</f>
        <v/>
      </c>
      <c r="I530" s="51" t="str">
        <f>IF(ISNUMBER(F530),ROUND(F530*'参数'!$C$15,2),"")</f>
        <v/>
      </c>
      <c r="J530" s="21" t="n"/>
      <c r="K530" s="20" t="str">
        <f>IF(ISNUMBER(J530),J530,IF(ISNUMBER(F530),G530+H530+I530+ROUND(F530*'参数'!$C$16,2),""))</f>
        <v/>
      </c>
      <c r="L530" s="43" t="str">
        <f>IF(A530="","",IFERROR(T(INDEX('交易记录'!$C$5:$C$304,MATCH(A530,'交易记录'!$A$5:$A$304,0))),"编号没找到"))</f>
        <v/>
      </c>
      <c r="M530" s="57" t="str">
        <f>IF(AND(C530="买",ISNUMBER(B530)),WORKDAY(B530,1,'参数'!$B$58:$B$80),"")</f>
        <v/>
      </c>
      <c r="N530" s="36" t="str">
        <f>IF(C530&lt;&gt;"卖","",IF(AND(ISNUMBER(B530),A530&lt;&gt;""),IF(SUMIFS($E$5:$E$804,$A$5:$A$804,A530,$C$5:$C$804,"卖",$B$5:$B$804,"&lt;="&amp;B530)&gt;SUMIFS($E$5:$E$804,$A$5:$A$804,A530,$C$5:$C$804,"买",$B$5:$B$804,"&lt;"&amp;B530),"超出可卖股数","OK"),""))</f>
        <v/>
      </c>
      <c r="O530" s="32" t="n"/>
    </row>
    <row r="531">
      <c r="A531" s="46" t="n"/>
      <c r="B531" s="31" t="n"/>
      <c r="C531" s="27" t="n"/>
      <c r="D531" s="56" t="n"/>
      <c r="E531" s="17" t="n"/>
      <c r="F531" s="20" t="str">
        <f>IF(AND(ISNUMBER(D531),ISNUMBER(E531)),D531*E531,"")</f>
        <v/>
      </c>
      <c r="G531" s="51" t="str">
        <f>IF(ISNUMBER(F531),ROUND(MAX(F531*'参数'!$C$12,'参数'!$C$13),2),"")</f>
        <v/>
      </c>
      <c r="H531" s="51" t="str">
        <f>IF(ISNUMBER(F531),IF(C531="卖",ROUND(F531*'参数'!$C$14,2),0),"")</f>
        <v/>
      </c>
      <c r="I531" s="51" t="str">
        <f>IF(ISNUMBER(F531),ROUND(F531*'参数'!$C$15,2),"")</f>
        <v/>
      </c>
      <c r="J531" s="21" t="n"/>
      <c r="K531" s="20" t="str">
        <f>IF(ISNUMBER(J531),J531,IF(ISNUMBER(F531),G531+H531+I531+ROUND(F531*'参数'!$C$16,2),""))</f>
        <v/>
      </c>
      <c r="L531" s="43" t="str">
        <f>IF(A531="","",IFERROR(T(INDEX('交易记录'!$C$5:$C$304,MATCH(A531,'交易记录'!$A$5:$A$304,0))),"编号没找到"))</f>
        <v/>
      </c>
      <c r="M531" s="57" t="str">
        <f>IF(AND(C531="买",ISNUMBER(B531)),WORKDAY(B531,1,'参数'!$B$58:$B$80),"")</f>
        <v/>
      </c>
      <c r="N531" s="36" t="str">
        <f>IF(C531&lt;&gt;"卖","",IF(AND(ISNUMBER(B531),A531&lt;&gt;""),IF(SUMIFS($E$5:$E$804,$A$5:$A$804,A531,$C$5:$C$804,"卖",$B$5:$B$804,"&lt;="&amp;B531)&gt;SUMIFS($E$5:$E$804,$A$5:$A$804,A531,$C$5:$C$804,"买",$B$5:$B$804,"&lt;"&amp;B531),"超出可卖股数","OK"),""))</f>
        <v/>
      </c>
      <c r="O531" s="32" t="n"/>
    </row>
    <row r="532">
      <c r="A532" s="46" t="n"/>
      <c r="B532" s="31" t="n"/>
      <c r="C532" s="27" t="n"/>
      <c r="D532" s="56" t="n"/>
      <c r="E532" s="17" t="n"/>
      <c r="F532" s="20" t="str">
        <f>IF(AND(ISNUMBER(D532),ISNUMBER(E532)),D532*E532,"")</f>
        <v/>
      </c>
      <c r="G532" s="51" t="str">
        <f>IF(ISNUMBER(F532),ROUND(MAX(F532*'参数'!$C$12,'参数'!$C$13),2),"")</f>
        <v/>
      </c>
      <c r="H532" s="51" t="str">
        <f>IF(ISNUMBER(F532),IF(C532="卖",ROUND(F532*'参数'!$C$14,2),0),"")</f>
        <v/>
      </c>
      <c r="I532" s="51" t="str">
        <f>IF(ISNUMBER(F532),ROUND(F532*'参数'!$C$15,2),"")</f>
        <v/>
      </c>
      <c r="J532" s="21" t="n"/>
      <c r="K532" s="20" t="str">
        <f>IF(ISNUMBER(J532),J532,IF(ISNUMBER(F532),G532+H532+I532+ROUND(F532*'参数'!$C$16,2),""))</f>
        <v/>
      </c>
      <c r="L532" s="43" t="str">
        <f>IF(A532="","",IFERROR(T(INDEX('交易记录'!$C$5:$C$304,MATCH(A532,'交易记录'!$A$5:$A$304,0))),"编号没找到"))</f>
        <v/>
      </c>
      <c r="M532" s="57" t="str">
        <f>IF(AND(C532="买",ISNUMBER(B532)),WORKDAY(B532,1,'参数'!$B$58:$B$80),"")</f>
        <v/>
      </c>
      <c r="N532" s="36" t="str">
        <f>IF(C532&lt;&gt;"卖","",IF(AND(ISNUMBER(B532),A532&lt;&gt;""),IF(SUMIFS($E$5:$E$804,$A$5:$A$804,A532,$C$5:$C$804,"卖",$B$5:$B$804,"&lt;="&amp;B532)&gt;SUMIFS($E$5:$E$804,$A$5:$A$804,A532,$C$5:$C$804,"买",$B$5:$B$804,"&lt;"&amp;B532),"超出可卖股数","OK"),""))</f>
        <v/>
      </c>
      <c r="O532" s="32" t="n"/>
    </row>
    <row r="533">
      <c r="A533" s="46" t="n"/>
      <c r="B533" s="31" t="n"/>
      <c r="C533" s="27" t="n"/>
      <c r="D533" s="56" t="n"/>
      <c r="E533" s="17" t="n"/>
      <c r="F533" s="20" t="str">
        <f>IF(AND(ISNUMBER(D533),ISNUMBER(E533)),D533*E533,"")</f>
        <v/>
      </c>
      <c r="G533" s="51" t="str">
        <f>IF(ISNUMBER(F533),ROUND(MAX(F533*'参数'!$C$12,'参数'!$C$13),2),"")</f>
        <v/>
      </c>
      <c r="H533" s="51" t="str">
        <f>IF(ISNUMBER(F533),IF(C533="卖",ROUND(F533*'参数'!$C$14,2),0),"")</f>
        <v/>
      </c>
      <c r="I533" s="51" t="str">
        <f>IF(ISNUMBER(F533),ROUND(F533*'参数'!$C$15,2),"")</f>
        <v/>
      </c>
      <c r="J533" s="21" t="n"/>
      <c r="K533" s="20" t="str">
        <f>IF(ISNUMBER(J533),J533,IF(ISNUMBER(F533),G533+H533+I533+ROUND(F533*'参数'!$C$16,2),""))</f>
        <v/>
      </c>
      <c r="L533" s="43" t="str">
        <f>IF(A533="","",IFERROR(T(INDEX('交易记录'!$C$5:$C$304,MATCH(A533,'交易记录'!$A$5:$A$304,0))),"编号没找到"))</f>
        <v/>
      </c>
      <c r="M533" s="57" t="str">
        <f>IF(AND(C533="买",ISNUMBER(B533)),WORKDAY(B533,1,'参数'!$B$58:$B$80),"")</f>
        <v/>
      </c>
      <c r="N533" s="36" t="str">
        <f>IF(C533&lt;&gt;"卖","",IF(AND(ISNUMBER(B533),A533&lt;&gt;""),IF(SUMIFS($E$5:$E$804,$A$5:$A$804,A533,$C$5:$C$804,"卖",$B$5:$B$804,"&lt;="&amp;B533)&gt;SUMIFS($E$5:$E$804,$A$5:$A$804,A533,$C$5:$C$804,"买",$B$5:$B$804,"&lt;"&amp;B533),"超出可卖股数","OK"),""))</f>
        <v/>
      </c>
      <c r="O533" s="32" t="n"/>
    </row>
    <row r="534">
      <c r="A534" s="46" t="n"/>
      <c r="B534" s="31" t="n"/>
      <c r="C534" s="27" t="n"/>
      <c r="D534" s="56" t="n"/>
      <c r="E534" s="17" t="n"/>
      <c r="F534" s="20" t="str">
        <f>IF(AND(ISNUMBER(D534),ISNUMBER(E534)),D534*E534,"")</f>
        <v/>
      </c>
      <c r="G534" s="51" t="str">
        <f>IF(ISNUMBER(F534),ROUND(MAX(F534*'参数'!$C$12,'参数'!$C$13),2),"")</f>
        <v/>
      </c>
      <c r="H534" s="51" t="str">
        <f>IF(ISNUMBER(F534),IF(C534="卖",ROUND(F534*'参数'!$C$14,2),0),"")</f>
        <v/>
      </c>
      <c r="I534" s="51" t="str">
        <f>IF(ISNUMBER(F534),ROUND(F534*'参数'!$C$15,2),"")</f>
        <v/>
      </c>
      <c r="J534" s="21" t="n"/>
      <c r="K534" s="20" t="str">
        <f>IF(ISNUMBER(J534),J534,IF(ISNUMBER(F534),G534+H534+I534+ROUND(F534*'参数'!$C$16,2),""))</f>
        <v/>
      </c>
      <c r="L534" s="43" t="str">
        <f>IF(A534="","",IFERROR(T(INDEX('交易记录'!$C$5:$C$304,MATCH(A534,'交易记录'!$A$5:$A$304,0))),"编号没找到"))</f>
        <v/>
      </c>
      <c r="M534" s="57" t="str">
        <f>IF(AND(C534="买",ISNUMBER(B534)),WORKDAY(B534,1,'参数'!$B$58:$B$80),"")</f>
        <v/>
      </c>
      <c r="N534" s="36" t="str">
        <f>IF(C534&lt;&gt;"卖","",IF(AND(ISNUMBER(B534),A534&lt;&gt;""),IF(SUMIFS($E$5:$E$804,$A$5:$A$804,A534,$C$5:$C$804,"卖",$B$5:$B$804,"&lt;="&amp;B534)&gt;SUMIFS($E$5:$E$804,$A$5:$A$804,A534,$C$5:$C$804,"买",$B$5:$B$804,"&lt;"&amp;B534),"超出可卖股数","OK"),""))</f>
        <v/>
      </c>
      <c r="O534" s="32" t="n"/>
    </row>
    <row r="535">
      <c r="A535" s="46" t="n"/>
      <c r="B535" s="31" t="n"/>
      <c r="C535" s="27" t="n"/>
      <c r="D535" s="56" t="n"/>
      <c r="E535" s="17" t="n"/>
      <c r="F535" s="20" t="str">
        <f>IF(AND(ISNUMBER(D535),ISNUMBER(E535)),D535*E535,"")</f>
        <v/>
      </c>
      <c r="G535" s="51" t="str">
        <f>IF(ISNUMBER(F535),ROUND(MAX(F535*'参数'!$C$12,'参数'!$C$13),2),"")</f>
        <v/>
      </c>
      <c r="H535" s="51" t="str">
        <f>IF(ISNUMBER(F535),IF(C535="卖",ROUND(F535*'参数'!$C$14,2),0),"")</f>
        <v/>
      </c>
      <c r="I535" s="51" t="str">
        <f>IF(ISNUMBER(F535),ROUND(F535*'参数'!$C$15,2),"")</f>
        <v/>
      </c>
      <c r="J535" s="21" t="n"/>
      <c r="K535" s="20" t="str">
        <f>IF(ISNUMBER(J535),J535,IF(ISNUMBER(F535),G535+H535+I535+ROUND(F535*'参数'!$C$16,2),""))</f>
        <v/>
      </c>
      <c r="L535" s="43" t="str">
        <f>IF(A535="","",IFERROR(T(INDEX('交易记录'!$C$5:$C$304,MATCH(A535,'交易记录'!$A$5:$A$304,0))),"编号没找到"))</f>
        <v/>
      </c>
      <c r="M535" s="57" t="str">
        <f>IF(AND(C535="买",ISNUMBER(B535)),WORKDAY(B535,1,'参数'!$B$58:$B$80),"")</f>
        <v/>
      </c>
      <c r="N535" s="36" t="str">
        <f>IF(C535&lt;&gt;"卖","",IF(AND(ISNUMBER(B535),A535&lt;&gt;""),IF(SUMIFS($E$5:$E$804,$A$5:$A$804,A535,$C$5:$C$804,"卖",$B$5:$B$804,"&lt;="&amp;B535)&gt;SUMIFS($E$5:$E$804,$A$5:$A$804,A535,$C$5:$C$804,"买",$B$5:$B$804,"&lt;"&amp;B535),"超出可卖股数","OK"),""))</f>
        <v/>
      </c>
      <c r="O535" s="32" t="n"/>
    </row>
    <row r="536">
      <c r="A536" s="46" t="n"/>
      <c r="B536" s="31" t="n"/>
      <c r="C536" s="27" t="n"/>
      <c r="D536" s="56" t="n"/>
      <c r="E536" s="17" t="n"/>
      <c r="F536" s="20" t="str">
        <f>IF(AND(ISNUMBER(D536),ISNUMBER(E536)),D536*E536,"")</f>
        <v/>
      </c>
      <c r="G536" s="51" t="str">
        <f>IF(ISNUMBER(F536),ROUND(MAX(F536*'参数'!$C$12,'参数'!$C$13),2),"")</f>
        <v/>
      </c>
      <c r="H536" s="51" t="str">
        <f>IF(ISNUMBER(F536),IF(C536="卖",ROUND(F536*'参数'!$C$14,2),0),"")</f>
        <v/>
      </c>
      <c r="I536" s="51" t="str">
        <f>IF(ISNUMBER(F536),ROUND(F536*'参数'!$C$15,2),"")</f>
        <v/>
      </c>
      <c r="J536" s="21" t="n"/>
      <c r="K536" s="20" t="str">
        <f>IF(ISNUMBER(J536),J536,IF(ISNUMBER(F536),G536+H536+I536+ROUND(F536*'参数'!$C$16,2),""))</f>
        <v/>
      </c>
      <c r="L536" s="43" t="str">
        <f>IF(A536="","",IFERROR(T(INDEX('交易记录'!$C$5:$C$304,MATCH(A536,'交易记录'!$A$5:$A$304,0))),"编号没找到"))</f>
        <v/>
      </c>
      <c r="M536" s="57" t="str">
        <f>IF(AND(C536="买",ISNUMBER(B536)),WORKDAY(B536,1,'参数'!$B$58:$B$80),"")</f>
        <v/>
      </c>
      <c r="N536" s="36" t="str">
        <f>IF(C536&lt;&gt;"卖","",IF(AND(ISNUMBER(B536),A536&lt;&gt;""),IF(SUMIFS($E$5:$E$804,$A$5:$A$804,A536,$C$5:$C$804,"卖",$B$5:$B$804,"&lt;="&amp;B536)&gt;SUMIFS($E$5:$E$804,$A$5:$A$804,A536,$C$5:$C$804,"买",$B$5:$B$804,"&lt;"&amp;B536),"超出可卖股数","OK"),""))</f>
        <v/>
      </c>
      <c r="O536" s="32" t="n"/>
    </row>
    <row r="537">
      <c r="A537" s="46" t="n"/>
      <c r="B537" s="31" t="n"/>
      <c r="C537" s="27" t="n"/>
      <c r="D537" s="56" t="n"/>
      <c r="E537" s="17" t="n"/>
      <c r="F537" s="20" t="str">
        <f>IF(AND(ISNUMBER(D537),ISNUMBER(E537)),D537*E537,"")</f>
        <v/>
      </c>
      <c r="G537" s="51" t="str">
        <f>IF(ISNUMBER(F537),ROUND(MAX(F537*'参数'!$C$12,'参数'!$C$13),2),"")</f>
        <v/>
      </c>
      <c r="H537" s="51" t="str">
        <f>IF(ISNUMBER(F537),IF(C537="卖",ROUND(F537*'参数'!$C$14,2),0),"")</f>
        <v/>
      </c>
      <c r="I537" s="51" t="str">
        <f>IF(ISNUMBER(F537),ROUND(F537*'参数'!$C$15,2),"")</f>
        <v/>
      </c>
      <c r="J537" s="21" t="n"/>
      <c r="K537" s="20" t="str">
        <f>IF(ISNUMBER(J537),J537,IF(ISNUMBER(F537),G537+H537+I537+ROUND(F537*'参数'!$C$16,2),""))</f>
        <v/>
      </c>
      <c r="L537" s="43" t="str">
        <f>IF(A537="","",IFERROR(T(INDEX('交易记录'!$C$5:$C$304,MATCH(A537,'交易记录'!$A$5:$A$304,0))),"编号没找到"))</f>
        <v/>
      </c>
      <c r="M537" s="57" t="str">
        <f>IF(AND(C537="买",ISNUMBER(B537)),WORKDAY(B537,1,'参数'!$B$58:$B$80),"")</f>
        <v/>
      </c>
      <c r="N537" s="36" t="str">
        <f>IF(C537&lt;&gt;"卖","",IF(AND(ISNUMBER(B537),A537&lt;&gt;""),IF(SUMIFS($E$5:$E$804,$A$5:$A$804,A537,$C$5:$C$804,"卖",$B$5:$B$804,"&lt;="&amp;B537)&gt;SUMIFS($E$5:$E$804,$A$5:$A$804,A537,$C$5:$C$804,"买",$B$5:$B$804,"&lt;"&amp;B537),"超出可卖股数","OK"),""))</f>
        <v/>
      </c>
      <c r="O537" s="32" t="n"/>
    </row>
    <row r="538">
      <c r="A538" s="46" t="n"/>
      <c r="B538" s="31" t="n"/>
      <c r="C538" s="27" t="n"/>
      <c r="D538" s="56" t="n"/>
      <c r="E538" s="17" t="n"/>
      <c r="F538" s="20" t="str">
        <f>IF(AND(ISNUMBER(D538),ISNUMBER(E538)),D538*E538,"")</f>
        <v/>
      </c>
      <c r="G538" s="51" t="str">
        <f>IF(ISNUMBER(F538),ROUND(MAX(F538*'参数'!$C$12,'参数'!$C$13),2),"")</f>
        <v/>
      </c>
      <c r="H538" s="51" t="str">
        <f>IF(ISNUMBER(F538),IF(C538="卖",ROUND(F538*'参数'!$C$14,2),0),"")</f>
        <v/>
      </c>
      <c r="I538" s="51" t="str">
        <f>IF(ISNUMBER(F538),ROUND(F538*'参数'!$C$15,2),"")</f>
        <v/>
      </c>
      <c r="J538" s="21" t="n"/>
      <c r="K538" s="20" t="str">
        <f>IF(ISNUMBER(J538),J538,IF(ISNUMBER(F538),G538+H538+I538+ROUND(F538*'参数'!$C$16,2),""))</f>
        <v/>
      </c>
      <c r="L538" s="43" t="str">
        <f>IF(A538="","",IFERROR(T(INDEX('交易记录'!$C$5:$C$304,MATCH(A538,'交易记录'!$A$5:$A$304,0))),"编号没找到"))</f>
        <v/>
      </c>
      <c r="M538" s="57" t="str">
        <f>IF(AND(C538="买",ISNUMBER(B538)),WORKDAY(B538,1,'参数'!$B$58:$B$80),"")</f>
        <v/>
      </c>
      <c r="N538" s="36" t="str">
        <f>IF(C538&lt;&gt;"卖","",IF(AND(ISNUMBER(B538),A538&lt;&gt;""),IF(SUMIFS($E$5:$E$804,$A$5:$A$804,A538,$C$5:$C$804,"卖",$B$5:$B$804,"&lt;="&amp;B538)&gt;SUMIFS($E$5:$E$804,$A$5:$A$804,A538,$C$5:$C$804,"买",$B$5:$B$804,"&lt;"&amp;B538),"超出可卖股数","OK"),""))</f>
        <v/>
      </c>
      <c r="O538" s="32" t="n"/>
    </row>
    <row r="539">
      <c r="A539" s="46" t="n"/>
      <c r="B539" s="31" t="n"/>
      <c r="C539" s="27" t="n"/>
      <c r="D539" s="56" t="n"/>
      <c r="E539" s="17" t="n"/>
      <c r="F539" s="20" t="str">
        <f>IF(AND(ISNUMBER(D539),ISNUMBER(E539)),D539*E539,"")</f>
        <v/>
      </c>
      <c r="G539" s="51" t="str">
        <f>IF(ISNUMBER(F539),ROUND(MAX(F539*'参数'!$C$12,'参数'!$C$13),2),"")</f>
        <v/>
      </c>
      <c r="H539" s="51" t="str">
        <f>IF(ISNUMBER(F539),IF(C539="卖",ROUND(F539*'参数'!$C$14,2),0),"")</f>
        <v/>
      </c>
      <c r="I539" s="51" t="str">
        <f>IF(ISNUMBER(F539),ROUND(F539*'参数'!$C$15,2),"")</f>
        <v/>
      </c>
      <c r="J539" s="21" t="n"/>
      <c r="K539" s="20" t="str">
        <f>IF(ISNUMBER(J539),J539,IF(ISNUMBER(F539),G539+H539+I539+ROUND(F539*'参数'!$C$16,2),""))</f>
        <v/>
      </c>
      <c r="L539" s="43" t="str">
        <f>IF(A539="","",IFERROR(T(INDEX('交易记录'!$C$5:$C$304,MATCH(A539,'交易记录'!$A$5:$A$304,0))),"编号没找到"))</f>
        <v/>
      </c>
      <c r="M539" s="57" t="str">
        <f>IF(AND(C539="买",ISNUMBER(B539)),WORKDAY(B539,1,'参数'!$B$58:$B$80),"")</f>
        <v/>
      </c>
      <c r="N539" s="36" t="str">
        <f>IF(C539&lt;&gt;"卖","",IF(AND(ISNUMBER(B539),A539&lt;&gt;""),IF(SUMIFS($E$5:$E$804,$A$5:$A$804,A539,$C$5:$C$804,"卖",$B$5:$B$804,"&lt;="&amp;B539)&gt;SUMIFS($E$5:$E$804,$A$5:$A$804,A539,$C$5:$C$804,"买",$B$5:$B$804,"&lt;"&amp;B539),"超出可卖股数","OK"),""))</f>
        <v/>
      </c>
      <c r="O539" s="32" t="n"/>
    </row>
    <row r="540">
      <c r="A540" s="46" t="n"/>
      <c r="B540" s="31" t="n"/>
      <c r="C540" s="27" t="n"/>
      <c r="D540" s="56" t="n"/>
      <c r="E540" s="17" t="n"/>
      <c r="F540" s="20" t="str">
        <f>IF(AND(ISNUMBER(D540),ISNUMBER(E540)),D540*E540,"")</f>
        <v/>
      </c>
      <c r="G540" s="51" t="str">
        <f>IF(ISNUMBER(F540),ROUND(MAX(F540*'参数'!$C$12,'参数'!$C$13),2),"")</f>
        <v/>
      </c>
      <c r="H540" s="51" t="str">
        <f>IF(ISNUMBER(F540),IF(C540="卖",ROUND(F540*'参数'!$C$14,2),0),"")</f>
        <v/>
      </c>
      <c r="I540" s="51" t="str">
        <f>IF(ISNUMBER(F540),ROUND(F540*'参数'!$C$15,2),"")</f>
        <v/>
      </c>
      <c r="J540" s="21" t="n"/>
      <c r="K540" s="20" t="str">
        <f>IF(ISNUMBER(J540),J540,IF(ISNUMBER(F540),G540+H540+I540+ROUND(F540*'参数'!$C$16,2),""))</f>
        <v/>
      </c>
      <c r="L540" s="43" t="str">
        <f>IF(A540="","",IFERROR(T(INDEX('交易记录'!$C$5:$C$304,MATCH(A540,'交易记录'!$A$5:$A$304,0))),"编号没找到"))</f>
        <v/>
      </c>
      <c r="M540" s="57" t="str">
        <f>IF(AND(C540="买",ISNUMBER(B540)),WORKDAY(B540,1,'参数'!$B$58:$B$80),"")</f>
        <v/>
      </c>
      <c r="N540" s="36" t="str">
        <f>IF(C540&lt;&gt;"卖","",IF(AND(ISNUMBER(B540),A540&lt;&gt;""),IF(SUMIFS($E$5:$E$804,$A$5:$A$804,A540,$C$5:$C$804,"卖",$B$5:$B$804,"&lt;="&amp;B540)&gt;SUMIFS($E$5:$E$804,$A$5:$A$804,A540,$C$5:$C$804,"买",$B$5:$B$804,"&lt;"&amp;B540),"超出可卖股数","OK"),""))</f>
        <v/>
      </c>
      <c r="O540" s="32" t="n"/>
    </row>
    <row r="541">
      <c r="A541" s="46" t="n"/>
      <c r="B541" s="31" t="n"/>
      <c r="C541" s="27" t="n"/>
      <c r="D541" s="56" t="n"/>
      <c r="E541" s="17" t="n"/>
      <c r="F541" s="20" t="str">
        <f>IF(AND(ISNUMBER(D541),ISNUMBER(E541)),D541*E541,"")</f>
        <v/>
      </c>
      <c r="G541" s="51" t="str">
        <f>IF(ISNUMBER(F541),ROUND(MAX(F541*'参数'!$C$12,'参数'!$C$13),2),"")</f>
        <v/>
      </c>
      <c r="H541" s="51" t="str">
        <f>IF(ISNUMBER(F541),IF(C541="卖",ROUND(F541*'参数'!$C$14,2),0),"")</f>
        <v/>
      </c>
      <c r="I541" s="51" t="str">
        <f>IF(ISNUMBER(F541),ROUND(F541*'参数'!$C$15,2),"")</f>
        <v/>
      </c>
      <c r="J541" s="21" t="n"/>
      <c r="K541" s="20" t="str">
        <f>IF(ISNUMBER(J541),J541,IF(ISNUMBER(F541),G541+H541+I541+ROUND(F541*'参数'!$C$16,2),""))</f>
        <v/>
      </c>
      <c r="L541" s="43" t="str">
        <f>IF(A541="","",IFERROR(T(INDEX('交易记录'!$C$5:$C$304,MATCH(A541,'交易记录'!$A$5:$A$304,0))),"编号没找到"))</f>
        <v/>
      </c>
      <c r="M541" s="57" t="str">
        <f>IF(AND(C541="买",ISNUMBER(B541)),WORKDAY(B541,1,'参数'!$B$58:$B$80),"")</f>
        <v/>
      </c>
      <c r="N541" s="36" t="str">
        <f>IF(C541&lt;&gt;"卖","",IF(AND(ISNUMBER(B541),A541&lt;&gt;""),IF(SUMIFS($E$5:$E$804,$A$5:$A$804,A541,$C$5:$C$804,"卖",$B$5:$B$804,"&lt;="&amp;B541)&gt;SUMIFS($E$5:$E$804,$A$5:$A$804,A541,$C$5:$C$804,"买",$B$5:$B$804,"&lt;"&amp;B541),"超出可卖股数","OK"),""))</f>
        <v/>
      </c>
      <c r="O541" s="32" t="n"/>
    </row>
    <row r="542">
      <c r="A542" s="46" t="n"/>
      <c r="B542" s="31" t="n"/>
      <c r="C542" s="27" t="n"/>
      <c r="D542" s="56" t="n"/>
      <c r="E542" s="17" t="n"/>
      <c r="F542" s="20" t="str">
        <f>IF(AND(ISNUMBER(D542),ISNUMBER(E542)),D542*E542,"")</f>
        <v/>
      </c>
      <c r="G542" s="51" t="str">
        <f>IF(ISNUMBER(F542),ROUND(MAX(F542*'参数'!$C$12,'参数'!$C$13),2),"")</f>
        <v/>
      </c>
      <c r="H542" s="51" t="str">
        <f>IF(ISNUMBER(F542),IF(C542="卖",ROUND(F542*'参数'!$C$14,2),0),"")</f>
        <v/>
      </c>
      <c r="I542" s="51" t="str">
        <f>IF(ISNUMBER(F542),ROUND(F542*'参数'!$C$15,2),"")</f>
        <v/>
      </c>
      <c r="J542" s="21" t="n"/>
      <c r="K542" s="20" t="str">
        <f>IF(ISNUMBER(J542),J542,IF(ISNUMBER(F542),G542+H542+I542+ROUND(F542*'参数'!$C$16,2),""))</f>
        <v/>
      </c>
      <c r="L542" s="43" t="str">
        <f>IF(A542="","",IFERROR(T(INDEX('交易记录'!$C$5:$C$304,MATCH(A542,'交易记录'!$A$5:$A$304,0))),"编号没找到"))</f>
        <v/>
      </c>
      <c r="M542" s="57" t="str">
        <f>IF(AND(C542="买",ISNUMBER(B542)),WORKDAY(B542,1,'参数'!$B$58:$B$80),"")</f>
        <v/>
      </c>
      <c r="N542" s="36" t="str">
        <f>IF(C542&lt;&gt;"卖","",IF(AND(ISNUMBER(B542),A542&lt;&gt;""),IF(SUMIFS($E$5:$E$804,$A$5:$A$804,A542,$C$5:$C$804,"卖",$B$5:$B$804,"&lt;="&amp;B542)&gt;SUMIFS($E$5:$E$804,$A$5:$A$804,A542,$C$5:$C$804,"买",$B$5:$B$804,"&lt;"&amp;B542),"超出可卖股数","OK"),""))</f>
        <v/>
      </c>
      <c r="O542" s="32" t="n"/>
    </row>
    <row r="543">
      <c r="A543" s="46" t="n"/>
      <c r="B543" s="31" t="n"/>
      <c r="C543" s="27" t="n"/>
      <c r="D543" s="56" t="n"/>
      <c r="E543" s="17" t="n"/>
      <c r="F543" s="20" t="str">
        <f>IF(AND(ISNUMBER(D543),ISNUMBER(E543)),D543*E543,"")</f>
        <v/>
      </c>
      <c r="G543" s="51" t="str">
        <f>IF(ISNUMBER(F543),ROUND(MAX(F543*'参数'!$C$12,'参数'!$C$13),2),"")</f>
        <v/>
      </c>
      <c r="H543" s="51" t="str">
        <f>IF(ISNUMBER(F543),IF(C543="卖",ROUND(F543*'参数'!$C$14,2),0),"")</f>
        <v/>
      </c>
      <c r="I543" s="51" t="str">
        <f>IF(ISNUMBER(F543),ROUND(F543*'参数'!$C$15,2),"")</f>
        <v/>
      </c>
      <c r="J543" s="21" t="n"/>
      <c r="K543" s="20" t="str">
        <f>IF(ISNUMBER(J543),J543,IF(ISNUMBER(F543),G543+H543+I543+ROUND(F543*'参数'!$C$16,2),""))</f>
        <v/>
      </c>
      <c r="L543" s="43" t="str">
        <f>IF(A543="","",IFERROR(T(INDEX('交易记录'!$C$5:$C$304,MATCH(A543,'交易记录'!$A$5:$A$304,0))),"编号没找到"))</f>
        <v/>
      </c>
      <c r="M543" s="57" t="str">
        <f>IF(AND(C543="买",ISNUMBER(B543)),WORKDAY(B543,1,'参数'!$B$58:$B$80),"")</f>
        <v/>
      </c>
      <c r="N543" s="36" t="str">
        <f>IF(C543&lt;&gt;"卖","",IF(AND(ISNUMBER(B543),A543&lt;&gt;""),IF(SUMIFS($E$5:$E$804,$A$5:$A$804,A543,$C$5:$C$804,"卖",$B$5:$B$804,"&lt;="&amp;B543)&gt;SUMIFS($E$5:$E$804,$A$5:$A$804,A543,$C$5:$C$804,"买",$B$5:$B$804,"&lt;"&amp;B543),"超出可卖股数","OK"),""))</f>
        <v/>
      </c>
      <c r="O543" s="32" t="n"/>
    </row>
    <row r="544">
      <c r="A544" s="46" t="n"/>
      <c r="B544" s="31" t="n"/>
      <c r="C544" s="27" t="n"/>
      <c r="D544" s="56" t="n"/>
      <c r="E544" s="17" t="n"/>
      <c r="F544" s="20" t="str">
        <f>IF(AND(ISNUMBER(D544),ISNUMBER(E544)),D544*E544,"")</f>
        <v/>
      </c>
      <c r="G544" s="51" t="str">
        <f>IF(ISNUMBER(F544),ROUND(MAX(F544*'参数'!$C$12,'参数'!$C$13),2),"")</f>
        <v/>
      </c>
      <c r="H544" s="51" t="str">
        <f>IF(ISNUMBER(F544),IF(C544="卖",ROUND(F544*'参数'!$C$14,2),0),"")</f>
        <v/>
      </c>
      <c r="I544" s="51" t="str">
        <f>IF(ISNUMBER(F544),ROUND(F544*'参数'!$C$15,2),"")</f>
        <v/>
      </c>
      <c r="J544" s="21" t="n"/>
      <c r="K544" s="20" t="str">
        <f>IF(ISNUMBER(J544),J544,IF(ISNUMBER(F544),G544+H544+I544+ROUND(F544*'参数'!$C$16,2),""))</f>
        <v/>
      </c>
      <c r="L544" s="43" t="str">
        <f>IF(A544="","",IFERROR(T(INDEX('交易记录'!$C$5:$C$304,MATCH(A544,'交易记录'!$A$5:$A$304,0))),"编号没找到"))</f>
        <v/>
      </c>
      <c r="M544" s="57" t="str">
        <f>IF(AND(C544="买",ISNUMBER(B544)),WORKDAY(B544,1,'参数'!$B$58:$B$80),"")</f>
        <v/>
      </c>
      <c r="N544" s="36" t="str">
        <f>IF(C544&lt;&gt;"卖","",IF(AND(ISNUMBER(B544),A544&lt;&gt;""),IF(SUMIFS($E$5:$E$804,$A$5:$A$804,A544,$C$5:$C$804,"卖",$B$5:$B$804,"&lt;="&amp;B544)&gt;SUMIFS($E$5:$E$804,$A$5:$A$804,A544,$C$5:$C$804,"买",$B$5:$B$804,"&lt;"&amp;B544),"超出可卖股数","OK"),""))</f>
        <v/>
      </c>
      <c r="O544" s="32" t="n"/>
    </row>
    <row r="545">
      <c r="A545" s="46" t="n"/>
      <c r="B545" s="31" t="n"/>
      <c r="C545" s="27" t="n"/>
      <c r="D545" s="56" t="n"/>
      <c r="E545" s="17" t="n"/>
      <c r="F545" s="20" t="str">
        <f>IF(AND(ISNUMBER(D545),ISNUMBER(E545)),D545*E545,"")</f>
        <v/>
      </c>
      <c r="G545" s="51" t="str">
        <f>IF(ISNUMBER(F545),ROUND(MAX(F545*'参数'!$C$12,'参数'!$C$13),2),"")</f>
        <v/>
      </c>
      <c r="H545" s="51" t="str">
        <f>IF(ISNUMBER(F545),IF(C545="卖",ROUND(F545*'参数'!$C$14,2),0),"")</f>
        <v/>
      </c>
      <c r="I545" s="51" t="str">
        <f>IF(ISNUMBER(F545),ROUND(F545*'参数'!$C$15,2),"")</f>
        <v/>
      </c>
      <c r="J545" s="21" t="n"/>
      <c r="K545" s="20" t="str">
        <f>IF(ISNUMBER(J545),J545,IF(ISNUMBER(F545),G545+H545+I545+ROUND(F545*'参数'!$C$16,2),""))</f>
        <v/>
      </c>
      <c r="L545" s="43" t="str">
        <f>IF(A545="","",IFERROR(T(INDEX('交易记录'!$C$5:$C$304,MATCH(A545,'交易记录'!$A$5:$A$304,0))),"编号没找到"))</f>
        <v/>
      </c>
      <c r="M545" s="57" t="str">
        <f>IF(AND(C545="买",ISNUMBER(B545)),WORKDAY(B545,1,'参数'!$B$58:$B$80),"")</f>
        <v/>
      </c>
      <c r="N545" s="36" t="str">
        <f>IF(C545&lt;&gt;"卖","",IF(AND(ISNUMBER(B545),A545&lt;&gt;""),IF(SUMIFS($E$5:$E$804,$A$5:$A$804,A545,$C$5:$C$804,"卖",$B$5:$B$804,"&lt;="&amp;B545)&gt;SUMIFS($E$5:$E$804,$A$5:$A$804,A545,$C$5:$C$804,"买",$B$5:$B$804,"&lt;"&amp;B545),"超出可卖股数","OK"),""))</f>
        <v/>
      </c>
      <c r="O545" s="32" t="n"/>
    </row>
    <row r="546">
      <c r="A546" s="46" t="n"/>
      <c r="B546" s="31" t="n"/>
      <c r="C546" s="27" t="n"/>
      <c r="D546" s="56" t="n"/>
      <c r="E546" s="17" t="n"/>
      <c r="F546" s="20" t="str">
        <f>IF(AND(ISNUMBER(D546),ISNUMBER(E546)),D546*E546,"")</f>
        <v/>
      </c>
      <c r="G546" s="51" t="str">
        <f>IF(ISNUMBER(F546),ROUND(MAX(F546*'参数'!$C$12,'参数'!$C$13),2),"")</f>
        <v/>
      </c>
      <c r="H546" s="51" t="str">
        <f>IF(ISNUMBER(F546),IF(C546="卖",ROUND(F546*'参数'!$C$14,2),0),"")</f>
        <v/>
      </c>
      <c r="I546" s="51" t="str">
        <f>IF(ISNUMBER(F546),ROUND(F546*'参数'!$C$15,2),"")</f>
        <v/>
      </c>
      <c r="J546" s="21" t="n"/>
      <c r="K546" s="20" t="str">
        <f>IF(ISNUMBER(J546),J546,IF(ISNUMBER(F546),G546+H546+I546+ROUND(F546*'参数'!$C$16,2),""))</f>
        <v/>
      </c>
      <c r="L546" s="43" t="str">
        <f>IF(A546="","",IFERROR(T(INDEX('交易记录'!$C$5:$C$304,MATCH(A546,'交易记录'!$A$5:$A$304,0))),"编号没找到"))</f>
        <v/>
      </c>
      <c r="M546" s="57" t="str">
        <f>IF(AND(C546="买",ISNUMBER(B546)),WORKDAY(B546,1,'参数'!$B$58:$B$80),"")</f>
        <v/>
      </c>
      <c r="N546" s="36" t="str">
        <f>IF(C546&lt;&gt;"卖","",IF(AND(ISNUMBER(B546),A546&lt;&gt;""),IF(SUMIFS($E$5:$E$804,$A$5:$A$804,A546,$C$5:$C$804,"卖",$B$5:$B$804,"&lt;="&amp;B546)&gt;SUMIFS($E$5:$E$804,$A$5:$A$804,A546,$C$5:$C$804,"买",$B$5:$B$804,"&lt;"&amp;B546),"超出可卖股数","OK"),""))</f>
        <v/>
      </c>
      <c r="O546" s="32" t="n"/>
    </row>
    <row r="547">
      <c r="A547" s="46" t="n"/>
      <c r="B547" s="31" t="n"/>
      <c r="C547" s="27" t="n"/>
      <c r="D547" s="56" t="n"/>
      <c r="E547" s="17" t="n"/>
      <c r="F547" s="20" t="str">
        <f>IF(AND(ISNUMBER(D547),ISNUMBER(E547)),D547*E547,"")</f>
        <v/>
      </c>
      <c r="G547" s="51" t="str">
        <f>IF(ISNUMBER(F547),ROUND(MAX(F547*'参数'!$C$12,'参数'!$C$13),2),"")</f>
        <v/>
      </c>
      <c r="H547" s="51" t="str">
        <f>IF(ISNUMBER(F547),IF(C547="卖",ROUND(F547*'参数'!$C$14,2),0),"")</f>
        <v/>
      </c>
      <c r="I547" s="51" t="str">
        <f>IF(ISNUMBER(F547),ROUND(F547*'参数'!$C$15,2),"")</f>
        <v/>
      </c>
      <c r="J547" s="21" t="n"/>
      <c r="K547" s="20" t="str">
        <f>IF(ISNUMBER(J547),J547,IF(ISNUMBER(F547),G547+H547+I547+ROUND(F547*'参数'!$C$16,2),""))</f>
        <v/>
      </c>
      <c r="L547" s="43" t="str">
        <f>IF(A547="","",IFERROR(T(INDEX('交易记录'!$C$5:$C$304,MATCH(A547,'交易记录'!$A$5:$A$304,0))),"编号没找到"))</f>
        <v/>
      </c>
      <c r="M547" s="57" t="str">
        <f>IF(AND(C547="买",ISNUMBER(B547)),WORKDAY(B547,1,'参数'!$B$58:$B$80),"")</f>
        <v/>
      </c>
      <c r="N547" s="36" t="str">
        <f>IF(C547&lt;&gt;"卖","",IF(AND(ISNUMBER(B547),A547&lt;&gt;""),IF(SUMIFS($E$5:$E$804,$A$5:$A$804,A547,$C$5:$C$804,"卖",$B$5:$B$804,"&lt;="&amp;B547)&gt;SUMIFS($E$5:$E$804,$A$5:$A$804,A547,$C$5:$C$804,"买",$B$5:$B$804,"&lt;"&amp;B547),"超出可卖股数","OK"),""))</f>
        <v/>
      </c>
      <c r="O547" s="32" t="n"/>
    </row>
    <row r="548">
      <c r="A548" s="46" t="n"/>
      <c r="B548" s="31" t="n"/>
      <c r="C548" s="27" t="n"/>
      <c r="D548" s="56" t="n"/>
      <c r="E548" s="17" t="n"/>
      <c r="F548" s="20" t="str">
        <f>IF(AND(ISNUMBER(D548),ISNUMBER(E548)),D548*E548,"")</f>
        <v/>
      </c>
      <c r="G548" s="51" t="str">
        <f>IF(ISNUMBER(F548),ROUND(MAX(F548*'参数'!$C$12,'参数'!$C$13),2),"")</f>
        <v/>
      </c>
      <c r="H548" s="51" t="str">
        <f>IF(ISNUMBER(F548),IF(C548="卖",ROUND(F548*'参数'!$C$14,2),0),"")</f>
        <v/>
      </c>
      <c r="I548" s="51" t="str">
        <f>IF(ISNUMBER(F548),ROUND(F548*'参数'!$C$15,2),"")</f>
        <v/>
      </c>
      <c r="J548" s="21" t="n"/>
      <c r="K548" s="20" t="str">
        <f>IF(ISNUMBER(J548),J548,IF(ISNUMBER(F548),G548+H548+I548+ROUND(F548*'参数'!$C$16,2),""))</f>
        <v/>
      </c>
      <c r="L548" s="43" t="str">
        <f>IF(A548="","",IFERROR(T(INDEX('交易记录'!$C$5:$C$304,MATCH(A548,'交易记录'!$A$5:$A$304,0))),"编号没找到"))</f>
        <v/>
      </c>
      <c r="M548" s="57" t="str">
        <f>IF(AND(C548="买",ISNUMBER(B548)),WORKDAY(B548,1,'参数'!$B$58:$B$80),"")</f>
        <v/>
      </c>
      <c r="N548" s="36" t="str">
        <f>IF(C548&lt;&gt;"卖","",IF(AND(ISNUMBER(B548),A548&lt;&gt;""),IF(SUMIFS($E$5:$E$804,$A$5:$A$804,A548,$C$5:$C$804,"卖",$B$5:$B$804,"&lt;="&amp;B548)&gt;SUMIFS($E$5:$E$804,$A$5:$A$804,A548,$C$5:$C$804,"买",$B$5:$B$804,"&lt;"&amp;B548),"超出可卖股数","OK"),""))</f>
        <v/>
      </c>
      <c r="O548" s="32" t="n"/>
    </row>
    <row r="549">
      <c r="A549" s="46" t="n"/>
      <c r="B549" s="31" t="n"/>
      <c r="C549" s="27" t="n"/>
      <c r="D549" s="56" t="n"/>
      <c r="E549" s="17" t="n"/>
      <c r="F549" s="20" t="str">
        <f>IF(AND(ISNUMBER(D549),ISNUMBER(E549)),D549*E549,"")</f>
        <v/>
      </c>
      <c r="G549" s="51" t="str">
        <f>IF(ISNUMBER(F549),ROUND(MAX(F549*'参数'!$C$12,'参数'!$C$13),2),"")</f>
        <v/>
      </c>
      <c r="H549" s="51" t="str">
        <f>IF(ISNUMBER(F549),IF(C549="卖",ROUND(F549*'参数'!$C$14,2),0),"")</f>
        <v/>
      </c>
      <c r="I549" s="51" t="str">
        <f>IF(ISNUMBER(F549),ROUND(F549*'参数'!$C$15,2),"")</f>
        <v/>
      </c>
      <c r="J549" s="21" t="n"/>
      <c r="K549" s="20" t="str">
        <f>IF(ISNUMBER(J549),J549,IF(ISNUMBER(F549),G549+H549+I549+ROUND(F549*'参数'!$C$16,2),""))</f>
        <v/>
      </c>
      <c r="L549" s="43" t="str">
        <f>IF(A549="","",IFERROR(T(INDEX('交易记录'!$C$5:$C$304,MATCH(A549,'交易记录'!$A$5:$A$304,0))),"编号没找到"))</f>
        <v/>
      </c>
      <c r="M549" s="57" t="str">
        <f>IF(AND(C549="买",ISNUMBER(B549)),WORKDAY(B549,1,'参数'!$B$58:$B$80),"")</f>
        <v/>
      </c>
      <c r="N549" s="36" t="str">
        <f>IF(C549&lt;&gt;"卖","",IF(AND(ISNUMBER(B549),A549&lt;&gt;""),IF(SUMIFS($E$5:$E$804,$A$5:$A$804,A549,$C$5:$C$804,"卖",$B$5:$B$804,"&lt;="&amp;B549)&gt;SUMIFS($E$5:$E$804,$A$5:$A$804,A549,$C$5:$C$804,"买",$B$5:$B$804,"&lt;"&amp;B549),"超出可卖股数","OK"),""))</f>
        <v/>
      </c>
      <c r="O549" s="32" t="n"/>
    </row>
    <row r="550">
      <c r="A550" s="46" t="n"/>
      <c r="B550" s="31" t="n"/>
      <c r="C550" s="27" t="n"/>
      <c r="D550" s="56" t="n"/>
      <c r="E550" s="17" t="n"/>
      <c r="F550" s="20" t="str">
        <f>IF(AND(ISNUMBER(D550),ISNUMBER(E550)),D550*E550,"")</f>
        <v/>
      </c>
      <c r="G550" s="51" t="str">
        <f>IF(ISNUMBER(F550),ROUND(MAX(F550*'参数'!$C$12,'参数'!$C$13),2),"")</f>
        <v/>
      </c>
      <c r="H550" s="51" t="str">
        <f>IF(ISNUMBER(F550),IF(C550="卖",ROUND(F550*'参数'!$C$14,2),0),"")</f>
        <v/>
      </c>
      <c r="I550" s="51" t="str">
        <f>IF(ISNUMBER(F550),ROUND(F550*'参数'!$C$15,2),"")</f>
        <v/>
      </c>
      <c r="J550" s="21" t="n"/>
      <c r="K550" s="20" t="str">
        <f>IF(ISNUMBER(J550),J550,IF(ISNUMBER(F550),G550+H550+I550+ROUND(F550*'参数'!$C$16,2),""))</f>
        <v/>
      </c>
      <c r="L550" s="43" t="str">
        <f>IF(A550="","",IFERROR(T(INDEX('交易记录'!$C$5:$C$304,MATCH(A550,'交易记录'!$A$5:$A$304,0))),"编号没找到"))</f>
        <v/>
      </c>
      <c r="M550" s="57" t="str">
        <f>IF(AND(C550="买",ISNUMBER(B550)),WORKDAY(B550,1,'参数'!$B$58:$B$80),"")</f>
        <v/>
      </c>
      <c r="N550" s="36" t="str">
        <f>IF(C550&lt;&gt;"卖","",IF(AND(ISNUMBER(B550),A550&lt;&gt;""),IF(SUMIFS($E$5:$E$804,$A$5:$A$804,A550,$C$5:$C$804,"卖",$B$5:$B$804,"&lt;="&amp;B550)&gt;SUMIFS($E$5:$E$804,$A$5:$A$804,A550,$C$5:$C$804,"买",$B$5:$B$804,"&lt;"&amp;B550),"超出可卖股数","OK"),""))</f>
        <v/>
      </c>
      <c r="O550" s="32" t="n"/>
    </row>
    <row r="551">
      <c r="A551" s="46" t="n"/>
      <c r="B551" s="31" t="n"/>
      <c r="C551" s="27" t="n"/>
      <c r="D551" s="56" t="n"/>
      <c r="E551" s="17" t="n"/>
      <c r="F551" s="20" t="str">
        <f>IF(AND(ISNUMBER(D551),ISNUMBER(E551)),D551*E551,"")</f>
        <v/>
      </c>
      <c r="G551" s="51" t="str">
        <f>IF(ISNUMBER(F551),ROUND(MAX(F551*'参数'!$C$12,'参数'!$C$13),2),"")</f>
        <v/>
      </c>
      <c r="H551" s="51" t="str">
        <f>IF(ISNUMBER(F551),IF(C551="卖",ROUND(F551*'参数'!$C$14,2),0),"")</f>
        <v/>
      </c>
      <c r="I551" s="51" t="str">
        <f>IF(ISNUMBER(F551),ROUND(F551*'参数'!$C$15,2),"")</f>
        <v/>
      </c>
      <c r="J551" s="21" t="n"/>
      <c r="K551" s="20" t="str">
        <f>IF(ISNUMBER(J551),J551,IF(ISNUMBER(F551),G551+H551+I551+ROUND(F551*'参数'!$C$16,2),""))</f>
        <v/>
      </c>
      <c r="L551" s="43" t="str">
        <f>IF(A551="","",IFERROR(T(INDEX('交易记录'!$C$5:$C$304,MATCH(A551,'交易记录'!$A$5:$A$304,0))),"编号没找到"))</f>
        <v/>
      </c>
      <c r="M551" s="57" t="str">
        <f>IF(AND(C551="买",ISNUMBER(B551)),WORKDAY(B551,1,'参数'!$B$58:$B$80),"")</f>
        <v/>
      </c>
      <c r="N551" s="36" t="str">
        <f>IF(C551&lt;&gt;"卖","",IF(AND(ISNUMBER(B551),A551&lt;&gt;""),IF(SUMIFS($E$5:$E$804,$A$5:$A$804,A551,$C$5:$C$804,"卖",$B$5:$B$804,"&lt;="&amp;B551)&gt;SUMIFS($E$5:$E$804,$A$5:$A$804,A551,$C$5:$C$804,"买",$B$5:$B$804,"&lt;"&amp;B551),"超出可卖股数","OK"),""))</f>
        <v/>
      </c>
      <c r="O551" s="32" t="n"/>
    </row>
    <row r="552">
      <c r="A552" s="46" t="n"/>
      <c r="B552" s="31" t="n"/>
      <c r="C552" s="27" t="n"/>
      <c r="D552" s="56" t="n"/>
      <c r="E552" s="17" t="n"/>
      <c r="F552" s="20" t="str">
        <f>IF(AND(ISNUMBER(D552),ISNUMBER(E552)),D552*E552,"")</f>
        <v/>
      </c>
      <c r="G552" s="51" t="str">
        <f>IF(ISNUMBER(F552),ROUND(MAX(F552*'参数'!$C$12,'参数'!$C$13),2),"")</f>
        <v/>
      </c>
      <c r="H552" s="51" t="str">
        <f>IF(ISNUMBER(F552),IF(C552="卖",ROUND(F552*'参数'!$C$14,2),0),"")</f>
        <v/>
      </c>
      <c r="I552" s="51" t="str">
        <f>IF(ISNUMBER(F552),ROUND(F552*'参数'!$C$15,2),"")</f>
        <v/>
      </c>
      <c r="J552" s="21" t="n"/>
      <c r="K552" s="20" t="str">
        <f>IF(ISNUMBER(J552),J552,IF(ISNUMBER(F552),G552+H552+I552+ROUND(F552*'参数'!$C$16,2),""))</f>
        <v/>
      </c>
      <c r="L552" s="43" t="str">
        <f>IF(A552="","",IFERROR(T(INDEX('交易记录'!$C$5:$C$304,MATCH(A552,'交易记录'!$A$5:$A$304,0))),"编号没找到"))</f>
        <v/>
      </c>
      <c r="M552" s="57" t="str">
        <f>IF(AND(C552="买",ISNUMBER(B552)),WORKDAY(B552,1,'参数'!$B$58:$B$80),"")</f>
        <v/>
      </c>
      <c r="N552" s="36" t="str">
        <f>IF(C552&lt;&gt;"卖","",IF(AND(ISNUMBER(B552),A552&lt;&gt;""),IF(SUMIFS($E$5:$E$804,$A$5:$A$804,A552,$C$5:$C$804,"卖",$B$5:$B$804,"&lt;="&amp;B552)&gt;SUMIFS($E$5:$E$804,$A$5:$A$804,A552,$C$5:$C$804,"买",$B$5:$B$804,"&lt;"&amp;B552),"超出可卖股数","OK"),""))</f>
        <v/>
      </c>
      <c r="O552" s="32" t="n"/>
    </row>
    <row r="553">
      <c r="A553" s="46" t="n"/>
      <c r="B553" s="31" t="n"/>
      <c r="C553" s="27" t="n"/>
      <c r="D553" s="56" t="n"/>
      <c r="E553" s="17" t="n"/>
      <c r="F553" s="20" t="str">
        <f>IF(AND(ISNUMBER(D553),ISNUMBER(E553)),D553*E553,"")</f>
        <v/>
      </c>
      <c r="G553" s="51" t="str">
        <f>IF(ISNUMBER(F553),ROUND(MAX(F553*'参数'!$C$12,'参数'!$C$13),2),"")</f>
        <v/>
      </c>
      <c r="H553" s="51" t="str">
        <f>IF(ISNUMBER(F553),IF(C553="卖",ROUND(F553*'参数'!$C$14,2),0),"")</f>
        <v/>
      </c>
      <c r="I553" s="51" t="str">
        <f>IF(ISNUMBER(F553),ROUND(F553*'参数'!$C$15,2),"")</f>
        <v/>
      </c>
      <c r="J553" s="21" t="n"/>
      <c r="K553" s="20" t="str">
        <f>IF(ISNUMBER(J553),J553,IF(ISNUMBER(F553),G553+H553+I553+ROUND(F553*'参数'!$C$16,2),""))</f>
        <v/>
      </c>
      <c r="L553" s="43" t="str">
        <f>IF(A553="","",IFERROR(T(INDEX('交易记录'!$C$5:$C$304,MATCH(A553,'交易记录'!$A$5:$A$304,0))),"编号没找到"))</f>
        <v/>
      </c>
      <c r="M553" s="57" t="str">
        <f>IF(AND(C553="买",ISNUMBER(B553)),WORKDAY(B553,1,'参数'!$B$58:$B$80),"")</f>
        <v/>
      </c>
      <c r="N553" s="36" t="str">
        <f>IF(C553&lt;&gt;"卖","",IF(AND(ISNUMBER(B553),A553&lt;&gt;""),IF(SUMIFS($E$5:$E$804,$A$5:$A$804,A553,$C$5:$C$804,"卖",$B$5:$B$804,"&lt;="&amp;B553)&gt;SUMIFS($E$5:$E$804,$A$5:$A$804,A553,$C$5:$C$804,"买",$B$5:$B$804,"&lt;"&amp;B553),"超出可卖股数","OK"),""))</f>
        <v/>
      </c>
      <c r="O553" s="32" t="n"/>
    </row>
    <row r="554">
      <c r="A554" s="46" t="n"/>
      <c r="B554" s="31" t="n"/>
      <c r="C554" s="27" t="n"/>
      <c r="D554" s="56" t="n"/>
      <c r="E554" s="17" t="n"/>
      <c r="F554" s="20" t="str">
        <f>IF(AND(ISNUMBER(D554),ISNUMBER(E554)),D554*E554,"")</f>
        <v/>
      </c>
      <c r="G554" s="51" t="str">
        <f>IF(ISNUMBER(F554),ROUND(MAX(F554*'参数'!$C$12,'参数'!$C$13),2),"")</f>
        <v/>
      </c>
      <c r="H554" s="51" t="str">
        <f>IF(ISNUMBER(F554),IF(C554="卖",ROUND(F554*'参数'!$C$14,2),0),"")</f>
        <v/>
      </c>
      <c r="I554" s="51" t="str">
        <f>IF(ISNUMBER(F554),ROUND(F554*'参数'!$C$15,2),"")</f>
        <v/>
      </c>
      <c r="J554" s="21" t="n"/>
      <c r="K554" s="20" t="str">
        <f>IF(ISNUMBER(J554),J554,IF(ISNUMBER(F554),G554+H554+I554+ROUND(F554*'参数'!$C$16,2),""))</f>
        <v/>
      </c>
      <c r="L554" s="43" t="str">
        <f>IF(A554="","",IFERROR(T(INDEX('交易记录'!$C$5:$C$304,MATCH(A554,'交易记录'!$A$5:$A$304,0))),"编号没找到"))</f>
        <v/>
      </c>
      <c r="M554" s="57" t="str">
        <f>IF(AND(C554="买",ISNUMBER(B554)),WORKDAY(B554,1,'参数'!$B$58:$B$80),"")</f>
        <v/>
      </c>
      <c r="N554" s="36" t="str">
        <f>IF(C554&lt;&gt;"卖","",IF(AND(ISNUMBER(B554),A554&lt;&gt;""),IF(SUMIFS($E$5:$E$804,$A$5:$A$804,A554,$C$5:$C$804,"卖",$B$5:$B$804,"&lt;="&amp;B554)&gt;SUMIFS($E$5:$E$804,$A$5:$A$804,A554,$C$5:$C$804,"买",$B$5:$B$804,"&lt;"&amp;B554),"超出可卖股数","OK"),""))</f>
        <v/>
      </c>
      <c r="O554" s="32" t="n"/>
    </row>
    <row r="555">
      <c r="A555" s="46" t="n"/>
      <c r="B555" s="31" t="n"/>
      <c r="C555" s="27" t="n"/>
      <c r="D555" s="56" t="n"/>
      <c r="E555" s="17" t="n"/>
      <c r="F555" s="20" t="str">
        <f>IF(AND(ISNUMBER(D555),ISNUMBER(E555)),D555*E555,"")</f>
        <v/>
      </c>
      <c r="G555" s="51" t="str">
        <f>IF(ISNUMBER(F555),ROUND(MAX(F555*'参数'!$C$12,'参数'!$C$13),2),"")</f>
        <v/>
      </c>
      <c r="H555" s="51" t="str">
        <f>IF(ISNUMBER(F555),IF(C555="卖",ROUND(F555*'参数'!$C$14,2),0),"")</f>
        <v/>
      </c>
      <c r="I555" s="51" t="str">
        <f>IF(ISNUMBER(F555),ROUND(F555*'参数'!$C$15,2),"")</f>
        <v/>
      </c>
      <c r="J555" s="21" t="n"/>
      <c r="K555" s="20" t="str">
        <f>IF(ISNUMBER(J555),J555,IF(ISNUMBER(F555),G555+H555+I555+ROUND(F555*'参数'!$C$16,2),""))</f>
        <v/>
      </c>
      <c r="L555" s="43" t="str">
        <f>IF(A555="","",IFERROR(T(INDEX('交易记录'!$C$5:$C$304,MATCH(A555,'交易记录'!$A$5:$A$304,0))),"编号没找到"))</f>
        <v/>
      </c>
      <c r="M555" s="57" t="str">
        <f>IF(AND(C555="买",ISNUMBER(B555)),WORKDAY(B555,1,'参数'!$B$58:$B$80),"")</f>
        <v/>
      </c>
      <c r="N555" s="36" t="str">
        <f>IF(C555&lt;&gt;"卖","",IF(AND(ISNUMBER(B555),A555&lt;&gt;""),IF(SUMIFS($E$5:$E$804,$A$5:$A$804,A555,$C$5:$C$804,"卖",$B$5:$B$804,"&lt;="&amp;B555)&gt;SUMIFS($E$5:$E$804,$A$5:$A$804,A555,$C$5:$C$804,"买",$B$5:$B$804,"&lt;"&amp;B555),"超出可卖股数","OK"),""))</f>
        <v/>
      </c>
      <c r="O555" s="32" t="n"/>
    </row>
    <row r="556">
      <c r="A556" s="46" t="n"/>
      <c r="B556" s="31" t="n"/>
      <c r="C556" s="27" t="n"/>
      <c r="D556" s="56" t="n"/>
      <c r="E556" s="17" t="n"/>
      <c r="F556" s="20" t="str">
        <f>IF(AND(ISNUMBER(D556),ISNUMBER(E556)),D556*E556,"")</f>
        <v/>
      </c>
      <c r="G556" s="51" t="str">
        <f>IF(ISNUMBER(F556),ROUND(MAX(F556*'参数'!$C$12,'参数'!$C$13),2),"")</f>
        <v/>
      </c>
      <c r="H556" s="51" t="str">
        <f>IF(ISNUMBER(F556),IF(C556="卖",ROUND(F556*'参数'!$C$14,2),0),"")</f>
        <v/>
      </c>
      <c r="I556" s="51" t="str">
        <f>IF(ISNUMBER(F556),ROUND(F556*'参数'!$C$15,2),"")</f>
        <v/>
      </c>
      <c r="J556" s="21" t="n"/>
      <c r="K556" s="20" t="str">
        <f>IF(ISNUMBER(J556),J556,IF(ISNUMBER(F556),G556+H556+I556+ROUND(F556*'参数'!$C$16,2),""))</f>
        <v/>
      </c>
      <c r="L556" s="43" t="str">
        <f>IF(A556="","",IFERROR(T(INDEX('交易记录'!$C$5:$C$304,MATCH(A556,'交易记录'!$A$5:$A$304,0))),"编号没找到"))</f>
        <v/>
      </c>
      <c r="M556" s="57" t="str">
        <f>IF(AND(C556="买",ISNUMBER(B556)),WORKDAY(B556,1,'参数'!$B$58:$B$80),"")</f>
        <v/>
      </c>
      <c r="N556" s="36" t="str">
        <f>IF(C556&lt;&gt;"卖","",IF(AND(ISNUMBER(B556),A556&lt;&gt;""),IF(SUMIFS($E$5:$E$804,$A$5:$A$804,A556,$C$5:$C$804,"卖",$B$5:$B$804,"&lt;="&amp;B556)&gt;SUMIFS($E$5:$E$804,$A$5:$A$804,A556,$C$5:$C$804,"买",$B$5:$B$804,"&lt;"&amp;B556),"超出可卖股数","OK"),""))</f>
        <v/>
      </c>
      <c r="O556" s="32" t="n"/>
    </row>
    <row r="557">
      <c r="A557" s="46" t="n"/>
      <c r="B557" s="31" t="n"/>
      <c r="C557" s="27" t="n"/>
      <c r="D557" s="56" t="n"/>
      <c r="E557" s="17" t="n"/>
      <c r="F557" s="20" t="str">
        <f>IF(AND(ISNUMBER(D557),ISNUMBER(E557)),D557*E557,"")</f>
        <v/>
      </c>
      <c r="G557" s="51" t="str">
        <f>IF(ISNUMBER(F557),ROUND(MAX(F557*'参数'!$C$12,'参数'!$C$13),2),"")</f>
        <v/>
      </c>
      <c r="H557" s="51" t="str">
        <f>IF(ISNUMBER(F557),IF(C557="卖",ROUND(F557*'参数'!$C$14,2),0),"")</f>
        <v/>
      </c>
      <c r="I557" s="51" t="str">
        <f>IF(ISNUMBER(F557),ROUND(F557*'参数'!$C$15,2),"")</f>
        <v/>
      </c>
      <c r="J557" s="21" t="n"/>
      <c r="K557" s="20" t="str">
        <f>IF(ISNUMBER(J557),J557,IF(ISNUMBER(F557),G557+H557+I557+ROUND(F557*'参数'!$C$16,2),""))</f>
        <v/>
      </c>
      <c r="L557" s="43" t="str">
        <f>IF(A557="","",IFERROR(T(INDEX('交易记录'!$C$5:$C$304,MATCH(A557,'交易记录'!$A$5:$A$304,0))),"编号没找到"))</f>
        <v/>
      </c>
      <c r="M557" s="57" t="str">
        <f>IF(AND(C557="买",ISNUMBER(B557)),WORKDAY(B557,1,'参数'!$B$58:$B$80),"")</f>
        <v/>
      </c>
      <c r="N557" s="36" t="str">
        <f>IF(C557&lt;&gt;"卖","",IF(AND(ISNUMBER(B557),A557&lt;&gt;""),IF(SUMIFS($E$5:$E$804,$A$5:$A$804,A557,$C$5:$C$804,"卖",$B$5:$B$804,"&lt;="&amp;B557)&gt;SUMIFS($E$5:$E$804,$A$5:$A$804,A557,$C$5:$C$804,"买",$B$5:$B$804,"&lt;"&amp;B557),"超出可卖股数","OK"),""))</f>
        <v/>
      </c>
      <c r="O557" s="32" t="n"/>
    </row>
    <row r="558">
      <c r="A558" s="46" t="n"/>
      <c r="B558" s="31" t="n"/>
      <c r="C558" s="27" t="n"/>
      <c r="D558" s="56" t="n"/>
      <c r="E558" s="17" t="n"/>
      <c r="F558" s="20" t="str">
        <f>IF(AND(ISNUMBER(D558),ISNUMBER(E558)),D558*E558,"")</f>
        <v/>
      </c>
      <c r="G558" s="51" t="str">
        <f>IF(ISNUMBER(F558),ROUND(MAX(F558*'参数'!$C$12,'参数'!$C$13),2),"")</f>
        <v/>
      </c>
      <c r="H558" s="51" t="str">
        <f>IF(ISNUMBER(F558),IF(C558="卖",ROUND(F558*'参数'!$C$14,2),0),"")</f>
        <v/>
      </c>
      <c r="I558" s="51" t="str">
        <f>IF(ISNUMBER(F558),ROUND(F558*'参数'!$C$15,2),"")</f>
        <v/>
      </c>
      <c r="J558" s="21" t="n"/>
      <c r="K558" s="20" t="str">
        <f>IF(ISNUMBER(J558),J558,IF(ISNUMBER(F558),G558+H558+I558+ROUND(F558*'参数'!$C$16,2),""))</f>
        <v/>
      </c>
      <c r="L558" s="43" t="str">
        <f>IF(A558="","",IFERROR(T(INDEX('交易记录'!$C$5:$C$304,MATCH(A558,'交易记录'!$A$5:$A$304,0))),"编号没找到"))</f>
        <v/>
      </c>
      <c r="M558" s="57" t="str">
        <f>IF(AND(C558="买",ISNUMBER(B558)),WORKDAY(B558,1,'参数'!$B$58:$B$80),"")</f>
        <v/>
      </c>
      <c r="N558" s="36" t="str">
        <f>IF(C558&lt;&gt;"卖","",IF(AND(ISNUMBER(B558),A558&lt;&gt;""),IF(SUMIFS($E$5:$E$804,$A$5:$A$804,A558,$C$5:$C$804,"卖",$B$5:$B$804,"&lt;="&amp;B558)&gt;SUMIFS($E$5:$E$804,$A$5:$A$804,A558,$C$5:$C$804,"买",$B$5:$B$804,"&lt;"&amp;B558),"超出可卖股数","OK"),""))</f>
        <v/>
      </c>
      <c r="O558" s="32" t="n"/>
    </row>
    <row r="559">
      <c r="A559" s="46" t="n"/>
      <c r="B559" s="31" t="n"/>
      <c r="C559" s="27" t="n"/>
      <c r="D559" s="56" t="n"/>
      <c r="E559" s="17" t="n"/>
      <c r="F559" s="20" t="str">
        <f>IF(AND(ISNUMBER(D559),ISNUMBER(E559)),D559*E559,"")</f>
        <v/>
      </c>
      <c r="G559" s="51" t="str">
        <f>IF(ISNUMBER(F559),ROUND(MAX(F559*'参数'!$C$12,'参数'!$C$13),2),"")</f>
        <v/>
      </c>
      <c r="H559" s="51" t="str">
        <f>IF(ISNUMBER(F559),IF(C559="卖",ROUND(F559*'参数'!$C$14,2),0),"")</f>
        <v/>
      </c>
      <c r="I559" s="51" t="str">
        <f>IF(ISNUMBER(F559),ROUND(F559*'参数'!$C$15,2),"")</f>
        <v/>
      </c>
      <c r="J559" s="21" t="n"/>
      <c r="K559" s="20" t="str">
        <f>IF(ISNUMBER(J559),J559,IF(ISNUMBER(F559),G559+H559+I559+ROUND(F559*'参数'!$C$16,2),""))</f>
        <v/>
      </c>
      <c r="L559" s="43" t="str">
        <f>IF(A559="","",IFERROR(T(INDEX('交易记录'!$C$5:$C$304,MATCH(A559,'交易记录'!$A$5:$A$304,0))),"编号没找到"))</f>
        <v/>
      </c>
      <c r="M559" s="57" t="str">
        <f>IF(AND(C559="买",ISNUMBER(B559)),WORKDAY(B559,1,'参数'!$B$58:$B$80),"")</f>
        <v/>
      </c>
      <c r="N559" s="36" t="str">
        <f>IF(C559&lt;&gt;"卖","",IF(AND(ISNUMBER(B559),A559&lt;&gt;""),IF(SUMIFS($E$5:$E$804,$A$5:$A$804,A559,$C$5:$C$804,"卖",$B$5:$B$804,"&lt;="&amp;B559)&gt;SUMIFS($E$5:$E$804,$A$5:$A$804,A559,$C$5:$C$804,"买",$B$5:$B$804,"&lt;"&amp;B559),"超出可卖股数","OK"),""))</f>
        <v/>
      </c>
      <c r="O559" s="32" t="n"/>
    </row>
    <row r="560">
      <c r="A560" s="46" t="n"/>
      <c r="B560" s="31" t="n"/>
      <c r="C560" s="27" t="n"/>
      <c r="D560" s="56" t="n"/>
      <c r="E560" s="17" t="n"/>
      <c r="F560" s="20" t="str">
        <f>IF(AND(ISNUMBER(D560),ISNUMBER(E560)),D560*E560,"")</f>
        <v/>
      </c>
      <c r="G560" s="51" t="str">
        <f>IF(ISNUMBER(F560),ROUND(MAX(F560*'参数'!$C$12,'参数'!$C$13),2),"")</f>
        <v/>
      </c>
      <c r="H560" s="51" t="str">
        <f>IF(ISNUMBER(F560),IF(C560="卖",ROUND(F560*'参数'!$C$14,2),0),"")</f>
        <v/>
      </c>
      <c r="I560" s="51" t="str">
        <f>IF(ISNUMBER(F560),ROUND(F560*'参数'!$C$15,2),"")</f>
        <v/>
      </c>
      <c r="J560" s="21" t="n"/>
      <c r="K560" s="20" t="str">
        <f>IF(ISNUMBER(J560),J560,IF(ISNUMBER(F560),G560+H560+I560+ROUND(F560*'参数'!$C$16,2),""))</f>
        <v/>
      </c>
      <c r="L560" s="43" t="str">
        <f>IF(A560="","",IFERROR(T(INDEX('交易记录'!$C$5:$C$304,MATCH(A560,'交易记录'!$A$5:$A$304,0))),"编号没找到"))</f>
        <v/>
      </c>
      <c r="M560" s="57" t="str">
        <f>IF(AND(C560="买",ISNUMBER(B560)),WORKDAY(B560,1,'参数'!$B$58:$B$80),"")</f>
        <v/>
      </c>
      <c r="N560" s="36" t="str">
        <f>IF(C560&lt;&gt;"卖","",IF(AND(ISNUMBER(B560),A560&lt;&gt;""),IF(SUMIFS($E$5:$E$804,$A$5:$A$804,A560,$C$5:$C$804,"卖",$B$5:$B$804,"&lt;="&amp;B560)&gt;SUMIFS($E$5:$E$804,$A$5:$A$804,A560,$C$5:$C$804,"买",$B$5:$B$804,"&lt;"&amp;B560),"超出可卖股数","OK"),""))</f>
        <v/>
      </c>
      <c r="O560" s="32" t="n"/>
    </row>
    <row r="561">
      <c r="A561" s="46" t="n"/>
      <c r="B561" s="31" t="n"/>
      <c r="C561" s="27" t="n"/>
      <c r="D561" s="56" t="n"/>
      <c r="E561" s="17" t="n"/>
      <c r="F561" s="20" t="str">
        <f>IF(AND(ISNUMBER(D561),ISNUMBER(E561)),D561*E561,"")</f>
        <v/>
      </c>
      <c r="G561" s="51" t="str">
        <f>IF(ISNUMBER(F561),ROUND(MAX(F561*'参数'!$C$12,'参数'!$C$13),2),"")</f>
        <v/>
      </c>
      <c r="H561" s="51" t="str">
        <f>IF(ISNUMBER(F561),IF(C561="卖",ROUND(F561*'参数'!$C$14,2),0),"")</f>
        <v/>
      </c>
      <c r="I561" s="51" t="str">
        <f>IF(ISNUMBER(F561),ROUND(F561*'参数'!$C$15,2),"")</f>
        <v/>
      </c>
      <c r="J561" s="21" t="n"/>
      <c r="K561" s="20" t="str">
        <f>IF(ISNUMBER(J561),J561,IF(ISNUMBER(F561),G561+H561+I561+ROUND(F561*'参数'!$C$16,2),""))</f>
        <v/>
      </c>
      <c r="L561" s="43" t="str">
        <f>IF(A561="","",IFERROR(T(INDEX('交易记录'!$C$5:$C$304,MATCH(A561,'交易记录'!$A$5:$A$304,0))),"编号没找到"))</f>
        <v/>
      </c>
      <c r="M561" s="57" t="str">
        <f>IF(AND(C561="买",ISNUMBER(B561)),WORKDAY(B561,1,'参数'!$B$58:$B$80),"")</f>
        <v/>
      </c>
      <c r="N561" s="36" t="str">
        <f>IF(C561&lt;&gt;"卖","",IF(AND(ISNUMBER(B561),A561&lt;&gt;""),IF(SUMIFS($E$5:$E$804,$A$5:$A$804,A561,$C$5:$C$804,"卖",$B$5:$B$804,"&lt;="&amp;B561)&gt;SUMIFS($E$5:$E$804,$A$5:$A$804,A561,$C$5:$C$804,"买",$B$5:$B$804,"&lt;"&amp;B561),"超出可卖股数","OK"),""))</f>
        <v/>
      </c>
      <c r="O561" s="32" t="n"/>
    </row>
    <row r="562">
      <c r="A562" s="46" t="n"/>
      <c r="B562" s="31" t="n"/>
      <c r="C562" s="27" t="n"/>
      <c r="D562" s="56" t="n"/>
      <c r="E562" s="17" t="n"/>
      <c r="F562" s="20" t="str">
        <f>IF(AND(ISNUMBER(D562),ISNUMBER(E562)),D562*E562,"")</f>
        <v/>
      </c>
      <c r="G562" s="51" t="str">
        <f>IF(ISNUMBER(F562),ROUND(MAX(F562*'参数'!$C$12,'参数'!$C$13),2),"")</f>
        <v/>
      </c>
      <c r="H562" s="51" t="str">
        <f>IF(ISNUMBER(F562),IF(C562="卖",ROUND(F562*'参数'!$C$14,2),0),"")</f>
        <v/>
      </c>
      <c r="I562" s="51" t="str">
        <f>IF(ISNUMBER(F562),ROUND(F562*'参数'!$C$15,2),"")</f>
        <v/>
      </c>
      <c r="J562" s="21" t="n"/>
      <c r="K562" s="20" t="str">
        <f>IF(ISNUMBER(J562),J562,IF(ISNUMBER(F562),G562+H562+I562+ROUND(F562*'参数'!$C$16,2),""))</f>
        <v/>
      </c>
      <c r="L562" s="43" t="str">
        <f>IF(A562="","",IFERROR(T(INDEX('交易记录'!$C$5:$C$304,MATCH(A562,'交易记录'!$A$5:$A$304,0))),"编号没找到"))</f>
        <v/>
      </c>
      <c r="M562" s="57" t="str">
        <f>IF(AND(C562="买",ISNUMBER(B562)),WORKDAY(B562,1,'参数'!$B$58:$B$80),"")</f>
        <v/>
      </c>
      <c r="N562" s="36" t="str">
        <f>IF(C562&lt;&gt;"卖","",IF(AND(ISNUMBER(B562),A562&lt;&gt;""),IF(SUMIFS($E$5:$E$804,$A$5:$A$804,A562,$C$5:$C$804,"卖",$B$5:$B$804,"&lt;="&amp;B562)&gt;SUMIFS($E$5:$E$804,$A$5:$A$804,A562,$C$5:$C$804,"买",$B$5:$B$804,"&lt;"&amp;B562),"超出可卖股数","OK"),""))</f>
        <v/>
      </c>
      <c r="O562" s="32" t="n"/>
    </row>
    <row r="563">
      <c r="A563" s="46" t="n"/>
      <c r="B563" s="31" t="n"/>
      <c r="C563" s="27" t="n"/>
      <c r="D563" s="56" t="n"/>
      <c r="E563" s="17" t="n"/>
      <c r="F563" s="20" t="str">
        <f>IF(AND(ISNUMBER(D563),ISNUMBER(E563)),D563*E563,"")</f>
        <v/>
      </c>
      <c r="G563" s="51" t="str">
        <f>IF(ISNUMBER(F563),ROUND(MAX(F563*'参数'!$C$12,'参数'!$C$13),2),"")</f>
        <v/>
      </c>
      <c r="H563" s="51" t="str">
        <f>IF(ISNUMBER(F563),IF(C563="卖",ROUND(F563*'参数'!$C$14,2),0),"")</f>
        <v/>
      </c>
      <c r="I563" s="51" t="str">
        <f>IF(ISNUMBER(F563),ROUND(F563*'参数'!$C$15,2),"")</f>
        <v/>
      </c>
      <c r="J563" s="21" t="n"/>
      <c r="K563" s="20" t="str">
        <f>IF(ISNUMBER(J563),J563,IF(ISNUMBER(F563),G563+H563+I563+ROUND(F563*'参数'!$C$16,2),""))</f>
        <v/>
      </c>
      <c r="L563" s="43" t="str">
        <f>IF(A563="","",IFERROR(T(INDEX('交易记录'!$C$5:$C$304,MATCH(A563,'交易记录'!$A$5:$A$304,0))),"编号没找到"))</f>
        <v/>
      </c>
      <c r="M563" s="57" t="str">
        <f>IF(AND(C563="买",ISNUMBER(B563)),WORKDAY(B563,1,'参数'!$B$58:$B$80),"")</f>
        <v/>
      </c>
      <c r="N563" s="36" t="str">
        <f>IF(C563&lt;&gt;"卖","",IF(AND(ISNUMBER(B563),A563&lt;&gt;""),IF(SUMIFS($E$5:$E$804,$A$5:$A$804,A563,$C$5:$C$804,"卖",$B$5:$B$804,"&lt;="&amp;B563)&gt;SUMIFS($E$5:$E$804,$A$5:$A$804,A563,$C$5:$C$804,"买",$B$5:$B$804,"&lt;"&amp;B563),"超出可卖股数","OK"),""))</f>
        <v/>
      </c>
      <c r="O563" s="32" t="n"/>
    </row>
    <row r="564">
      <c r="A564" s="46" t="n"/>
      <c r="B564" s="31" t="n"/>
      <c r="C564" s="27" t="n"/>
      <c r="D564" s="56" t="n"/>
      <c r="E564" s="17" t="n"/>
      <c r="F564" s="20" t="str">
        <f>IF(AND(ISNUMBER(D564),ISNUMBER(E564)),D564*E564,"")</f>
        <v/>
      </c>
      <c r="G564" s="51" t="str">
        <f>IF(ISNUMBER(F564),ROUND(MAX(F564*'参数'!$C$12,'参数'!$C$13),2),"")</f>
        <v/>
      </c>
      <c r="H564" s="51" t="str">
        <f>IF(ISNUMBER(F564),IF(C564="卖",ROUND(F564*'参数'!$C$14,2),0),"")</f>
        <v/>
      </c>
      <c r="I564" s="51" t="str">
        <f>IF(ISNUMBER(F564),ROUND(F564*'参数'!$C$15,2),"")</f>
        <v/>
      </c>
      <c r="J564" s="21" t="n"/>
      <c r="K564" s="20" t="str">
        <f>IF(ISNUMBER(J564),J564,IF(ISNUMBER(F564),G564+H564+I564+ROUND(F564*'参数'!$C$16,2),""))</f>
        <v/>
      </c>
      <c r="L564" s="43" t="str">
        <f>IF(A564="","",IFERROR(T(INDEX('交易记录'!$C$5:$C$304,MATCH(A564,'交易记录'!$A$5:$A$304,0))),"编号没找到"))</f>
        <v/>
      </c>
      <c r="M564" s="57" t="str">
        <f>IF(AND(C564="买",ISNUMBER(B564)),WORKDAY(B564,1,'参数'!$B$58:$B$80),"")</f>
        <v/>
      </c>
      <c r="N564" s="36" t="str">
        <f>IF(C564&lt;&gt;"卖","",IF(AND(ISNUMBER(B564),A564&lt;&gt;""),IF(SUMIFS($E$5:$E$804,$A$5:$A$804,A564,$C$5:$C$804,"卖",$B$5:$B$804,"&lt;="&amp;B564)&gt;SUMIFS($E$5:$E$804,$A$5:$A$804,A564,$C$5:$C$804,"买",$B$5:$B$804,"&lt;"&amp;B564),"超出可卖股数","OK"),""))</f>
        <v/>
      </c>
      <c r="O564" s="32" t="n"/>
    </row>
    <row r="565">
      <c r="A565" s="46" t="n"/>
      <c r="B565" s="31" t="n"/>
      <c r="C565" s="27" t="n"/>
      <c r="D565" s="56" t="n"/>
      <c r="E565" s="17" t="n"/>
      <c r="F565" s="20" t="str">
        <f>IF(AND(ISNUMBER(D565),ISNUMBER(E565)),D565*E565,"")</f>
        <v/>
      </c>
      <c r="G565" s="51" t="str">
        <f>IF(ISNUMBER(F565),ROUND(MAX(F565*'参数'!$C$12,'参数'!$C$13),2),"")</f>
        <v/>
      </c>
      <c r="H565" s="51" t="str">
        <f>IF(ISNUMBER(F565),IF(C565="卖",ROUND(F565*'参数'!$C$14,2),0),"")</f>
        <v/>
      </c>
      <c r="I565" s="51" t="str">
        <f>IF(ISNUMBER(F565),ROUND(F565*'参数'!$C$15,2),"")</f>
        <v/>
      </c>
      <c r="J565" s="21" t="n"/>
      <c r="K565" s="20" t="str">
        <f>IF(ISNUMBER(J565),J565,IF(ISNUMBER(F565),G565+H565+I565+ROUND(F565*'参数'!$C$16,2),""))</f>
        <v/>
      </c>
      <c r="L565" s="43" t="str">
        <f>IF(A565="","",IFERROR(T(INDEX('交易记录'!$C$5:$C$304,MATCH(A565,'交易记录'!$A$5:$A$304,0))),"编号没找到"))</f>
        <v/>
      </c>
      <c r="M565" s="57" t="str">
        <f>IF(AND(C565="买",ISNUMBER(B565)),WORKDAY(B565,1,'参数'!$B$58:$B$80),"")</f>
        <v/>
      </c>
      <c r="N565" s="36" t="str">
        <f>IF(C565&lt;&gt;"卖","",IF(AND(ISNUMBER(B565),A565&lt;&gt;""),IF(SUMIFS($E$5:$E$804,$A$5:$A$804,A565,$C$5:$C$804,"卖",$B$5:$B$804,"&lt;="&amp;B565)&gt;SUMIFS($E$5:$E$804,$A$5:$A$804,A565,$C$5:$C$804,"买",$B$5:$B$804,"&lt;"&amp;B565),"超出可卖股数","OK"),""))</f>
        <v/>
      </c>
      <c r="O565" s="32" t="n"/>
    </row>
    <row r="566">
      <c r="A566" s="46" t="n"/>
      <c r="B566" s="31" t="n"/>
      <c r="C566" s="27" t="n"/>
      <c r="D566" s="56" t="n"/>
      <c r="E566" s="17" t="n"/>
      <c r="F566" s="20" t="str">
        <f>IF(AND(ISNUMBER(D566),ISNUMBER(E566)),D566*E566,"")</f>
        <v/>
      </c>
      <c r="G566" s="51" t="str">
        <f>IF(ISNUMBER(F566),ROUND(MAX(F566*'参数'!$C$12,'参数'!$C$13),2),"")</f>
        <v/>
      </c>
      <c r="H566" s="51" t="str">
        <f>IF(ISNUMBER(F566),IF(C566="卖",ROUND(F566*'参数'!$C$14,2),0),"")</f>
        <v/>
      </c>
      <c r="I566" s="51" t="str">
        <f>IF(ISNUMBER(F566),ROUND(F566*'参数'!$C$15,2),"")</f>
        <v/>
      </c>
      <c r="J566" s="21" t="n"/>
      <c r="K566" s="20" t="str">
        <f>IF(ISNUMBER(J566),J566,IF(ISNUMBER(F566),G566+H566+I566+ROUND(F566*'参数'!$C$16,2),""))</f>
        <v/>
      </c>
      <c r="L566" s="43" t="str">
        <f>IF(A566="","",IFERROR(T(INDEX('交易记录'!$C$5:$C$304,MATCH(A566,'交易记录'!$A$5:$A$304,0))),"编号没找到"))</f>
        <v/>
      </c>
      <c r="M566" s="57" t="str">
        <f>IF(AND(C566="买",ISNUMBER(B566)),WORKDAY(B566,1,'参数'!$B$58:$B$80),"")</f>
        <v/>
      </c>
      <c r="N566" s="36" t="str">
        <f>IF(C566&lt;&gt;"卖","",IF(AND(ISNUMBER(B566),A566&lt;&gt;""),IF(SUMIFS($E$5:$E$804,$A$5:$A$804,A566,$C$5:$C$804,"卖",$B$5:$B$804,"&lt;="&amp;B566)&gt;SUMIFS($E$5:$E$804,$A$5:$A$804,A566,$C$5:$C$804,"买",$B$5:$B$804,"&lt;"&amp;B566),"超出可卖股数","OK"),""))</f>
        <v/>
      </c>
      <c r="O566" s="32" t="n"/>
    </row>
    <row r="567">
      <c r="A567" s="46" t="n"/>
      <c r="B567" s="31" t="n"/>
      <c r="C567" s="27" t="n"/>
      <c r="D567" s="56" t="n"/>
      <c r="E567" s="17" t="n"/>
      <c r="F567" s="20" t="str">
        <f>IF(AND(ISNUMBER(D567),ISNUMBER(E567)),D567*E567,"")</f>
        <v/>
      </c>
      <c r="G567" s="51" t="str">
        <f>IF(ISNUMBER(F567),ROUND(MAX(F567*'参数'!$C$12,'参数'!$C$13),2),"")</f>
        <v/>
      </c>
      <c r="H567" s="51" t="str">
        <f>IF(ISNUMBER(F567),IF(C567="卖",ROUND(F567*'参数'!$C$14,2),0),"")</f>
        <v/>
      </c>
      <c r="I567" s="51" t="str">
        <f>IF(ISNUMBER(F567),ROUND(F567*'参数'!$C$15,2),"")</f>
        <v/>
      </c>
      <c r="J567" s="21" t="n"/>
      <c r="K567" s="20" t="str">
        <f>IF(ISNUMBER(J567),J567,IF(ISNUMBER(F567),G567+H567+I567+ROUND(F567*'参数'!$C$16,2),""))</f>
        <v/>
      </c>
      <c r="L567" s="43" t="str">
        <f>IF(A567="","",IFERROR(T(INDEX('交易记录'!$C$5:$C$304,MATCH(A567,'交易记录'!$A$5:$A$304,0))),"编号没找到"))</f>
        <v/>
      </c>
      <c r="M567" s="57" t="str">
        <f>IF(AND(C567="买",ISNUMBER(B567)),WORKDAY(B567,1,'参数'!$B$58:$B$80),"")</f>
        <v/>
      </c>
      <c r="N567" s="36" t="str">
        <f>IF(C567&lt;&gt;"卖","",IF(AND(ISNUMBER(B567),A567&lt;&gt;""),IF(SUMIFS($E$5:$E$804,$A$5:$A$804,A567,$C$5:$C$804,"卖",$B$5:$B$804,"&lt;="&amp;B567)&gt;SUMIFS($E$5:$E$804,$A$5:$A$804,A567,$C$5:$C$804,"买",$B$5:$B$804,"&lt;"&amp;B567),"超出可卖股数","OK"),""))</f>
        <v/>
      </c>
      <c r="O567" s="32" t="n"/>
    </row>
    <row r="568">
      <c r="A568" s="46" t="n"/>
      <c r="B568" s="31" t="n"/>
      <c r="C568" s="27" t="n"/>
      <c r="D568" s="56" t="n"/>
      <c r="E568" s="17" t="n"/>
      <c r="F568" s="20" t="str">
        <f>IF(AND(ISNUMBER(D568),ISNUMBER(E568)),D568*E568,"")</f>
        <v/>
      </c>
      <c r="G568" s="51" t="str">
        <f>IF(ISNUMBER(F568),ROUND(MAX(F568*'参数'!$C$12,'参数'!$C$13),2),"")</f>
        <v/>
      </c>
      <c r="H568" s="51" t="str">
        <f>IF(ISNUMBER(F568),IF(C568="卖",ROUND(F568*'参数'!$C$14,2),0),"")</f>
        <v/>
      </c>
      <c r="I568" s="51" t="str">
        <f>IF(ISNUMBER(F568),ROUND(F568*'参数'!$C$15,2),"")</f>
        <v/>
      </c>
      <c r="J568" s="21" t="n"/>
      <c r="K568" s="20" t="str">
        <f>IF(ISNUMBER(J568),J568,IF(ISNUMBER(F568),G568+H568+I568+ROUND(F568*'参数'!$C$16,2),""))</f>
        <v/>
      </c>
      <c r="L568" s="43" t="str">
        <f>IF(A568="","",IFERROR(T(INDEX('交易记录'!$C$5:$C$304,MATCH(A568,'交易记录'!$A$5:$A$304,0))),"编号没找到"))</f>
        <v/>
      </c>
      <c r="M568" s="57" t="str">
        <f>IF(AND(C568="买",ISNUMBER(B568)),WORKDAY(B568,1,'参数'!$B$58:$B$80),"")</f>
        <v/>
      </c>
      <c r="N568" s="36" t="str">
        <f>IF(C568&lt;&gt;"卖","",IF(AND(ISNUMBER(B568),A568&lt;&gt;""),IF(SUMIFS($E$5:$E$804,$A$5:$A$804,A568,$C$5:$C$804,"卖",$B$5:$B$804,"&lt;="&amp;B568)&gt;SUMIFS($E$5:$E$804,$A$5:$A$804,A568,$C$5:$C$804,"买",$B$5:$B$804,"&lt;"&amp;B568),"超出可卖股数","OK"),""))</f>
        <v/>
      </c>
      <c r="O568" s="32" t="n"/>
    </row>
    <row r="569">
      <c r="A569" s="46" t="n"/>
      <c r="B569" s="31" t="n"/>
      <c r="C569" s="27" t="n"/>
      <c r="D569" s="56" t="n"/>
      <c r="E569" s="17" t="n"/>
      <c r="F569" s="20" t="str">
        <f>IF(AND(ISNUMBER(D569),ISNUMBER(E569)),D569*E569,"")</f>
        <v/>
      </c>
      <c r="G569" s="51" t="str">
        <f>IF(ISNUMBER(F569),ROUND(MAX(F569*'参数'!$C$12,'参数'!$C$13),2),"")</f>
        <v/>
      </c>
      <c r="H569" s="51" t="str">
        <f>IF(ISNUMBER(F569),IF(C569="卖",ROUND(F569*'参数'!$C$14,2),0),"")</f>
        <v/>
      </c>
      <c r="I569" s="51" t="str">
        <f>IF(ISNUMBER(F569),ROUND(F569*'参数'!$C$15,2),"")</f>
        <v/>
      </c>
      <c r="J569" s="21" t="n"/>
      <c r="K569" s="20" t="str">
        <f>IF(ISNUMBER(J569),J569,IF(ISNUMBER(F569),G569+H569+I569+ROUND(F569*'参数'!$C$16,2),""))</f>
        <v/>
      </c>
      <c r="L569" s="43" t="str">
        <f>IF(A569="","",IFERROR(T(INDEX('交易记录'!$C$5:$C$304,MATCH(A569,'交易记录'!$A$5:$A$304,0))),"编号没找到"))</f>
        <v/>
      </c>
      <c r="M569" s="57" t="str">
        <f>IF(AND(C569="买",ISNUMBER(B569)),WORKDAY(B569,1,'参数'!$B$58:$B$80),"")</f>
        <v/>
      </c>
      <c r="N569" s="36" t="str">
        <f>IF(C569&lt;&gt;"卖","",IF(AND(ISNUMBER(B569),A569&lt;&gt;""),IF(SUMIFS($E$5:$E$804,$A$5:$A$804,A569,$C$5:$C$804,"卖",$B$5:$B$804,"&lt;="&amp;B569)&gt;SUMIFS($E$5:$E$804,$A$5:$A$804,A569,$C$5:$C$804,"买",$B$5:$B$804,"&lt;"&amp;B569),"超出可卖股数","OK"),""))</f>
        <v/>
      </c>
      <c r="O569" s="32" t="n"/>
    </row>
    <row r="570">
      <c r="A570" s="46" t="n"/>
      <c r="B570" s="31" t="n"/>
      <c r="C570" s="27" t="n"/>
      <c r="D570" s="56" t="n"/>
      <c r="E570" s="17" t="n"/>
      <c r="F570" s="20" t="str">
        <f>IF(AND(ISNUMBER(D570),ISNUMBER(E570)),D570*E570,"")</f>
        <v/>
      </c>
      <c r="G570" s="51" t="str">
        <f>IF(ISNUMBER(F570),ROUND(MAX(F570*'参数'!$C$12,'参数'!$C$13),2),"")</f>
        <v/>
      </c>
      <c r="H570" s="51" t="str">
        <f>IF(ISNUMBER(F570),IF(C570="卖",ROUND(F570*'参数'!$C$14,2),0),"")</f>
        <v/>
      </c>
      <c r="I570" s="51" t="str">
        <f>IF(ISNUMBER(F570),ROUND(F570*'参数'!$C$15,2),"")</f>
        <v/>
      </c>
      <c r="J570" s="21" t="n"/>
      <c r="K570" s="20" t="str">
        <f>IF(ISNUMBER(J570),J570,IF(ISNUMBER(F570),G570+H570+I570+ROUND(F570*'参数'!$C$16,2),""))</f>
        <v/>
      </c>
      <c r="L570" s="43" t="str">
        <f>IF(A570="","",IFERROR(T(INDEX('交易记录'!$C$5:$C$304,MATCH(A570,'交易记录'!$A$5:$A$304,0))),"编号没找到"))</f>
        <v/>
      </c>
      <c r="M570" s="57" t="str">
        <f>IF(AND(C570="买",ISNUMBER(B570)),WORKDAY(B570,1,'参数'!$B$58:$B$80),"")</f>
        <v/>
      </c>
      <c r="N570" s="36" t="str">
        <f>IF(C570&lt;&gt;"卖","",IF(AND(ISNUMBER(B570),A570&lt;&gt;""),IF(SUMIFS($E$5:$E$804,$A$5:$A$804,A570,$C$5:$C$804,"卖",$B$5:$B$804,"&lt;="&amp;B570)&gt;SUMIFS($E$5:$E$804,$A$5:$A$804,A570,$C$5:$C$804,"买",$B$5:$B$804,"&lt;"&amp;B570),"超出可卖股数","OK"),""))</f>
        <v/>
      </c>
      <c r="O570" s="32" t="n"/>
    </row>
    <row r="571">
      <c r="A571" s="46" t="n"/>
      <c r="B571" s="31" t="n"/>
      <c r="C571" s="27" t="n"/>
      <c r="D571" s="56" t="n"/>
      <c r="E571" s="17" t="n"/>
      <c r="F571" s="20" t="str">
        <f>IF(AND(ISNUMBER(D571),ISNUMBER(E571)),D571*E571,"")</f>
        <v/>
      </c>
      <c r="G571" s="51" t="str">
        <f>IF(ISNUMBER(F571),ROUND(MAX(F571*'参数'!$C$12,'参数'!$C$13),2),"")</f>
        <v/>
      </c>
      <c r="H571" s="51" t="str">
        <f>IF(ISNUMBER(F571),IF(C571="卖",ROUND(F571*'参数'!$C$14,2),0),"")</f>
        <v/>
      </c>
      <c r="I571" s="51" t="str">
        <f>IF(ISNUMBER(F571),ROUND(F571*'参数'!$C$15,2),"")</f>
        <v/>
      </c>
      <c r="J571" s="21" t="n"/>
      <c r="K571" s="20" t="str">
        <f>IF(ISNUMBER(J571),J571,IF(ISNUMBER(F571),G571+H571+I571+ROUND(F571*'参数'!$C$16,2),""))</f>
        <v/>
      </c>
      <c r="L571" s="43" t="str">
        <f>IF(A571="","",IFERROR(T(INDEX('交易记录'!$C$5:$C$304,MATCH(A571,'交易记录'!$A$5:$A$304,0))),"编号没找到"))</f>
        <v/>
      </c>
      <c r="M571" s="57" t="str">
        <f>IF(AND(C571="买",ISNUMBER(B571)),WORKDAY(B571,1,'参数'!$B$58:$B$80),"")</f>
        <v/>
      </c>
      <c r="N571" s="36" t="str">
        <f>IF(C571&lt;&gt;"卖","",IF(AND(ISNUMBER(B571),A571&lt;&gt;""),IF(SUMIFS($E$5:$E$804,$A$5:$A$804,A571,$C$5:$C$804,"卖",$B$5:$B$804,"&lt;="&amp;B571)&gt;SUMIFS($E$5:$E$804,$A$5:$A$804,A571,$C$5:$C$804,"买",$B$5:$B$804,"&lt;"&amp;B571),"超出可卖股数","OK"),""))</f>
        <v/>
      </c>
      <c r="O571" s="32" t="n"/>
    </row>
    <row r="572">
      <c r="A572" s="46" t="n"/>
      <c r="B572" s="31" t="n"/>
      <c r="C572" s="27" t="n"/>
      <c r="D572" s="56" t="n"/>
      <c r="E572" s="17" t="n"/>
      <c r="F572" s="20" t="str">
        <f>IF(AND(ISNUMBER(D572),ISNUMBER(E572)),D572*E572,"")</f>
        <v/>
      </c>
      <c r="G572" s="51" t="str">
        <f>IF(ISNUMBER(F572),ROUND(MAX(F572*'参数'!$C$12,'参数'!$C$13),2),"")</f>
        <v/>
      </c>
      <c r="H572" s="51" t="str">
        <f>IF(ISNUMBER(F572),IF(C572="卖",ROUND(F572*'参数'!$C$14,2),0),"")</f>
        <v/>
      </c>
      <c r="I572" s="51" t="str">
        <f>IF(ISNUMBER(F572),ROUND(F572*'参数'!$C$15,2),"")</f>
        <v/>
      </c>
      <c r="J572" s="21" t="n"/>
      <c r="K572" s="20" t="str">
        <f>IF(ISNUMBER(J572),J572,IF(ISNUMBER(F572),G572+H572+I572+ROUND(F572*'参数'!$C$16,2),""))</f>
        <v/>
      </c>
      <c r="L572" s="43" t="str">
        <f>IF(A572="","",IFERROR(T(INDEX('交易记录'!$C$5:$C$304,MATCH(A572,'交易记录'!$A$5:$A$304,0))),"编号没找到"))</f>
        <v/>
      </c>
      <c r="M572" s="57" t="str">
        <f>IF(AND(C572="买",ISNUMBER(B572)),WORKDAY(B572,1,'参数'!$B$58:$B$80),"")</f>
        <v/>
      </c>
      <c r="N572" s="36" t="str">
        <f>IF(C572&lt;&gt;"卖","",IF(AND(ISNUMBER(B572),A572&lt;&gt;""),IF(SUMIFS($E$5:$E$804,$A$5:$A$804,A572,$C$5:$C$804,"卖",$B$5:$B$804,"&lt;="&amp;B572)&gt;SUMIFS($E$5:$E$804,$A$5:$A$804,A572,$C$5:$C$804,"买",$B$5:$B$804,"&lt;"&amp;B572),"超出可卖股数","OK"),""))</f>
        <v/>
      </c>
      <c r="O572" s="32" t="n"/>
    </row>
    <row r="573">
      <c r="A573" s="46" t="n"/>
      <c r="B573" s="31" t="n"/>
      <c r="C573" s="27" t="n"/>
      <c r="D573" s="56" t="n"/>
      <c r="E573" s="17" t="n"/>
      <c r="F573" s="20" t="str">
        <f>IF(AND(ISNUMBER(D573),ISNUMBER(E573)),D573*E573,"")</f>
        <v/>
      </c>
      <c r="G573" s="51" t="str">
        <f>IF(ISNUMBER(F573),ROUND(MAX(F573*'参数'!$C$12,'参数'!$C$13),2),"")</f>
        <v/>
      </c>
      <c r="H573" s="51" t="str">
        <f>IF(ISNUMBER(F573),IF(C573="卖",ROUND(F573*'参数'!$C$14,2),0),"")</f>
        <v/>
      </c>
      <c r="I573" s="51" t="str">
        <f>IF(ISNUMBER(F573),ROUND(F573*'参数'!$C$15,2),"")</f>
        <v/>
      </c>
      <c r="J573" s="21" t="n"/>
      <c r="K573" s="20" t="str">
        <f>IF(ISNUMBER(J573),J573,IF(ISNUMBER(F573),G573+H573+I573+ROUND(F573*'参数'!$C$16,2),""))</f>
        <v/>
      </c>
      <c r="L573" s="43" t="str">
        <f>IF(A573="","",IFERROR(T(INDEX('交易记录'!$C$5:$C$304,MATCH(A573,'交易记录'!$A$5:$A$304,0))),"编号没找到"))</f>
        <v/>
      </c>
      <c r="M573" s="57" t="str">
        <f>IF(AND(C573="买",ISNUMBER(B573)),WORKDAY(B573,1,'参数'!$B$58:$B$80),"")</f>
        <v/>
      </c>
      <c r="N573" s="36" t="str">
        <f>IF(C573&lt;&gt;"卖","",IF(AND(ISNUMBER(B573),A573&lt;&gt;""),IF(SUMIFS($E$5:$E$804,$A$5:$A$804,A573,$C$5:$C$804,"卖",$B$5:$B$804,"&lt;="&amp;B573)&gt;SUMIFS($E$5:$E$804,$A$5:$A$804,A573,$C$5:$C$804,"买",$B$5:$B$804,"&lt;"&amp;B573),"超出可卖股数","OK"),""))</f>
        <v/>
      </c>
      <c r="O573" s="32" t="n"/>
    </row>
    <row r="574">
      <c r="A574" s="46" t="n"/>
      <c r="B574" s="31" t="n"/>
      <c r="C574" s="27" t="n"/>
      <c r="D574" s="56" t="n"/>
      <c r="E574" s="17" t="n"/>
      <c r="F574" s="20" t="str">
        <f>IF(AND(ISNUMBER(D574),ISNUMBER(E574)),D574*E574,"")</f>
        <v/>
      </c>
      <c r="G574" s="51" t="str">
        <f>IF(ISNUMBER(F574),ROUND(MAX(F574*'参数'!$C$12,'参数'!$C$13),2),"")</f>
        <v/>
      </c>
      <c r="H574" s="51" t="str">
        <f>IF(ISNUMBER(F574),IF(C574="卖",ROUND(F574*'参数'!$C$14,2),0),"")</f>
        <v/>
      </c>
      <c r="I574" s="51" t="str">
        <f>IF(ISNUMBER(F574),ROUND(F574*'参数'!$C$15,2),"")</f>
        <v/>
      </c>
      <c r="J574" s="21" t="n"/>
      <c r="K574" s="20" t="str">
        <f>IF(ISNUMBER(J574),J574,IF(ISNUMBER(F574),G574+H574+I574+ROUND(F574*'参数'!$C$16,2),""))</f>
        <v/>
      </c>
      <c r="L574" s="43" t="str">
        <f>IF(A574="","",IFERROR(T(INDEX('交易记录'!$C$5:$C$304,MATCH(A574,'交易记录'!$A$5:$A$304,0))),"编号没找到"))</f>
        <v/>
      </c>
      <c r="M574" s="57" t="str">
        <f>IF(AND(C574="买",ISNUMBER(B574)),WORKDAY(B574,1,'参数'!$B$58:$B$80),"")</f>
        <v/>
      </c>
      <c r="N574" s="36" t="str">
        <f>IF(C574&lt;&gt;"卖","",IF(AND(ISNUMBER(B574),A574&lt;&gt;""),IF(SUMIFS($E$5:$E$804,$A$5:$A$804,A574,$C$5:$C$804,"卖",$B$5:$B$804,"&lt;="&amp;B574)&gt;SUMIFS($E$5:$E$804,$A$5:$A$804,A574,$C$5:$C$804,"买",$B$5:$B$804,"&lt;"&amp;B574),"超出可卖股数","OK"),""))</f>
        <v/>
      </c>
      <c r="O574" s="32" t="n"/>
    </row>
    <row r="575">
      <c r="A575" s="46" t="n"/>
      <c r="B575" s="31" t="n"/>
      <c r="C575" s="27" t="n"/>
      <c r="D575" s="56" t="n"/>
      <c r="E575" s="17" t="n"/>
      <c r="F575" s="20" t="str">
        <f>IF(AND(ISNUMBER(D575),ISNUMBER(E575)),D575*E575,"")</f>
        <v/>
      </c>
      <c r="G575" s="51" t="str">
        <f>IF(ISNUMBER(F575),ROUND(MAX(F575*'参数'!$C$12,'参数'!$C$13),2),"")</f>
        <v/>
      </c>
      <c r="H575" s="51" t="str">
        <f>IF(ISNUMBER(F575),IF(C575="卖",ROUND(F575*'参数'!$C$14,2),0),"")</f>
        <v/>
      </c>
      <c r="I575" s="51" t="str">
        <f>IF(ISNUMBER(F575),ROUND(F575*'参数'!$C$15,2),"")</f>
        <v/>
      </c>
      <c r="J575" s="21" t="n"/>
      <c r="K575" s="20" t="str">
        <f>IF(ISNUMBER(J575),J575,IF(ISNUMBER(F575),G575+H575+I575+ROUND(F575*'参数'!$C$16,2),""))</f>
        <v/>
      </c>
      <c r="L575" s="43" t="str">
        <f>IF(A575="","",IFERROR(T(INDEX('交易记录'!$C$5:$C$304,MATCH(A575,'交易记录'!$A$5:$A$304,0))),"编号没找到"))</f>
        <v/>
      </c>
      <c r="M575" s="57" t="str">
        <f>IF(AND(C575="买",ISNUMBER(B575)),WORKDAY(B575,1,'参数'!$B$58:$B$80),"")</f>
        <v/>
      </c>
      <c r="N575" s="36" t="str">
        <f>IF(C575&lt;&gt;"卖","",IF(AND(ISNUMBER(B575),A575&lt;&gt;""),IF(SUMIFS($E$5:$E$804,$A$5:$A$804,A575,$C$5:$C$804,"卖",$B$5:$B$804,"&lt;="&amp;B575)&gt;SUMIFS($E$5:$E$804,$A$5:$A$804,A575,$C$5:$C$804,"买",$B$5:$B$804,"&lt;"&amp;B575),"超出可卖股数","OK"),""))</f>
        <v/>
      </c>
      <c r="O575" s="32" t="n"/>
    </row>
    <row r="576">
      <c r="A576" s="46" t="n"/>
      <c r="B576" s="31" t="n"/>
      <c r="C576" s="27" t="n"/>
      <c r="D576" s="56" t="n"/>
      <c r="E576" s="17" t="n"/>
      <c r="F576" s="20" t="str">
        <f>IF(AND(ISNUMBER(D576),ISNUMBER(E576)),D576*E576,"")</f>
        <v/>
      </c>
      <c r="G576" s="51" t="str">
        <f>IF(ISNUMBER(F576),ROUND(MAX(F576*'参数'!$C$12,'参数'!$C$13),2),"")</f>
        <v/>
      </c>
      <c r="H576" s="51" t="str">
        <f>IF(ISNUMBER(F576),IF(C576="卖",ROUND(F576*'参数'!$C$14,2),0),"")</f>
        <v/>
      </c>
      <c r="I576" s="51" t="str">
        <f>IF(ISNUMBER(F576),ROUND(F576*'参数'!$C$15,2),"")</f>
        <v/>
      </c>
      <c r="J576" s="21" t="n"/>
      <c r="K576" s="20" t="str">
        <f>IF(ISNUMBER(J576),J576,IF(ISNUMBER(F576),G576+H576+I576+ROUND(F576*'参数'!$C$16,2),""))</f>
        <v/>
      </c>
      <c r="L576" s="43" t="str">
        <f>IF(A576="","",IFERROR(T(INDEX('交易记录'!$C$5:$C$304,MATCH(A576,'交易记录'!$A$5:$A$304,0))),"编号没找到"))</f>
        <v/>
      </c>
      <c r="M576" s="57" t="str">
        <f>IF(AND(C576="买",ISNUMBER(B576)),WORKDAY(B576,1,'参数'!$B$58:$B$80),"")</f>
        <v/>
      </c>
      <c r="N576" s="36" t="str">
        <f>IF(C576&lt;&gt;"卖","",IF(AND(ISNUMBER(B576),A576&lt;&gt;""),IF(SUMIFS($E$5:$E$804,$A$5:$A$804,A576,$C$5:$C$804,"卖",$B$5:$B$804,"&lt;="&amp;B576)&gt;SUMIFS($E$5:$E$804,$A$5:$A$804,A576,$C$5:$C$804,"买",$B$5:$B$804,"&lt;"&amp;B576),"超出可卖股数","OK"),""))</f>
        <v/>
      </c>
      <c r="O576" s="32" t="n"/>
    </row>
    <row r="577">
      <c r="A577" s="46" t="n"/>
      <c r="B577" s="31" t="n"/>
      <c r="C577" s="27" t="n"/>
      <c r="D577" s="56" t="n"/>
      <c r="E577" s="17" t="n"/>
      <c r="F577" s="20" t="str">
        <f>IF(AND(ISNUMBER(D577),ISNUMBER(E577)),D577*E577,"")</f>
        <v/>
      </c>
      <c r="G577" s="51" t="str">
        <f>IF(ISNUMBER(F577),ROUND(MAX(F577*'参数'!$C$12,'参数'!$C$13),2),"")</f>
        <v/>
      </c>
      <c r="H577" s="51" t="str">
        <f>IF(ISNUMBER(F577),IF(C577="卖",ROUND(F577*'参数'!$C$14,2),0),"")</f>
        <v/>
      </c>
      <c r="I577" s="51" t="str">
        <f>IF(ISNUMBER(F577),ROUND(F577*'参数'!$C$15,2),"")</f>
        <v/>
      </c>
      <c r="J577" s="21" t="n"/>
      <c r="K577" s="20" t="str">
        <f>IF(ISNUMBER(J577),J577,IF(ISNUMBER(F577),G577+H577+I577+ROUND(F577*'参数'!$C$16,2),""))</f>
        <v/>
      </c>
      <c r="L577" s="43" t="str">
        <f>IF(A577="","",IFERROR(T(INDEX('交易记录'!$C$5:$C$304,MATCH(A577,'交易记录'!$A$5:$A$304,0))),"编号没找到"))</f>
        <v/>
      </c>
      <c r="M577" s="57" t="str">
        <f>IF(AND(C577="买",ISNUMBER(B577)),WORKDAY(B577,1,'参数'!$B$58:$B$80),"")</f>
        <v/>
      </c>
      <c r="N577" s="36" t="str">
        <f>IF(C577&lt;&gt;"卖","",IF(AND(ISNUMBER(B577),A577&lt;&gt;""),IF(SUMIFS($E$5:$E$804,$A$5:$A$804,A577,$C$5:$C$804,"卖",$B$5:$B$804,"&lt;="&amp;B577)&gt;SUMIFS($E$5:$E$804,$A$5:$A$804,A577,$C$5:$C$804,"买",$B$5:$B$804,"&lt;"&amp;B577),"超出可卖股数","OK"),""))</f>
        <v/>
      </c>
      <c r="O577" s="32" t="n"/>
    </row>
    <row r="578">
      <c r="A578" s="46" t="n"/>
      <c r="B578" s="31" t="n"/>
      <c r="C578" s="27" t="n"/>
      <c r="D578" s="56" t="n"/>
      <c r="E578" s="17" t="n"/>
      <c r="F578" s="20" t="str">
        <f>IF(AND(ISNUMBER(D578),ISNUMBER(E578)),D578*E578,"")</f>
        <v/>
      </c>
      <c r="G578" s="51" t="str">
        <f>IF(ISNUMBER(F578),ROUND(MAX(F578*'参数'!$C$12,'参数'!$C$13),2),"")</f>
        <v/>
      </c>
      <c r="H578" s="51" t="str">
        <f>IF(ISNUMBER(F578),IF(C578="卖",ROUND(F578*'参数'!$C$14,2),0),"")</f>
        <v/>
      </c>
      <c r="I578" s="51" t="str">
        <f>IF(ISNUMBER(F578),ROUND(F578*'参数'!$C$15,2),"")</f>
        <v/>
      </c>
      <c r="J578" s="21" t="n"/>
      <c r="K578" s="20" t="str">
        <f>IF(ISNUMBER(J578),J578,IF(ISNUMBER(F578),G578+H578+I578+ROUND(F578*'参数'!$C$16,2),""))</f>
        <v/>
      </c>
      <c r="L578" s="43" t="str">
        <f>IF(A578="","",IFERROR(T(INDEX('交易记录'!$C$5:$C$304,MATCH(A578,'交易记录'!$A$5:$A$304,0))),"编号没找到"))</f>
        <v/>
      </c>
      <c r="M578" s="57" t="str">
        <f>IF(AND(C578="买",ISNUMBER(B578)),WORKDAY(B578,1,'参数'!$B$58:$B$80),"")</f>
        <v/>
      </c>
      <c r="N578" s="36" t="str">
        <f>IF(C578&lt;&gt;"卖","",IF(AND(ISNUMBER(B578),A578&lt;&gt;""),IF(SUMIFS($E$5:$E$804,$A$5:$A$804,A578,$C$5:$C$804,"卖",$B$5:$B$804,"&lt;="&amp;B578)&gt;SUMIFS($E$5:$E$804,$A$5:$A$804,A578,$C$5:$C$804,"买",$B$5:$B$804,"&lt;"&amp;B578),"超出可卖股数","OK"),""))</f>
        <v/>
      </c>
      <c r="O578" s="32" t="n"/>
    </row>
    <row r="579">
      <c r="A579" s="46" t="n"/>
      <c r="B579" s="31" t="n"/>
      <c r="C579" s="27" t="n"/>
      <c r="D579" s="56" t="n"/>
      <c r="E579" s="17" t="n"/>
      <c r="F579" s="20" t="str">
        <f>IF(AND(ISNUMBER(D579),ISNUMBER(E579)),D579*E579,"")</f>
        <v/>
      </c>
      <c r="G579" s="51" t="str">
        <f>IF(ISNUMBER(F579),ROUND(MAX(F579*'参数'!$C$12,'参数'!$C$13),2),"")</f>
        <v/>
      </c>
      <c r="H579" s="51" t="str">
        <f>IF(ISNUMBER(F579),IF(C579="卖",ROUND(F579*'参数'!$C$14,2),0),"")</f>
        <v/>
      </c>
      <c r="I579" s="51" t="str">
        <f>IF(ISNUMBER(F579),ROUND(F579*'参数'!$C$15,2),"")</f>
        <v/>
      </c>
      <c r="J579" s="21" t="n"/>
      <c r="K579" s="20" t="str">
        <f>IF(ISNUMBER(J579),J579,IF(ISNUMBER(F579),G579+H579+I579+ROUND(F579*'参数'!$C$16,2),""))</f>
        <v/>
      </c>
      <c r="L579" s="43" t="str">
        <f>IF(A579="","",IFERROR(T(INDEX('交易记录'!$C$5:$C$304,MATCH(A579,'交易记录'!$A$5:$A$304,0))),"编号没找到"))</f>
        <v/>
      </c>
      <c r="M579" s="57" t="str">
        <f>IF(AND(C579="买",ISNUMBER(B579)),WORKDAY(B579,1,'参数'!$B$58:$B$80),"")</f>
        <v/>
      </c>
      <c r="N579" s="36" t="str">
        <f>IF(C579&lt;&gt;"卖","",IF(AND(ISNUMBER(B579),A579&lt;&gt;""),IF(SUMIFS($E$5:$E$804,$A$5:$A$804,A579,$C$5:$C$804,"卖",$B$5:$B$804,"&lt;="&amp;B579)&gt;SUMIFS($E$5:$E$804,$A$5:$A$804,A579,$C$5:$C$804,"买",$B$5:$B$804,"&lt;"&amp;B579),"超出可卖股数","OK"),""))</f>
        <v/>
      </c>
      <c r="O579" s="32" t="n"/>
    </row>
    <row r="580">
      <c r="A580" s="46" t="n"/>
      <c r="B580" s="31" t="n"/>
      <c r="C580" s="27" t="n"/>
      <c r="D580" s="56" t="n"/>
      <c r="E580" s="17" t="n"/>
      <c r="F580" s="20" t="str">
        <f>IF(AND(ISNUMBER(D580),ISNUMBER(E580)),D580*E580,"")</f>
        <v/>
      </c>
      <c r="G580" s="51" t="str">
        <f>IF(ISNUMBER(F580),ROUND(MAX(F580*'参数'!$C$12,'参数'!$C$13),2),"")</f>
        <v/>
      </c>
      <c r="H580" s="51" t="str">
        <f>IF(ISNUMBER(F580),IF(C580="卖",ROUND(F580*'参数'!$C$14,2),0),"")</f>
        <v/>
      </c>
      <c r="I580" s="51" t="str">
        <f>IF(ISNUMBER(F580),ROUND(F580*'参数'!$C$15,2),"")</f>
        <v/>
      </c>
      <c r="J580" s="21" t="n"/>
      <c r="K580" s="20" t="str">
        <f>IF(ISNUMBER(J580),J580,IF(ISNUMBER(F580),G580+H580+I580+ROUND(F580*'参数'!$C$16,2),""))</f>
        <v/>
      </c>
      <c r="L580" s="43" t="str">
        <f>IF(A580="","",IFERROR(T(INDEX('交易记录'!$C$5:$C$304,MATCH(A580,'交易记录'!$A$5:$A$304,0))),"编号没找到"))</f>
        <v/>
      </c>
      <c r="M580" s="57" t="str">
        <f>IF(AND(C580="买",ISNUMBER(B580)),WORKDAY(B580,1,'参数'!$B$58:$B$80),"")</f>
        <v/>
      </c>
      <c r="N580" s="36" t="str">
        <f>IF(C580&lt;&gt;"卖","",IF(AND(ISNUMBER(B580),A580&lt;&gt;""),IF(SUMIFS($E$5:$E$804,$A$5:$A$804,A580,$C$5:$C$804,"卖",$B$5:$B$804,"&lt;="&amp;B580)&gt;SUMIFS($E$5:$E$804,$A$5:$A$804,A580,$C$5:$C$804,"买",$B$5:$B$804,"&lt;"&amp;B580),"超出可卖股数","OK"),""))</f>
        <v/>
      </c>
      <c r="O580" s="32" t="n"/>
    </row>
    <row r="581">
      <c r="A581" s="46" t="n"/>
      <c r="B581" s="31" t="n"/>
      <c r="C581" s="27" t="n"/>
      <c r="D581" s="56" t="n"/>
      <c r="E581" s="17" t="n"/>
      <c r="F581" s="20" t="str">
        <f>IF(AND(ISNUMBER(D581),ISNUMBER(E581)),D581*E581,"")</f>
        <v/>
      </c>
      <c r="G581" s="51" t="str">
        <f>IF(ISNUMBER(F581),ROUND(MAX(F581*'参数'!$C$12,'参数'!$C$13),2),"")</f>
        <v/>
      </c>
      <c r="H581" s="51" t="str">
        <f>IF(ISNUMBER(F581),IF(C581="卖",ROUND(F581*'参数'!$C$14,2),0),"")</f>
        <v/>
      </c>
      <c r="I581" s="51" t="str">
        <f>IF(ISNUMBER(F581),ROUND(F581*'参数'!$C$15,2),"")</f>
        <v/>
      </c>
      <c r="J581" s="21" t="n"/>
      <c r="K581" s="20" t="str">
        <f>IF(ISNUMBER(J581),J581,IF(ISNUMBER(F581),G581+H581+I581+ROUND(F581*'参数'!$C$16,2),""))</f>
        <v/>
      </c>
      <c r="L581" s="43" t="str">
        <f>IF(A581="","",IFERROR(T(INDEX('交易记录'!$C$5:$C$304,MATCH(A581,'交易记录'!$A$5:$A$304,0))),"编号没找到"))</f>
        <v/>
      </c>
      <c r="M581" s="57" t="str">
        <f>IF(AND(C581="买",ISNUMBER(B581)),WORKDAY(B581,1,'参数'!$B$58:$B$80),"")</f>
        <v/>
      </c>
      <c r="N581" s="36" t="str">
        <f>IF(C581&lt;&gt;"卖","",IF(AND(ISNUMBER(B581),A581&lt;&gt;""),IF(SUMIFS($E$5:$E$804,$A$5:$A$804,A581,$C$5:$C$804,"卖",$B$5:$B$804,"&lt;="&amp;B581)&gt;SUMIFS($E$5:$E$804,$A$5:$A$804,A581,$C$5:$C$804,"买",$B$5:$B$804,"&lt;"&amp;B581),"超出可卖股数","OK"),""))</f>
        <v/>
      </c>
      <c r="O581" s="32" t="n"/>
    </row>
    <row r="582">
      <c r="A582" s="46" t="n"/>
      <c r="B582" s="31" t="n"/>
      <c r="C582" s="27" t="n"/>
      <c r="D582" s="56" t="n"/>
      <c r="E582" s="17" t="n"/>
      <c r="F582" s="20" t="str">
        <f>IF(AND(ISNUMBER(D582),ISNUMBER(E582)),D582*E582,"")</f>
        <v/>
      </c>
      <c r="G582" s="51" t="str">
        <f>IF(ISNUMBER(F582),ROUND(MAX(F582*'参数'!$C$12,'参数'!$C$13),2),"")</f>
        <v/>
      </c>
      <c r="H582" s="51" t="str">
        <f>IF(ISNUMBER(F582),IF(C582="卖",ROUND(F582*'参数'!$C$14,2),0),"")</f>
        <v/>
      </c>
      <c r="I582" s="51" t="str">
        <f>IF(ISNUMBER(F582),ROUND(F582*'参数'!$C$15,2),"")</f>
        <v/>
      </c>
      <c r="J582" s="21" t="n"/>
      <c r="K582" s="20" t="str">
        <f>IF(ISNUMBER(J582),J582,IF(ISNUMBER(F582),G582+H582+I582+ROUND(F582*'参数'!$C$16,2),""))</f>
        <v/>
      </c>
      <c r="L582" s="43" t="str">
        <f>IF(A582="","",IFERROR(T(INDEX('交易记录'!$C$5:$C$304,MATCH(A582,'交易记录'!$A$5:$A$304,0))),"编号没找到"))</f>
        <v/>
      </c>
      <c r="M582" s="57" t="str">
        <f>IF(AND(C582="买",ISNUMBER(B582)),WORKDAY(B582,1,'参数'!$B$58:$B$80),"")</f>
        <v/>
      </c>
      <c r="N582" s="36" t="str">
        <f>IF(C582&lt;&gt;"卖","",IF(AND(ISNUMBER(B582),A582&lt;&gt;""),IF(SUMIFS($E$5:$E$804,$A$5:$A$804,A582,$C$5:$C$804,"卖",$B$5:$B$804,"&lt;="&amp;B582)&gt;SUMIFS($E$5:$E$804,$A$5:$A$804,A582,$C$5:$C$804,"买",$B$5:$B$804,"&lt;"&amp;B582),"超出可卖股数","OK"),""))</f>
        <v/>
      </c>
      <c r="O582" s="32" t="n"/>
    </row>
    <row r="583">
      <c r="A583" s="46" t="n"/>
      <c r="B583" s="31" t="n"/>
      <c r="C583" s="27" t="n"/>
      <c r="D583" s="56" t="n"/>
      <c r="E583" s="17" t="n"/>
      <c r="F583" s="20" t="str">
        <f>IF(AND(ISNUMBER(D583),ISNUMBER(E583)),D583*E583,"")</f>
        <v/>
      </c>
      <c r="G583" s="51" t="str">
        <f>IF(ISNUMBER(F583),ROUND(MAX(F583*'参数'!$C$12,'参数'!$C$13),2),"")</f>
        <v/>
      </c>
      <c r="H583" s="51" t="str">
        <f>IF(ISNUMBER(F583),IF(C583="卖",ROUND(F583*'参数'!$C$14,2),0),"")</f>
        <v/>
      </c>
      <c r="I583" s="51" t="str">
        <f>IF(ISNUMBER(F583),ROUND(F583*'参数'!$C$15,2),"")</f>
        <v/>
      </c>
      <c r="J583" s="21" t="n"/>
      <c r="K583" s="20" t="str">
        <f>IF(ISNUMBER(J583),J583,IF(ISNUMBER(F583),G583+H583+I583+ROUND(F583*'参数'!$C$16,2),""))</f>
        <v/>
      </c>
      <c r="L583" s="43" t="str">
        <f>IF(A583="","",IFERROR(T(INDEX('交易记录'!$C$5:$C$304,MATCH(A583,'交易记录'!$A$5:$A$304,0))),"编号没找到"))</f>
        <v/>
      </c>
      <c r="M583" s="57" t="str">
        <f>IF(AND(C583="买",ISNUMBER(B583)),WORKDAY(B583,1,'参数'!$B$58:$B$80),"")</f>
        <v/>
      </c>
      <c r="N583" s="36" t="str">
        <f>IF(C583&lt;&gt;"卖","",IF(AND(ISNUMBER(B583),A583&lt;&gt;""),IF(SUMIFS($E$5:$E$804,$A$5:$A$804,A583,$C$5:$C$804,"卖",$B$5:$B$804,"&lt;="&amp;B583)&gt;SUMIFS($E$5:$E$804,$A$5:$A$804,A583,$C$5:$C$804,"买",$B$5:$B$804,"&lt;"&amp;B583),"超出可卖股数","OK"),""))</f>
        <v/>
      </c>
      <c r="O583" s="32" t="n"/>
    </row>
    <row r="584">
      <c r="A584" s="46" t="n"/>
      <c r="B584" s="31" t="n"/>
      <c r="C584" s="27" t="n"/>
      <c r="D584" s="56" t="n"/>
      <c r="E584" s="17" t="n"/>
      <c r="F584" s="20" t="str">
        <f>IF(AND(ISNUMBER(D584),ISNUMBER(E584)),D584*E584,"")</f>
        <v/>
      </c>
      <c r="G584" s="51" t="str">
        <f>IF(ISNUMBER(F584),ROUND(MAX(F584*'参数'!$C$12,'参数'!$C$13),2),"")</f>
        <v/>
      </c>
      <c r="H584" s="51" t="str">
        <f>IF(ISNUMBER(F584),IF(C584="卖",ROUND(F584*'参数'!$C$14,2),0),"")</f>
        <v/>
      </c>
      <c r="I584" s="51" t="str">
        <f>IF(ISNUMBER(F584),ROUND(F584*'参数'!$C$15,2),"")</f>
        <v/>
      </c>
      <c r="J584" s="21" t="n"/>
      <c r="K584" s="20" t="str">
        <f>IF(ISNUMBER(J584),J584,IF(ISNUMBER(F584),G584+H584+I584+ROUND(F584*'参数'!$C$16,2),""))</f>
        <v/>
      </c>
      <c r="L584" s="43" t="str">
        <f>IF(A584="","",IFERROR(T(INDEX('交易记录'!$C$5:$C$304,MATCH(A584,'交易记录'!$A$5:$A$304,0))),"编号没找到"))</f>
        <v/>
      </c>
      <c r="M584" s="57" t="str">
        <f>IF(AND(C584="买",ISNUMBER(B584)),WORKDAY(B584,1,'参数'!$B$58:$B$80),"")</f>
        <v/>
      </c>
      <c r="N584" s="36" t="str">
        <f>IF(C584&lt;&gt;"卖","",IF(AND(ISNUMBER(B584),A584&lt;&gt;""),IF(SUMIFS($E$5:$E$804,$A$5:$A$804,A584,$C$5:$C$804,"卖",$B$5:$B$804,"&lt;="&amp;B584)&gt;SUMIFS($E$5:$E$804,$A$5:$A$804,A584,$C$5:$C$804,"买",$B$5:$B$804,"&lt;"&amp;B584),"超出可卖股数","OK"),""))</f>
        <v/>
      </c>
      <c r="O584" s="32" t="n"/>
    </row>
    <row r="585">
      <c r="A585" s="46" t="n"/>
      <c r="B585" s="31" t="n"/>
      <c r="C585" s="27" t="n"/>
      <c r="D585" s="56" t="n"/>
      <c r="E585" s="17" t="n"/>
      <c r="F585" s="20" t="str">
        <f>IF(AND(ISNUMBER(D585),ISNUMBER(E585)),D585*E585,"")</f>
        <v/>
      </c>
      <c r="G585" s="51" t="str">
        <f>IF(ISNUMBER(F585),ROUND(MAX(F585*'参数'!$C$12,'参数'!$C$13),2),"")</f>
        <v/>
      </c>
      <c r="H585" s="51" t="str">
        <f>IF(ISNUMBER(F585),IF(C585="卖",ROUND(F585*'参数'!$C$14,2),0),"")</f>
        <v/>
      </c>
      <c r="I585" s="51" t="str">
        <f>IF(ISNUMBER(F585),ROUND(F585*'参数'!$C$15,2),"")</f>
        <v/>
      </c>
      <c r="J585" s="21" t="n"/>
      <c r="K585" s="20" t="str">
        <f>IF(ISNUMBER(J585),J585,IF(ISNUMBER(F585),G585+H585+I585+ROUND(F585*'参数'!$C$16,2),""))</f>
        <v/>
      </c>
      <c r="L585" s="43" t="str">
        <f>IF(A585="","",IFERROR(T(INDEX('交易记录'!$C$5:$C$304,MATCH(A585,'交易记录'!$A$5:$A$304,0))),"编号没找到"))</f>
        <v/>
      </c>
      <c r="M585" s="57" t="str">
        <f>IF(AND(C585="买",ISNUMBER(B585)),WORKDAY(B585,1,'参数'!$B$58:$B$80),"")</f>
        <v/>
      </c>
      <c r="N585" s="36" t="str">
        <f>IF(C585&lt;&gt;"卖","",IF(AND(ISNUMBER(B585),A585&lt;&gt;""),IF(SUMIFS($E$5:$E$804,$A$5:$A$804,A585,$C$5:$C$804,"卖",$B$5:$B$804,"&lt;="&amp;B585)&gt;SUMIFS($E$5:$E$804,$A$5:$A$804,A585,$C$5:$C$804,"买",$B$5:$B$804,"&lt;"&amp;B585),"超出可卖股数","OK"),""))</f>
        <v/>
      </c>
      <c r="O585" s="32" t="n"/>
    </row>
    <row r="586">
      <c r="A586" s="46" t="n"/>
      <c r="B586" s="31" t="n"/>
      <c r="C586" s="27" t="n"/>
      <c r="D586" s="56" t="n"/>
      <c r="E586" s="17" t="n"/>
      <c r="F586" s="20" t="str">
        <f>IF(AND(ISNUMBER(D586),ISNUMBER(E586)),D586*E586,"")</f>
        <v/>
      </c>
      <c r="G586" s="51" t="str">
        <f>IF(ISNUMBER(F586),ROUND(MAX(F586*'参数'!$C$12,'参数'!$C$13),2),"")</f>
        <v/>
      </c>
      <c r="H586" s="51" t="str">
        <f>IF(ISNUMBER(F586),IF(C586="卖",ROUND(F586*'参数'!$C$14,2),0),"")</f>
        <v/>
      </c>
      <c r="I586" s="51" t="str">
        <f>IF(ISNUMBER(F586),ROUND(F586*'参数'!$C$15,2),"")</f>
        <v/>
      </c>
      <c r="J586" s="21" t="n"/>
      <c r="K586" s="20" t="str">
        <f>IF(ISNUMBER(J586),J586,IF(ISNUMBER(F586),G586+H586+I586+ROUND(F586*'参数'!$C$16,2),""))</f>
        <v/>
      </c>
      <c r="L586" s="43" t="str">
        <f>IF(A586="","",IFERROR(T(INDEX('交易记录'!$C$5:$C$304,MATCH(A586,'交易记录'!$A$5:$A$304,0))),"编号没找到"))</f>
        <v/>
      </c>
      <c r="M586" s="57" t="str">
        <f>IF(AND(C586="买",ISNUMBER(B586)),WORKDAY(B586,1,'参数'!$B$58:$B$80),"")</f>
        <v/>
      </c>
      <c r="N586" s="36" t="str">
        <f>IF(C586&lt;&gt;"卖","",IF(AND(ISNUMBER(B586),A586&lt;&gt;""),IF(SUMIFS($E$5:$E$804,$A$5:$A$804,A586,$C$5:$C$804,"卖",$B$5:$B$804,"&lt;="&amp;B586)&gt;SUMIFS($E$5:$E$804,$A$5:$A$804,A586,$C$5:$C$804,"买",$B$5:$B$804,"&lt;"&amp;B586),"超出可卖股数","OK"),""))</f>
        <v/>
      </c>
      <c r="O586" s="32" t="n"/>
    </row>
    <row r="587">
      <c r="A587" s="46" t="n"/>
      <c r="B587" s="31" t="n"/>
      <c r="C587" s="27" t="n"/>
      <c r="D587" s="56" t="n"/>
      <c r="E587" s="17" t="n"/>
      <c r="F587" s="20" t="str">
        <f>IF(AND(ISNUMBER(D587),ISNUMBER(E587)),D587*E587,"")</f>
        <v/>
      </c>
      <c r="G587" s="51" t="str">
        <f>IF(ISNUMBER(F587),ROUND(MAX(F587*'参数'!$C$12,'参数'!$C$13),2),"")</f>
        <v/>
      </c>
      <c r="H587" s="51" t="str">
        <f>IF(ISNUMBER(F587),IF(C587="卖",ROUND(F587*'参数'!$C$14,2),0),"")</f>
        <v/>
      </c>
      <c r="I587" s="51" t="str">
        <f>IF(ISNUMBER(F587),ROUND(F587*'参数'!$C$15,2),"")</f>
        <v/>
      </c>
      <c r="J587" s="21" t="n"/>
      <c r="K587" s="20" t="str">
        <f>IF(ISNUMBER(J587),J587,IF(ISNUMBER(F587),G587+H587+I587+ROUND(F587*'参数'!$C$16,2),""))</f>
        <v/>
      </c>
      <c r="L587" s="43" t="str">
        <f>IF(A587="","",IFERROR(T(INDEX('交易记录'!$C$5:$C$304,MATCH(A587,'交易记录'!$A$5:$A$304,0))),"编号没找到"))</f>
        <v/>
      </c>
      <c r="M587" s="57" t="str">
        <f>IF(AND(C587="买",ISNUMBER(B587)),WORKDAY(B587,1,'参数'!$B$58:$B$80),"")</f>
        <v/>
      </c>
      <c r="N587" s="36" t="str">
        <f>IF(C587&lt;&gt;"卖","",IF(AND(ISNUMBER(B587),A587&lt;&gt;""),IF(SUMIFS($E$5:$E$804,$A$5:$A$804,A587,$C$5:$C$804,"卖",$B$5:$B$804,"&lt;="&amp;B587)&gt;SUMIFS($E$5:$E$804,$A$5:$A$804,A587,$C$5:$C$804,"买",$B$5:$B$804,"&lt;"&amp;B587),"超出可卖股数","OK"),""))</f>
        <v/>
      </c>
      <c r="O587" s="32" t="n"/>
    </row>
    <row r="588">
      <c r="A588" s="46" t="n"/>
      <c r="B588" s="31" t="n"/>
      <c r="C588" s="27" t="n"/>
      <c r="D588" s="56" t="n"/>
      <c r="E588" s="17" t="n"/>
      <c r="F588" s="20" t="str">
        <f>IF(AND(ISNUMBER(D588),ISNUMBER(E588)),D588*E588,"")</f>
        <v/>
      </c>
      <c r="G588" s="51" t="str">
        <f>IF(ISNUMBER(F588),ROUND(MAX(F588*'参数'!$C$12,'参数'!$C$13),2),"")</f>
        <v/>
      </c>
      <c r="H588" s="51" t="str">
        <f>IF(ISNUMBER(F588),IF(C588="卖",ROUND(F588*'参数'!$C$14,2),0),"")</f>
        <v/>
      </c>
      <c r="I588" s="51" t="str">
        <f>IF(ISNUMBER(F588),ROUND(F588*'参数'!$C$15,2),"")</f>
        <v/>
      </c>
      <c r="J588" s="21" t="n"/>
      <c r="K588" s="20" t="str">
        <f>IF(ISNUMBER(J588),J588,IF(ISNUMBER(F588),G588+H588+I588+ROUND(F588*'参数'!$C$16,2),""))</f>
        <v/>
      </c>
      <c r="L588" s="43" t="str">
        <f>IF(A588="","",IFERROR(T(INDEX('交易记录'!$C$5:$C$304,MATCH(A588,'交易记录'!$A$5:$A$304,0))),"编号没找到"))</f>
        <v/>
      </c>
      <c r="M588" s="57" t="str">
        <f>IF(AND(C588="买",ISNUMBER(B588)),WORKDAY(B588,1,'参数'!$B$58:$B$80),"")</f>
        <v/>
      </c>
      <c r="N588" s="36" t="str">
        <f>IF(C588&lt;&gt;"卖","",IF(AND(ISNUMBER(B588),A588&lt;&gt;""),IF(SUMIFS($E$5:$E$804,$A$5:$A$804,A588,$C$5:$C$804,"卖",$B$5:$B$804,"&lt;="&amp;B588)&gt;SUMIFS($E$5:$E$804,$A$5:$A$804,A588,$C$5:$C$804,"买",$B$5:$B$804,"&lt;"&amp;B588),"超出可卖股数","OK"),""))</f>
        <v/>
      </c>
      <c r="O588" s="32" t="n"/>
    </row>
    <row r="589">
      <c r="A589" s="46" t="n"/>
      <c r="B589" s="31" t="n"/>
      <c r="C589" s="27" t="n"/>
      <c r="D589" s="56" t="n"/>
      <c r="E589" s="17" t="n"/>
      <c r="F589" s="20" t="str">
        <f>IF(AND(ISNUMBER(D589),ISNUMBER(E589)),D589*E589,"")</f>
        <v/>
      </c>
      <c r="G589" s="51" t="str">
        <f>IF(ISNUMBER(F589),ROUND(MAX(F589*'参数'!$C$12,'参数'!$C$13),2),"")</f>
        <v/>
      </c>
      <c r="H589" s="51" t="str">
        <f>IF(ISNUMBER(F589),IF(C589="卖",ROUND(F589*'参数'!$C$14,2),0),"")</f>
        <v/>
      </c>
      <c r="I589" s="51" t="str">
        <f>IF(ISNUMBER(F589),ROUND(F589*'参数'!$C$15,2),"")</f>
        <v/>
      </c>
      <c r="J589" s="21" t="n"/>
      <c r="K589" s="20" t="str">
        <f>IF(ISNUMBER(J589),J589,IF(ISNUMBER(F589),G589+H589+I589+ROUND(F589*'参数'!$C$16,2),""))</f>
        <v/>
      </c>
      <c r="L589" s="43" t="str">
        <f>IF(A589="","",IFERROR(T(INDEX('交易记录'!$C$5:$C$304,MATCH(A589,'交易记录'!$A$5:$A$304,0))),"编号没找到"))</f>
        <v/>
      </c>
      <c r="M589" s="57" t="str">
        <f>IF(AND(C589="买",ISNUMBER(B589)),WORKDAY(B589,1,'参数'!$B$58:$B$80),"")</f>
        <v/>
      </c>
      <c r="N589" s="36" t="str">
        <f>IF(C589&lt;&gt;"卖","",IF(AND(ISNUMBER(B589),A589&lt;&gt;""),IF(SUMIFS($E$5:$E$804,$A$5:$A$804,A589,$C$5:$C$804,"卖",$B$5:$B$804,"&lt;="&amp;B589)&gt;SUMIFS($E$5:$E$804,$A$5:$A$804,A589,$C$5:$C$804,"买",$B$5:$B$804,"&lt;"&amp;B589),"超出可卖股数","OK"),""))</f>
        <v/>
      </c>
      <c r="O589" s="32" t="n"/>
    </row>
    <row r="590">
      <c r="A590" s="46" t="n"/>
      <c r="B590" s="31" t="n"/>
      <c r="C590" s="27" t="n"/>
      <c r="D590" s="56" t="n"/>
      <c r="E590" s="17" t="n"/>
      <c r="F590" s="20" t="str">
        <f>IF(AND(ISNUMBER(D590),ISNUMBER(E590)),D590*E590,"")</f>
        <v/>
      </c>
      <c r="G590" s="51" t="str">
        <f>IF(ISNUMBER(F590),ROUND(MAX(F590*'参数'!$C$12,'参数'!$C$13),2),"")</f>
        <v/>
      </c>
      <c r="H590" s="51" t="str">
        <f>IF(ISNUMBER(F590),IF(C590="卖",ROUND(F590*'参数'!$C$14,2),0),"")</f>
        <v/>
      </c>
      <c r="I590" s="51" t="str">
        <f>IF(ISNUMBER(F590),ROUND(F590*'参数'!$C$15,2),"")</f>
        <v/>
      </c>
      <c r="J590" s="21" t="n"/>
      <c r="K590" s="20" t="str">
        <f>IF(ISNUMBER(J590),J590,IF(ISNUMBER(F590),G590+H590+I590+ROUND(F590*'参数'!$C$16,2),""))</f>
        <v/>
      </c>
      <c r="L590" s="43" t="str">
        <f>IF(A590="","",IFERROR(T(INDEX('交易记录'!$C$5:$C$304,MATCH(A590,'交易记录'!$A$5:$A$304,0))),"编号没找到"))</f>
        <v/>
      </c>
      <c r="M590" s="57" t="str">
        <f>IF(AND(C590="买",ISNUMBER(B590)),WORKDAY(B590,1,'参数'!$B$58:$B$80),"")</f>
        <v/>
      </c>
      <c r="N590" s="36" t="str">
        <f>IF(C590&lt;&gt;"卖","",IF(AND(ISNUMBER(B590),A590&lt;&gt;""),IF(SUMIFS($E$5:$E$804,$A$5:$A$804,A590,$C$5:$C$804,"卖",$B$5:$B$804,"&lt;="&amp;B590)&gt;SUMIFS($E$5:$E$804,$A$5:$A$804,A590,$C$5:$C$804,"买",$B$5:$B$804,"&lt;"&amp;B590),"超出可卖股数","OK"),""))</f>
        <v/>
      </c>
      <c r="O590" s="32" t="n"/>
    </row>
    <row r="591">
      <c r="A591" s="46" t="n"/>
      <c r="B591" s="31" t="n"/>
      <c r="C591" s="27" t="n"/>
      <c r="D591" s="56" t="n"/>
      <c r="E591" s="17" t="n"/>
      <c r="F591" s="20" t="str">
        <f>IF(AND(ISNUMBER(D591),ISNUMBER(E591)),D591*E591,"")</f>
        <v/>
      </c>
      <c r="G591" s="51" t="str">
        <f>IF(ISNUMBER(F591),ROUND(MAX(F591*'参数'!$C$12,'参数'!$C$13),2),"")</f>
        <v/>
      </c>
      <c r="H591" s="51" t="str">
        <f>IF(ISNUMBER(F591),IF(C591="卖",ROUND(F591*'参数'!$C$14,2),0),"")</f>
        <v/>
      </c>
      <c r="I591" s="51" t="str">
        <f>IF(ISNUMBER(F591),ROUND(F591*'参数'!$C$15,2),"")</f>
        <v/>
      </c>
      <c r="J591" s="21" t="n"/>
      <c r="K591" s="20" t="str">
        <f>IF(ISNUMBER(J591),J591,IF(ISNUMBER(F591),G591+H591+I591+ROUND(F591*'参数'!$C$16,2),""))</f>
        <v/>
      </c>
      <c r="L591" s="43" t="str">
        <f>IF(A591="","",IFERROR(T(INDEX('交易记录'!$C$5:$C$304,MATCH(A591,'交易记录'!$A$5:$A$304,0))),"编号没找到"))</f>
        <v/>
      </c>
      <c r="M591" s="57" t="str">
        <f>IF(AND(C591="买",ISNUMBER(B591)),WORKDAY(B591,1,'参数'!$B$58:$B$80),"")</f>
        <v/>
      </c>
      <c r="N591" s="36" t="str">
        <f>IF(C591&lt;&gt;"卖","",IF(AND(ISNUMBER(B591),A591&lt;&gt;""),IF(SUMIFS($E$5:$E$804,$A$5:$A$804,A591,$C$5:$C$804,"卖",$B$5:$B$804,"&lt;="&amp;B591)&gt;SUMIFS($E$5:$E$804,$A$5:$A$804,A591,$C$5:$C$804,"买",$B$5:$B$804,"&lt;"&amp;B591),"超出可卖股数","OK"),""))</f>
        <v/>
      </c>
      <c r="O591" s="32" t="n"/>
    </row>
    <row r="592">
      <c r="A592" s="46" t="n"/>
      <c r="B592" s="31" t="n"/>
      <c r="C592" s="27" t="n"/>
      <c r="D592" s="56" t="n"/>
      <c r="E592" s="17" t="n"/>
      <c r="F592" s="20" t="str">
        <f>IF(AND(ISNUMBER(D592),ISNUMBER(E592)),D592*E592,"")</f>
        <v/>
      </c>
      <c r="G592" s="51" t="str">
        <f>IF(ISNUMBER(F592),ROUND(MAX(F592*'参数'!$C$12,'参数'!$C$13),2),"")</f>
        <v/>
      </c>
      <c r="H592" s="51" t="str">
        <f>IF(ISNUMBER(F592),IF(C592="卖",ROUND(F592*'参数'!$C$14,2),0),"")</f>
        <v/>
      </c>
      <c r="I592" s="51" t="str">
        <f>IF(ISNUMBER(F592),ROUND(F592*'参数'!$C$15,2),"")</f>
        <v/>
      </c>
      <c r="J592" s="21" t="n"/>
      <c r="K592" s="20" t="str">
        <f>IF(ISNUMBER(J592),J592,IF(ISNUMBER(F592),G592+H592+I592+ROUND(F592*'参数'!$C$16,2),""))</f>
        <v/>
      </c>
      <c r="L592" s="43" t="str">
        <f>IF(A592="","",IFERROR(T(INDEX('交易记录'!$C$5:$C$304,MATCH(A592,'交易记录'!$A$5:$A$304,0))),"编号没找到"))</f>
        <v/>
      </c>
      <c r="M592" s="57" t="str">
        <f>IF(AND(C592="买",ISNUMBER(B592)),WORKDAY(B592,1,'参数'!$B$58:$B$80),"")</f>
        <v/>
      </c>
      <c r="N592" s="36" t="str">
        <f>IF(C592&lt;&gt;"卖","",IF(AND(ISNUMBER(B592),A592&lt;&gt;""),IF(SUMIFS($E$5:$E$804,$A$5:$A$804,A592,$C$5:$C$804,"卖",$B$5:$B$804,"&lt;="&amp;B592)&gt;SUMIFS($E$5:$E$804,$A$5:$A$804,A592,$C$5:$C$804,"买",$B$5:$B$804,"&lt;"&amp;B592),"超出可卖股数","OK"),""))</f>
        <v/>
      </c>
      <c r="O592" s="32" t="n"/>
    </row>
    <row r="593">
      <c r="A593" s="46" t="n"/>
      <c r="B593" s="31" t="n"/>
      <c r="C593" s="27" t="n"/>
      <c r="D593" s="56" t="n"/>
      <c r="E593" s="17" t="n"/>
      <c r="F593" s="20" t="str">
        <f>IF(AND(ISNUMBER(D593),ISNUMBER(E593)),D593*E593,"")</f>
        <v/>
      </c>
      <c r="G593" s="51" t="str">
        <f>IF(ISNUMBER(F593),ROUND(MAX(F593*'参数'!$C$12,'参数'!$C$13),2),"")</f>
        <v/>
      </c>
      <c r="H593" s="51" t="str">
        <f>IF(ISNUMBER(F593),IF(C593="卖",ROUND(F593*'参数'!$C$14,2),0),"")</f>
        <v/>
      </c>
      <c r="I593" s="51" t="str">
        <f>IF(ISNUMBER(F593),ROUND(F593*'参数'!$C$15,2),"")</f>
        <v/>
      </c>
      <c r="J593" s="21" t="n"/>
      <c r="K593" s="20" t="str">
        <f>IF(ISNUMBER(J593),J593,IF(ISNUMBER(F593),G593+H593+I593+ROUND(F593*'参数'!$C$16,2),""))</f>
        <v/>
      </c>
      <c r="L593" s="43" t="str">
        <f>IF(A593="","",IFERROR(T(INDEX('交易记录'!$C$5:$C$304,MATCH(A593,'交易记录'!$A$5:$A$304,0))),"编号没找到"))</f>
        <v/>
      </c>
      <c r="M593" s="57" t="str">
        <f>IF(AND(C593="买",ISNUMBER(B593)),WORKDAY(B593,1,'参数'!$B$58:$B$80),"")</f>
        <v/>
      </c>
      <c r="N593" s="36" t="str">
        <f>IF(C593&lt;&gt;"卖","",IF(AND(ISNUMBER(B593),A593&lt;&gt;""),IF(SUMIFS($E$5:$E$804,$A$5:$A$804,A593,$C$5:$C$804,"卖",$B$5:$B$804,"&lt;="&amp;B593)&gt;SUMIFS($E$5:$E$804,$A$5:$A$804,A593,$C$5:$C$804,"买",$B$5:$B$804,"&lt;"&amp;B593),"超出可卖股数","OK"),""))</f>
        <v/>
      </c>
      <c r="O593" s="32" t="n"/>
    </row>
    <row r="594">
      <c r="A594" s="46" t="n"/>
      <c r="B594" s="31" t="n"/>
      <c r="C594" s="27" t="n"/>
      <c r="D594" s="56" t="n"/>
      <c r="E594" s="17" t="n"/>
      <c r="F594" s="20" t="str">
        <f>IF(AND(ISNUMBER(D594),ISNUMBER(E594)),D594*E594,"")</f>
        <v/>
      </c>
      <c r="G594" s="51" t="str">
        <f>IF(ISNUMBER(F594),ROUND(MAX(F594*'参数'!$C$12,'参数'!$C$13),2),"")</f>
        <v/>
      </c>
      <c r="H594" s="51" t="str">
        <f>IF(ISNUMBER(F594),IF(C594="卖",ROUND(F594*'参数'!$C$14,2),0),"")</f>
        <v/>
      </c>
      <c r="I594" s="51" t="str">
        <f>IF(ISNUMBER(F594),ROUND(F594*'参数'!$C$15,2),"")</f>
        <v/>
      </c>
      <c r="J594" s="21" t="n"/>
      <c r="K594" s="20" t="str">
        <f>IF(ISNUMBER(J594),J594,IF(ISNUMBER(F594),G594+H594+I594+ROUND(F594*'参数'!$C$16,2),""))</f>
        <v/>
      </c>
      <c r="L594" s="43" t="str">
        <f>IF(A594="","",IFERROR(T(INDEX('交易记录'!$C$5:$C$304,MATCH(A594,'交易记录'!$A$5:$A$304,0))),"编号没找到"))</f>
        <v/>
      </c>
      <c r="M594" s="57" t="str">
        <f>IF(AND(C594="买",ISNUMBER(B594)),WORKDAY(B594,1,'参数'!$B$58:$B$80),"")</f>
        <v/>
      </c>
      <c r="N594" s="36" t="str">
        <f>IF(C594&lt;&gt;"卖","",IF(AND(ISNUMBER(B594),A594&lt;&gt;""),IF(SUMIFS($E$5:$E$804,$A$5:$A$804,A594,$C$5:$C$804,"卖",$B$5:$B$804,"&lt;="&amp;B594)&gt;SUMIFS($E$5:$E$804,$A$5:$A$804,A594,$C$5:$C$804,"买",$B$5:$B$804,"&lt;"&amp;B594),"超出可卖股数","OK"),""))</f>
        <v/>
      </c>
      <c r="O594" s="32" t="n"/>
    </row>
    <row r="595">
      <c r="A595" s="46" t="n"/>
      <c r="B595" s="31" t="n"/>
      <c r="C595" s="27" t="n"/>
      <c r="D595" s="56" t="n"/>
      <c r="E595" s="17" t="n"/>
      <c r="F595" s="20" t="str">
        <f>IF(AND(ISNUMBER(D595),ISNUMBER(E595)),D595*E595,"")</f>
        <v/>
      </c>
      <c r="G595" s="51" t="str">
        <f>IF(ISNUMBER(F595),ROUND(MAX(F595*'参数'!$C$12,'参数'!$C$13),2),"")</f>
        <v/>
      </c>
      <c r="H595" s="51" t="str">
        <f>IF(ISNUMBER(F595),IF(C595="卖",ROUND(F595*'参数'!$C$14,2),0),"")</f>
        <v/>
      </c>
      <c r="I595" s="51" t="str">
        <f>IF(ISNUMBER(F595),ROUND(F595*'参数'!$C$15,2),"")</f>
        <v/>
      </c>
      <c r="J595" s="21" t="n"/>
      <c r="K595" s="20" t="str">
        <f>IF(ISNUMBER(J595),J595,IF(ISNUMBER(F595),G595+H595+I595+ROUND(F595*'参数'!$C$16,2),""))</f>
        <v/>
      </c>
      <c r="L595" s="43" t="str">
        <f>IF(A595="","",IFERROR(T(INDEX('交易记录'!$C$5:$C$304,MATCH(A595,'交易记录'!$A$5:$A$304,0))),"编号没找到"))</f>
        <v/>
      </c>
      <c r="M595" s="57" t="str">
        <f>IF(AND(C595="买",ISNUMBER(B595)),WORKDAY(B595,1,'参数'!$B$58:$B$80),"")</f>
        <v/>
      </c>
      <c r="N595" s="36" t="str">
        <f>IF(C595&lt;&gt;"卖","",IF(AND(ISNUMBER(B595),A595&lt;&gt;""),IF(SUMIFS($E$5:$E$804,$A$5:$A$804,A595,$C$5:$C$804,"卖",$B$5:$B$804,"&lt;="&amp;B595)&gt;SUMIFS($E$5:$E$804,$A$5:$A$804,A595,$C$5:$C$804,"买",$B$5:$B$804,"&lt;"&amp;B595),"超出可卖股数","OK"),""))</f>
        <v/>
      </c>
      <c r="O595" s="32" t="n"/>
    </row>
    <row r="596">
      <c r="A596" s="46" t="n"/>
      <c r="B596" s="31" t="n"/>
      <c r="C596" s="27" t="n"/>
      <c r="D596" s="56" t="n"/>
      <c r="E596" s="17" t="n"/>
      <c r="F596" s="20" t="str">
        <f>IF(AND(ISNUMBER(D596),ISNUMBER(E596)),D596*E596,"")</f>
        <v/>
      </c>
      <c r="G596" s="51" t="str">
        <f>IF(ISNUMBER(F596),ROUND(MAX(F596*'参数'!$C$12,'参数'!$C$13),2),"")</f>
        <v/>
      </c>
      <c r="H596" s="51" t="str">
        <f>IF(ISNUMBER(F596),IF(C596="卖",ROUND(F596*'参数'!$C$14,2),0),"")</f>
        <v/>
      </c>
      <c r="I596" s="51" t="str">
        <f>IF(ISNUMBER(F596),ROUND(F596*'参数'!$C$15,2),"")</f>
        <v/>
      </c>
      <c r="J596" s="21" t="n"/>
      <c r="K596" s="20" t="str">
        <f>IF(ISNUMBER(J596),J596,IF(ISNUMBER(F596),G596+H596+I596+ROUND(F596*'参数'!$C$16,2),""))</f>
        <v/>
      </c>
      <c r="L596" s="43" t="str">
        <f>IF(A596="","",IFERROR(T(INDEX('交易记录'!$C$5:$C$304,MATCH(A596,'交易记录'!$A$5:$A$304,0))),"编号没找到"))</f>
        <v/>
      </c>
      <c r="M596" s="57" t="str">
        <f>IF(AND(C596="买",ISNUMBER(B596)),WORKDAY(B596,1,'参数'!$B$58:$B$80),"")</f>
        <v/>
      </c>
      <c r="N596" s="36" t="str">
        <f>IF(C596&lt;&gt;"卖","",IF(AND(ISNUMBER(B596),A596&lt;&gt;""),IF(SUMIFS($E$5:$E$804,$A$5:$A$804,A596,$C$5:$C$804,"卖",$B$5:$B$804,"&lt;="&amp;B596)&gt;SUMIFS($E$5:$E$804,$A$5:$A$804,A596,$C$5:$C$804,"买",$B$5:$B$804,"&lt;"&amp;B596),"超出可卖股数","OK"),""))</f>
        <v/>
      </c>
      <c r="O596" s="32" t="n"/>
    </row>
    <row r="597">
      <c r="A597" s="46" t="n"/>
      <c r="B597" s="31" t="n"/>
      <c r="C597" s="27" t="n"/>
      <c r="D597" s="56" t="n"/>
      <c r="E597" s="17" t="n"/>
      <c r="F597" s="20" t="str">
        <f>IF(AND(ISNUMBER(D597),ISNUMBER(E597)),D597*E597,"")</f>
        <v/>
      </c>
      <c r="G597" s="51" t="str">
        <f>IF(ISNUMBER(F597),ROUND(MAX(F597*'参数'!$C$12,'参数'!$C$13),2),"")</f>
        <v/>
      </c>
      <c r="H597" s="51" t="str">
        <f>IF(ISNUMBER(F597),IF(C597="卖",ROUND(F597*'参数'!$C$14,2),0),"")</f>
        <v/>
      </c>
      <c r="I597" s="51" t="str">
        <f>IF(ISNUMBER(F597),ROUND(F597*'参数'!$C$15,2),"")</f>
        <v/>
      </c>
      <c r="J597" s="21" t="n"/>
      <c r="K597" s="20" t="str">
        <f>IF(ISNUMBER(J597),J597,IF(ISNUMBER(F597),G597+H597+I597+ROUND(F597*'参数'!$C$16,2),""))</f>
        <v/>
      </c>
      <c r="L597" s="43" t="str">
        <f>IF(A597="","",IFERROR(T(INDEX('交易记录'!$C$5:$C$304,MATCH(A597,'交易记录'!$A$5:$A$304,0))),"编号没找到"))</f>
        <v/>
      </c>
      <c r="M597" s="57" t="str">
        <f>IF(AND(C597="买",ISNUMBER(B597)),WORKDAY(B597,1,'参数'!$B$58:$B$80),"")</f>
        <v/>
      </c>
      <c r="N597" s="36" t="str">
        <f>IF(C597&lt;&gt;"卖","",IF(AND(ISNUMBER(B597),A597&lt;&gt;""),IF(SUMIFS($E$5:$E$804,$A$5:$A$804,A597,$C$5:$C$804,"卖",$B$5:$B$804,"&lt;="&amp;B597)&gt;SUMIFS($E$5:$E$804,$A$5:$A$804,A597,$C$5:$C$804,"买",$B$5:$B$804,"&lt;"&amp;B597),"超出可卖股数","OK"),""))</f>
        <v/>
      </c>
      <c r="O597" s="32" t="n"/>
    </row>
    <row r="598">
      <c r="A598" s="46" t="n"/>
      <c r="B598" s="31" t="n"/>
      <c r="C598" s="27" t="n"/>
      <c r="D598" s="56" t="n"/>
      <c r="E598" s="17" t="n"/>
      <c r="F598" s="20" t="str">
        <f>IF(AND(ISNUMBER(D598),ISNUMBER(E598)),D598*E598,"")</f>
        <v/>
      </c>
      <c r="G598" s="51" t="str">
        <f>IF(ISNUMBER(F598),ROUND(MAX(F598*'参数'!$C$12,'参数'!$C$13),2),"")</f>
        <v/>
      </c>
      <c r="H598" s="51" t="str">
        <f>IF(ISNUMBER(F598),IF(C598="卖",ROUND(F598*'参数'!$C$14,2),0),"")</f>
        <v/>
      </c>
      <c r="I598" s="51" t="str">
        <f>IF(ISNUMBER(F598),ROUND(F598*'参数'!$C$15,2),"")</f>
        <v/>
      </c>
      <c r="J598" s="21" t="n"/>
      <c r="K598" s="20" t="str">
        <f>IF(ISNUMBER(J598),J598,IF(ISNUMBER(F598),G598+H598+I598+ROUND(F598*'参数'!$C$16,2),""))</f>
        <v/>
      </c>
      <c r="L598" s="43" t="str">
        <f>IF(A598="","",IFERROR(T(INDEX('交易记录'!$C$5:$C$304,MATCH(A598,'交易记录'!$A$5:$A$304,0))),"编号没找到"))</f>
        <v/>
      </c>
      <c r="M598" s="57" t="str">
        <f>IF(AND(C598="买",ISNUMBER(B598)),WORKDAY(B598,1,'参数'!$B$58:$B$80),"")</f>
        <v/>
      </c>
      <c r="N598" s="36" t="str">
        <f>IF(C598&lt;&gt;"卖","",IF(AND(ISNUMBER(B598),A598&lt;&gt;""),IF(SUMIFS($E$5:$E$804,$A$5:$A$804,A598,$C$5:$C$804,"卖",$B$5:$B$804,"&lt;="&amp;B598)&gt;SUMIFS($E$5:$E$804,$A$5:$A$804,A598,$C$5:$C$804,"买",$B$5:$B$804,"&lt;"&amp;B598),"超出可卖股数","OK"),""))</f>
        <v/>
      </c>
      <c r="O598" s="32" t="n"/>
    </row>
    <row r="599">
      <c r="A599" s="46" t="n"/>
      <c r="B599" s="31" t="n"/>
      <c r="C599" s="27" t="n"/>
      <c r="D599" s="56" t="n"/>
      <c r="E599" s="17" t="n"/>
      <c r="F599" s="20" t="str">
        <f>IF(AND(ISNUMBER(D599),ISNUMBER(E599)),D599*E599,"")</f>
        <v/>
      </c>
      <c r="G599" s="51" t="str">
        <f>IF(ISNUMBER(F599),ROUND(MAX(F599*'参数'!$C$12,'参数'!$C$13),2),"")</f>
        <v/>
      </c>
      <c r="H599" s="51" t="str">
        <f>IF(ISNUMBER(F599),IF(C599="卖",ROUND(F599*'参数'!$C$14,2),0),"")</f>
        <v/>
      </c>
      <c r="I599" s="51" t="str">
        <f>IF(ISNUMBER(F599),ROUND(F599*'参数'!$C$15,2),"")</f>
        <v/>
      </c>
      <c r="J599" s="21" t="n"/>
      <c r="K599" s="20" t="str">
        <f>IF(ISNUMBER(J599),J599,IF(ISNUMBER(F599),G599+H599+I599+ROUND(F599*'参数'!$C$16,2),""))</f>
        <v/>
      </c>
      <c r="L599" s="43" t="str">
        <f>IF(A599="","",IFERROR(T(INDEX('交易记录'!$C$5:$C$304,MATCH(A599,'交易记录'!$A$5:$A$304,0))),"编号没找到"))</f>
        <v/>
      </c>
      <c r="M599" s="57" t="str">
        <f>IF(AND(C599="买",ISNUMBER(B599)),WORKDAY(B599,1,'参数'!$B$58:$B$80),"")</f>
        <v/>
      </c>
      <c r="N599" s="36" t="str">
        <f>IF(C599&lt;&gt;"卖","",IF(AND(ISNUMBER(B599),A599&lt;&gt;""),IF(SUMIFS($E$5:$E$804,$A$5:$A$804,A599,$C$5:$C$804,"卖",$B$5:$B$804,"&lt;="&amp;B599)&gt;SUMIFS($E$5:$E$804,$A$5:$A$804,A599,$C$5:$C$804,"买",$B$5:$B$804,"&lt;"&amp;B599),"超出可卖股数","OK"),""))</f>
        <v/>
      </c>
      <c r="O599" s="32" t="n"/>
    </row>
    <row r="600">
      <c r="A600" s="46" t="n"/>
      <c r="B600" s="31" t="n"/>
      <c r="C600" s="27" t="n"/>
      <c r="D600" s="56" t="n"/>
      <c r="E600" s="17" t="n"/>
      <c r="F600" s="20" t="str">
        <f>IF(AND(ISNUMBER(D600),ISNUMBER(E600)),D600*E600,"")</f>
        <v/>
      </c>
      <c r="G600" s="51" t="str">
        <f>IF(ISNUMBER(F600),ROUND(MAX(F600*'参数'!$C$12,'参数'!$C$13),2),"")</f>
        <v/>
      </c>
      <c r="H600" s="51" t="str">
        <f>IF(ISNUMBER(F600),IF(C600="卖",ROUND(F600*'参数'!$C$14,2),0),"")</f>
        <v/>
      </c>
      <c r="I600" s="51" t="str">
        <f>IF(ISNUMBER(F600),ROUND(F600*'参数'!$C$15,2),"")</f>
        <v/>
      </c>
      <c r="J600" s="21" t="n"/>
      <c r="K600" s="20" t="str">
        <f>IF(ISNUMBER(J600),J600,IF(ISNUMBER(F600),G600+H600+I600+ROUND(F600*'参数'!$C$16,2),""))</f>
        <v/>
      </c>
      <c r="L600" s="43" t="str">
        <f>IF(A600="","",IFERROR(T(INDEX('交易记录'!$C$5:$C$304,MATCH(A600,'交易记录'!$A$5:$A$304,0))),"编号没找到"))</f>
        <v/>
      </c>
      <c r="M600" s="57" t="str">
        <f>IF(AND(C600="买",ISNUMBER(B600)),WORKDAY(B600,1,'参数'!$B$58:$B$80),"")</f>
        <v/>
      </c>
      <c r="N600" s="36" t="str">
        <f>IF(C600&lt;&gt;"卖","",IF(AND(ISNUMBER(B600),A600&lt;&gt;""),IF(SUMIFS($E$5:$E$804,$A$5:$A$804,A600,$C$5:$C$804,"卖",$B$5:$B$804,"&lt;="&amp;B600)&gt;SUMIFS($E$5:$E$804,$A$5:$A$804,A600,$C$5:$C$804,"买",$B$5:$B$804,"&lt;"&amp;B600),"超出可卖股数","OK"),""))</f>
        <v/>
      </c>
      <c r="O600" s="32" t="n"/>
    </row>
    <row r="601">
      <c r="A601" s="46" t="n"/>
      <c r="B601" s="31" t="n"/>
      <c r="C601" s="27" t="n"/>
      <c r="D601" s="56" t="n"/>
      <c r="E601" s="17" t="n"/>
      <c r="F601" s="20" t="str">
        <f>IF(AND(ISNUMBER(D601),ISNUMBER(E601)),D601*E601,"")</f>
        <v/>
      </c>
      <c r="G601" s="51" t="str">
        <f>IF(ISNUMBER(F601),ROUND(MAX(F601*'参数'!$C$12,'参数'!$C$13),2),"")</f>
        <v/>
      </c>
      <c r="H601" s="51" t="str">
        <f>IF(ISNUMBER(F601),IF(C601="卖",ROUND(F601*'参数'!$C$14,2),0),"")</f>
        <v/>
      </c>
      <c r="I601" s="51" t="str">
        <f>IF(ISNUMBER(F601),ROUND(F601*'参数'!$C$15,2),"")</f>
        <v/>
      </c>
      <c r="J601" s="21" t="n"/>
      <c r="K601" s="20" t="str">
        <f>IF(ISNUMBER(J601),J601,IF(ISNUMBER(F601),G601+H601+I601+ROUND(F601*'参数'!$C$16,2),""))</f>
        <v/>
      </c>
      <c r="L601" s="43" t="str">
        <f>IF(A601="","",IFERROR(T(INDEX('交易记录'!$C$5:$C$304,MATCH(A601,'交易记录'!$A$5:$A$304,0))),"编号没找到"))</f>
        <v/>
      </c>
      <c r="M601" s="57" t="str">
        <f>IF(AND(C601="买",ISNUMBER(B601)),WORKDAY(B601,1,'参数'!$B$58:$B$80),"")</f>
        <v/>
      </c>
      <c r="N601" s="36" t="str">
        <f>IF(C601&lt;&gt;"卖","",IF(AND(ISNUMBER(B601),A601&lt;&gt;""),IF(SUMIFS($E$5:$E$804,$A$5:$A$804,A601,$C$5:$C$804,"卖",$B$5:$B$804,"&lt;="&amp;B601)&gt;SUMIFS($E$5:$E$804,$A$5:$A$804,A601,$C$5:$C$804,"买",$B$5:$B$804,"&lt;"&amp;B601),"超出可卖股数","OK"),""))</f>
        <v/>
      </c>
      <c r="O601" s="32" t="n"/>
    </row>
    <row r="602">
      <c r="A602" s="46" t="n"/>
      <c r="B602" s="31" t="n"/>
      <c r="C602" s="27" t="n"/>
      <c r="D602" s="56" t="n"/>
      <c r="E602" s="17" t="n"/>
      <c r="F602" s="20" t="str">
        <f>IF(AND(ISNUMBER(D602),ISNUMBER(E602)),D602*E602,"")</f>
        <v/>
      </c>
      <c r="G602" s="51" t="str">
        <f>IF(ISNUMBER(F602),ROUND(MAX(F602*'参数'!$C$12,'参数'!$C$13),2),"")</f>
        <v/>
      </c>
      <c r="H602" s="51" t="str">
        <f>IF(ISNUMBER(F602),IF(C602="卖",ROUND(F602*'参数'!$C$14,2),0),"")</f>
        <v/>
      </c>
      <c r="I602" s="51" t="str">
        <f>IF(ISNUMBER(F602),ROUND(F602*'参数'!$C$15,2),"")</f>
        <v/>
      </c>
      <c r="J602" s="21" t="n"/>
      <c r="K602" s="20" t="str">
        <f>IF(ISNUMBER(J602),J602,IF(ISNUMBER(F602),G602+H602+I602+ROUND(F602*'参数'!$C$16,2),""))</f>
        <v/>
      </c>
      <c r="L602" s="43" t="str">
        <f>IF(A602="","",IFERROR(T(INDEX('交易记录'!$C$5:$C$304,MATCH(A602,'交易记录'!$A$5:$A$304,0))),"编号没找到"))</f>
        <v/>
      </c>
      <c r="M602" s="57" t="str">
        <f>IF(AND(C602="买",ISNUMBER(B602)),WORKDAY(B602,1,'参数'!$B$58:$B$80),"")</f>
        <v/>
      </c>
      <c r="N602" s="36" t="str">
        <f>IF(C602&lt;&gt;"卖","",IF(AND(ISNUMBER(B602),A602&lt;&gt;""),IF(SUMIFS($E$5:$E$804,$A$5:$A$804,A602,$C$5:$C$804,"卖",$B$5:$B$804,"&lt;="&amp;B602)&gt;SUMIFS($E$5:$E$804,$A$5:$A$804,A602,$C$5:$C$804,"买",$B$5:$B$804,"&lt;"&amp;B602),"超出可卖股数","OK"),""))</f>
        <v/>
      </c>
      <c r="O602" s="32" t="n"/>
    </row>
    <row r="603">
      <c r="A603" s="46" t="n"/>
      <c r="B603" s="31" t="n"/>
      <c r="C603" s="27" t="n"/>
      <c r="D603" s="56" t="n"/>
      <c r="E603" s="17" t="n"/>
      <c r="F603" s="20" t="str">
        <f>IF(AND(ISNUMBER(D603),ISNUMBER(E603)),D603*E603,"")</f>
        <v/>
      </c>
      <c r="G603" s="51" t="str">
        <f>IF(ISNUMBER(F603),ROUND(MAX(F603*'参数'!$C$12,'参数'!$C$13),2),"")</f>
        <v/>
      </c>
      <c r="H603" s="51" t="str">
        <f>IF(ISNUMBER(F603),IF(C603="卖",ROUND(F603*'参数'!$C$14,2),0),"")</f>
        <v/>
      </c>
      <c r="I603" s="51" t="str">
        <f>IF(ISNUMBER(F603),ROUND(F603*'参数'!$C$15,2),"")</f>
        <v/>
      </c>
      <c r="J603" s="21" t="n"/>
      <c r="K603" s="20" t="str">
        <f>IF(ISNUMBER(J603),J603,IF(ISNUMBER(F603),G603+H603+I603+ROUND(F603*'参数'!$C$16,2),""))</f>
        <v/>
      </c>
      <c r="L603" s="43" t="str">
        <f>IF(A603="","",IFERROR(T(INDEX('交易记录'!$C$5:$C$304,MATCH(A603,'交易记录'!$A$5:$A$304,0))),"编号没找到"))</f>
        <v/>
      </c>
      <c r="M603" s="57" t="str">
        <f>IF(AND(C603="买",ISNUMBER(B603)),WORKDAY(B603,1,'参数'!$B$58:$B$80),"")</f>
        <v/>
      </c>
      <c r="N603" s="36" t="str">
        <f>IF(C603&lt;&gt;"卖","",IF(AND(ISNUMBER(B603),A603&lt;&gt;""),IF(SUMIFS($E$5:$E$804,$A$5:$A$804,A603,$C$5:$C$804,"卖",$B$5:$B$804,"&lt;="&amp;B603)&gt;SUMIFS($E$5:$E$804,$A$5:$A$804,A603,$C$5:$C$804,"买",$B$5:$B$804,"&lt;"&amp;B603),"超出可卖股数","OK"),""))</f>
        <v/>
      </c>
      <c r="O603" s="32" t="n"/>
    </row>
    <row r="604">
      <c r="A604" s="46" t="n"/>
      <c r="B604" s="31" t="n"/>
      <c r="C604" s="27" t="n"/>
      <c r="D604" s="56" t="n"/>
      <c r="E604" s="17" t="n"/>
      <c r="F604" s="20" t="str">
        <f>IF(AND(ISNUMBER(D604),ISNUMBER(E604)),D604*E604,"")</f>
        <v/>
      </c>
      <c r="G604" s="51" t="str">
        <f>IF(ISNUMBER(F604),ROUND(MAX(F604*'参数'!$C$12,'参数'!$C$13),2),"")</f>
        <v/>
      </c>
      <c r="H604" s="51" t="str">
        <f>IF(ISNUMBER(F604),IF(C604="卖",ROUND(F604*'参数'!$C$14,2),0),"")</f>
        <v/>
      </c>
      <c r="I604" s="51" t="str">
        <f>IF(ISNUMBER(F604),ROUND(F604*'参数'!$C$15,2),"")</f>
        <v/>
      </c>
      <c r="J604" s="21" t="n"/>
      <c r="K604" s="20" t="str">
        <f>IF(ISNUMBER(J604),J604,IF(ISNUMBER(F604),G604+H604+I604+ROUND(F604*'参数'!$C$16,2),""))</f>
        <v/>
      </c>
      <c r="L604" s="43" t="str">
        <f>IF(A604="","",IFERROR(T(INDEX('交易记录'!$C$5:$C$304,MATCH(A604,'交易记录'!$A$5:$A$304,0))),"编号没找到"))</f>
        <v/>
      </c>
      <c r="M604" s="57" t="str">
        <f>IF(AND(C604="买",ISNUMBER(B604)),WORKDAY(B604,1,'参数'!$B$58:$B$80),"")</f>
        <v/>
      </c>
      <c r="N604" s="36" t="str">
        <f>IF(C604&lt;&gt;"卖","",IF(AND(ISNUMBER(B604),A604&lt;&gt;""),IF(SUMIFS($E$5:$E$804,$A$5:$A$804,A604,$C$5:$C$804,"卖",$B$5:$B$804,"&lt;="&amp;B604)&gt;SUMIFS($E$5:$E$804,$A$5:$A$804,A604,$C$5:$C$804,"买",$B$5:$B$804,"&lt;"&amp;B604),"超出可卖股数","OK"),""))</f>
        <v/>
      </c>
      <c r="O604" s="32" t="n"/>
    </row>
    <row r="605">
      <c r="A605" s="46" t="n"/>
      <c r="B605" s="31" t="n"/>
      <c r="C605" s="27" t="n"/>
      <c r="D605" s="56" t="n"/>
      <c r="E605" s="17" t="n"/>
      <c r="F605" s="20" t="str">
        <f>IF(AND(ISNUMBER(D605),ISNUMBER(E605)),D605*E605,"")</f>
        <v/>
      </c>
      <c r="G605" s="51" t="str">
        <f>IF(ISNUMBER(F605),ROUND(MAX(F605*'参数'!$C$12,'参数'!$C$13),2),"")</f>
        <v/>
      </c>
      <c r="H605" s="51" t="str">
        <f>IF(ISNUMBER(F605),IF(C605="卖",ROUND(F605*'参数'!$C$14,2),0),"")</f>
        <v/>
      </c>
      <c r="I605" s="51" t="str">
        <f>IF(ISNUMBER(F605),ROUND(F605*'参数'!$C$15,2),"")</f>
        <v/>
      </c>
      <c r="J605" s="21" t="n"/>
      <c r="K605" s="20" t="str">
        <f>IF(ISNUMBER(J605),J605,IF(ISNUMBER(F605),G605+H605+I605+ROUND(F605*'参数'!$C$16,2),""))</f>
        <v/>
      </c>
      <c r="L605" s="43" t="str">
        <f>IF(A605="","",IFERROR(T(INDEX('交易记录'!$C$5:$C$304,MATCH(A605,'交易记录'!$A$5:$A$304,0))),"编号没找到"))</f>
        <v/>
      </c>
      <c r="M605" s="57" t="str">
        <f>IF(AND(C605="买",ISNUMBER(B605)),WORKDAY(B605,1,'参数'!$B$58:$B$80),"")</f>
        <v/>
      </c>
      <c r="N605" s="36" t="str">
        <f>IF(C605&lt;&gt;"卖","",IF(AND(ISNUMBER(B605),A605&lt;&gt;""),IF(SUMIFS($E$5:$E$804,$A$5:$A$804,A605,$C$5:$C$804,"卖",$B$5:$B$804,"&lt;="&amp;B605)&gt;SUMIFS($E$5:$E$804,$A$5:$A$804,A605,$C$5:$C$804,"买",$B$5:$B$804,"&lt;"&amp;B605),"超出可卖股数","OK"),""))</f>
        <v/>
      </c>
      <c r="O605" s="32" t="n"/>
    </row>
    <row r="606">
      <c r="A606" s="46" t="n"/>
      <c r="B606" s="31" t="n"/>
      <c r="C606" s="27" t="n"/>
      <c r="D606" s="56" t="n"/>
      <c r="E606" s="17" t="n"/>
      <c r="F606" s="20" t="str">
        <f>IF(AND(ISNUMBER(D606),ISNUMBER(E606)),D606*E606,"")</f>
        <v/>
      </c>
      <c r="G606" s="51" t="str">
        <f>IF(ISNUMBER(F606),ROUND(MAX(F606*'参数'!$C$12,'参数'!$C$13),2),"")</f>
        <v/>
      </c>
      <c r="H606" s="51" t="str">
        <f>IF(ISNUMBER(F606),IF(C606="卖",ROUND(F606*'参数'!$C$14,2),0),"")</f>
        <v/>
      </c>
      <c r="I606" s="51" t="str">
        <f>IF(ISNUMBER(F606),ROUND(F606*'参数'!$C$15,2),"")</f>
        <v/>
      </c>
      <c r="J606" s="21" t="n"/>
      <c r="K606" s="20" t="str">
        <f>IF(ISNUMBER(J606),J606,IF(ISNUMBER(F606),G606+H606+I606+ROUND(F606*'参数'!$C$16,2),""))</f>
        <v/>
      </c>
      <c r="L606" s="43" t="str">
        <f>IF(A606="","",IFERROR(T(INDEX('交易记录'!$C$5:$C$304,MATCH(A606,'交易记录'!$A$5:$A$304,0))),"编号没找到"))</f>
        <v/>
      </c>
      <c r="M606" s="57" t="str">
        <f>IF(AND(C606="买",ISNUMBER(B606)),WORKDAY(B606,1,'参数'!$B$58:$B$80),"")</f>
        <v/>
      </c>
      <c r="N606" s="36" t="str">
        <f>IF(C606&lt;&gt;"卖","",IF(AND(ISNUMBER(B606),A606&lt;&gt;""),IF(SUMIFS($E$5:$E$804,$A$5:$A$804,A606,$C$5:$C$804,"卖",$B$5:$B$804,"&lt;="&amp;B606)&gt;SUMIFS($E$5:$E$804,$A$5:$A$804,A606,$C$5:$C$804,"买",$B$5:$B$804,"&lt;"&amp;B606),"超出可卖股数","OK"),""))</f>
        <v/>
      </c>
      <c r="O606" s="32" t="n"/>
    </row>
    <row r="607">
      <c r="A607" s="46" t="n"/>
      <c r="B607" s="31" t="n"/>
      <c r="C607" s="27" t="n"/>
      <c r="D607" s="56" t="n"/>
      <c r="E607" s="17" t="n"/>
      <c r="F607" s="20" t="str">
        <f>IF(AND(ISNUMBER(D607),ISNUMBER(E607)),D607*E607,"")</f>
        <v/>
      </c>
      <c r="G607" s="51" t="str">
        <f>IF(ISNUMBER(F607),ROUND(MAX(F607*'参数'!$C$12,'参数'!$C$13),2),"")</f>
        <v/>
      </c>
      <c r="H607" s="51" t="str">
        <f>IF(ISNUMBER(F607),IF(C607="卖",ROUND(F607*'参数'!$C$14,2),0),"")</f>
        <v/>
      </c>
      <c r="I607" s="51" t="str">
        <f>IF(ISNUMBER(F607),ROUND(F607*'参数'!$C$15,2),"")</f>
        <v/>
      </c>
      <c r="J607" s="21" t="n"/>
      <c r="K607" s="20" t="str">
        <f>IF(ISNUMBER(J607),J607,IF(ISNUMBER(F607),G607+H607+I607+ROUND(F607*'参数'!$C$16,2),""))</f>
        <v/>
      </c>
      <c r="L607" s="43" t="str">
        <f>IF(A607="","",IFERROR(T(INDEX('交易记录'!$C$5:$C$304,MATCH(A607,'交易记录'!$A$5:$A$304,0))),"编号没找到"))</f>
        <v/>
      </c>
      <c r="M607" s="57" t="str">
        <f>IF(AND(C607="买",ISNUMBER(B607)),WORKDAY(B607,1,'参数'!$B$58:$B$80),"")</f>
        <v/>
      </c>
      <c r="N607" s="36" t="str">
        <f>IF(C607&lt;&gt;"卖","",IF(AND(ISNUMBER(B607),A607&lt;&gt;""),IF(SUMIFS($E$5:$E$804,$A$5:$A$804,A607,$C$5:$C$804,"卖",$B$5:$B$804,"&lt;="&amp;B607)&gt;SUMIFS($E$5:$E$804,$A$5:$A$804,A607,$C$5:$C$804,"买",$B$5:$B$804,"&lt;"&amp;B607),"超出可卖股数","OK"),""))</f>
        <v/>
      </c>
      <c r="O607" s="32" t="n"/>
    </row>
    <row r="608">
      <c r="A608" s="46" t="n"/>
      <c r="B608" s="31" t="n"/>
      <c r="C608" s="27" t="n"/>
      <c r="D608" s="56" t="n"/>
      <c r="E608" s="17" t="n"/>
      <c r="F608" s="20" t="str">
        <f>IF(AND(ISNUMBER(D608),ISNUMBER(E608)),D608*E608,"")</f>
        <v/>
      </c>
      <c r="G608" s="51" t="str">
        <f>IF(ISNUMBER(F608),ROUND(MAX(F608*'参数'!$C$12,'参数'!$C$13),2),"")</f>
        <v/>
      </c>
      <c r="H608" s="51" t="str">
        <f>IF(ISNUMBER(F608),IF(C608="卖",ROUND(F608*'参数'!$C$14,2),0),"")</f>
        <v/>
      </c>
      <c r="I608" s="51" t="str">
        <f>IF(ISNUMBER(F608),ROUND(F608*'参数'!$C$15,2),"")</f>
        <v/>
      </c>
      <c r="J608" s="21" t="n"/>
      <c r="K608" s="20" t="str">
        <f>IF(ISNUMBER(J608),J608,IF(ISNUMBER(F608),G608+H608+I608+ROUND(F608*'参数'!$C$16,2),""))</f>
        <v/>
      </c>
      <c r="L608" s="43" t="str">
        <f>IF(A608="","",IFERROR(T(INDEX('交易记录'!$C$5:$C$304,MATCH(A608,'交易记录'!$A$5:$A$304,0))),"编号没找到"))</f>
        <v/>
      </c>
      <c r="M608" s="57" t="str">
        <f>IF(AND(C608="买",ISNUMBER(B608)),WORKDAY(B608,1,'参数'!$B$58:$B$80),"")</f>
        <v/>
      </c>
      <c r="N608" s="36" t="str">
        <f>IF(C608&lt;&gt;"卖","",IF(AND(ISNUMBER(B608),A608&lt;&gt;""),IF(SUMIFS($E$5:$E$804,$A$5:$A$804,A608,$C$5:$C$804,"卖",$B$5:$B$804,"&lt;="&amp;B608)&gt;SUMIFS($E$5:$E$804,$A$5:$A$804,A608,$C$5:$C$804,"买",$B$5:$B$804,"&lt;"&amp;B608),"超出可卖股数","OK"),""))</f>
        <v/>
      </c>
      <c r="O608" s="32" t="n"/>
    </row>
    <row r="609">
      <c r="A609" s="46" t="n"/>
      <c r="B609" s="31" t="n"/>
      <c r="C609" s="27" t="n"/>
      <c r="D609" s="56" t="n"/>
      <c r="E609" s="17" t="n"/>
      <c r="F609" s="20" t="str">
        <f>IF(AND(ISNUMBER(D609),ISNUMBER(E609)),D609*E609,"")</f>
        <v/>
      </c>
      <c r="G609" s="51" t="str">
        <f>IF(ISNUMBER(F609),ROUND(MAX(F609*'参数'!$C$12,'参数'!$C$13),2),"")</f>
        <v/>
      </c>
      <c r="H609" s="51" t="str">
        <f>IF(ISNUMBER(F609),IF(C609="卖",ROUND(F609*'参数'!$C$14,2),0),"")</f>
        <v/>
      </c>
      <c r="I609" s="51" t="str">
        <f>IF(ISNUMBER(F609),ROUND(F609*'参数'!$C$15,2),"")</f>
        <v/>
      </c>
      <c r="J609" s="21" t="n"/>
      <c r="K609" s="20" t="str">
        <f>IF(ISNUMBER(J609),J609,IF(ISNUMBER(F609),G609+H609+I609+ROUND(F609*'参数'!$C$16,2),""))</f>
        <v/>
      </c>
      <c r="L609" s="43" t="str">
        <f>IF(A609="","",IFERROR(T(INDEX('交易记录'!$C$5:$C$304,MATCH(A609,'交易记录'!$A$5:$A$304,0))),"编号没找到"))</f>
        <v/>
      </c>
      <c r="M609" s="57" t="str">
        <f>IF(AND(C609="买",ISNUMBER(B609)),WORKDAY(B609,1,'参数'!$B$58:$B$80),"")</f>
        <v/>
      </c>
      <c r="N609" s="36" t="str">
        <f>IF(C609&lt;&gt;"卖","",IF(AND(ISNUMBER(B609),A609&lt;&gt;""),IF(SUMIFS($E$5:$E$804,$A$5:$A$804,A609,$C$5:$C$804,"卖",$B$5:$B$804,"&lt;="&amp;B609)&gt;SUMIFS($E$5:$E$804,$A$5:$A$804,A609,$C$5:$C$804,"买",$B$5:$B$804,"&lt;"&amp;B609),"超出可卖股数","OK"),""))</f>
        <v/>
      </c>
      <c r="O609" s="32" t="n"/>
    </row>
    <row r="610">
      <c r="A610" s="46" t="n"/>
      <c r="B610" s="31" t="n"/>
      <c r="C610" s="27" t="n"/>
      <c r="D610" s="56" t="n"/>
      <c r="E610" s="17" t="n"/>
      <c r="F610" s="20" t="str">
        <f>IF(AND(ISNUMBER(D610),ISNUMBER(E610)),D610*E610,"")</f>
        <v/>
      </c>
      <c r="G610" s="51" t="str">
        <f>IF(ISNUMBER(F610),ROUND(MAX(F610*'参数'!$C$12,'参数'!$C$13),2),"")</f>
        <v/>
      </c>
      <c r="H610" s="51" t="str">
        <f>IF(ISNUMBER(F610),IF(C610="卖",ROUND(F610*'参数'!$C$14,2),0),"")</f>
        <v/>
      </c>
      <c r="I610" s="51" t="str">
        <f>IF(ISNUMBER(F610),ROUND(F610*'参数'!$C$15,2),"")</f>
        <v/>
      </c>
      <c r="J610" s="21" t="n"/>
      <c r="K610" s="20" t="str">
        <f>IF(ISNUMBER(J610),J610,IF(ISNUMBER(F610),G610+H610+I610+ROUND(F610*'参数'!$C$16,2),""))</f>
        <v/>
      </c>
      <c r="L610" s="43" t="str">
        <f>IF(A610="","",IFERROR(T(INDEX('交易记录'!$C$5:$C$304,MATCH(A610,'交易记录'!$A$5:$A$304,0))),"编号没找到"))</f>
        <v/>
      </c>
      <c r="M610" s="57" t="str">
        <f>IF(AND(C610="买",ISNUMBER(B610)),WORKDAY(B610,1,'参数'!$B$58:$B$80),"")</f>
        <v/>
      </c>
      <c r="N610" s="36" t="str">
        <f>IF(C610&lt;&gt;"卖","",IF(AND(ISNUMBER(B610),A610&lt;&gt;""),IF(SUMIFS($E$5:$E$804,$A$5:$A$804,A610,$C$5:$C$804,"卖",$B$5:$B$804,"&lt;="&amp;B610)&gt;SUMIFS($E$5:$E$804,$A$5:$A$804,A610,$C$5:$C$804,"买",$B$5:$B$804,"&lt;"&amp;B610),"超出可卖股数","OK"),""))</f>
        <v/>
      </c>
      <c r="O610" s="32" t="n"/>
    </row>
    <row r="611">
      <c r="A611" s="46" t="n"/>
      <c r="B611" s="31" t="n"/>
      <c r="C611" s="27" t="n"/>
      <c r="D611" s="56" t="n"/>
      <c r="E611" s="17" t="n"/>
      <c r="F611" s="20" t="str">
        <f>IF(AND(ISNUMBER(D611),ISNUMBER(E611)),D611*E611,"")</f>
        <v/>
      </c>
      <c r="G611" s="51" t="str">
        <f>IF(ISNUMBER(F611),ROUND(MAX(F611*'参数'!$C$12,'参数'!$C$13),2),"")</f>
        <v/>
      </c>
      <c r="H611" s="51" t="str">
        <f>IF(ISNUMBER(F611),IF(C611="卖",ROUND(F611*'参数'!$C$14,2),0),"")</f>
        <v/>
      </c>
      <c r="I611" s="51" t="str">
        <f>IF(ISNUMBER(F611),ROUND(F611*'参数'!$C$15,2),"")</f>
        <v/>
      </c>
      <c r="J611" s="21" t="n"/>
      <c r="K611" s="20" t="str">
        <f>IF(ISNUMBER(J611),J611,IF(ISNUMBER(F611),G611+H611+I611+ROUND(F611*'参数'!$C$16,2),""))</f>
        <v/>
      </c>
      <c r="L611" s="43" t="str">
        <f>IF(A611="","",IFERROR(T(INDEX('交易记录'!$C$5:$C$304,MATCH(A611,'交易记录'!$A$5:$A$304,0))),"编号没找到"))</f>
        <v/>
      </c>
      <c r="M611" s="57" t="str">
        <f>IF(AND(C611="买",ISNUMBER(B611)),WORKDAY(B611,1,'参数'!$B$58:$B$80),"")</f>
        <v/>
      </c>
      <c r="N611" s="36" t="str">
        <f>IF(C611&lt;&gt;"卖","",IF(AND(ISNUMBER(B611),A611&lt;&gt;""),IF(SUMIFS($E$5:$E$804,$A$5:$A$804,A611,$C$5:$C$804,"卖",$B$5:$B$804,"&lt;="&amp;B611)&gt;SUMIFS($E$5:$E$804,$A$5:$A$804,A611,$C$5:$C$804,"买",$B$5:$B$804,"&lt;"&amp;B611),"超出可卖股数","OK"),""))</f>
        <v/>
      </c>
      <c r="O611" s="32" t="n"/>
    </row>
    <row r="612">
      <c r="A612" s="46" t="n"/>
      <c r="B612" s="31" t="n"/>
      <c r="C612" s="27" t="n"/>
      <c r="D612" s="56" t="n"/>
      <c r="E612" s="17" t="n"/>
      <c r="F612" s="20" t="str">
        <f>IF(AND(ISNUMBER(D612),ISNUMBER(E612)),D612*E612,"")</f>
        <v/>
      </c>
      <c r="G612" s="51" t="str">
        <f>IF(ISNUMBER(F612),ROUND(MAX(F612*'参数'!$C$12,'参数'!$C$13),2),"")</f>
        <v/>
      </c>
      <c r="H612" s="51" t="str">
        <f>IF(ISNUMBER(F612),IF(C612="卖",ROUND(F612*'参数'!$C$14,2),0),"")</f>
        <v/>
      </c>
      <c r="I612" s="51" t="str">
        <f>IF(ISNUMBER(F612),ROUND(F612*'参数'!$C$15,2),"")</f>
        <v/>
      </c>
      <c r="J612" s="21" t="n"/>
      <c r="K612" s="20" t="str">
        <f>IF(ISNUMBER(J612),J612,IF(ISNUMBER(F612),G612+H612+I612+ROUND(F612*'参数'!$C$16,2),""))</f>
        <v/>
      </c>
      <c r="L612" s="43" t="str">
        <f>IF(A612="","",IFERROR(T(INDEX('交易记录'!$C$5:$C$304,MATCH(A612,'交易记录'!$A$5:$A$304,0))),"编号没找到"))</f>
        <v/>
      </c>
      <c r="M612" s="57" t="str">
        <f>IF(AND(C612="买",ISNUMBER(B612)),WORKDAY(B612,1,'参数'!$B$58:$B$80),"")</f>
        <v/>
      </c>
      <c r="N612" s="36" t="str">
        <f>IF(C612&lt;&gt;"卖","",IF(AND(ISNUMBER(B612),A612&lt;&gt;""),IF(SUMIFS($E$5:$E$804,$A$5:$A$804,A612,$C$5:$C$804,"卖",$B$5:$B$804,"&lt;="&amp;B612)&gt;SUMIFS($E$5:$E$804,$A$5:$A$804,A612,$C$5:$C$804,"买",$B$5:$B$804,"&lt;"&amp;B612),"超出可卖股数","OK"),""))</f>
        <v/>
      </c>
      <c r="O612" s="32" t="n"/>
    </row>
    <row r="613">
      <c r="A613" s="46" t="n"/>
      <c r="B613" s="31" t="n"/>
      <c r="C613" s="27" t="n"/>
      <c r="D613" s="56" t="n"/>
      <c r="E613" s="17" t="n"/>
      <c r="F613" s="20" t="str">
        <f>IF(AND(ISNUMBER(D613),ISNUMBER(E613)),D613*E613,"")</f>
        <v/>
      </c>
      <c r="G613" s="51" t="str">
        <f>IF(ISNUMBER(F613),ROUND(MAX(F613*'参数'!$C$12,'参数'!$C$13),2),"")</f>
        <v/>
      </c>
      <c r="H613" s="51" t="str">
        <f>IF(ISNUMBER(F613),IF(C613="卖",ROUND(F613*'参数'!$C$14,2),0),"")</f>
        <v/>
      </c>
      <c r="I613" s="51" t="str">
        <f>IF(ISNUMBER(F613),ROUND(F613*'参数'!$C$15,2),"")</f>
        <v/>
      </c>
      <c r="J613" s="21" t="n"/>
      <c r="K613" s="20" t="str">
        <f>IF(ISNUMBER(J613),J613,IF(ISNUMBER(F613),G613+H613+I613+ROUND(F613*'参数'!$C$16,2),""))</f>
        <v/>
      </c>
      <c r="L613" s="43" t="str">
        <f>IF(A613="","",IFERROR(T(INDEX('交易记录'!$C$5:$C$304,MATCH(A613,'交易记录'!$A$5:$A$304,0))),"编号没找到"))</f>
        <v/>
      </c>
      <c r="M613" s="57" t="str">
        <f>IF(AND(C613="买",ISNUMBER(B613)),WORKDAY(B613,1,'参数'!$B$58:$B$80),"")</f>
        <v/>
      </c>
      <c r="N613" s="36" t="str">
        <f>IF(C613&lt;&gt;"卖","",IF(AND(ISNUMBER(B613),A613&lt;&gt;""),IF(SUMIFS($E$5:$E$804,$A$5:$A$804,A613,$C$5:$C$804,"卖",$B$5:$B$804,"&lt;="&amp;B613)&gt;SUMIFS($E$5:$E$804,$A$5:$A$804,A613,$C$5:$C$804,"买",$B$5:$B$804,"&lt;"&amp;B613),"超出可卖股数","OK"),""))</f>
        <v/>
      </c>
      <c r="O613" s="32" t="n"/>
    </row>
    <row r="614">
      <c r="A614" s="46" t="n"/>
      <c r="B614" s="31" t="n"/>
      <c r="C614" s="27" t="n"/>
      <c r="D614" s="56" t="n"/>
      <c r="E614" s="17" t="n"/>
      <c r="F614" s="20" t="str">
        <f>IF(AND(ISNUMBER(D614),ISNUMBER(E614)),D614*E614,"")</f>
        <v/>
      </c>
      <c r="G614" s="51" t="str">
        <f>IF(ISNUMBER(F614),ROUND(MAX(F614*'参数'!$C$12,'参数'!$C$13),2),"")</f>
        <v/>
      </c>
      <c r="H614" s="51" t="str">
        <f>IF(ISNUMBER(F614),IF(C614="卖",ROUND(F614*'参数'!$C$14,2),0),"")</f>
        <v/>
      </c>
      <c r="I614" s="51" t="str">
        <f>IF(ISNUMBER(F614),ROUND(F614*'参数'!$C$15,2),"")</f>
        <v/>
      </c>
      <c r="J614" s="21" t="n"/>
      <c r="K614" s="20" t="str">
        <f>IF(ISNUMBER(J614),J614,IF(ISNUMBER(F614),G614+H614+I614+ROUND(F614*'参数'!$C$16,2),""))</f>
        <v/>
      </c>
      <c r="L614" s="43" t="str">
        <f>IF(A614="","",IFERROR(T(INDEX('交易记录'!$C$5:$C$304,MATCH(A614,'交易记录'!$A$5:$A$304,0))),"编号没找到"))</f>
        <v/>
      </c>
      <c r="M614" s="57" t="str">
        <f>IF(AND(C614="买",ISNUMBER(B614)),WORKDAY(B614,1,'参数'!$B$58:$B$80),"")</f>
        <v/>
      </c>
      <c r="N614" s="36" t="str">
        <f>IF(C614&lt;&gt;"卖","",IF(AND(ISNUMBER(B614),A614&lt;&gt;""),IF(SUMIFS($E$5:$E$804,$A$5:$A$804,A614,$C$5:$C$804,"卖",$B$5:$B$804,"&lt;="&amp;B614)&gt;SUMIFS($E$5:$E$804,$A$5:$A$804,A614,$C$5:$C$804,"买",$B$5:$B$804,"&lt;"&amp;B614),"超出可卖股数","OK"),""))</f>
        <v/>
      </c>
      <c r="O614" s="32" t="n"/>
    </row>
    <row r="615">
      <c r="A615" s="46" t="n"/>
      <c r="B615" s="31" t="n"/>
      <c r="C615" s="27" t="n"/>
      <c r="D615" s="56" t="n"/>
      <c r="E615" s="17" t="n"/>
      <c r="F615" s="20" t="str">
        <f>IF(AND(ISNUMBER(D615),ISNUMBER(E615)),D615*E615,"")</f>
        <v/>
      </c>
      <c r="G615" s="51" t="str">
        <f>IF(ISNUMBER(F615),ROUND(MAX(F615*'参数'!$C$12,'参数'!$C$13),2),"")</f>
        <v/>
      </c>
      <c r="H615" s="51" t="str">
        <f>IF(ISNUMBER(F615),IF(C615="卖",ROUND(F615*'参数'!$C$14,2),0),"")</f>
        <v/>
      </c>
      <c r="I615" s="51" t="str">
        <f>IF(ISNUMBER(F615),ROUND(F615*'参数'!$C$15,2),"")</f>
        <v/>
      </c>
      <c r="J615" s="21" t="n"/>
      <c r="K615" s="20" t="str">
        <f>IF(ISNUMBER(J615),J615,IF(ISNUMBER(F615),G615+H615+I615+ROUND(F615*'参数'!$C$16,2),""))</f>
        <v/>
      </c>
      <c r="L615" s="43" t="str">
        <f>IF(A615="","",IFERROR(T(INDEX('交易记录'!$C$5:$C$304,MATCH(A615,'交易记录'!$A$5:$A$304,0))),"编号没找到"))</f>
        <v/>
      </c>
      <c r="M615" s="57" t="str">
        <f>IF(AND(C615="买",ISNUMBER(B615)),WORKDAY(B615,1,'参数'!$B$58:$B$80),"")</f>
        <v/>
      </c>
      <c r="N615" s="36" t="str">
        <f>IF(C615&lt;&gt;"卖","",IF(AND(ISNUMBER(B615),A615&lt;&gt;""),IF(SUMIFS($E$5:$E$804,$A$5:$A$804,A615,$C$5:$C$804,"卖",$B$5:$B$804,"&lt;="&amp;B615)&gt;SUMIFS($E$5:$E$804,$A$5:$A$804,A615,$C$5:$C$804,"买",$B$5:$B$804,"&lt;"&amp;B615),"超出可卖股数","OK"),""))</f>
        <v/>
      </c>
      <c r="O615" s="32" t="n"/>
    </row>
    <row r="616">
      <c r="A616" s="46" t="n"/>
      <c r="B616" s="31" t="n"/>
      <c r="C616" s="27" t="n"/>
      <c r="D616" s="56" t="n"/>
      <c r="E616" s="17" t="n"/>
      <c r="F616" s="20" t="str">
        <f>IF(AND(ISNUMBER(D616),ISNUMBER(E616)),D616*E616,"")</f>
        <v/>
      </c>
      <c r="G616" s="51" t="str">
        <f>IF(ISNUMBER(F616),ROUND(MAX(F616*'参数'!$C$12,'参数'!$C$13),2),"")</f>
        <v/>
      </c>
      <c r="H616" s="51" t="str">
        <f>IF(ISNUMBER(F616),IF(C616="卖",ROUND(F616*'参数'!$C$14,2),0),"")</f>
        <v/>
      </c>
      <c r="I616" s="51" t="str">
        <f>IF(ISNUMBER(F616),ROUND(F616*'参数'!$C$15,2),"")</f>
        <v/>
      </c>
      <c r="J616" s="21" t="n"/>
      <c r="K616" s="20" t="str">
        <f>IF(ISNUMBER(J616),J616,IF(ISNUMBER(F616),G616+H616+I616+ROUND(F616*'参数'!$C$16,2),""))</f>
        <v/>
      </c>
      <c r="L616" s="43" t="str">
        <f>IF(A616="","",IFERROR(T(INDEX('交易记录'!$C$5:$C$304,MATCH(A616,'交易记录'!$A$5:$A$304,0))),"编号没找到"))</f>
        <v/>
      </c>
      <c r="M616" s="57" t="str">
        <f>IF(AND(C616="买",ISNUMBER(B616)),WORKDAY(B616,1,'参数'!$B$58:$B$80),"")</f>
        <v/>
      </c>
      <c r="N616" s="36" t="str">
        <f>IF(C616&lt;&gt;"卖","",IF(AND(ISNUMBER(B616),A616&lt;&gt;""),IF(SUMIFS($E$5:$E$804,$A$5:$A$804,A616,$C$5:$C$804,"卖",$B$5:$B$804,"&lt;="&amp;B616)&gt;SUMIFS($E$5:$E$804,$A$5:$A$804,A616,$C$5:$C$804,"买",$B$5:$B$804,"&lt;"&amp;B616),"超出可卖股数","OK"),""))</f>
        <v/>
      </c>
      <c r="O616" s="32" t="n"/>
    </row>
    <row r="617">
      <c r="A617" s="46" t="n"/>
      <c r="B617" s="31" t="n"/>
      <c r="C617" s="27" t="n"/>
      <c r="D617" s="56" t="n"/>
      <c r="E617" s="17" t="n"/>
      <c r="F617" s="20" t="str">
        <f>IF(AND(ISNUMBER(D617),ISNUMBER(E617)),D617*E617,"")</f>
        <v/>
      </c>
      <c r="G617" s="51" t="str">
        <f>IF(ISNUMBER(F617),ROUND(MAX(F617*'参数'!$C$12,'参数'!$C$13),2),"")</f>
        <v/>
      </c>
      <c r="H617" s="51" t="str">
        <f>IF(ISNUMBER(F617),IF(C617="卖",ROUND(F617*'参数'!$C$14,2),0),"")</f>
        <v/>
      </c>
      <c r="I617" s="51" t="str">
        <f>IF(ISNUMBER(F617),ROUND(F617*'参数'!$C$15,2),"")</f>
        <v/>
      </c>
      <c r="J617" s="21" t="n"/>
      <c r="K617" s="20" t="str">
        <f>IF(ISNUMBER(J617),J617,IF(ISNUMBER(F617),G617+H617+I617+ROUND(F617*'参数'!$C$16,2),""))</f>
        <v/>
      </c>
      <c r="L617" s="43" t="str">
        <f>IF(A617="","",IFERROR(T(INDEX('交易记录'!$C$5:$C$304,MATCH(A617,'交易记录'!$A$5:$A$304,0))),"编号没找到"))</f>
        <v/>
      </c>
      <c r="M617" s="57" t="str">
        <f>IF(AND(C617="买",ISNUMBER(B617)),WORKDAY(B617,1,'参数'!$B$58:$B$80),"")</f>
        <v/>
      </c>
      <c r="N617" s="36" t="str">
        <f>IF(C617&lt;&gt;"卖","",IF(AND(ISNUMBER(B617),A617&lt;&gt;""),IF(SUMIFS($E$5:$E$804,$A$5:$A$804,A617,$C$5:$C$804,"卖",$B$5:$B$804,"&lt;="&amp;B617)&gt;SUMIFS($E$5:$E$804,$A$5:$A$804,A617,$C$5:$C$804,"买",$B$5:$B$804,"&lt;"&amp;B617),"超出可卖股数","OK"),""))</f>
        <v/>
      </c>
      <c r="O617" s="32" t="n"/>
    </row>
    <row r="618">
      <c r="A618" s="46" t="n"/>
      <c r="B618" s="31" t="n"/>
      <c r="C618" s="27" t="n"/>
      <c r="D618" s="56" t="n"/>
      <c r="E618" s="17" t="n"/>
      <c r="F618" s="20" t="str">
        <f>IF(AND(ISNUMBER(D618),ISNUMBER(E618)),D618*E618,"")</f>
        <v/>
      </c>
      <c r="G618" s="51" t="str">
        <f>IF(ISNUMBER(F618),ROUND(MAX(F618*'参数'!$C$12,'参数'!$C$13),2),"")</f>
        <v/>
      </c>
      <c r="H618" s="51" t="str">
        <f>IF(ISNUMBER(F618),IF(C618="卖",ROUND(F618*'参数'!$C$14,2),0),"")</f>
        <v/>
      </c>
      <c r="I618" s="51" t="str">
        <f>IF(ISNUMBER(F618),ROUND(F618*'参数'!$C$15,2),"")</f>
        <v/>
      </c>
      <c r="J618" s="21" t="n"/>
      <c r="K618" s="20" t="str">
        <f>IF(ISNUMBER(J618),J618,IF(ISNUMBER(F618),G618+H618+I618+ROUND(F618*'参数'!$C$16,2),""))</f>
        <v/>
      </c>
      <c r="L618" s="43" t="str">
        <f>IF(A618="","",IFERROR(T(INDEX('交易记录'!$C$5:$C$304,MATCH(A618,'交易记录'!$A$5:$A$304,0))),"编号没找到"))</f>
        <v/>
      </c>
      <c r="M618" s="57" t="str">
        <f>IF(AND(C618="买",ISNUMBER(B618)),WORKDAY(B618,1,'参数'!$B$58:$B$80),"")</f>
        <v/>
      </c>
      <c r="N618" s="36" t="str">
        <f>IF(C618&lt;&gt;"卖","",IF(AND(ISNUMBER(B618),A618&lt;&gt;""),IF(SUMIFS($E$5:$E$804,$A$5:$A$804,A618,$C$5:$C$804,"卖",$B$5:$B$804,"&lt;="&amp;B618)&gt;SUMIFS($E$5:$E$804,$A$5:$A$804,A618,$C$5:$C$804,"买",$B$5:$B$804,"&lt;"&amp;B618),"超出可卖股数","OK"),""))</f>
        <v/>
      </c>
      <c r="O618" s="32" t="n"/>
    </row>
    <row r="619">
      <c r="A619" s="46" t="n"/>
      <c r="B619" s="31" t="n"/>
      <c r="C619" s="27" t="n"/>
      <c r="D619" s="56" t="n"/>
      <c r="E619" s="17" t="n"/>
      <c r="F619" s="20" t="str">
        <f>IF(AND(ISNUMBER(D619),ISNUMBER(E619)),D619*E619,"")</f>
        <v/>
      </c>
      <c r="G619" s="51" t="str">
        <f>IF(ISNUMBER(F619),ROUND(MAX(F619*'参数'!$C$12,'参数'!$C$13),2),"")</f>
        <v/>
      </c>
      <c r="H619" s="51" t="str">
        <f>IF(ISNUMBER(F619),IF(C619="卖",ROUND(F619*'参数'!$C$14,2),0),"")</f>
        <v/>
      </c>
      <c r="I619" s="51" t="str">
        <f>IF(ISNUMBER(F619),ROUND(F619*'参数'!$C$15,2),"")</f>
        <v/>
      </c>
      <c r="J619" s="21" t="n"/>
      <c r="K619" s="20" t="str">
        <f>IF(ISNUMBER(J619),J619,IF(ISNUMBER(F619),G619+H619+I619+ROUND(F619*'参数'!$C$16,2),""))</f>
        <v/>
      </c>
      <c r="L619" s="43" t="str">
        <f>IF(A619="","",IFERROR(T(INDEX('交易记录'!$C$5:$C$304,MATCH(A619,'交易记录'!$A$5:$A$304,0))),"编号没找到"))</f>
        <v/>
      </c>
      <c r="M619" s="57" t="str">
        <f>IF(AND(C619="买",ISNUMBER(B619)),WORKDAY(B619,1,'参数'!$B$58:$B$80),"")</f>
        <v/>
      </c>
      <c r="N619" s="36" t="str">
        <f>IF(C619&lt;&gt;"卖","",IF(AND(ISNUMBER(B619),A619&lt;&gt;""),IF(SUMIFS($E$5:$E$804,$A$5:$A$804,A619,$C$5:$C$804,"卖",$B$5:$B$804,"&lt;="&amp;B619)&gt;SUMIFS($E$5:$E$804,$A$5:$A$804,A619,$C$5:$C$804,"买",$B$5:$B$804,"&lt;"&amp;B619),"超出可卖股数","OK"),""))</f>
        <v/>
      </c>
      <c r="O619" s="32" t="n"/>
    </row>
    <row r="620">
      <c r="A620" s="46" t="n"/>
      <c r="B620" s="31" t="n"/>
      <c r="C620" s="27" t="n"/>
      <c r="D620" s="56" t="n"/>
      <c r="E620" s="17" t="n"/>
      <c r="F620" s="20" t="str">
        <f>IF(AND(ISNUMBER(D620),ISNUMBER(E620)),D620*E620,"")</f>
        <v/>
      </c>
      <c r="G620" s="51" t="str">
        <f>IF(ISNUMBER(F620),ROUND(MAX(F620*'参数'!$C$12,'参数'!$C$13),2),"")</f>
        <v/>
      </c>
      <c r="H620" s="51" t="str">
        <f>IF(ISNUMBER(F620),IF(C620="卖",ROUND(F620*'参数'!$C$14,2),0),"")</f>
        <v/>
      </c>
      <c r="I620" s="51" t="str">
        <f>IF(ISNUMBER(F620),ROUND(F620*'参数'!$C$15,2),"")</f>
        <v/>
      </c>
      <c r="J620" s="21" t="n"/>
      <c r="K620" s="20" t="str">
        <f>IF(ISNUMBER(J620),J620,IF(ISNUMBER(F620),G620+H620+I620+ROUND(F620*'参数'!$C$16,2),""))</f>
        <v/>
      </c>
      <c r="L620" s="43" t="str">
        <f>IF(A620="","",IFERROR(T(INDEX('交易记录'!$C$5:$C$304,MATCH(A620,'交易记录'!$A$5:$A$304,0))),"编号没找到"))</f>
        <v/>
      </c>
      <c r="M620" s="57" t="str">
        <f>IF(AND(C620="买",ISNUMBER(B620)),WORKDAY(B620,1,'参数'!$B$58:$B$80),"")</f>
        <v/>
      </c>
      <c r="N620" s="36" t="str">
        <f>IF(C620&lt;&gt;"卖","",IF(AND(ISNUMBER(B620),A620&lt;&gt;""),IF(SUMIFS($E$5:$E$804,$A$5:$A$804,A620,$C$5:$C$804,"卖",$B$5:$B$804,"&lt;="&amp;B620)&gt;SUMIFS($E$5:$E$804,$A$5:$A$804,A620,$C$5:$C$804,"买",$B$5:$B$804,"&lt;"&amp;B620),"超出可卖股数","OK"),""))</f>
        <v/>
      </c>
      <c r="O620" s="32" t="n"/>
    </row>
    <row r="621">
      <c r="A621" s="46" t="n"/>
      <c r="B621" s="31" t="n"/>
      <c r="C621" s="27" t="n"/>
      <c r="D621" s="56" t="n"/>
      <c r="E621" s="17" t="n"/>
      <c r="F621" s="20" t="str">
        <f>IF(AND(ISNUMBER(D621),ISNUMBER(E621)),D621*E621,"")</f>
        <v/>
      </c>
      <c r="G621" s="51" t="str">
        <f>IF(ISNUMBER(F621),ROUND(MAX(F621*'参数'!$C$12,'参数'!$C$13),2),"")</f>
        <v/>
      </c>
      <c r="H621" s="51" t="str">
        <f>IF(ISNUMBER(F621),IF(C621="卖",ROUND(F621*'参数'!$C$14,2),0),"")</f>
        <v/>
      </c>
      <c r="I621" s="51" t="str">
        <f>IF(ISNUMBER(F621),ROUND(F621*'参数'!$C$15,2),"")</f>
        <v/>
      </c>
      <c r="J621" s="21" t="n"/>
      <c r="K621" s="20" t="str">
        <f>IF(ISNUMBER(J621),J621,IF(ISNUMBER(F621),G621+H621+I621+ROUND(F621*'参数'!$C$16,2),""))</f>
        <v/>
      </c>
      <c r="L621" s="43" t="str">
        <f>IF(A621="","",IFERROR(T(INDEX('交易记录'!$C$5:$C$304,MATCH(A621,'交易记录'!$A$5:$A$304,0))),"编号没找到"))</f>
        <v/>
      </c>
      <c r="M621" s="57" t="str">
        <f>IF(AND(C621="买",ISNUMBER(B621)),WORKDAY(B621,1,'参数'!$B$58:$B$80),"")</f>
        <v/>
      </c>
      <c r="N621" s="36" t="str">
        <f>IF(C621&lt;&gt;"卖","",IF(AND(ISNUMBER(B621),A621&lt;&gt;""),IF(SUMIFS($E$5:$E$804,$A$5:$A$804,A621,$C$5:$C$804,"卖",$B$5:$B$804,"&lt;="&amp;B621)&gt;SUMIFS($E$5:$E$804,$A$5:$A$804,A621,$C$5:$C$804,"买",$B$5:$B$804,"&lt;"&amp;B621),"超出可卖股数","OK"),""))</f>
        <v/>
      </c>
      <c r="O621" s="32" t="n"/>
    </row>
    <row r="622">
      <c r="A622" s="46" t="n"/>
      <c r="B622" s="31" t="n"/>
      <c r="C622" s="27" t="n"/>
      <c r="D622" s="56" t="n"/>
      <c r="E622" s="17" t="n"/>
      <c r="F622" s="20" t="str">
        <f>IF(AND(ISNUMBER(D622),ISNUMBER(E622)),D622*E622,"")</f>
        <v/>
      </c>
      <c r="G622" s="51" t="str">
        <f>IF(ISNUMBER(F622),ROUND(MAX(F622*'参数'!$C$12,'参数'!$C$13),2),"")</f>
        <v/>
      </c>
      <c r="H622" s="51" t="str">
        <f>IF(ISNUMBER(F622),IF(C622="卖",ROUND(F622*'参数'!$C$14,2),0),"")</f>
        <v/>
      </c>
      <c r="I622" s="51" t="str">
        <f>IF(ISNUMBER(F622),ROUND(F622*'参数'!$C$15,2),"")</f>
        <v/>
      </c>
      <c r="J622" s="21" t="n"/>
      <c r="K622" s="20" t="str">
        <f>IF(ISNUMBER(J622),J622,IF(ISNUMBER(F622),G622+H622+I622+ROUND(F622*'参数'!$C$16,2),""))</f>
        <v/>
      </c>
      <c r="L622" s="43" t="str">
        <f>IF(A622="","",IFERROR(T(INDEX('交易记录'!$C$5:$C$304,MATCH(A622,'交易记录'!$A$5:$A$304,0))),"编号没找到"))</f>
        <v/>
      </c>
      <c r="M622" s="57" t="str">
        <f>IF(AND(C622="买",ISNUMBER(B622)),WORKDAY(B622,1,'参数'!$B$58:$B$80),"")</f>
        <v/>
      </c>
      <c r="N622" s="36" t="str">
        <f>IF(C622&lt;&gt;"卖","",IF(AND(ISNUMBER(B622),A622&lt;&gt;""),IF(SUMIFS($E$5:$E$804,$A$5:$A$804,A622,$C$5:$C$804,"卖",$B$5:$B$804,"&lt;="&amp;B622)&gt;SUMIFS($E$5:$E$804,$A$5:$A$804,A622,$C$5:$C$804,"买",$B$5:$B$804,"&lt;"&amp;B622),"超出可卖股数","OK"),""))</f>
        <v/>
      </c>
      <c r="O622" s="32" t="n"/>
    </row>
    <row r="623">
      <c r="A623" s="46" t="n"/>
      <c r="B623" s="31" t="n"/>
      <c r="C623" s="27" t="n"/>
      <c r="D623" s="56" t="n"/>
      <c r="E623" s="17" t="n"/>
      <c r="F623" s="20" t="str">
        <f>IF(AND(ISNUMBER(D623),ISNUMBER(E623)),D623*E623,"")</f>
        <v/>
      </c>
      <c r="G623" s="51" t="str">
        <f>IF(ISNUMBER(F623),ROUND(MAX(F623*'参数'!$C$12,'参数'!$C$13),2),"")</f>
        <v/>
      </c>
      <c r="H623" s="51" t="str">
        <f>IF(ISNUMBER(F623),IF(C623="卖",ROUND(F623*'参数'!$C$14,2),0),"")</f>
        <v/>
      </c>
      <c r="I623" s="51" t="str">
        <f>IF(ISNUMBER(F623),ROUND(F623*'参数'!$C$15,2),"")</f>
        <v/>
      </c>
      <c r="J623" s="21" t="n"/>
      <c r="K623" s="20" t="str">
        <f>IF(ISNUMBER(J623),J623,IF(ISNUMBER(F623),G623+H623+I623+ROUND(F623*'参数'!$C$16,2),""))</f>
        <v/>
      </c>
      <c r="L623" s="43" t="str">
        <f>IF(A623="","",IFERROR(T(INDEX('交易记录'!$C$5:$C$304,MATCH(A623,'交易记录'!$A$5:$A$304,0))),"编号没找到"))</f>
        <v/>
      </c>
      <c r="M623" s="57" t="str">
        <f>IF(AND(C623="买",ISNUMBER(B623)),WORKDAY(B623,1,'参数'!$B$58:$B$80),"")</f>
        <v/>
      </c>
      <c r="N623" s="36" t="str">
        <f>IF(C623&lt;&gt;"卖","",IF(AND(ISNUMBER(B623),A623&lt;&gt;""),IF(SUMIFS($E$5:$E$804,$A$5:$A$804,A623,$C$5:$C$804,"卖",$B$5:$B$804,"&lt;="&amp;B623)&gt;SUMIFS($E$5:$E$804,$A$5:$A$804,A623,$C$5:$C$804,"买",$B$5:$B$804,"&lt;"&amp;B623),"超出可卖股数","OK"),""))</f>
        <v/>
      </c>
      <c r="O623" s="32" t="n"/>
    </row>
    <row r="624">
      <c r="A624" s="46" t="n"/>
      <c r="B624" s="31" t="n"/>
      <c r="C624" s="27" t="n"/>
      <c r="D624" s="56" t="n"/>
      <c r="E624" s="17" t="n"/>
      <c r="F624" s="20" t="str">
        <f>IF(AND(ISNUMBER(D624),ISNUMBER(E624)),D624*E624,"")</f>
        <v/>
      </c>
      <c r="G624" s="51" t="str">
        <f>IF(ISNUMBER(F624),ROUND(MAX(F624*'参数'!$C$12,'参数'!$C$13),2),"")</f>
        <v/>
      </c>
      <c r="H624" s="51" t="str">
        <f>IF(ISNUMBER(F624),IF(C624="卖",ROUND(F624*'参数'!$C$14,2),0),"")</f>
        <v/>
      </c>
      <c r="I624" s="51" t="str">
        <f>IF(ISNUMBER(F624),ROUND(F624*'参数'!$C$15,2),"")</f>
        <v/>
      </c>
      <c r="J624" s="21" t="n"/>
      <c r="K624" s="20" t="str">
        <f>IF(ISNUMBER(J624),J624,IF(ISNUMBER(F624),G624+H624+I624+ROUND(F624*'参数'!$C$16,2),""))</f>
        <v/>
      </c>
      <c r="L624" s="43" t="str">
        <f>IF(A624="","",IFERROR(T(INDEX('交易记录'!$C$5:$C$304,MATCH(A624,'交易记录'!$A$5:$A$304,0))),"编号没找到"))</f>
        <v/>
      </c>
      <c r="M624" s="57" t="str">
        <f>IF(AND(C624="买",ISNUMBER(B624)),WORKDAY(B624,1,'参数'!$B$58:$B$80),"")</f>
        <v/>
      </c>
      <c r="N624" s="36" t="str">
        <f>IF(C624&lt;&gt;"卖","",IF(AND(ISNUMBER(B624),A624&lt;&gt;""),IF(SUMIFS($E$5:$E$804,$A$5:$A$804,A624,$C$5:$C$804,"卖",$B$5:$B$804,"&lt;="&amp;B624)&gt;SUMIFS($E$5:$E$804,$A$5:$A$804,A624,$C$5:$C$804,"买",$B$5:$B$804,"&lt;"&amp;B624),"超出可卖股数","OK"),""))</f>
        <v/>
      </c>
      <c r="O624" s="32" t="n"/>
    </row>
    <row r="625">
      <c r="A625" s="46" t="n"/>
      <c r="B625" s="31" t="n"/>
      <c r="C625" s="27" t="n"/>
      <c r="D625" s="56" t="n"/>
      <c r="E625" s="17" t="n"/>
      <c r="F625" s="20" t="str">
        <f>IF(AND(ISNUMBER(D625),ISNUMBER(E625)),D625*E625,"")</f>
        <v/>
      </c>
      <c r="G625" s="51" t="str">
        <f>IF(ISNUMBER(F625),ROUND(MAX(F625*'参数'!$C$12,'参数'!$C$13),2),"")</f>
        <v/>
      </c>
      <c r="H625" s="51" t="str">
        <f>IF(ISNUMBER(F625),IF(C625="卖",ROUND(F625*'参数'!$C$14,2),0),"")</f>
        <v/>
      </c>
      <c r="I625" s="51" t="str">
        <f>IF(ISNUMBER(F625),ROUND(F625*'参数'!$C$15,2),"")</f>
        <v/>
      </c>
      <c r="J625" s="21" t="n"/>
      <c r="K625" s="20" t="str">
        <f>IF(ISNUMBER(J625),J625,IF(ISNUMBER(F625),G625+H625+I625+ROUND(F625*'参数'!$C$16,2),""))</f>
        <v/>
      </c>
      <c r="L625" s="43" t="str">
        <f>IF(A625="","",IFERROR(T(INDEX('交易记录'!$C$5:$C$304,MATCH(A625,'交易记录'!$A$5:$A$304,0))),"编号没找到"))</f>
        <v/>
      </c>
      <c r="M625" s="57" t="str">
        <f>IF(AND(C625="买",ISNUMBER(B625)),WORKDAY(B625,1,'参数'!$B$58:$B$80),"")</f>
        <v/>
      </c>
      <c r="N625" s="36" t="str">
        <f>IF(C625&lt;&gt;"卖","",IF(AND(ISNUMBER(B625),A625&lt;&gt;""),IF(SUMIFS($E$5:$E$804,$A$5:$A$804,A625,$C$5:$C$804,"卖",$B$5:$B$804,"&lt;="&amp;B625)&gt;SUMIFS($E$5:$E$804,$A$5:$A$804,A625,$C$5:$C$804,"买",$B$5:$B$804,"&lt;"&amp;B625),"超出可卖股数","OK"),""))</f>
        <v/>
      </c>
      <c r="O625" s="32" t="n"/>
    </row>
    <row r="626">
      <c r="A626" s="46" t="n"/>
      <c r="B626" s="31" t="n"/>
      <c r="C626" s="27" t="n"/>
      <c r="D626" s="56" t="n"/>
      <c r="E626" s="17" t="n"/>
      <c r="F626" s="20" t="str">
        <f>IF(AND(ISNUMBER(D626),ISNUMBER(E626)),D626*E626,"")</f>
        <v/>
      </c>
      <c r="G626" s="51" t="str">
        <f>IF(ISNUMBER(F626),ROUND(MAX(F626*'参数'!$C$12,'参数'!$C$13),2),"")</f>
        <v/>
      </c>
      <c r="H626" s="51" t="str">
        <f>IF(ISNUMBER(F626),IF(C626="卖",ROUND(F626*'参数'!$C$14,2),0),"")</f>
        <v/>
      </c>
      <c r="I626" s="51" t="str">
        <f>IF(ISNUMBER(F626),ROUND(F626*'参数'!$C$15,2),"")</f>
        <v/>
      </c>
      <c r="J626" s="21" t="n"/>
      <c r="K626" s="20" t="str">
        <f>IF(ISNUMBER(J626),J626,IF(ISNUMBER(F626),G626+H626+I626+ROUND(F626*'参数'!$C$16,2),""))</f>
        <v/>
      </c>
      <c r="L626" s="43" t="str">
        <f>IF(A626="","",IFERROR(T(INDEX('交易记录'!$C$5:$C$304,MATCH(A626,'交易记录'!$A$5:$A$304,0))),"编号没找到"))</f>
        <v/>
      </c>
      <c r="M626" s="57" t="str">
        <f>IF(AND(C626="买",ISNUMBER(B626)),WORKDAY(B626,1,'参数'!$B$58:$B$80),"")</f>
        <v/>
      </c>
      <c r="N626" s="36" t="str">
        <f>IF(C626&lt;&gt;"卖","",IF(AND(ISNUMBER(B626),A626&lt;&gt;""),IF(SUMIFS($E$5:$E$804,$A$5:$A$804,A626,$C$5:$C$804,"卖",$B$5:$B$804,"&lt;="&amp;B626)&gt;SUMIFS($E$5:$E$804,$A$5:$A$804,A626,$C$5:$C$804,"买",$B$5:$B$804,"&lt;"&amp;B626),"超出可卖股数","OK"),""))</f>
        <v/>
      </c>
      <c r="O626" s="32" t="n"/>
    </row>
    <row r="627">
      <c r="A627" s="46" t="n"/>
      <c r="B627" s="31" t="n"/>
      <c r="C627" s="27" t="n"/>
      <c r="D627" s="56" t="n"/>
      <c r="E627" s="17" t="n"/>
      <c r="F627" s="20" t="str">
        <f>IF(AND(ISNUMBER(D627),ISNUMBER(E627)),D627*E627,"")</f>
        <v/>
      </c>
      <c r="G627" s="51" t="str">
        <f>IF(ISNUMBER(F627),ROUND(MAX(F627*'参数'!$C$12,'参数'!$C$13),2),"")</f>
        <v/>
      </c>
      <c r="H627" s="51" t="str">
        <f>IF(ISNUMBER(F627),IF(C627="卖",ROUND(F627*'参数'!$C$14,2),0),"")</f>
        <v/>
      </c>
      <c r="I627" s="51" t="str">
        <f>IF(ISNUMBER(F627),ROUND(F627*'参数'!$C$15,2),"")</f>
        <v/>
      </c>
      <c r="J627" s="21" t="n"/>
      <c r="K627" s="20" t="str">
        <f>IF(ISNUMBER(J627),J627,IF(ISNUMBER(F627),G627+H627+I627+ROUND(F627*'参数'!$C$16,2),""))</f>
        <v/>
      </c>
      <c r="L627" s="43" t="str">
        <f>IF(A627="","",IFERROR(T(INDEX('交易记录'!$C$5:$C$304,MATCH(A627,'交易记录'!$A$5:$A$304,0))),"编号没找到"))</f>
        <v/>
      </c>
      <c r="M627" s="57" t="str">
        <f>IF(AND(C627="买",ISNUMBER(B627)),WORKDAY(B627,1,'参数'!$B$58:$B$80),"")</f>
        <v/>
      </c>
      <c r="N627" s="36" t="str">
        <f>IF(C627&lt;&gt;"卖","",IF(AND(ISNUMBER(B627),A627&lt;&gt;""),IF(SUMIFS($E$5:$E$804,$A$5:$A$804,A627,$C$5:$C$804,"卖",$B$5:$B$804,"&lt;="&amp;B627)&gt;SUMIFS($E$5:$E$804,$A$5:$A$804,A627,$C$5:$C$804,"买",$B$5:$B$804,"&lt;"&amp;B627),"超出可卖股数","OK"),""))</f>
        <v/>
      </c>
      <c r="O627" s="32" t="n"/>
    </row>
    <row r="628">
      <c r="A628" s="46" t="n"/>
      <c r="B628" s="31" t="n"/>
      <c r="C628" s="27" t="n"/>
      <c r="D628" s="56" t="n"/>
      <c r="E628" s="17" t="n"/>
      <c r="F628" s="20" t="str">
        <f>IF(AND(ISNUMBER(D628),ISNUMBER(E628)),D628*E628,"")</f>
        <v/>
      </c>
      <c r="G628" s="51" t="str">
        <f>IF(ISNUMBER(F628),ROUND(MAX(F628*'参数'!$C$12,'参数'!$C$13),2),"")</f>
        <v/>
      </c>
      <c r="H628" s="51" t="str">
        <f>IF(ISNUMBER(F628),IF(C628="卖",ROUND(F628*'参数'!$C$14,2),0),"")</f>
        <v/>
      </c>
      <c r="I628" s="51" t="str">
        <f>IF(ISNUMBER(F628),ROUND(F628*'参数'!$C$15,2),"")</f>
        <v/>
      </c>
      <c r="J628" s="21" t="n"/>
      <c r="K628" s="20" t="str">
        <f>IF(ISNUMBER(J628),J628,IF(ISNUMBER(F628),G628+H628+I628+ROUND(F628*'参数'!$C$16,2),""))</f>
        <v/>
      </c>
      <c r="L628" s="43" t="str">
        <f>IF(A628="","",IFERROR(T(INDEX('交易记录'!$C$5:$C$304,MATCH(A628,'交易记录'!$A$5:$A$304,0))),"编号没找到"))</f>
        <v/>
      </c>
      <c r="M628" s="57" t="str">
        <f>IF(AND(C628="买",ISNUMBER(B628)),WORKDAY(B628,1,'参数'!$B$58:$B$80),"")</f>
        <v/>
      </c>
      <c r="N628" s="36" t="str">
        <f>IF(C628&lt;&gt;"卖","",IF(AND(ISNUMBER(B628),A628&lt;&gt;""),IF(SUMIFS($E$5:$E$804,$A$5:$A$804,A628,$C$5:$C$804,"卖",$B$5:$B$804,"&lt;="&amp;B628)&gt;SUMIFS($E$5:$E$804,$A$5:$A$804,A628,$C$5:$C$804,"买",$B$5:$B$804,"&lt;"&amp;B628),"超出可卖股数","OK"),""))</f>
        <v/>
      </c>
      <c r="O628" s="32" t="n"/>
    </row>
    <row r="629">
      <c r="A629" s="46" t="n"/>
      <c r="B629" s="31" t="n"/>
      <c r="C629" s="27" t="n"/>
      <c r="D629" s="56" t="n"/>
      <c r="E629" s="17" t="n"/>
      <c r="F629" s="20" t="str">
        <f>IF(AND(ISNUMBER(D629),ISNUMBER(E629)),D629*E629,"")</f>
        <v/>
      </c>
      <c r="G629" s="51" t="str">
        <f>IF(ISNUMBER(F629),ROUND(MAX(F629*'参数'!$C$12,'参数'!$C$13),2),"")</f>
        <v/>
      </c>
      <c r="H629" s="51" t="str">
        <f>IF(ISNUMBER(F629),IF(C629="卖",ROUND(F629*'参数'!$C$14,2),0),"")</f>
        <v/>
      </c>
      <c r="I629" s="51" t="str">
        <f>IF(ISNUMBER(F629),ROUND(F629*'参数'!$C$15,2),"")</f>
        <v/>
      </c>
      <c r="J629" s="21" t="n"/>
      <c r="K629" s="20" t="str">
        <f>IF(ISNUMBER(J629),J629,IF(ISNUMBER(F629),G629+H629+I629+ROUND(F629*'参数'!$C$16,2),""))</f>
        <v/>
      </c>
      <c r="L629" s="43" t="str">
        <f>IF(A629="","",IFERROR(T(INDEX('交易记录'!$C$5:$C$304,MATCH(A629,'交易记录'!$A$5:$A$304,0))),"编号没找到"))</f>
        <v/>
      </c>
      <c r="M629" s="57" t="str">
        <f>IF(AND(C629="买",ISNUMBER(B629)),WORKDAY(B629,1,'参数'!$B$58:$B$80),"")</f>
        <v/>
      </c>
      <c r="N629" s="36" t="str">
        <f>IF(C629&lt;&gt;"卖","",IF(AND(ISNUMBER(B629),A629&lt;&gt;""),IF(SUMIFS($E$5:$E$804,$A$5:$A$804,A629,$C$5:$C$804,"卖",$B$5:$B$804,"&lt;="&amp;B629)&gt;SUMIFS($E$5:$E$804,$A$5:$A$804,A629,$C$5:$C$804,"买",$B$5:$B$804,"&lt;"&amp;B629),"超出可卖股数","OK"),""))</f>
        <v/>
      </c>
      <c r="O629" s="32" t="n"/>
    </row>
    <row r="630">
      <c r="A630" s="46" t="n"/>
      <c r="B630" s="31" t="n"/>
      <c r="C630" s="27" t="n"/>
      <c r="D630" s="56" t="n"/>
      <c r="E630" s="17" t="n"/>
      <c r="F630" s="20" t="str">
        <f>IF(AND(ISNUMBER(D630),ISNUMBER(E630)),D630*E630,"")</f>
        <v/>
      </c>
      <c r="G630" s="51" t="str">
        <f>IF(ISNUMBER(F630),ROUND(MAX(F630*'参数'!$C$12,'参数'!$C$13),2),"")</f>
        <v/>
      </c>
      <c r="H630" s="51" t="str">
        <f>IF(ISNUMBER(F630),IF(C630="卖",ROUND(F630*'参数'!$C$14,2),0),"")</f>
        <v/>
      </c>
      <c r="I630" s="51" t="str">
        <f>IF(ISNUMBER(F630),ROUND(F630*'参数'!$C$15,2),"")</f>
        <v/>
      </c>
      <c r="J630" s="21" t="n"/>
      <c r="K630" s="20" t="str">
        <f>IF(ISNUMBER(J630),J630,IF(ISNUMBER(F630),G630+H630+I630+ROUND(F630*'参数'!$C$16,2),""))</f>
        <v/>
      </c>
      <c r="L630" s="43" t="str">
        <f>IF(A630="","",IFERROR(T(INDEX('交易记录'!$C$5:$C$304,MATCH(A630,'交易记录'!$A$5:$A$304,0))),"编号没找到"))</f>
        <v/>
      </c>
      <c r="M630" s="57" t="str">
        <f>IF(AND(C630="买",ISNUMBER(B630)),WORKDAY(B630,1,'参数'!$B$58:$B$80),"")</f>
        <v/>
      </c>
      <c r="N630" s="36" t="str">
        <f>IF(C630&lt;&gt;"卖","",IF(AND(ISNUMBER(B630),A630&lt;&gt;""),IF(SUMIFS($E$5:$E$804,$A$5:$A$804,A630,$C$5:$C$804,"卖",$B$5:$B$804,"&lt;="&amp;B630)&gt;SUMIFS($E$5:$E$804,$A$5:$A$804,A630,$C$5:$C$804,"买",$B$5:$B$804,"&lt;"&amp;B630),"超出可卖股数","OK"),""))</f>
        <v/>
      </c>
      <c r="O630" s="32" t="n"/>
    </row>
    <row r="631">
      <c r="A631" s="46" t="n"/>
      <c r="B631" s="31" t="n"/>
      <c r="C631" s="27" t="n"/>
      <c r="D631" s="56" t="n"/>
      <c r="E631" s="17" t="n"/>
      <c r="F631" s="20" t="str">
        <f>IF(AND(ISNUMBER(D631),ISNUMBER(E631)),D631*E631,"")</f>
        <v/>
      </c>
      <c r="G631" s="51" t="str">
        <f>IF(ISNUMBER(F631),ROUND(MAX(F631*'参数'!$C$12,'参数'!$C$13),2),"")</f>
        <v/>
      </c>
      <c r="H631" s="51" t="str">
        <f>IF(ISNUMBER(F631),IF(C631="卖",ROUND(F631*'参数'!$C$14,2),0),"")</f>
        <v/>
      </c>
      <c r="I631" s="51" t="str">
        <f>IF(ISNUMBER(F631),ROUND(F631*'参数'!$C$15,2),"")</f>
        <v/>
      </c>
      <c r="J631" s="21" t="n"/>
      <c r="K631" s="20" t="str">
        <f>IF(ISNUMBER(J631),J631,IF(ISNUMBER(F631),G631+H631+I631+ROUND(F631*'参数'!$C$16,2),""))</f>
        <v/>
      </c>
      <c r="L631" s="43" t="str">
        <f>IF(A631="","",IFERROR(T(INDEX('交易记录'!$C$5:$C$304,MATCH(A631,'交易记录'!$A$5:$A$304,0))),"编号没找到"))</f>
        <v/>
      </c>
      <c r="M631" s="57" t="str">
        <f>IF(AND(C631="买",ISNUMBER(B631)),WORKDAY(B631,1,'参数'!$B$58:$B$80),"")</f>
        <v/>
      </c>
      <c r="N631" s="36" t="str">
        <f>IF(C631&lt;&gt;"卖","",IF(AND(ISNUMBER(B631),A631&lt;&gt;""),IF(SUMIFS($E$5:$E$804,$A$5:$A$804,A631,$C$5:$C$804,"卖",$B$5:$B$804,"&lt;="&amp;B631)&gt;SUMIFS($E$5:$E$804,$A$5:$A$804,A631,$C$5:$C$804,"买",$B$5:$B$804,"&lt;"&amp;B631),"超出可卖股数","OK"),""))</f>
        <v/>
      </c>
      <c r="O631" s="32" t="n"/>
    </row>
    <row r="632">
      <c r="A632" s="46" t="n"/>
      <c r="B632" s="31" t="n"/>
      <c r="C632" s="27" t="n"/>
      <c r="D632" s="56" t="n"/>
      <c r="E632" s="17" t="n"/>
      <c r="F632" s="20" t="str">
        <f>IF(AND(ISNUMBER(D632),ISNUMBER(E632)),D632*E632,"")</f>
        <v/>
      </c>
      <c r="G632" s="51" t="str">
        <f>IF(ISNUMBER(F632),ROUND(MAX(F632*'参数'!$C$12,'参数'!$C$13),2),"")</f>
        <v/>
      </c>
      <c r="H632" s="51" t="str">
        <f>IF(ISNUMBER(F632),IF(C632="卖",ROUND(F632*'参数'!$C$14,2),0),"")</f>
        <v/>
      </c>
      <c r="I632" s="51" t="str">
        <f>IF(ISNUMBER(F632),ROUND(F632*'参数'!$C$15,2),"")</f>
        <v/>
      </c>
      <c r="J632" s="21" t="n"/>
      <c r="K632" s="20" t="str">
        <f>IF(ISNUMBER(J632),J632,IF(ISNUMBER(F632),G632+H632+I632+ROUND(F632*'参数'!$C$16,2),""))</f>
        <v/>
      </c>
      <c r="L632" s="43" t="str">
        <f>IF(A632="","",IFERROR(T(INDEX('交易记录'!$C$5:$C$304,MATCH(A632,'交易记录'!$A$5:$A$304,0))),"编号没找到"))</f>
        <v/>
      </c>
      <c r="M632" s="57" t="str">
        <f>IF(AND(C632="买",ISNUMBER(B632)),WORKDAY(B632,1,'参数'!$B$58:$B$80),"")</f>
        <v/>
      </c>
      <c r="N632" s="36" t="str">
        <f>IF(C632&lt;&gt;"卖","",IF(AND(ISNUMBER(B632),A632&lt;&gt;""),IF(SUMIFS($E$5:$E$804,$A$5:$A$804,A632,$C$5:$C$804,"卖",$B$5:$B$804,"&lt;="&amp;B632)&gt;SUMIFS($E$5:$E$804,$A$5:$A$804,A632,$C$5:$C$804,"买",$B$5:$B$804,"&lt;"&amp;B632),"超出可卖股数","OK"),""))</f>
        <v/>
      </c>
      <c r="O632" s="32" t="n"/>
    </row>
    <row r="633">
      <c r="A633" s="46" t="n"/>
      <c r="B633" s="31" t="n"/>
      <c r="C633" s="27" t="n"/>
      <c r="D633" s="56" t="n"/>
      <c r="E633" s="17" t="n"/>
      <c r="F633" s="20" t="str">
        <f>IF(AND(ISNUMBER(D633),ISNUMBER(E633)),D633*E633,"")</f>
        <v/>
      </c>
      <c r="G633" s="51" t="str">
        <f>IF(ISNUMBER(F633),ROUND(MAX(F633*'参数'!$C$12,'参数'!$C$13),2),"")</f>
        <v/>
      </c>
      <c r="H633" s="51" t="str">
        <f>IF(ISNUMBER(F633),IF(C633="卖",ROUND(F633*'参数'!$C$14,2),0),"")</f>
        <v/>
      </c>
      <c r="I633" s="51" t="str">
        <f>IF(ISNUMBER(F633),ROUND(F633*'参数'!$C$15,2),"")</f>
        <v/>
      </c>
      <c r="J633" s="21" t="n"/>
      <c r="K633" s="20" t="str">
        <f>IF(ISNUMBER(J633),J633,IF(ISNUMBER(F633),G633+H633+I633+ROUND(F633*'参数'!$C$16,2),""))</f>
        <v/>
      </c>
      <c r="L633" s="43" t="str">
        <f>IF(A633="","",IFERROR(T(INDEX('交易记录'!$C$5:$C$304,MATCH(A633,'交易记录'!$A$5:$A$304,0))),"编号没找到"))</f>
        <v/>
      </c>
      <c r="M633" s="57" t="str">
        <f>IF(AND(C633="买",ISNUMBER(B633)),WORKDAY(B633,1,'参数'!$B$58:$B$80),"")</f>
        <v/>
      </c>
      <c r="N633" s="36" t="str">
        <f>IF(C633&lt;&gt;"卖","",IF(AND(ISNUMBER(B633),A633&lt;&gt;""),IF(SUMIFS($E$5:$E$804,$A$5:$A$804,A633,$C$5:$C$804,"卖",$B$5:$B$804,"&lt;="&amp;B633)&gt;SUMIFS($E$5:$E$804,$A$5:$A$804,A633,$C$5:$C$804,"买",$B$5:$B$804,"&lt;"&amp;B633),"超出可卖股数","OK"),""))</f>
        <v/>
      </c>
      <c r="O633" s="32" t="n"/>
    </row>
    <row r="634">
      <c r="A634" s="46" t="n"/>
      <c r="B634" s="31" t="n"/>
      <c r="C634" s="27" t="n"/>
      <c r="D634" s="56" t="n"/>
      <c r="E634" s="17" t="n"/>
      <c r="F634" s="20" t="str">
        <f>IF(AND(ISNUMBER(D634),ISNUMBER(E634)),D634*E634,"")</f>
        <v/>
      </c>
      <c r="G634" s="51" t="str">
        <f>IF(ISNUMBER(F634),ROUND(MAX(F634*'参数'!$C$12,'参数'!$C$13),2),"")</f>
        <v/>
      </c>
      <c r="H634" s="51" t="str">
        <f>IF(ISNUMBER(F634),IF(C634="卖",ROUND(F634*'参数'!$C$14,2),0),"")</f>
        <v/>
      </c>
      <c r="I634" s="51" t="str">
        <f>IF(ISNUMBER(F634),ROUND(F634*'参数'!$C$15,2),"")</f>
        <v/>
      </c>
      <c r="J634" s="21" t="n"/>
      <c r="K634" s="20" t="str">
        <f>IF(ISNUMBER(J634),J634,IF(ISNUMBER(F634),G634+H634+I634+ROUND(F634*'参数'!$C$16,2),""))</f>
        <v/>
      </c>
      <c r="L634" s="43" t="str">
        <f>IF(A634="","",IFERROR(T(INDEX('交易记录'!$C$5:$C$304,MATCH(A634,'交易记录'!$A$5:$A$304,0))),"编号没找到"))</f>
        <v/>
      </c>
      <c r="M634" s="57" t="str">
        <f>IF(AND(C634="买",ISNUMBER(B634)),WORKDAY(B634,1,'参数'!$B$58:$B$80),"")</f>
        <v/>
      </c>
      <c r="N634" s="36" t="str">
        <f>IF(C634&lt;&gt;"卖","",IF(AND(ISNUMBER(B634),A634&lt;&gt;""),IF(SUMIFS($E$5:$E$804,$A$5:$A$804,A634,$C$5:$C$804,"卖",$B$5:$B$804,"&lt;="&amp;B634)&gt;SUMIFS($E$5:$E$804,$A$5:$A$804,A634,$C$5:$C$804,"买",$B$5:$B$804,"&lt;"&amp;B634),"超出可卖股数","OK"),""))</f>
        <v/>
      </c>
      <c r="O634" s="32" t="n"/>
    </row>
    <row r="635">
      <c r="A635" s="46" t="n"/>
      <c r="B635" s="31" t="n"/>
      <c r="C635" s="27" t="n"/>
      <c r="D635" s="56" t="n"/>
      <c r="E635" s="17" t="n"/>
      <c r="F635" s="20" t="str">
        <f>IF(AND(ISNUMBER(D635),ISNUMBER(E635)),D635*E635,"")</f>
        <v/>
      </c>
      <c r="G635" s="51" t="str">
        <f>IF(ISNUMBER(F635),ROUND(MAX(F635*'参数'!$C$12,'参数'!$C$13),2),"")</f>
        <v/>
      </c>
      <c r="H635" s="51" t="str">
        <f>IF(ISNUMBER(F635),IF(C635="卖",ROUND(F635*'参数'!$C$14,2),0),"")</f>
        <v/>
      </c>
      <c r="I635" s="51" t="str">
        <f>IF(ISNUMBER(F635),ROUND(F635*'参数'!$C$15,2),"")</f>
        <v/>
      </c>
      <c r="J635" s="21" t="n"/>
      <c r="K635" s="20" t="str">
        <f>IF(ISNUMBER(J635),J635,IF(ISNUMBER(F635),G635+H635+I635+ROUND(F635*'参数'!$C$16,2),""))</f>
        <v/>
      </c>
      <c r="L635" s="43" t="str">
        <f>IF(A635="","",IFERROR(T(INDEX('交易记录'!$C$5:$C$304,MATCH(A635,'交易记录'!$A$5:$A$304,0))),"编号没找到"))</f>
        <v/>
      </c>
      <c r="M635" s="57" t="str">
        <f>IF(AND(C635="买",ISNUMBER(B635)),WORKDAY(B635,1,'参数'!$B$58:$B$80),"")</f>
        <v/>
      </c>
      <c r="N635" s="36" t="str">
        <f>IF(C635&lt;&gt;"卖","",IF(AND(ISNUMBER(B635),A635&lt;&gt;""),IF(SUMIFS($E$5:$E$804,$A$5:$A$804,A635,$C$5:$C$804,"卖",$B$5:$B$804,"&lt;="&amp;B635)&gt;SUMIFS($E$5:$E$804,$A$5:$A$804,A635,$C$5:$C$804,"买",$B$5:$B$804,"&lt;"&amp;B635),"超出可卖股数","OK"),""))</f>
        <v/>
      </c>
      <c r="O635" s="32" t="n"/>
    </row>
    <row r="636">
      <c r="A636" s="46" t="n"/>
      <c r="B636" s="31" t="n"/>
      <c r="C636" s="27" t="n"/>
      <c r="D636" s="56" t="n"/>
      <c r="E636" s="17" t="n"/>
      <c r="F636" s="20" t="str">
        <f>IF(AND(ISNUMBER(D636),ISNUMBER(E636)),D636*E636,"")</f>
        <v/>
      </c>
      <c r="G636" s="51" t="str">
        <f>IF(ISNUMBER(F636),ROUND(MAX(F636*'参数'!$C$12,'参数'!$C$13),2),"")</f>
        <v/>
      </c>
      <c r="H636" s="51" t="str">
        <f>IF(ISNUMBER(F636),IF(C636="卖",ROUND(F636*'参数'!$C$14,2),0),"")</f>
        <v/>
      </c>
      <c r="I636" s="51" t="str">
        <f>IF(ISNUMBER(F636),ROUND(F636*'参数'!$C$15,2),"")</f>
        <v/>
      </c>
      <c r="J636" s="21" t="n"/>
      <c r="K636" s="20" t="str">
        <f>IF(ISNUMBER(J636),J636,IF(ISNUMBER(F636),G636+H636+I636+ROUND(F636*'参数'!$C$16,2),""))</f>
        <v/>
      </c>
      <c r="L636" s="43" t="str">
        <f>IF(A636="","",IFERROR(T(INDEX('交易记录'!$C$5:$C$304,MATCH(A636,'交易记录'!$A$5:$A$304,0))),"编号没找到"))</f>
        <v/>
      </c>
      <c r="M636" s="57" t="str">
        <f>IF(AND(C636="买",ISNUMBER(B636)),WORKDAY(B636,1,'参数'!$B$58:$B$80),"")</f>
        <v/>
      </c>
      <c r="N636" s="36" t="str">
        <f>IF(C636&lt;&gt;"卖","",IF(AND(ISNUMBER(B636),A636&lt;&gt;""),IF(SUMIFS($E$5:$E$804,$A$5:$A$804,A636,$C$5:$C$804,"卖",$B$5:$B$804,"&lt;="&amp;B636)&gt;SUMIFS($E$5:$E$804,$A$5:$A$804,A636,$C$5:$C$804,"买",$B$5:$B$804,"&lt;"&amp;B636),"超出可卖股数","OK"),""))</f>
        <v/>
      </c>
      <c r="O636" s="32" t="n"/>
    </row>
    <row r="637">
      <c r="A637" s="46" t="n"/>
      <c r="B637" s="31" t="n"/>
      <c r="C637" s="27" t="n"/>
      <c r="D637" s="56" t="n"/>
      <c r="E637" s="17" t="n"/>
      <c r="F637" s="20" t="str">
        <f>IF(AND(ISNUMBER(D637),ISNUMBER(E637)),D637*E637,"")</f>
        <v/>
      </c>
      <c r="G637" s="51" t="str">
        <f>IF(ISNUMBER(F637),ROUND(MAX(F637*'参数'!$C$12,'参数'!$C$13),2),"")</f>
        <v/>
      </c>
      <c r="H637" s="51" t="str">
        <f>IF(ISNUMBER(F637),IF(C637="卖",ROUND(F637*'参数'!$C$14,2),0),"")</f>
        <v/>
      </c>
      <c r="I637" s="51" t="str">
        <f>IF(ISNUMBER(F637),ROUND(F637*'参数'!$C$15,2),"")</f>
        <v/>
      </c>
      <c r="J637" s="21" t="n"/>
      <c r="K637" s="20" t="str">
        <f>IF(ISNUMBER(J637),J637,IF(ISNUMBER(F637),G637+H637+I637+ROUND(F637*'参数'!$C$16,2),""))</f>
        <v/>
      </c>
      <c r="L637" s="43" t="str">
        <f>IF(A637="","",IFERROR(T(INDEX('交易记录'!$C$5:$C$304,MATCH(A637,'交易记录'!$A$5:$A$304,0))),"编号没找到"))</f>
        <v/>
      </c>
      <c r="M637" s="57" t="str">
        <f>IF(AND(C637="买",ISNUMBER(B637)),WORKDAY(B637,1,'参数'!$B$58:$B$80),"")</f>
        <v/>
      </c>
      <c r="N637" s="36" t="str">
        <f>IF(C637&lt;&gt;"卖","",IF(AND(ISNUMBER(B637),A637&lt;&gt;""),IF(SUMIFS($E$5:$E$804,$A$5:$A$804,A637,$C$5:$C$804,"卖",$B$5:$B$804,"&lt;="&amp;B637)&gt;SUMIFS($E$5:$E$804,$A$5:$A$804,A637,$C$5:$C$804,"买",$B$5:$B$804,"&lt;"&amp;B637),"超出可卖股数","OK"),""))</f>
        <v/>
      </c>
      <c r="O637" s="32" t="n"/>
    </row>
    <row r="638">
      <c r="A638" s="46" t="n"/>
      <c r="B638" s="31" t="n"/>
      <c r="C638" s="27" t="n"/>
      <c r="D638" s="56" t="n"/>
      <c r="E638" s="17" t="n"/>
      <c r="F638" s="20" t="str">
        <f>IF(AND(ISNUMBER(D638),ISNUMBER(E638)),D638*E638,"")</f>
        <v/>
      </c>
      <c r="G638" s="51" t="str">
        <f>IF(ISNUMBER(F638),ROUND(MAX(F638*'参数'!$C$12,'参数'!$C$13),2),"")</f>
        <v/>
      </c>
      <c r="H638" s="51" t="str">
        <f>IF(ISNUMBER(F638),IF(C638="卖",ROUND(F638*'参数'!$C$14,2),0),"")</f>
        <v/>
      </c>
      <c r="I638" s="51" t="str">
        <f>IF(ISNUMBER(F638),ROUND(F638*'参数'!$C$15,2),"")</f>
        <v/>
      </c>
      <c r="J638" s="21" t="n"/>
      <c r="K638" s="20" t="str">
        <f>IF(ISNUMBER(J638),J638,IF(ISNUMBER(F638),G638+H638+I638+ROUND(F638*'参数'!$C$16,2),""))</f>
        <v/>
      </c>
      <c r="L638" s="43" t="str">
        <f>IF(A638="","",IFERROR(T(INDEX('交易记录'!$C$5:$C$304,MATCH(A638,'交易记录'!$A$5:$A$304,0))),"编号没找到"))</f>
        <v/>
      </c>
      <c r="M638" s="57" t="str">
        <f>IF(AND(C638="买",ISNUMBER(B638)),WORKDAY(B638,1,'参数'!$B$58:$B$80),"")</f>
        <v/>
      </c>
      <c r="N638" s="36" t="str">
        <f>IF(C638&lt;&gt;"卖","",IF(AND(ISNUMBER(B638),A638&lt;&gt;""),IF(SUMIFS($E$5:$E$804,$A$5:$A$804,A638,$C$5:$C$804,"卖",$B$5:$B$804,"&lt;="&amp;B638)&gt;SUMIFS($E$5:$E$804,$A$5:$A$804,A638,$C$5:$C$804,"买",$B$5:$B$804,"&lt;"&amp;B638),"超出可卖股数","OK"),""))</f>
        <v/>
      </c>
      <c r="O638" s="32" t="n"/>
    </row>
    <row r="639">
      <c r="A639" s="46" t="n"/>
      <c r="B639" s="31" t="n"/>
      <c r="C639" s="27" t="n"/>
      <c r="D639" s="56" t="n"/>
      <c r="E639" s="17" t="n"/>
      <c r="F639" s="20" t="str">
        <f>IF(AND(ISNUMBER(D639),ISNUMBER(E639)),D639*E639,"")</f>
        <v/>
      </c>
      <c r="G639" s="51" t="str">
        <f>IF(ISNUMBER(F639),ROUND(MAX(F639*'参数'!$C$12,'参数'!$C$13),2),"")</f>
        <v/>
      </c>
      <c r="H639" s="51" t="str">
        <f>IF(ISNUMBER(F639),IF(C639="卖",ROUND(F639*'参数'!$C$14,2),0),"")</f>
        <v/>
      </c>
      <c r="I639" s="51" t="str">
        <f>IF(ISNUMBER(F639),ROUND(F639*'参数'!$C$15,2),"")</f>
        <v/>
      </c>
      <c r="J639" s="21" t="n"/>
      <c r="K639" s="20" t="str">
        <f>IF(ISNUMBER(J639),J639,IF(ISNUMBER(F639),G639+H639+I639+ROUND(F639*'参数'!$C$16,2),""))</f>
        <v/>
      </c>
      <c r="L639" s="43" t="str">
        <f>IF(A639="","",IFERROR(T(INDEX('交易记录'!$C$5:$C$304,MATCH(A639,'交易记录'!$A$5:$A$304,0))),"编号没找到"))</f>
        <v/>
      </c>
      <c r="M639" s="57" t="str">
        <f>IF(AND(C639="买",ISNUMBER(B639)),WORKDAY(B639,1,'参数'!$B$58:$B$80),"")</f>
        <v/>
      </c>
      <c r="N639" s="36" t="str">
        <f>IF(C639&lt;&gt;"卖","",IF(AND(ISNUMBER(B639),A639&lt;&gt;""),IF(SUMIFS($E$5:$E$804,$A$5:$A$804,A639,$C$5:$C$804,"卖",$B$5:$B$804,"&lt;="&amp;B639)&gt;SUMIFS($E$5:$E$804,$A$5:$A$804,A639,$C$5:$C$804,"买",$B$5:$B$804,"&lt;"&amp;B639),"超出可卖股数","OK"),""))</f>
        <v/>
      </c>
      <c r="O639" s="32" t="n"/>
    </row>
    <row r="640">
      <c r="A640" s="46" t="n"/>
      <c r="B640" s="31" t="n"/>
      <c r="C640" s="27" t="n"/>
      <c r="D640" s="56" t="n"/>
      <c r="E640" s="17" t="n"/>
      <c r="F640" s="20" t="str">
        <f>IF(AND(ISNUMBER(D640),ISNUMBER(E640)),D640*E640,"")</f>
        <v/>
      </c>
      <c r="G640" s="51" t="str">
        <f>IF(ISNUMBER(F640),ROUND(MAX(F640*'参数'!$C$12,'参数'!$C$13),2),"")</f>
        <v/>
      </c>
      <c r="H640" s="51" t="str">
        <f>IF(ISNUMBER(F640),IF(C640="卖",ROUND(F640*'参数'!$C$14,2),0),"")</f>
        <v/>
      </c>
      <c r="I640" s="51" t="str">
        <f>IF(ISNUMBER(F640),ROUND(F640*'参数'!$C$15,2),"")</f>
        <v/>
      </c>
      <c r="J640" s="21" t="n"/>
      <c r="K640" s="20" t="str">
        <f>IF(ISNUMBER(J640),J640,IF(ISNUMBER(F640),G640+H640+I640+ROUND(F640*'参数'!$C$16,2),""))</f>
        <v/>
      </c>
      <c r="L640" s="43" t="str">
        <f>IF(A640="","",IFERROR(T(INDEX('交易记录'!$C$5:$C$304,MATCH(A640,'交易记录'!$A$5:$A$304,0))),"编号没找到"))</f>
        <v/>
      </c>
      <c r="M640" s="57" t="str">
        <f>IF(AND(C640="买",ISNUMBER(B640)),WORKDAY(B640,1,'参数'!$B$58:$B$80),"")</f>
        <v/>
      </c>
      <c r="N640" s="36" t="str">
        <f>IF(C640&lt;&gt;"卖","",IF(AND(ISNUMBER(B640),A640&lt;&gt;""),IF(SUMIFS($E$5:$E$804,$A$5:$A$804,A640,$C$5:$C$804,"卖",$B$5:$B$804,"&lt;="&amp;B640)&gt;SUMIFS($E$5:$E$804,$A$5:$A$804,A640,$C$5:$C$804,"买",$B$5:$B$804,"&lt;"&amp;B640),"超出可卖股数","OK"),""))</f>
        <v/>
      </c>
      <c r="O640" s="32" t="n"/>
    </row>
    <row r="641">
      <c r="A641" s="46" t="n"/>
      <c r="B641" s="31" t="n"/>
      <c r="C641" s="27" t="n"/>
      <c r="D641" s="56" t="n"/>
      <c r="E641" s="17" t="n"/>
      <c r="F641" s="20" t="str">
        <f>IF(AND(ISNUMBER(D641),ISNUMBER(E641)),D641*E641,"")</f>
        <v/>
      </c>
      <c r="G641" s="51" t="str">
        <f>IF(ISNUMBER(F641),ROUND(MAX(F641*'参数'!$C$12,'参数'!$C$13),2),"")</f>
        <v/>
      </c>
      <c r="H641" s="51" t="str">
        <f>IF(ISNUMBER(F641),IF(C641="卖",ROUND(F641*'参数'!$C$14,2),0),"")</f>
        <v/>
      </c>
      <c r="I641" s="51" t="str">
        <f>IF(ISNUMBER(F641),ROUND(F641*'参数'!$C$15,2),"")</f>
        <v/>
      </c>
      <c r="J641" s="21" t="n"/>
      <c r="K641" s="20" t="str">
        <f>IF(ISNUMBER(J641),J641,IF(ISNUMBER(F641),G641+H641+I641+ROUND(F641*'参数'!$C$16,2),""))</f>
        <v/>
      </c>
      <c r="L641" s="43" t="str">
        <f>IF(A641="","",IFERROR(T(INDEX('交易记录'!$C$5:$C$304,MATCH(A641,'交易记录'!$A$5:$A$304,0))),"编号没找到"))</f>
        <v/>
      </c>
      <c r="M641" s="57" t="str">
        <f>IF(AND(C641="买",ISNUMBER(B641)),WORKDAY(B641,1,'参数'!$B$58:$B$80),"")</f>
        <v/>
      </c>
      <c r="N641" s="36" t="str">
        <f>IF(C641&lt;&gt;"卖","",IF(AND(ISNUMBER(B641),A641&lt;&gt;""),IF(SUMIFS($E$5:$E$804,$A$5:$A$804,A641,$C$5:$C$804,"卖",$B$5:$B$804,"&lt;="&amp;B641)&gt;SUMIFS($E$5:$E$804,$A$5:$A$804,A641,$C$5:$C$804,"买",$B$5:$B$804,"&lt;"&amp;B641),"超出可卖股数","OK"),""))</f>
        <v/>
      </c>
      <c r="O641" s="32" t="n"/>
    </row>
    <row r="642">
      <c r="A642" s="46" t="n"/>
      <c r="B642" s="31" t="n"/>
      <c r="C642" s="27" t="n"/>
      <c r="D642" s="56" t="n"/>
      <c r="E642" s="17" t="n"/>
      <c r="F642" s="20" t="str">
        <f>IF(AND(ISNUMBER(D642),ISNUMBER(E642)),D642*E642,"")</f>
        <v/>
      </c>
      <c r="G642" s="51" t="str">
        <f>IF(ISNUMBER(F642),ROUND(MAX(F642*'参数'!$C$12,'参数'!$C$13),2),"")</f>
        <v/>
      </c>
      <c r="H642" s="51" t="str">
        <f>IF(ISNUMBER(F642),IF(C642="卖",ROUND(F642*'参数'!$C$14,2),0),"")</f>
        <v/>
      </c>
      <c r="I642" s="51" t="str">
        <f>IF(ISNUMBER(F642),ROUND(F642*'参数'!$C$15,2),"")</f>
        <v/>
      </c>
      <c r="J642" s="21" t="n"/>
      <c r="K642" s="20" t="str">
        <f>IF(ISNUMBER(J642),J642,IF(ISNUMBER(F642),G642+H642+I642+ROUND(F642*'参数'!$C$16,2),""))</f>
        <v/>
      </c>
      <c r="L642" s="43" t="str">
        <f>IF(A642="","",IFERROR(T(INDEX('交易记录'!$C$5:$C$304,MATCH(A642,'交易记录'!$A$5:$A$304,0))),"编号没找到"))</f>
        <v/>
      </c>
      <c r="M642" s="57" t="str">
        <f>IF(AND(C642="买",ISNUMBER(B642)),WORKDAY(B642,1,'参数'!$B$58:$B$80),"")</f>
        <v/>
      </c>
      <c r="N642" s="36" t="str">
        <f>IF(C642&lt;&gt;"卖","",IF(AND(ISNUMBER(B642),A642&lt;&gt;""),IF(SUMIFS($E$5:$E$804,$A$5:$A$804,A642,$C$5:$C$804,"卖",$B$5:$B$804,"&lt;="&amp;B642)&gt;SUMIFS($E$5:$E$804,$A$5:$A$804,A642,$C$5:$C$804,"买",$B$5:$B$804,"&lt;"&amp;B642),"超出可卖股数","OK"),""))</f>
        <v/>
      </c>
      <c r="O642" s="32" t="n"/>
    </row>
    <row r="643">
      <c r="A643" s="46" t="n"/>
      <c r="B643" s="31" t="n"/>
      <c r="C643" s="27" t="n"/>
      <c r="D643" s="56" t="n"/>
      <c r="E643" s="17" t="n"/>
      <c r="F643" s="20" t="str">
        <f>IF(AND(ISNUMBER(D643),ISNUMBER(E643)),D643*E643,"")</f>
        <v/>
      </c>
      <c r="G643" s="51" t="str">
        <f>IF(ISNUMBER(F643),ROUND(MAX(F643*'参数'!$C$12,'参数'!$C$13),2),"")</f>
        <v/>
      </c>
      <c r="H643" s="51" t="str">
        <f>IF(ISNUMBER(F643),IF(C643="卖",ROUND(F643*'参数'!$C$14,2),0),"")</f>
        <v/>
      </c>
      <c r="I643" s="51" t="str">
        <f>IF(ISNUMBER(F643),ROUND(F643*'参数'!$C$15,2),"")</f>
        <v/>
      </c>
      <c r="J643" s="21" t="n"/>
      <c r="K643" s="20" t="str">
        <f>IF(ISNUMBER(J643),J643,IF(ISNUMBER(F643),G643+H643+I643+ROUND(F643*'参数'!$C$16,2),""))</f>
        <v/>
      </c>
      <c r="L643" s="43" t="str">
        <f>IF(A643="","",IFERROR(T(INDEX('交易记录'!$C$5:$C$304,MATCH(A643,'交易记录'!$A$5:$A$304,0))),"编号没找到"))</f>
        <v/>
      </c>
      <c r="M643" s="57" t="str">
        <f>IF(AND(C643="买",ISNUMBER(B643)),WORKDAY(B643,1,'参数'!$B$58:$B$80),"")</f>
        <v/>
      </c>
      <c r="N643" s="36" t="str">
        <f>IF(C643&lt;&gt;"卖","",IF(AND(ISNUMBER(B643),A643&lt;&gt;""),IF(SUMIFS($E$5:$E$804,$A$5:$A$804,A643,$C$5:$C$804,"卖",$B$5:$B$804,"&lt;="&amp;B643)&gt;SUMIFS($E$5:$E$804,$A$5:$A$804,A643,$C$5:$C$804,"买",$B$5:$B$804,"&lt;"&amp;B643),"超出可卖股数","OK"),""))</f>
        <v/>
      </c>
      <c r="O643" s="32" t="n"/>
    </row>
    <row r="644">
      <c r="A644" s="46" t="n"/>
      <c r="B644" s="31" t="n"/>
      <c r="C644" s="27" t="n"/>
      <c r="D644" s="56" t="n"/>
      <c r="E644" s="17" t="n"/>
      <c r="F644" s="20" t="str">
        <f>IF(AND(ISNUMBER(D644),ISNUMBER(E644)),D644*E644,"")</f>
        <v/>
      </c>
      <c r="G644" s="51" t="str">
        <f>IF(ISNUMBER(F644),ROUND(MAX(F644*'参数'!$C$12,'参数'!$C$13),2),"")</f>
        <v/>
      </c>
      <c r="H644" s="51" t="str">
        <f>IF(ISNUMBER(F644),IF(C644="卖",ROUND(F644*'参数'!$C$14,2),0),"")</f>
        <v/>
      </c>
      <c r="I644" s="51" t="str">
        <f>IF(ISNUMBER(F644),ROUND(F644*'参数'!$C$15,2),"")</f>
        <v/>
      </c>
      <c r="J644" s="21" t="n"/>
      <c r="K644" s="20" t="str">
        <f>IF(ISNUMBER(J644),J644,IF(ISNUMBER(F644),G644+H644+I644+ROUND(F644*'参数'!$C$16,2),""))</f>
        <v/>
      </c>
      <c r="L644" s="43" t="str">
        <f>IF(A644="","",IFERROR(T(INDEX('交易记录'!$C$5:$C$304,MATCH(A644,'交易记录'!$A$5:$A$304,0))),"编号没找到"))</f>
        <v/>
      </c>
      <c r="M644" s="57" t="str">
        <f>IF(AND(C644="买",ISNUMBER(B644)),WORKDAY(B644,1,'参数'!$B$58:$B$80),"")</f>
        <v/>
      </c>
      <c r="N644" s="36" t="str">
        <f>IF(C644&lt;&gt;"卖","",IF(AND(ISNUMBER(B644),A644&lt;&gt;""),IF(SUMIFS($E$5:$E$804,$A$5:$A$804,A644,$C$5:$C$804,"卖",$B$5:$B$804,"&lt;="&amp;B644)&gt;SUMIFS($E$5:$E$804,$A$5:$A$804,A644,$C$5:$C$804,"买",$B$5:$B$804,"&lt;"&amp;B644),"超出可卖股数","OK"),""))</f>
        <v/>
      </c>
      <c r="O644" s="32" t="n"/>
    </row>
    <row r="645">
      <c r="A645" s="46" t="n"/>
      <c r="B645" s="31" t="n"/>
      <c r="C645" s="27" t="n"/>
      <c r="D645" s="56" t="n"/>
      <c r="E645" s="17" t="n"/>
      <c r="F645" s="20" t="str">
        <f>IF(AND(ISNUMBER(D645),ISNUMBER(E645)),D645*E645,"")</f>
        <v/>
      </c>
      <c r="G645" s="51" t="str">
        <f>IF(ISNUMBER(F645),ROUND(MAX(F645*'参数'!$C$12,'参数'!$C$13),2),"")</f>
        <v/>
      </c>
      <c r="H645" s="51" t="str">
        <f>IF(ISNUMBER(F645),IF(C645="卖",ROUND(F645*'参数'!$C$14,2),0),"")</f>
        <v/>
      </c>
      <c r="I645" s="51" t="str">
        <f>IF(ISNUMBER(F645),ROUND(F645*'参数'!$C$15,2),"")</f>
        <v/>
      </c>
      <c r="J645" s="21" t="n"/>
      <c r="K645" s="20" t="str">
        <f>IF(ISNUMBER(J645),J645,IF(ISNUMBER(F645),G645+H645+I645+ROUND(F645*'参数'!$C$16,2),""))</f>
        <v/>
      </c>
      <c r="L645" s="43" t="str">
        <f>IF(A645="","",IFERROR(T(INDEX('交易记录'!$C$5:$C$304,MATCH(A645,'交易记录'!$A$5:$A$304,0))),"编号没找到"))</f>
        <v/>
      </c>
      <c r="M645" s="57" t="str">
        <f>IF(AND(C645="买",ISNUMBER(B645)),WORKDAY(B645,1,'参数'!$B$58:$B$80),"")</f>
        <v/>
      </c>
      <c r="N645" s="36" t="str">
        <f>IF(C645&lt;&gt;"卖","",IF(AND(ISNUMBER(B645),A645&lt;&gt;""),IF(SUMIFS($E$5:$E$804,$A$5:$A$804,A645,$C$5:$C$804,"卖",$B$5:$B$804,"&lt;="&amp;B645)&gt;SUMIFS($E$5:$E$804,$A$5:$A$804,A645,$C$5:$C$804,"买",$B$5:$B$804,"&lt;"&amp;B645),"超出可卖股数","OK"),""))</f>
        <v/>
      </c>
      <c r="O645" s="32" t="n"/>
    </row>
    <row r="646">
      <c r="A646" s="46" t="n"/>
      <c r="B646" s="31" t="n"/>
      <c r="C646" s="27" t="n"/>
      <c r="D646" s="56" t="n"/>
      <c r="E646" s="17" t="n"/>
      <c r="F646" s="20" t="str">
        <f>IF(AND(ISNUMBER(D646),ISNUMBER(E646)),D646*E646,"")</f>
        <v/>
      </c>
      <c r="G646" s="51" t="str">
        <f>IF(ISNUMBER(F646),ROUND(MAX(F646*'参数'!$C$12,'参数'!$C$13),2),"")</f>
        <v/>
      </c>
      <c r="H646" s="51" t="str">
        <f>IF(ISNUMBER(F646),IF(C646="卖",ROUND(F646*'参数'!$C$14,2),0),"")</f>
        <v/>
      </c>
      <c r="I646" s="51" t="str">
        <f>IF(ISNUMBER(F646),ROUND(F646*'参数'!$C$15,2),"")</f>
        <v/>
      </c>
      <c r="J646" s="21" t="n"/>
      <c r="K646" s="20" t="str">
        <f>IF(ISNUMBER(J646),J646,IF(ISNUMBER(F646),G646+H646+I646+ROUND(F646*'参数'!$C$16,2),""))</f>
        <v/>
      </c>
      <c r="L646" s="43" t="str">
        <f>IF(A646="","",IFERROR(T(INDEX('交易记录'!$C$5:$C$304,MATCH(A646,'交易记录'!$A$5:$A$304,0))),"编号没找到"))</f>
        <v/>
      </c>
      <c r="M646" s="57" t="str">
        <f>IF(AND(C646="买",ISNUMBER(B646)),WORKDAY(B646,1,'参数'!$B$58:$B$80),"")</f>
        <v/>
      </c>
      <c r="N646" s="36" t="str">
        <f>IF(C646&lt;&gt;"卖","",IF(AND(ISNUMBER(B646),A646&lt;&gt;""),IF(SUMIFS($E$5:$E$804,$A$5:$A$804,A646,$C$5:$C$804,"卖",$B$5:$B$804,"&lt;="&amp;B646)&gt;SUMIFS($E$5:$E$804,$A$5:$A$804,A646,$C$5:$C$804,"买",$B$5:$B$804,"&lt;"&amp;B646),"超出可卖股数","OK"),""))</f>
        <v/>
      </c>
      <c r="O646" s="32" t="n"/>
    </row>
    <row r="647">
      <c r="A647" s="46" t="n"/>
      <c r="B647" s="31" t="n"/>
      <c r="C647" s="27" t="n"/>
      <c r="D647" s="56" t="n"/>
      <c r="E647" s="17" t="n"/>
      <c r="F647" s="20" t="str">
        <f>IF(AND(ISNUMBER(D647),ISNUMBER(E647)),D647*E647,"")</f>
        <v/>
      </c>
      <c r="G647" s="51" t="str">
        <f>IF(ISNUMBER(F647),ROUND(MAX(F647*'参数'!$C$12,'参数'!$C$13),2),"")</f>
        <v/>
      </c>
      <c r="H647" s="51" t="str">
        <f>IF(ISNUMBER(F647),IF(C647="卖",ROUND(F647*'参数'!$C$14,2),0),"")</f>
        <v/>
      </c>
      <c r="I647" s="51" t="str">
        <f>IF(ISNUMBER(F647),ROUND(F647*'参数'!$C$15,2),"")</f>
        <v/>
      </c>
      <c r="J647" s="21" t="n"/>
      <c r="K647" s="20" t="str">
        <f>IF(ISNUMBER(J647),J647,IF(ISNUMBER(F647),G647+H647+I647+ROUND(F647*'参数'!$C$16,2),""))</f>
        <v/>
      </c>
      <c r="L647" s="43" t="str">
        <f>IF(A647="","",IFERROR(T(INDEX('交易记录'!$C$5:$C$304,MATCH(A647,'交易记录'!$A$5:$A$304,0))),"编号没找到"))</f>
        <v/>
      </c>
      <c r="M647" s="57" t="str">
        <f>IF(AND(C647="买",ISNUMBER(B647)),WORKDAY(B647,1,'参数'!$B$58:$B$80),"")</f>
        <v/>
      </c>
      <c r="N647" s="36" t="str">
        <f>IF(C647&lt;&gt;"卖","",IF(AND(ISNUMBER(B647),A647&lt;&gt;""),IF(SUMIFS($E$5:$E$804,$A$5:$A$804,A647,$C$5:$C$804,"卖",$B$5:$B$804,"&lt;="&amp;B647)&gt;SUMIFS($E$5:$E$804,$A$5:$A$804,A647,$C$5:$C$804,"买",$B$5:$B$804,"&lt;"&amp;B647),"超出可卖股数","OK"),""))</f>
        <v/>
      </c>
      <c r="O647" s="32" t="n"/>
    </row>
    <row r="648">
      <c r="A648" s="46" t="n"/>
      <c r="B648" s="31" t="n"/>
      <c r="C648" s="27" t="n"/>
      <c r="D648" s="56" t="n"/>
      <c r="E648" s="17" t="n"/>
      <c r="F648" s="20" t="str">
        <f>IF(AND(ISNUMBER(D648),ISNUMBER(E648)),D648*E648,"")</f>
        <v/>
      </c>
      <c r="G648" s="51" t="str">
        <f>IF(ISNUMBER(F648),ROUND(MAX(F648*'参数'!$C$12,'参数'!$C$13),2),"")</f>
        <v/>
      </c>
      <c r="H648" s="51" t="str">
        <f>IF(ISNUMBER(F648),IF(C648="卖",ROUND(F648*'参数'!$C$14,2),0),"")</f>
        <v/>
      </c>
      <c r="I648" s="51" t="str">
        <f>IF(ISNUMBER(F648),ROUND(F648*'参数'!$C$15,2),"")</f>
        <v/>
      </c>
      <c r="J648" s="21" t="n"/>
      <c r="K648" s="20" t="str">
        <f>IF(ISNUMBER(J648),J648,IF(ISNUMBER(F648),G648+H648+I648+ROUND(F648*'参数'!$C$16,2),""))</f>
        <v/>
      </c>
      <c r="L648" s="43" t="str">
        <f>IF(A648="","",IFERROR(T(INDEX('交易记录'!$C$5:$C$304,MATCH(A648,'交易记录'!$A$5:$A$304,0))),"编号没找到"))</f>
        <v/>
      </c>
      <c r="M648" s="57" t="str">
        <f>IF(AND(C648="买",ISNUMBER(B648)),WORKDAY(B648,1,'参数'!$B$58:$B$80),"")</f>
        <v/>
      </c>
      <c r="N648" s="36" t="str">
        <f>IF(C648&lt;&gt;"卖","",IF(AND(ISNUMBER(B648),A648&lt;&gt;""),IF(SUMIFS($E$5:$E$804,$A$5:$A$804,A648,$C$5:$C$804,"卖",$B$5:$B$804,"&lt;="&amp;B648)&gt;SUMIFS($E$5:$E$804,$A$5:$A$804,A648,$C$5:$C$804,"买",$B$5:$B$804,"&lt;"&amp;B648),"超出可卖股数","OK"),""))</f>
        <v/>
      </c>
      <c r="O648" s="32" t="n"/>
    </row>
    <row r="649">
      <c r="A649" s="46" t="n"/>
      <c r="B649" s="31" t="n"/>
      <c r="C649" s="27" t="n"/>
      <c r="D649" s="56" t="n"/>
      <c r="E649" s="17" t="n"/>
      <c r="F649" s="20" t="str">
        <f>IF(AND(ISNUMBER(D649),ISNUMBER(E649)),D649*E649,"")</f>
        <v/>
      </c>
      <c r="G649" s="51" t="str">
        <f>IF(ISNUMBER(F649),ROUND(MAX(F649*'参数'!$C$12,'参数'!$C$13),2),"")</f>
        <v/>
      </c>
      <c r="H649" s="51" t="str">
        <f>IF(ISNUMBER(F649),IF(C649="卖",ROUND(F649*'参数'!$C$14,2),0),"")</f>
        <v/>
      </c>
      <c r="I649" s="51" t="str">
        <f>IF(ISNUMBER(F649),ROUND(F649*'参数'!$C$15,2),"")</f>
        <v/>
      </c>
      <c r="J649" s="21" t="n"/>
      <c r="K649" s="20" t="str">
        <f>IF(ISNUMBER(J649),J649,IF(ISNUMBER(F649),G649+H649+I649+ROUND(F649*'参数'!$C$16,2),""))</f>
        <v/>
      </c>
      <c r="L649" s="43" t="str">
        <f>IF(A649="","",IFERROR(T(INDEX('交易记录'!$C$5:$C$304,MATCH(A649,'交易记录'!$A$5:$A$304,0))),"编号没找到"))</f>
        <v/>
      </c>
      <c r="M649" s="57" t="str">
        <f>IF(AND(C649="买",ISNUMBER(B649)),WORKDAY(B649,1,'参数'!$B$58:$B$80),"")</f>
        <v/>
      </c>
      <c r="N649" s="36" t="str">
        <f>IF(C649&lt;&gt;"卖","",IF(AND(ISNUMBER(B649),A649&lt;&gt;""),IF(SUMIFS($E$5:$E$804,$A$5:$A$804,A649,$C$5:$C$804,"卖",$B$5:$B$804,"&lt;="&amp;B649)&gt;SUMIFS($E$5:$E$804,$A$5:$A$804,A649,$C$5:$C$804,"买",$B$5:$B$804,"&lt;"&amp;B649),"超出可卖股数","OK"),""))</f>
        <v/>
      </c>
      <c r="O649" s="32" t="n"/>
    </row>
    <row r="650">
      <c r="A650" s="46" t="n"/>
      <c r="B650" s="31" t="n"/>
      <c r="C650" s="27" t="n"/>
      <c r="D650" s="56" t="n"/>
      <c r="E650" s="17" t="n"/>
      <c r="F650" s="20" t="str">
        <f>IF(AND(ISNUMBER(D650),ISNUMBER(E650)),D650*E650,"")</f>
        <v/>
      </c>
      <c r="G650" s="51" t="str">
        <f>IF(ISNUMBER(F650),ROUND(MAX(F650*'参数'!$C$12,'参数'!$C$13),2),"")</f>
        <v/>
      </c>
      <c r="H650" s="51" t="str">
        <f>IF(ISNUMBER(F650),IF(C650="卖",ROUND(F650*'参数'!$C$14,2),0),"")</f>
        <v/>
      </c>
      <c r="I650" s="51" t="str">
        <f>IF(ISNUMBER(F650),ROUND(F650*'参数'!$C$15,2),"")</f>
        <v/>
      </c>
      <c r="J650" s="21" t="n"/>
      <c r="K650" s="20" t="str">
        <f>IF(ISNUMBER(J650),J650,IF(ISNUMBER(F650),G650+H650+I650+ROUND(F650*'参数'!$C$16,2),""))</f>
        <v/>
      </c>
      <c r="L650" s="43" t="str">
        <f>IF(A650="","",IFERROR(T(INDEX('交易记录'!$C$5:$C$304,MATCH(A650,'交易记录'!$A$5:$A$304,0))),"编号没找到"))</f>
        <v/>
      </c>
      <c r="M650" s="57" t="str">
        <f>IF(AND(C650="买",ISNUMBER(B650)),WORKDAY(B650,1,'参数'!$B$58:$B$80),"")</f>
        <v/>
      </c>
      <c r="N650" s="36" t="str">
        <f>IF(C650&lt;&gt;"卖","",IF(AND(ISNUMBER(B650),A650&lt;&gt;""),IF(SUMIFS($E$5:$E$804,$A$5:$A$804,A650,$C$5:$C$804,"卖",$B$5:$B$804,"&lt;="&amp;B650)&gt;SUMIFS($E$5:$E$804,$A$5:$A$804,A650,$C$5:$C$804,"买",$B$5:$B$804,"&lt;"&amp;B650),"超出可卖股数","OK"),""))</f>
        <v/>
      </c>
      <c r="O650" s="32" t="n"/>
    </row>
    <row r="651">
      <c r="A651" s="46" t="n"/>
      <c r="B651" s="31" t="n"/>
      <c r="C651" s="27" t="n"/>
      <c r="D651" s="56" t="n"/>
      <c r="E651" s="17" t="n"/>
      <c r="F651" s="20" t="str">
        <f>IF(AND(ISNUMBER(D651),ISNUMBER(E651)),D651*E651,"")</f>
        <v/>
      </c>
      <c r="G651" s="51" t="str">
        <f>IF(ISNUMBER(F651),ROUND(MAX(F651*'参数'!$C$12,'参数'!$C$13),2),"")</f>
        <v/>
      </c>
      <c r="H651" s="51" t="str">
        <f>IF(ISNUMBER(F651),IF(C651="卖",ROUND(F651*'参数'!$C$14,2),0),"")</f>
        <v/>
      </c>
      <c r="I651" s="51" t="str">
        <f>IF(ISNUMBER(F651),ROUND(F651*'参数'!$C$15,2),"")</f>
        <v/>
      </c>
      <c r="J651" s="21" t="n"/>
      <c r="K651" s="20" t="str">
        <f>IF(ISNUMBER(J651),J651,IF(ISNUMBER(F651),G651+H651+I651+ROUND(F651*'参数'!$C$16,2),""))</f>
        <v/>
      </c>
      <c r="L651" s="43" t="str">
        <f>IF(A651="","",IFERROR(T(INDEX('交易记录'!$C$5:$C$304,MATCH(A651,'交易记录'!$A$5:$A$304,0))),"编号没找到"))</f>
        <v/>
      </c>
      <c r="M651" s="57" t="str">
        <f>IF(AND(C651="买",ISNUMBER(B651)),WORKDAY(B651,1,'参数'!$B$58:$B$80),"")</f>
        <v/>
      </c>
      <c r="N651" s="36" t="str">
        <f>IF(C651&lt;&gt;"卖","",IF(AND(ISNUMBER(B651),A651&lt;&gt;""),IF(SUMIFS($E$5:$E$804,$A$5:$A$804,A651,$C$5:$C$804,"卖",$B$5:$B$804,"&lt;="&amp;B651)&gt;SUMIFS($E$5:$E$804,$A$5:$A$804,A651,$C$5:$C$804,"买",$B$5:$B$804,"&lt;"&amp;B651),"超出可卖股数","OK"),""))</f>
        <v/>
      </c>
      <c r="O651" s="32" t="n"/>
    </row>
    <row r="652">
      <c r="A652" s="46" t="n"/>
      <c r="B652" s="31" t="n"/>
      <c r="C652" s="27" t="n"/>
      <c r="D652" s="56" t="n"/>
      <c r="E652" s="17" t="n"/>
      <c r="F652" s="20" t="str">
        <f>IF(AND(ISNUMBER(D652),ISNUMBER(E652)),D652*E652,"")</f>
        <v/>
      </c>
      <c r="G652" s="51" t="str">
        <f>IF(ISNUMBER(F652),ROUND(MAX(F652*'参数'!$C$12,'参数'!$C$13),2),"")</f>
        <v/>
      </c>
      <c r="H652" s="51" t="str">
        <f>IF(ISNUMBER(F652),IF(C652="卖",ROUND(F652*'参数'!$C$14,2),0),"")</f>
        <v/>
      </c>
      <c r="I652" s="51" t="str">
        <f>IF(ISNUMBER(F652),ROUND(F652*'参数'!$C$15,2),"")</f>
        <v/>
      </c>
      <c r="J652" s="21" t="n"/>
      <c r="K652" s="20" t="str">
        <f>IF(ISNUMBER(J652),J652,IF(ISNUMBER(F652),G652+H652+I652+ROUND(F652*'参数'!$C$16,2),""))</f>
        <v/>
      </c>
      <c r="L652" s="43" t="str">
        <f>IF(A652="","",IFERROR(T(INDEX('交易记录'!$C$5:$C$304,MATCH(A652,'交易记录'!$A$5:$A$304,0))),"编号没找到"))</f>
        <v/>
      </c>
      <c r="M652" s="57" t="str">
        <f>IF(AND(C652="买",ISNUMBER(B652)),WORKDAY(B652,1,'参数'!$B$58:$B$80),"")</f>
        <v/>
      </c>
      <c r="N652" s="36" t="str">
        <f>IF(C652&lt;&gt;"卖","",IF(AND(ISNUMBER(B652),A652&lt;&gt;""),IF(SUMIFS($E$5:$E$804,$A$5:$A$804,A652,$C$5:$C$804,"卖",$B$5:$B$804,"&lt;="&amp;B652)&gt;SUMIFS($E$5:$E$804,$A$5:$A$804,A652,$C$5:$C$804,"买",$B$5:$B$804,"&lt;"&amp;B652),"超出可卖股数","OK"),""))</f>
        <v/>
      </c>
      <c r="O652" s="32" t="n"/>
    </row>
    <row r="653">
      <c r="A653" s="46" t="n"/>
      <c r="B653" s="31" t="n"/>
      <c r="C653" s="27" t="n"/>
      <c r="D653" s="56" t="n"/>
      <c r="E653" s="17" t="n"/>
      <c r="F653" s="20" t="str">
        <f>IF(AND(ISNUMBER(D653),ISNUMBER(E653)),D653*E653,"")</f>
        <v/>
      </c>
      <c r="G653" s="51" t="str">
        <f>IF(ISNUMBER(F653),ROUND(MAX(F653*'参数'!$C$12,'参数'!$C$13),2),"")</f>
        <v/>
      </c>
      <c r="H653" s="51" t="str">
        <f>IF(ISNUMBER(F653),IF(C653="卖",ROUND(F653*'参数'!$C$14,2),0),"")</f>
        <v/>
      </c>
      <c r="I653" s="51" t="str">
        <f>IF(ISNUMBER(F653),ROUND(F653*'参数'!$C$15,2),"")</f>
        <v/>
      </c>
      <c r="J653" s="21" t="n"/>
      <c r="K653" s="20" t="str">
        <f>IF(ISNUMBER(J653),J653,IF(ISNUMBER(F653),G653+H653+I653+ROUND(F653*'参数'!$C$16,2),""))</f>
        <v/>
      </c>
      <c r="L653" s="43" t="str">
        <f>IF(A653="","",IFERROR(T(INDEX('交易记录'!$C$5:$C$304,MATCH(A653,'交易记录'!$A$5:$A$304,0))),"编号没找到"))</f>
        <v/>
      </c>
      <c r="M653" s="57" t="str">
        <f>IF(AND(C653="买",ISNUMBER(B653)),WORKDAY(B653,1,'参数'!$B$58:$B$80),"")</f>
        <v/>
      </c>
      <c r="N653" s="36" t="str">
        <f>IF(C653&lt;&gt;"卖","",IF(AND(ISNUMBER(B653),A653&lt;&gt;""),IF(SUMIFS($E$5:$E$804,$A$5:$A$804,A653,$C$5:$C$804,"卖",$B$5:$B$804,"&lt;="&amp;B653)&gt;SUMIFS($E$5:$E$804,$A$5:$A$804,A653,$C$5:$C$804,"买",$B$5:$B$804,"&lt;"&amp;B653),"超出可卖股数","OK"),""))</f>
        <v/>
      </c>
      <c r="O653" s="32" t="n"/>
    </row>
    <row r="654">
      <c r="A654" s="46" t="n"/>
      <c r="B654" s="31" t="n"/>
      <c r="C654" s="27" t="n"/>
      <c r="D654" s="56" t="n"/>
      <c r="E654" s="17" t="n"/>
      <c r="F654" s="20" t="str">
        <f>IF(AND(ISNUMBER(D654),ISNUMBER(E654)),D654*E654,"")</f>
        <v/>
      </c>
      <c r="G654" s="51" t="str">
        <f>IF(ISNUMBER(F654),ROUND(MAX(F654*'参数'!$C$12,'参数'!$C$13),2),"")</f>
        <v/>
      </c>
      <c r="H654" s="51" t="str">
        <f>IF(ISNUMBER(F654),IF(C654="卖",ROUND(F654*'参数'!$C$14,2),0),"")</f>
        <v/>
      </c>
      <c r="I654" s="51" t="str">
        <f>IF(ISNUMBER(F654),ROUND(F654*'参数'!$C$15,2),"")</f>
        <v/>
      </c>
      <c r="J654" s="21" t="n"/>
      <c r="K654" s="20" t="str">
        <f>IF(ISNUMBER(J654),J654,IF(ISNUMBER(F654),G654+H654+I654+ROUND(F654*'参数'!$C$16,2),""))</f>
        <v/>
      </c>
      <c r="L654" s="43" t="str">
        <f>IF(A654="","",IFERROR(T(INDEX('交易记录'!$C$5:$C$304,MATCH(A654,'交易记录'!$A$5:$A$304,0))),"编号没找到"))</f>
        <v/>
      </c>
      <c r="M654" s="57" t="str">
        <f>IF(AND(C654="买",ISNUMBER(B654)),WORKDAY(B654,1,'参数'!$B$58:$B$80),"")</f>
        <v/>
      </c>
      <c r="N654" s="36" t="str">
        <f>IF(C654&lt;&gt;"卖","",IF(AND(ISNUMBER(B654),A654&lt;&gt;""),IF(SUMIFS($E$5:$E$804,$A$5:$A$804,A654,$C$5:$C$804,"卖",$B$5:$B$804,"&lt;="&amp;B654)&gt;SUMIFS($E$5:$E$804,$A$5:$A$804,A654,$C$5:$C$804,"买",$B$5:$B$804,"&lt;"&amp;B654),"超出可卖股数","OK"),""))</f>
        <v/>
      </c>
      <c r="O654" s="32" t="n"/>
    </row>
    <row r="655">
      <c r="A655" s="46" t="n"/>
      <c r="B655" s="31" t="n"/>
      <c r="C655" s="27" t="n"/>
      <c r="D655" s="56" t="n"/>
      <c r="E655" s="17" t="n"/>
      <c r="F655" s="20" t="str">
        <f>IF(AND(ISNUMBER(D655),ISNUMBER(E655)),D655*E655,"")</f>
        <v/>
      </c>
      <c r="G655" s="51" t="str">
        <f>IF(ISNUMBER(F655),ROUND(MAX(F655*'参数'!$C$12,'参数'!$C$13),2),"")</f>
        <v/>
      </c>
      <c r="H655" s="51" t="str">
        <f>IF(ISNUMBER(F655),IF(C655="卖",ROUND(F655*'参数'!$C$14,2),0),"")</f>
        <v/>
      </c>
      <c r="I655" s="51" t="str">
        <f>IF(ISNUMBER(F655),ROUND(F655*'参数'!$C$15,2),"")</f>
        <v/>
      </c>
      <c r="J655" s="21" t="n"/>
      <c r="K655" s="20" t="str">
        <f>IF(ISNUMBER(J655),J655,IF(ISNUMBER(F655),G655+H655+I655+ROUND(F655*'参数'!$C$16,2),""))</f>
        <v/>
      </c>
      <c r="L655" s="43" t="str">
        <f>IF(A655="","",IFERROR(T(INDEX('交易记录'!$C$5:$C$304,MATCH(A655,'交易记录'!$A$5:$A$304,0))),"编号没找到"))</f>
        <v/>
      </c>
      <c r="M655" s="57" t="str">
        <f>IF(AND(C655="买",ISNUMBER(B655)),WORKDAY(B655,1,'参数'!$B$58:$B$80),"")</f>
        <v/>
      </c>
      <c r="N655" s="36" t="str">
        <f>IF(C655&lt;&gt;"卖","",IF(AND(ISNUMBER(B655),A655&lt;&gt;""),IF(SUMIFS($E$5:$E$804,$A$5:$A$804,A655,$C$5:$C$804,"卖",$B$5:$B$804,"&lt;="&amp;B655)&gt;SUMIFS($E$5:$E$804,$A$5:$A$804,A655,$C$5:$C$804,"买",$B$5:$B$804,"&lt;"&amp;B655),"超出可卖股数","OK"),""))</f>
        <v/>
      </c>
      <c r="O655" s="32" t="n"/>
    </row>
    <row r="656">
      <c r="A656" s="46" t="n"/>
      <c r="B656" s="31" t="n"/>
      <c r="C656" s="27" t="n"/>
      <c r="D656" s="56" t="n"/>
      <c r="E656" s="17" t="n"/>
      <c r="F656" s="20" t="str">
        <f>IF(AND(ISNUMBER(D656),ISNUMBER(E656)),D656*E656,"")</f>
        <v/>
      </c>
      <c r="G656" s="51" t="str">
        <f>IF(ISNUMBER(F656),ROUND(MAX(F656*'参数'!$C$12,'参数'!$C$13),2),"")</f>
        <v/>
      </c>
      <c r="H656" s="51" t="str">
        <f>IF(ISNUMBER(F656),IF(C656="卖",ROUND(F656*'参数'!$C$14,2),0),"")</f>
        <v/>
      </c>
      <c r="I656" s="51" t="str">
        <f>IF(ISNUMBER(F656),ROUND(F656*'参数'!$C$15,2),"")</f>
        <v/>
      </c>
      <c r="J656" s="21" t="n"/>
      <c r="K656" s="20" t="str">
        <f>IF(ISNUMBER(J656),J656,IF(ISNUMBER(F656),G656+H656+I656+ROUND(F656*'参数'!$C$16,2),""))</f>
        <v/>
      </c>
      <c r="L656" s="43" t="str">
        <f>IF(A656="","",IFERROR(T(INDEX('交易记录'!$C$5:$C$304,MATCH(A656,'交易记录'!$A$5:$A$304,0))),"编号没找到"))</f>
        <v/>
      </c>
      <c r="M656" s="57" t="str">
        <f>IF(AND(C656="买",ISNUMBER(B656)),WORKDAY(B656,1,'参数'!$B$58:$B$80),"")</f>
        <v/>
      </c>
      <c r="N656" s="36" t="str">
        <f>IF(C656&lt;&gt;"卖","",IF(AND(ISNUMBER(B656),A656&lt;&gt;""),IF(SUMIFS($E$5:$E$804,$A$5:$A$804,A656,$C$5:$C$804,"卖",$B$5:$B$804,"&lt;="&amp;B656)&gt;SUMIFS($E$5:$E$804,$A$5:$A$804,A656,$C$5:$C$804,"买",$B$5:$B$804,"&lt;"&amp;B656),"超出可卖股数","OK"),""))</f>
        <v/>
      </c>
      <c r="O656" s="32" t="n"/>
    </row>
    <row r="657">
      <c r="A657" s="46" t="n"/>
      <c r="B657" s="31" t="n"/>
      <c r="C657" s="27" t="n"/>
      <c r="D657" s="56" t="n"/>
      <c r="E657" s="17" t="n"/>
      <c r="F657" s="20" t="str">
        <f>IF(AND(ISNUMBER(D657),ISNUMBER(E657)),D657*E657,"")</f>
        <v/>
      </c>
      <c r="G657" s="51" t="str">
        <f>IF(ISNUMBER(F657),ROUND(MAX(F657*'参数'!$C$12,'参数'!$C$13),2),"")</f>
        <v/>
      </c>
      <c r="H657" s="51" t="str">
        <f>IF(ISNUMBER(F657),IF(C657="卖",ROUND(F657*'参数'!$C$14,2),0),"")</f>
        <v/>
      </c>
      <c r="I657" s="51" t="str">
        <f>IF(ISNUMBER(F657),ROUND(F657*'参数'!$C$15,2),"")</f>
        <v/>
      </c>
      <c r="J657" s="21" t="n"/>
      <c r="K657" s="20" t="str">
        <f>IF(ISNUMBER(J657),J657,IF(ISNUMBER(F657),G657+H657+I657+ROUND(F657*'参数'!$C$16,2),""))</f>
        <v/>
      </c>
      <c r="L657" s="43" t="str">
        <f>IF(A657="","",IFERROR(T(INDEX('交易记录'!$C$5:$C$304,MATCH(A657,'交易记录'!$A$5:$A$304,0))),"编号没找到"))</f>
        <v/>
      </c>
      <c r="M657" s="57" t="str">
        <f>IF(AND(C657="买",ISNUMBER(B657)),WORKDAY(B657,1,'参数'!$B$58:$B$80),"")</f>
        <v/>
      </c>
      <c r="N657" s="36" t="str">
        <f>IF(C657&lt;&gt;"卖","",IF(AND(ISNUMBER(B657),A657&lt;&gt;""),IF(SUMIFS($E$5:$E$804,$A$5:$A$804,A657,$C$5:$C$804,"卖",$B$5:$B$804,"&lt;="&amp;B657)&gt;SUMIFS($E$5:$E$804,$A$5:$A$804,A657,$C$5:$C$804,"买",$B$5:$B$804,"&lt;"&amp;B657),"超出可卖股数","OK"),""))</f>
        <v/>
      </c>
      <c r="O657" s="32" t="n"/>
    </row>
    <row r="658">
      <c r="A658" s="46" t="n"/>
      <c r="B658" s="31" t="n"/>
      <c r="C658" s="27" t="n"/>
      <c r="D658" s="56" t="n"/>
      <c r="E658" s="17" t="n"/>
      <c r="F658" s="20" t="str">
        <f>IF(AND(ISNUMBER(D658),ISNUMBER(E658)),D658*E658,"")</f>
        <v/>
      </c>
      <c r="G658" s="51" t="str">
        <f>IF(ISNUMBER(F658),ROUND(MAX(F658*'参数'!$C$12,'参数'!$C$13),2),"")</f>
        <v/>
      </c>
      <c r="H658" s="51" t="str">
        <f>IF(ISNUMBER(F658),IF(C658="卖",ROUND(F658*'参数'!$C$14,2),0),"")</f>
        <v/>
      </c>
      <c r="I658" s="51" t="str">
        <f>IF(ISNUMBER(F658),ROUND(F658*'参数'!$C$15,2),"")</f>
        <v/>
      </c>
      <c r="J658" s="21" t="n"/>
      <c r="K658" s="20" t="str">
        <f>IF(ISNUMBER(J658),J658,IF(ISNUMBER(F658),G658+H658+I658+ROUND(F658*'参数'!$C$16,2),""))</f>
        <v/>
      </c>
      <c r="L658" s="43" t="str">
        <f>IF(A658="","",IFERROR(T(INDEX('交易记录'!$C$5:$C$304,MATCH(A658,'交易记录'!$A$5:$A$304,0))),"编号没找到"))</f>
        <v/>
      </c>
      <c r="M658" s="57" t="str">
        <f>IF(AND(C658="买",ISNUMBER(B658)),WORKDAY(B658,1,'参数'!$B$58:$B$80),"")</f>
        <v/>
      </c>
      <c r="N658" s="36" t="str">
        <f>IF(C658&lt;&gt;"卖","",IF(AND(ISNUMBER(B658),A658&lt;&gt;""),IF(SUMIFS($E$5:$E$804,$A$5:$A$804,A658,$C$5:$C$804,"卖",$B$5:$B$804,"&lt;="&amp;B658)&gt;SUMIFS($E$5:$E$804,$A$5:$A$804,A658,$C$5:$C$804,"买",$B$5:$B$804,"&lt;"&amp;B658),"超出可卖股数","OK"),""))</f>
        <v/>
      </c>
      <c r="O658" s="32" t="n"/>
    </row>
    <row r="659">
      <c r="A659" s="46" t="n"/>
      <c r="B659" s="31" t="n"/>
      <c r="C659" s="27" t="n"/>
      <c r="D659" s="56" t="n"/>
      <c r="E659" s="17" t="n"/>
      <c r="F659" s="20" t="str">
        <f>IF(AND(ISNUMBER(D659),ISNUMBER(E659)),D659*E659,"")</f>
        <v/>
      </c>
      <c r="G659" s="51" t="str">
        <f>IF(ISNUMBER(F659),ROUND(MAX(F659*'参数'!$C$12,'参数'!$C$13),2),"")</f>
        <v/>
      </c>
      <c r="H659" s="51" t="str">
        <f>IF(ISNUMBER(F659),IF(C659="卖",ROUND(F659*'参数'!$C$14,2),0),"")</f>
        <v/>
      </c>
      <c r="I659" s="51" t="str">
        <f>IF(ISNUMBER(F659),ROUND(F659*'参数'!$C$15,2),"")</f>
        <v/>
      </c>
      <c r="J659" s="21" t="n"/>
      <c r="K659" s="20" t="str">
        <f>IF(ISNUMBER(J659),J659,IF(ISNUMBER(F659),G659+H659+I659+ROUND(F659*'参数'!$C$16,2),""))</f>
        <v/>
      </c>
      <c r="L659" s="43" t="str">
        <f>IF(A659="","",IFERROR(T(INDEX('交易记录'!$C$5:$C$304,MATCH(A659,'交易记录'!$A$5:$A$304,0))),"编号没找到"))</f>
        <v/>
      </c>
      <c r="M659" s="57" t="str">
        <f>IF(AND(C659="买",ISNUMBER(B659)),WORKDAY(B659,1,'参数'!$B$58:$B$80),"")</f>
        <v/>
      </c>
      <c r="N659" s="36" t="str">
        <f>IF(C659&lt;&gt;"卖","",IF(AND(ISNUMBER(B659),A659&lt;&gt;""),IF(SUMIFS($E$5:$E$804,$A$5:$A$804,A659,$C$5:$C$804,"卖",$B$5:$B$804,"&lt;="&amp;B659)&gt;SUMIFS($E$5:$E$804,$A$5:$A$804,A659,$C$5:$C$804,"买",$B$5:$B$804,"&lt;"&amp;B659),"超出可卖股数","OK"),""))</f>
        <v/>
      </c>
      <c r="O659" s="32" t="n"/>
    </row>
    <row r="660">
      <c r="A660" s="46" t="n"/>
      <c r="B660" s="31" t="n"/>
      <c r="C660" s="27" t="n"/>
      <c r="D660" s="56" t="n"/>
      <c r="E660" s="17" t="n"/>
      <c r="F660" s="20" t="str">
        <f>IF(AND(ISNUMBER(D660),ISNUMBER(E660)),D660*E660,"")</f>
        <v/>
      </c>
      <c r="G660" s="51" t="str">
        <f>IF(ISNUMBER(F660),ROUND(MAX(F660*'参数'!$C$12,'参数'!$C$13),2),"")</f>
        <v/>
      </c>
      <c r="H660" s="51" t="str">
        <f>IF(ISNUMBER(F660),IF(C660="卖",ROUND(F660*'参数'!$C$14,2),0),"")</f>
        <v/>
      </c>
      <c r="I660" s="51" t="str">
        <f>IF(ISNUMBER(F660),ROUND(F660*'参数'!$C$15,2),"")</f>
        <v/>
      </c>
      <c r="J660" s="21" t="n"/>
      <c r="K660" s="20" t="str">
        <f>IF(ISNUMBER(J660),J660,IF(ISNUMBER(F660),G660+H660+I660+ROUND(F660*'参数'!$C$16,2),""))</f>
        <v/>
      </c>
      <c r="L660" s="43" t="str">
        <f>IF(A660="","",IFERROR(T(INDEX('交易记录'!$C$5:$C$304,MATCH(A660,'交易记录'!$A$5:$A$304,0))),"编号没找到"))</f>
        <v/>
      </c>
      <c r="M660" s="57" t="str">
        <f>IF(AND(C660="买",ISNUMBER(B660)),WORKDAY(B660,1,'参数'!$B$58:$B$80),"")</f>
        <v/>
      </c>
      <c r="N660" s="36" t="str">
        <f>IF(C660&lt;&gt;"卖","",IF(AND(ISNUMBER(B660),A660&lt;&gt;""),IF(SUMIFS($E$5:$E$804,$A$5:$A$804,A660,$C$5:$C$804,"卖",$B$5:$B$804,"&lt;="&amp;B660)&gt;SUMIFS($E$5:$E$804,$A$5:$A$804,A660,$C$5:$C$804,"买",$B$5:$B$804,"&lt;"&amp;B660),"超出可卖股数","OK"),""))</f>
        <v/>
      </c>
      <c r="O660" s="32" t="n"/>
    </row>
    <row r="661">
      <c r="A661" s="46" t="n"/>
      <c r="B661" s="31" t="n"/>
      <c r="C661" s="27" t="n"/>
      <c r="D661" s="56" t="n"/>
      <c r="E661" s="17" t="n"/>
      <c r="F661" s="20" t="str">
        <f>IF(AND(ISNUMBER(D661),ISNUMBER(E661)),D661*E661,"")</f>
        <v/>
      </c>
      <c r="G661" s="51" t="str">
        <f>IF(ISNUMBER(F661),ROUND(MAX(F661*'参数'!$C$12,'参数'!$C$13),2),"")</f>
        <v/>
      </c>
      <c r="H661" s="51" t="str">
        <f>IF(ISNUMBER(F661),IF(C661="卖",ROUND(F661*'参数'!$C$14,2),0),"")</f>
        <v/>
      </c>
      <c r="I661" s="51" t="str">
        <f>IF(ISNUMBER(F661),ROUND(F661*'参数'!$C$15,2),"")</f>
        <v/>
      </c>
      <c r="J661" s="21" t="n"/>
      <c r="K661" s="20" t="str">
        <f>IF(ISNUMBER(J661),J661,IF(ISNUMBER(F661),G661+H661+I661+ROUND(F661*'参数'!$C$16,2),""))</f>
        <v/>
      </c>
      <c r="L661" s="43" t="str">
        <f>IF(A661="","",IFERROR(T(INDEX('交易记录'!$C$5:$C$304,MATCH(A661,'交易记录'!$A$5:$A$304,0))),"编号没找到"))</f>
        <v/>
      </c>
      <c r="M661" s="57" t="str">
        <f>IF(AND(C661="买",ISNUMBER(B661)),WORKDAY(B661,1,'参数'!$B$58:$B$80),"")</f>
        <v/>
      </c>
      <c r="N661" s="36" t="str">
        <f>IF(C661&lt;&gt;"卖","",IF(AND(ISNUMBER(B661),A661&lt;&gt;""),IF(SUMIFS($E$5:$E$804,$A$5:$A$804,A661,$C$5:$C$804,"卖",$B$5:$B$804,"&lt;="&amp;B661)&gt;SUMIFS($E$5:$E$804,$A$5:$A$804,A661,$C$5:$C$804,"买",$B$5:$B$804,"&lt;"&amp;B661),"超出可卖股数","OK"),""))</f>
        <v/>
      </c>
      <c r="O661" s="32" t="n"/>
    </row>
    <row r="662">
      <c r="A662" s="46" t="n"/>
      <c r="B662" s="31" t="n"/>
      <c r="C662" s="27" t="n"/>
      <c r="D662" s="56" t="n"/>
      <c r="E662" s="17" t="n"/>
      <c r="F662" s="20" t="str">
        <f>IF(AND(ISNUMBER(D662),ISNUMBER(E662)),D662*E662,"")</f>
        <v/>
      </c>
      <c r="G662" s="51" t="str">
        <f>IF(ISNUMBER(F662),ROUND(MAX(F662*'参数'!$C$12,'参数'!$C$13),2),"")</f>
        <v/>
      </c>
      <c r="H662" s="51" t="str">
        <f>IF(ISNUMBER(F662),IF(C662="卖",ROUND(F662*'参数'!$C$14,2),0),"")</f>
        <v/>
      </c>
      <c r="I662" s="51" t="str">
        <f>IF(ISNUMBER(F662),ROUND(F662*'参数'!$C$15,2),"")</f>
        <v/>
      </c>
      <c r="J662" s="21" t="n"/>
      <c r="K662" s="20" t="str">
        <f>IF(ISNUMBER(J662),J662,IF(ISNUMBER(F662),G662+H662+I662+ROUND(F662*'参数'!$C$16,2),""))</f>
        <v/>
      </c>
      <c r="L662" s="43" t="str">
        <f>IF(A662="","",IFERROR(T(INDEX('交易记录'!$C$5:$C$304,MATCH(A662,'交易记录'!$A$5:$A$304,0))),"编号没找到"))</f>
        <v/>
      </c>
      <c r="M662" s="57" t="str">
        <f>IF(AND(C662="买",ISNUMBER(B662)),WORKDAY(B662,1,'参数'!$B$58:$B$80),"")</f>
        <v/>
      </c>
      <c r="N662" s="36" t="str">
        <f>IF(C662&lt;&gt;"卖","",IF(AND(ISNUMBER(B662),A662&lt;&gt;""),IF(SUMIFS($E$5:$E$804,$A$5:$A$804,A662,$C$5:$C$804,"卖",$B$5:$B$804,"&lt;="&amp;B662)&gt;SUMIFS($E$5:$E$804,$A$5:$A$804,A662,$C$5:$C$804,"买",$B$5:$B$804,"&lt;"&amp;B662),"超出可卖股数","OK"),""))</f>
        <v/>
      </c>
      <c r="O662" s="32" t="n"/>
    </row>
    <row r="663">
      <c r="A663" s="46" t="n"/>
      <c r="B663" s="31" t="n"/>
      <c r="C663" s="27" t="n"/>
      <c r="D663" s="56" t="n"/>
      <c r="E663" s="17" t="n"/>
      <c r="F663" s="20" t="str">
        <f>IF(AND(ISNUMBER(D663),ISNUMBER(E663)),D663*E663,"")</f>
        <v/>
      </c>
      <c r="G663" s="51" t="str">
        <f>IF(ISNUMBER(F663),ROUND(MAX(F663*'参数'!$C$12,'参数'!$C$13),2),"")</f>
        <v/>
      </c>
      <c r="H663" s="51" t="str">
        <f>IF(ISNUMBER(F663),IF(C663="卖",ROUND(F663*'参数'!$C$14,2),0),"")</f>
        <v/>
      </c>
      <c r="I663" s="51" t="str">
        <f>IF(ISNUMBER(F663),ROUND(F663*'参数'!$C$15,2),"")</f>
        <v/>
      </c>
      <c r="J663" s="21" t="n"/>
      <c r="K663" s="20" t="str">
        <f>IF(ISNUMBER(J663),J663,IF(ISNUMBER(F663),G663+H663+I663+ROUND(F663*'参数'!$C$16,2),""))</f>
        <v/>
      </c>
      <c r="L663" s="43" t="str">
        <f>IF(A663="","",IFERROR(T(INDEX('交易记录'!$C$5:$C$304,MATCH(A663,'交易记录'!$A$5:$A$304,0))),"编号没找到"))</f>
        <v/>
      </c>
      <c r="M663" s="57" t="str">
        <f>IF(AND(C663="买",ISNUMBER(B663)),WORKDAY(B663,1,'参数'!$B$58:$B$80),"")</f>
        <v/>
      </c>
      <c r="N663" s="36" t="str">
        <f>IF(C663&lt;&gt;"卖","",IF(AND(ISNUMBER(B663),A663&lt;&gt;""),IF(SUMIFS($E$5:$E$804,$A$5:$A$804,A663,$C$5:$C$804,"卖",$B$5:$B$804,"&lt;="&amp;B663)&gt;SUMIFS($E$5:$E$804,$A$5:$A$804,A663,$C$5:$C$804,"买",$B$5:$B$804,"&lt;"&amp;B663),"超出可卖股数","OK"),""))</f>
        <v/>
      </c>
      <c r="O663" s="32" t="n"/>
    </row>
    <row r="664">
      <c r="A664" s="46" t="n"/>
      <c r="B664" s="31" t="n"/>
      <c r="C664" s="27" t="n"/>
      <c r="D664" s="56" t="n"/>
      <c r="E664" s="17" t="n"/>
      <c r="F664" s="20" t="str">
        <f>IF(AND(ISNUMBER(D664),ISNUMBER(E664)),D664*E664,"")</f>
        <v/>
      </c>
      <c r="G664" s="51" t="str">
        <f>IF(ISNUMBER(F664),ROUND(MAX(F664*'参数'!$C$12,'参数'!$C$13),2),"")</f>
        <v/>
      </c>
      <c r="H664" s="51" t="str">
        <f>IF(ISNUMBER(F664),IF(C664="卖",ROUND(F664*'参数'!$C$14,2),0),"")</f>
        <v/>
      </c>
      <c r="I664" s="51" t="str">
        <f>IF(ISNUMBER(F664),ROUND(F664*'参数'!$C$15,2),"")</f>
        <v/>
      </c>
      <c r="J664" s="21" t="n"/>
      <c r="K664" s="20" t="str">
        <f>IF(ISNUMBER(J664),J664,IF(ISNUMBER(F664),G664+H664+I664+ROUND(F664*'参数'!$C$16,2),""))</f>
        <v/>
      </c>
      <c r="L664" s="43" t="str">
        <f>IF(A664="","",IFERROR(T(INDEX('交易记录'!$C$5:$C$304,MATCH(A664,'交易记录'!$A$5:$A$304,0))),"编号没找到"))</f>
        <v/>
      </c>
      <c r="M664" s="57" t="str">
        <f>IF(AND(C664="买",ISNUMBER(B664)),WORKDAY(B664,1,'参数'!$B$58:$B$80),"")</f>
        <v/>
      </c>
      <c r="N664" s="36" t="str">
        <f>IF(C664&lt;&gt;"卖","",IF(AND(ISNUMBER(B664),A664&lt;&gt;""),IF(SUMIFS($E$5:$E$804,$A$5:$A$804,A664,$C$5:$C$804,"卖",$B$5:$B$804,"&lt;="&amp;B664)&gt;SUMIFS($E$5:$E$804,$A$5:$A$804,A664,$C$5:$C$804,"买",$B$5:$B$804,"&lt;"&amp;B664),"超出可卖股数","OK"),""))</f>
        <v/>
      </c>
      <c r="O664" s="32" t="n"/>
    </row>
    <row r="665">
      <c r="A665" s="46" t="n"/>
      <c r="B665" s="31" t="n"/>
      <c r="C665" s="27" t="n"/>
      <c r="D665" s="56" t="n"/>
      <c r="E665" s="17" t="n"/>
      <c r="F665" s="20" t="str">
        <f>IF(AND(ISNUMBER(D665),ISNUMBER(E665)),D665*E665,"")</f>
        <v/>
      </c>
      <c r="G665" s="51" t="str">
        <f>IF(ISNUMBER(F665),ROUND(MAX(F665*'参数'!$C$12,'参数'!$C$13),2),"")</f>
        <v/>
      </c>
      <c r="H665" s="51" t="str">
        <f>IF(ISNUMBER(F665),IF(C665="卖",ROUND(F665*'参数'!$C$14,2),0),"")</f>
        <v/>
      </c>
      <c r="I665" s="51" t="str">
        <f>IF(ISNUMBER(F665),ROUND(F665*'参数'!$C$15,2),"")</f>
        <v/>
      </c>
      <c r="J665" s="21" t="n"/>
      <c r="K665" s="20" t="str">
        <f>IF(ISNUMBER(J665),J665,IF(ISNUMBER(F665),G665+H665+I665+ROUND(F665*'参数'!$C$16,2),""))</f>
        <v/>
      </c>
      <c r="L665" s="43" t="str">
        <f>IF(A665="","",IFERROR(T(INDEX('交易记录'!$C$5:$C$304,MATCH(A665,'交易记录'!$A$5:$A$304,0))),"编号没找到"))</f>
        <v/>
      </c>
      <c r="M665" s="57" t="str">
        <f>IF(AND(C665="买",ISNUMBER(B665)),WORKDAY(B665,1,'参数'!$B$58:$B$80),"")</f>
        <v/>
      </c>
      <c r="N665" s="36" t="str">
        <f>IF(C665&lt;&gt;"卖","",IF(AND(ISNUMBER(B665),A665&lt;&gt;""),IF(SUMIFS($E$5:$E$804,$A$5:$A$804,A665,$C$5:$C$804,"卖",$B$5:$B$804,"&lt;="&amp;B665)&gt;SUMIFS($E$5:$E$804,$A$5:$A$804,A665,$C$5:$C$804,"买",$B$5:$B$804,"&lt;"&amp;B665),"超出可卖股数","OK"),""))</f>
        <v/>
      </c>
      <c r="O665" s="32" t="n"/>
    </row>
    <row r="666">
      <c r="A666" s="46" t="n"/>
      <c r="B666" s="31" t="n"/>
      <c r="C666" s="27" t="n"/>
      <c r="D666" s="56" t="n"/>
      <c r="E666" s="17" t="n"/>
      <c r="F666" s="20" t="str">
        <f>IF(AND(ISNUMBER(D666),ISNUMBER(E666)),D666*E666,"")</f>
        <v/>
      </c>
      <c r="G666" s="51" t="str">
        <f>IF(ISNUMBER(F666),ROUND(MAX(F666*'参数'!$C$12,'参数'!$C$13),2),"")</f>
        <v/>
      </c>
      <c r="H666" s="51" t="str">
        <f>IF(ISNUMBER(F666),IF(C666="卖",ROUND(F666*'参数'!$C$14,2),0),"")</f>
        <v/>
      </c>
      <c r="I666" s="51" t="str">
        <f>IF(ISNUMBER(F666),ROUND(F666*'参数'!$C$15,2),"")</f>
        <v/>
      </c>
      <c r="J666" s="21" t="n"/>
      <c r="K666" s="20" t="str">
        <f>IF(ISNUMBER(J666),J666,IF(ISNUMBER(F666),G666+H666+I666+ROUND(F666*'参数'!$C$16,2),""))</f>
        <v/>
      </c>
      <c r="L666" s="43" t="str">
        <f>IF(A666="","",IFERROR(T(INDEX('交易记录'!$C$5:$C$304,MATCH(A666,'交易记录'!$A$5:$A$304,0))),"编号没找到"))</f>
        <v/>
      </c>
      <c r="M666" s="57" t="str">
        <f>IF(AND(C666="买",ISNUMBER(B666)),WORKDAY(B666,1,'参数'!$B$58:$B$80),"")</f>
        <v/>
      </c>
      <c r="N666" s="36" t="str">
        <f>IF(C666&lt;&gt;"卖","",IF(AND(ISNUMBER(B666),A666&lt;&gt;""),IF(SUMIFS($E$5:$E$804,$A$5:$A$804,A666,$C$5:$C$804,"卖",$B$5:$B$804,"&lt;="&amp;B666)&gt;SUMIFS($E$5:$E$804,$A$5:$A$804,A666,$C$5:$C$804,"买",$B$5:$B$804,"&lt;"&amp;B666),"超出可卖股数","OK"),""))</f>
        <v/>
      </c>
      <c r="O666" s="32" t="n"/>
    </row>
    <row r="667">
      <c r="A667" s="46" t="n"/>
      <c r="B667" s="31" t="n"/>
      <c r="C667" s="27" t="n"/>
      <c r="D667" s="56" t="n"/>
      <c r="E667" s="17" t="n"/>
      <c r="F667" s="20" t="str">
        <f>IF(AND(ISNUMBER(D667),ISNUMBER(E667)),D667*E667,"")</f>
        <v/>
      </c>
      <c r="G667" s="51" t="str">
        <f>IF(ISNUMBER(F667),ROUND(MAX(F667*'参数'!$C$12,'参数'!$C$13),2),"")</f>
        <v/>
      </c>
      <c r="H667" s="51" t="str">
        <f>IF(ISNUMBER(F667),IF(C667="卖",ROUND(F667*'参数'!$C$14,2),0),"")</f>
        <v/>
      </c>
      <c r="I667" s="51" t="str">
        <f>IF(ISNUMBER(F667),ROUND(F667*'参数'!$C$15,2),"")</f>
        <v/>
      </c>
      <c r="J667" s="21" t="n"/>
      <c r="K667" s="20" t="str">
        <f>IF(ISNUMBER(J667),J667,IF(ISNUMBER(F667),G667+H667+I667+ROUND(F667*'参数'!$C$16,2),""))</f>
        <v/>
      </c>
      <c r="L667" s="43" t="str">
        <f>IF(A667="","",IFERROR(T(INDEX('交易记录'!$C$5:$C$304,MATCH(A667,'交易记录'!$A$5:$A$304,0))),"编号没找到"))</f>
        <v/>
      </c>
      <c r="M667" s="57" t="str">
        <f>IF(AND(C667="买",ISNUMBER(B667)),WORKDAY(B667,1,'参数'!$B$58:$B$80),"")</f>
        <v/>
      </c>
      <c r="N667" s="36" t="str">
        <f>IF(C667&lt;&gt;"卖","",IF(AND(ISNUMBER(B667),A667&lt;&gt;""),IF(SUMIFS($E$5:$E$804,$A$5:$A$804,A667,$C$5:$C$804,"卖",$B$5:$B$804,"&lt;="&amp;B667)&gt;SUMIFS($E$5:$E$804,$A$5:$A$804,A667,$C$5:$C$804,"买",$B$5:$B$804,"&lt;"&amp;B667),"超出可卖股数","OK"),""))</f>
        <v/>
      </c>
      <c r="O667" s="32" t="n"/>
    </row>
    <row r="668">
      <c r="A668" s="46" t="n"/>
      <c r="B668" s="31" t="n"/>
      <c r="C668" s="27" t="n"/>
      <c r="D668" s="56" t="n"/>
      <c r="E668" s="17" t="n"/>
      <c r="F668" s="20" t="str">
        <f>IF(AND(ISNUMBER(D668),ISNUMBER(E668)),D668*E668,"")</f>
        <v/>
      </c>
      <c r="G668" s="51" t="str">
        <f>IF(ISNUMBER(F668),ROUND(MAX(F668*'参数'!$C$12,'参数'!$C$13),2),"")</f>
        <v/>
      </c>
      <c r="H668" s="51" t="str">
        <f>IF(ISNUMBER(F668),IF(C668="卖",ROUND(F668*'参数'!$C$14,2),0),"")</f>
        <v/>
      </c>
      <c r="I668" s="51" t="str">
        <f>IF(ISNUMBER(F668),ROUND(F668*'参数'!$C$15,2),"")</f>
        <v/>
      </c>
      <c r="J668" s="21" t="n"/>
      <c r="K668" s="20" t="str">
        <f>IF(ISNUMBER(J668),J668,IF(ISNUMBER(F668),G668+H668+I668+ROUND(F668*'参数'!$C$16,2),""))</f>
        <v/>
      </c>
      <c r="L668" s="43" t="str">
        <f>IF(A668="","",IFERROR(T(INDEX('交易记录'!$C$5:$C$304,MATCH(A668,'交易记录'!$A$5:$A$304,0))),"编号没找到"))</f>
        <v/>
      </c>
      <c r="M668" s="57" t="str">
        <f>IF(AND(C668="买",ISNUMBER(B668)),WORKDAY(B668,1,'参数'!$B$58:$B$80),"")</f>
        <v/>
      </c>
      <c r="N668" s="36" t="str">
        <f>IF(C668&lt;&gt;"卖","",IF(AND(ISNUMBER(B668),A668&lt;&gt;""),IF(SUMIFS($E$5:$E$804,$A$5:$A$804,A668,$C$5:$C$804,"卖",$B$5:$B$804,"&lt;="&amp;B668)&gt;SUMIFS($E$5:$E$804,$A$5:$A$804,A668,$C$5:$C$804,"买",$B$5:$B$804,"&lt;"&amp;B668),"超出可卖股数","OK"),""))</f>
        <v/>
      </c>
      <c r="O668" s="32" t="n"/>
    </row>
    <row r="669">
      <c r="A669" s="46" t="n"/>
      <c r="B669" s="31" t="n"/>
      <c r="C669" s="27" t="n"/>
      <c r="D669" s="56" t="n"/>
      <c r="E669" s="17" t="n"/>
      <c r="F669" s="20" t="str">
        <f>IF(AND(ISNUMBER(D669),ISNUMBER(E669)),D669*E669,"")</f>
        <v/>
      </c>
      <c r="G669" s="51" t="str">
        <f>IF(ISNUMBER(F669),ROUND(MAX(F669*'参数'!$C$12,'参数'!$C$13),2),"")</f>
        <v/>
      </c>
      <c r="H669" s="51" t="str">
        <f>IF(ISNUMBER(F669),IF(C669="卖",ROUND(F669*'参数'!$C$14,2),0),"")</f>
        <v/>
      </c>
      <c r="I669" s="51" t="str">
        <f>IF(ISNUMBER(F669),ROUND(F669*'参数'!$C$15,2),"")</f>
        <v/>
      </c>
      <c r="J669" s="21" t="n"/>
      <c r="K669" s="20" t="str">
        <f>IF(ISNUMBER(J669),J669,IF(ISNUMBER(F669),G669+H669+I669+ROUND(F669*'参数'!$C$16,2),""))</f>
        <v/>
      </c>
      <c r="L669" s="43" t="str">
        <f>IF(A669="","",IFERROR(T(INDEX('交易记录'!$C$5:$C$304,MATCH(A669,'交易记录'!$A$5:$A$304,0))),"编号没找到"))</f>
        <v/>
      </c>
      <c r="M669" s="57" t="str">
        <f>IF(AND(C669="买",ISNUMBER(B669)),WORKDAY(B669,1,'参数'!$B$58:$B$80),"")</f>
        <v/>
      </c>
      <c r="N669" s="36" t="str">
        <f>IF(C669&lt;&gt;"卖","",IF(AND(ISNUMBER(B669),A669&lt;&gt;""),IF(SUMIFS($E$5:$E$804,$A$5:$A$804,A669,$C$5:$C$804,"卖",$B$5:$B$804,"&lt;="&amp;B669)&gt;SUMIFS($E$5:$E$804,$A$5:$A$804,A669,$C$5:$C$804,"买",$B$5:$B$804,"&lt;"&amp;B669),"超出可卖股数","OK"),""))</f>
        <v/>
      </c>
      <c r="O669" s="32" t="n"/>
    </row>
    <row r="670">
      <c r="A670" s="46" t="n"/>
      <c r="B670" s="31" t="n"/>
      <c r="C670" s="27" t="n"/>
      <c r="D670" s="56" t="n"/>
      <c r="E670" s="17" t="n"/>
      <c r="F670" s="20" t="str">
        <f>IF(AND(ISNUMBER(D670),ISNUMBER(E670)),D670*E670,"")</f>
        <v/>
      </c>
      <c r="G670" s="51" t="str">
        <f>IF(ISNUMBER(F670),ROUND(MAX(F670*'参数'!$C$12,'参数'!$C$13),2),"")</f>
        <v/>
      </c>
      <c r="H670" s="51" t="str">
        <f>IF(ISNUMBER(F670),IF(C670="卖",ROUND(F670*'参数'!$C$14,2),0),"")</f>
        <v/>
      </c>
      <c r="I670" s="51" t="str">
        <f>IF(ISNUMBER(F670),ROUND(F670*'参数'!$C$15,2),"")</f>
        <v/>
      </c>
      <c r="J670" s="21" t="n"/>
      <c r="K670" s="20" t="str">
        <f>IF(ISNUMBER(J670),J670,IF(ISNUMBER(F670),G670+H670+I670+ROUND(F670*'参数'!$C$16,2),""))</f>
        <v/>
      </c>
      <c r="L670" s="43" t="str">
        <f>IF(A670="","",IFERROR(T(INDEX('交易记录'!$C$5:$C$304,MATCH(A670,'交易记录'!$A$5:$A$304,0))),"编号没找到"))</f>
        <v/>
      </c>
      <c r="M670" s="57" t="str">
        <f>IF(AND(C670="买",ISNUMBER(B670)),WORKDAY(B670,1,'参数'!$B$58:$B$80),"")</f>
        <v/>
      </c>
      <c r="N670" s="36" t="str">
        <f>IF(C670&lt;&gt;"卖","",IF(AND(ISNUMBER(B670),A670&lt;&gt;""),IF(SUMIFS($E$5:$E$804,$A$5:$A$804,A670,$C$5:$C$804,"卖",$B$5:$B$804,"&lt;="&amp;B670)&gt;SUMIFS($E$5:$E$804,$A$5:$A$804,A670,$C$5:$C$804,"买",$B$5:$B$804,"&lt;"&amp;B670),"超出可卖股数","OK"),""))</f>
        <v/>
      </c>
      <c r="O670" s="32" t="n"/>
    </row>
    <row r="671">
      <c r="A671" s="46" t="n"/>
      <c r="B671" s="31" t="n"/>
      <c r="C671" s="27" t="n"/>
      <c r="D671" s="56" t="n"/>
      <c r="E671" s="17" t="n"/>
      <c r="F671" s="20" t="str">
        <f>IF(AND(ISNUMBER(D671),ISNUMBER(E671)),D671*E671,"")</f>
        <v/>
      </c>
      <c r="G671" s="51" t="str">
        <f>IF(ISNUMBER(F671),ROUND(MAX(F671*'参数'!$C$12,'参数'!$C$13),2),"")</f>
        <v/>
      </c>
      <c r="H671" s="51" t="str">
        <f>IF(ISNUMBER(F671),IF(C671="卖",ROUND(F671*'参数'!$C$14,2),0),"")</f>
        <v/>
      </c>
      <c r="I671" s="51" t="str">
        <f>IF(ISNUMBER(F671),ROUND(F671*'参数'!$C$15,2),"")</f>
        <v/>
      </c>
      <c r="J671" s="21" t="n"/>
      <c r="K671" s="20" t="str">
        <f>IF(ISNUMBER(J671),J671,IF(ISNUMBER(F671),G671+H671+I671+ROUND(F671*'参数'!$C$16,2),""))</f>
        <v/>
      </c>
      <c r="L671" s="43" t="str">
        <f>IF(A671="","",IFERROR(T(INDEX('交易记录'!$C$5:$C$304,MATCH(A671,'交易记录'!$A$5:$A$304,0))),"编号没找到"))</f>
        <v/>
      </c>
      <c r="M671" s="57" t="str">
        <f>IF(AND(C671="买",ISNUMBER(B671)),WORKDAY(B671,1,'参数'!$B$58:$B$80),"")</f>
        <v/>
      </c>
      <c r="N671" s="36" t="str">
        <f>IF(C671&lt;&gt;"卖","",IF(AND(ISNUMBER(B671),A671&lt;&gt;""),IF(SUMIFS($E$5:$E$804,$A$5:$A$804,A671,$C$5:$C$804,"卖",$B$5:$B$804,"&lt;="&amp;B671)&gt;SUMIFS($E$5:$E$804,$A$5:$A$804,A671,$C$5:$C$804,"买",$B$5:$B$804,"&lt;"&amp;B671),"超出可卖股数","OK"),""))</f>
        <v/>
      </c>
      <c r="O671" s="32" t="n"/>
    </row>
    <row r="672">
      <c r="A672" s="46" t="n"/>
      <c r="B672" s="31" t="n"/>
      <c r="C672" s="27" t="n"/>
      <c r="D672" s="56" t="n"/>
      <c r="E672" s="17" t="n"/>
      <c r="F672" s="20" t="str">
        <f>IF(AND(ISNUMBER(D672),ISNUMBER(E672)),D672*E672,"")</f>
        <v/>
      </c>
      <c r="G672" s="51" t="str">
        <f>IF(ISNUMBER(F672),ROUND(MAX(F672*'参数'!$C$12,'参数'!$C$13),2),"")</f>
        <v/>
      </c>
      <c r="H672" s="51" t="str">
        <f>IF(ISNUMBER(F672),IF(C672="卖",ROUND(F672*'参数'!$C$14,2),0),"")</f>
        <v/>
      </c>
      <c r="I672" s="51" t="str">
        <f>IF(ISNUMBER(F672),ROUND(F672*'参数'!$C$15,2),"")</f>
        <v/>
      </c>
      <c r="J672" s="21" t="n"/>
      <c r="K672" s="20" t="str">
        <f>IF(ISNUMBER(J672),J672,IF(ISNUMBER(F672),G672+H672+I672+ROUND(F672*'参数'!$C$16,2),""))</f>
        <v/>
      </c>
      <c r="L672" s="43" t="str">
        <f>IF(A672="","",IFERROR(T(INDEX('交易记录'!$C$5:$C$304,MATCH(A672,'交易记录'!$A$5:$A$304,0))),"编号没找到"))</f>
        <v/>
      </c>
      <c r="M672" s="57" t="str">
        <f>IF(AND(C672="买",ISNUMBER(B672)),WORKDAY(B672,1,'参数'!$B$58:$B$80),"")</f>
        <v/>
      </c>
      <c r="N672" s="36" t="str">
        <f>IF(C672&lt;&gt;"卖","",IF(AND(ISNUMBER(B672),A672&lt;&gt;""),IF(SUMIFS($E$5:$E$804,$A$5:$A$804,A672,$C$5:$C$804,"卖",$B$5:$B$804,"&lt;="&amp;B672)&gt;SUMIFS($E$5:$E$804,$A$5:$A$804,A672,$C$5:$C$804,"买",$B$5:$B$804,"&lt;"&amp;B672),"超出可卖股数","OK"),""))</f>
        <v/>
      </c>
      <c r="O672" s="32" t="n"/>
    </row>
    <row r="673">
      <c r="A673" s="46" t="n"/>
      <c r="B673" s="31" t="n"/>
      <c r="C673" s="27" t="n"/>
      <c r="D673" s="56" t="n"/>
      <c r="E673" s="17" t="n"/>
      <c r="F673" s="20" t="str">
        <f>IF(AND(ISNUMBER(D673),ISNUMBER(E673)),D673*E673,"")</f>
        <v/>
      </c>
      <c r="G673" s="51" t="str">
        <f>IF(ISNUMBER(F673),ROUND(MAX(F673*'参数'!$C$12,'参数'!$C$13),2),"")</f>
        <v/>
      </c>
      <c r="H673" s="51" t="str">
        <f>IF(ISNUMBER(F673),IF(C673="卖",ROUND(F673*'参数'!$C$14,2),0),"")</f>
        <v/>
      </c>
      <c r="I673" s="51" t="str">
        <f>IF(ISNUMBER(F673),ROUND(F673*'参数'!$C$15,2),"")</f>
        <v/>
      </c>
      <c r="J673" s="21" t="n"/>
      <c r="K673" s="20" t="str">
        <f>IF(ISNUMBER(J673),J673,IF(ISNUMBER(F673),G673+H673+I673+ROUND(F673*'参数'!$C$16,2),""))</f>
        <v/>
      </c>
      <c r="L673" s="43" t="str">
        <f>IF(A673="","",IFERROR(T(INDEX('交易记录'!$C$5:$C$304,MATCH(A673,'交易记录'!$A$5:$A$304,0))),"编号没找到"))</f>
        <v/>
      </c>
      <c r="M673" s="57" t="str">
        <f>IF(AND(C673="买",ISNUMBER(B673)),WORKDAY(B673,1,'参数'!$B$58:$B$80),"")</f>
        <v/>
      </c>
      <c r="N673" s="36" t="str">
        <f>IF(C673&lt;&gt;"卖","",IF(AND(ISNUMBER(B673),A673&lt;&gt;""),IF(SUMIFS($E$5:$E$804,$A$5:$A$804,A673,$C$5:$C$804,"卖",$B$5:$B$804,"&lt;="&amp;B673)&gt;SUMIFS($E$5:$E$804,$A$5:$A$804,A673,$C$5:$C$804,"买",$B$5:$B$804,"&lt;"&amp;B673),"超出可卖股数","OK"),""))</f>
        <v/>
      </c>
      <c r="O673" s="32" t="n"/>
    </row>
    <row r="674">
      <c r="A674" s="46" t="n"/>
      <c r="B674" s="31" t="n"/>
      <c r="C674" s="27" t="n"/>
      <c r="D674" s="56" t="n"/>
      <c r="E674" s="17" t="n"/>
      <c r="F674" s="20" t="str">
        <f>IF(AND(ISNUMBER(D674),ISNUMBER(E674)),D674*E674,"")</f>
        <v/>
      </c>
      <c r="G674" s="51" t="str">
        <f>IF(ISNUMBER(F674),ROUND(MAX(F674*'参数'!$C$12,'参数'!$C$13),2),"")</f>
        <v/>
      </c>
      <c r="H674" s="51" t="str">
        <f>IF(ISNUMBER(F674),IF(C674="卖",ROUND(F674*'参数'!$C$14,2),0),"")</f>
        <v/>
      </c>
      <c r="I674" s="51" t="str">
        <f>IF(ISNUMBER(F674),ROUND(F674*'参数'!$C$15,2),"")</f>
        <v/>
      </c>
      <c r="J674" s="21" t="n"/>
      <c r="K674" s="20" t="str">
        <f>IF(ISNUMBER(J674),J674,IF(ISNUMBER(F674),G674+H674+I674+ROUND(F674*'参数'!$C$16,2),""))</f>
        <v/>
      </c>
      <c r="L674" s="43" t="str">
        <f>IF(A674="","",IFERROR(T(INDEX('交易记录'!$C$5:$C$304,MATCH(A674,'交易记录'!$A$5:$A$304,0))),"编号没找到"))</f>
        <v/>
      </c>
      <c r="M674" s="57" t="str">
        <f>IF(AND(C674="买",ISNUMBER(B674)),WORKDAY(B674,1,'参数'!$B$58:$B$80),"")</f>
        <v/>
      </c>
      <c r="N674" s="36" t="str">
        <f>IF(C674&lt;&gt;"卖","",IF(AND(ISNUMBER(B674),A674&lt;&gt;""),IF(SUMIFS($E$5:$E$804,$A$5:$A$804,A674,$C$5:$C$804,"卖",$B$5:$B$804,"&lt;="&amp;B674)&gt;SUMIFS($E$5:$E$804,$A$5:$A$804,A674,$C$5:$C$804,"买",$B$5:$B$804,"&lt;"&amp;B674),"超出可卖股数","OK"),""))</f>
        <v/>
      </c>
      <c r="O674" s="32" t="n"/>
    </row>
    <row r="675">
      <c r="A675" s="46" t="n"/>
      <c r="B675" s="31" t="n"/>
      <c r="C675" s="27" t="n"/>
      <c r="D675" s="56" t="n"/>
      <c r="E675" s="17" t="n"/>
      <c r="F675" s="20" t="str">
        <f>IF(AND(ISNUMBER(D675),ISNUMBER(E675)),D675*E675,"")</f>
        <v/>
      </c>
      <c r="G675" s="51" t="str">
        <f>IF(ISNUMBER(F675),ROUND(MAX(F675*'参数'!$C$12,'参数'!$C$13),2),"")</f>
        <v/>
      </c>
      <c r="H675" s="51" t="str">
        <f>IF(ISNUMBER(F675),IF(C675="卖",ROUND(F675*'参数'!$C$14,2),0),"")</f>
        <v/>
      </c>
      <c r="I675" s="51" t="str">
        <f>IF(ISNUMBER(F675),ROUND(F675*'参数'!$C$15,2),"")</f>
        <v/>
      </c>
      <c r="J675" s="21" t="n"/>
      <c r="K675" s="20" t="str">
        <f>IF(ISNUMBER(J675),J675,IF(ISNUMBER(F675),G675+H675+I675+ROUND(F675*'参数'!$C$16,2),""))</f>
        <v/>
      </c>
      <c r="L675" s="43" t="str">
        <f>IF(A675="","",IFERROR(T(INDEX('交易记录'!$C$5:$C$304,MATCH(A675,'交易记录'!$A$5:$A$304,0))),"编号没找到"))</f>
        <v/>
      </c>
      <c r="M675" s="57" t="str">
        <f>IF(AND(C675="买",ISNUMBER(B675)),WORKDAY(B675,1,'参数'!$B$58:$B$80),"")</f>
        <v/>
      </c>
      <c r="N675" s="36" t="str">
        <f>IF(C675&lt;&gt;"卖","",IF(AND(ISNUMBER(B675),A675&lt;&gt;""),IF(SUMIFS($E$5:$E$804,$A$5:$A$804,A675,$C$5:$C$804,"卖",$B$5:$B$804,"&lt;="&amp;B675)&gt;SUMIFS($E$5:$E$804,$A$5:$A$804,A675,$C$5:$C$804,"买",$B$5:$B$804,"&lt;"&amp;B675),"超出可卖股数","OK"),""))</f>
        <v/>
      </c>
      <c r="O675" s="32" t="n"/>
    </row>
    <row r="676">
      <c r="A676" s="46" t="n"/>
      <c r="B676" s="31" t="n"/>
      <c r="C676" s="27" t="n"/>
      <c r="D676" s="56" t="n"/>
      <c r="E676" s="17" t="n"/>
      <c r="F676" s="20" t="str">
        <f>IF(AND(ISNUMBER(D676),ISNUMBER(E676)),D676*E676,"")</f>
        <v/>
      </c>
      <c r="G676" s="51" t="str">
        <f>IF(ISNUMBER(F676),ROUND(MAX(F676*'参数'!$C$12,'参数'!$C$13),2),"")</f>
        <v/>
      </c>
      <c r="H676" s="51" t="str">
        <f>IF(ISNUMBER(F676),IF(C676="卖",ROUND(F676*'参数'!$C$14,2),0),"")</f>
        <v/>
      </c>
      <c r="I676" s="51" t="str">
        <f>IF(ISNUMBER(F676),ROUND(F676*'参数'!$C$15,2),"")</f>
        <v/>
      </c>
      <c r="J676" s="21" t="n"/>
      <c r="K676" s="20" t="str">
        <f>IF(ISNUMBER(J676),J676,IF(ISNUMBER(F676),G676+H676+I676+ROUND(F676*'参数'!$C$16,2),""))</f>
        <v/>
      </c>
      <c r="L676" s="43" t="str">
        <f>IF(A676="","",IFERROR(T(INDEX('交易记录'!$C$5:$C$304,MATCH(A676,'交易记录'!$A$5:$A$304,0))),"编号没找到"))</f>
        <v/>
      </c>
      <c r="M676" s="57" t="str">
        <f>IF(AND(C676="买",ISNUMBER(B676)),WORKDAY(B676,1,'参数'!$B$58:$B$80),"")</f>
        <v/>
      </c>
      <c r="N676" s="36" t="str">
        <f>IF(C676&lt;&gt;"卖","",IF(AND(ISNUMBER(B676),A676&lt;&gt;""),IF(SUMIFS($E$5:$E$804,$A$5:$A$804,A676,$C$5:$C$804,"卖",$B$5:$B$804,"&lt;="&amp;B676)&gt;SUMIFS($E$5:$E$804,$A$5:$A$804,A676,$C$5:$C$804,"买",$B$5:$B$804,"&lt;"&amp;B676),"超出可卖股数","OK"),""))</f>
        <v/>
      </c>
      <c r="O676" s="32" t="n"/>
    </row>
    <row r="677">
      <c r="A677" s="46" t="n"/>
      <c r="B677" s="31" t="n"/>
      <c r="C677" s="27" t="n"/>
      <c r="D677" s="56" t="n"/>
      <c r="E677" s="17" t="n"/>
      <c r="F677" s="20" t="str">
        <f>IF(AND(ISNUMBER(D677),ISNUMBER(E677)),D677*E677,"")</f>
        <v/>
      </c>
      <c r="G677" s="51" t="str">
        <f>IF(ISNUMBER(F677),ROUND(MAX(F677*'参数'!$C$12,'参数'!$C$13),2),"")</f>
        <v/>
      </c>
      <c r="H677" s="51" t="str">
        <f>IF(ISNUMBER(F677),IF(C677="卖",ROUND(F677*'参数'!$C$14,2),0),"")</f>
        <v/>
      </c>
      <c r="I677" s="51" t="str">
        <f>IF(ISNUMBER(F677),ROUND(F677*'参数'!$C$15,2),"")</f>
        <v/>
      </c>
      <c r="J677" s="21" t="n"/>
      <c r="K677" s="20" t="str">
        <f>IF(ISNUMBER(J677),J677,IF(ISNUMBER(F677),G677+H677+I677+ROUND(F677*'参数'!$C$16,2),""))</f>
        <v/>
      </c>
      <c r="L677" s="43" t="str">
        <f>IF(A677="","",IFERROR(T(INDEX('交易记录'!$C$5:$C$304,MATCH(A677,'交易记录'!$A$5:$A$304,0))),"编号没找到"))</f>
        <v/>
      </c>
      <c r="M677" s="57" t="str">
        <f>IF(AND(C677="买",ISNUMBER(B677)),WORKDAY(B677,1,'参数'!$B$58:$B$80),"")</f>
        <v/>
      </c>
      <c r="N677" s="36" t="str">
        <f>IF(C677&lt;&gt;"卖","",IF(AND(ISNUMBER(B677),A677&lt;&gt;""),IF(SUMIFS($E$5:$E$804,$A$5:$A$804,A677,$C$5:$C$804,"卖",$B$5:$B$804,"&lt;="&amp;B677)&gt;SUMIFS($E$5:$E$804,$A$5:$A$804,A677,$C$5:$C$804,"买",$B$5:$B$804,"&lt;"&amp;B677),"超出可卖股数","OK"),""))</f>
        <v/>
      </c>
      <c r="O677" s="32" t="n"/>
    </row>
    <row r="678">
      <c r="A678" s="46" t="n"/>
      <c r="B678" s="31" t="n"/>
      <c r="C678" s="27" t="n"/>
      <c r="D678" s="56" t="n"/>
      <c r="E678" s="17" t="n"/>
      <c r="F678" s="20" t="str">
        <f>IF(AND(ISNUMBER(D678),ISNUMBER(E678)),D678*E678,"")</f>
        <v/>
      </c>
      <c r="G678" s="51" t="str">
        <f>IF(ISNUMBER(F678),ROUND(MAX(F678*'参数'!$C$12,'参数'!$C$13),2),"")</f>
        <v/>
      </c>
      <c r="H678" s="51" t="str">
        <f>IF(ISNUMBER(F678),IF(C678="卖",ROUND(F678*'参数'!$C$14,2),0),"")</f>
        <v/>
      </c>
      <c r="I678" s="51" t="str">
        <f>IF(ISNUMBER(F678),ROUND(F678*'参数'!$C$15,2),"")</f>
        <v/>
      </c>
      <c r="J678" s="21" t="n"/>
      <c r="K678" s="20" t="str">
        <f>IF(ISNUMBER(J678),J678,IF(ISNUMBER(F678),G678+H678+I678+ROUND(F678*'参数'!$C$16,2),""))</f>
        <v/>
      </c>
      <c r="L678" s="43" t="str">
        <f>IF(A678="","",IFERROR(T(INDEX('交易记录'!$C$5:$C$304,MATCH(A678,'交易记录'!$A$5:$A$304,0))),"编号没找到"))</f>
        <v/>
      </c>
      <c r="M678" s="57" t="str">
        <f>IF(AND(C678="买",ISNUMBER(B678)),WORKDAY(B678,1,'参数'!$B$58:$B$80),"")</f>
        <v/>
      </c>
      <c r="N678" s="36" t="str">
        <f>IF(C678&lt;&gt;"卖","",IF(AND(ISNUMBER(B678),A678&lt;&gt;""),IF(SUMIFS($E$5:$E$804,$A$5:$A$804,A678,$C$5:$C$804,"卖",$B$5:$B$804,"&lt;="&amp;B678)&gt;SUMIFS($E$5:$E$804,$A$5:$A$804,A678,$C$5:$C$804,"买",$B$5:$B$804,"&lt;"&amp;B678),"超出可卖股数","OK"),""))</f>
        <v/>
      </c>
      <c r="O678" s="32" t="n"/>
    </row>
    <row r="679">
      <c r="A679" s="46" t="n"/>
      <c r="B679" s="31" t="n"/>
      <c r="C679" s="27" t="n"/>
      <c r="D679" s="56" t="n"/>
      <c r="E679" s="17" t="n"/>
      <c r="F679" s="20" t="str">
        <f>IF(AND(ISNUMBER(D679),ISNUMBER(E679)),D679*E679,"")</f>
        <v/>
      </c>
      <c r="G679" s="51" t="str">
        <f>IF(ISNUMBER(F679),ROUND(MAX(F679*'参数'!$C$12,'参数'!$C$13),2),"")</f>
        <v/>
      </c>
      <c r="H679" s="51" t="str">
        <f>IF(ISNUMBER(F679),IF(C679="卖",ROUND(F679*'参数'!$C$14,2),0),"")</f>
        <v/>
      </c>
      <c r="I679" s="51" t="str">
        <f>IF(ISNUMBER(F679),ROUND(F679*'参数'!$C$15,2),"")</f>
        <v/>
      </c>
      <c r="J679" s="21" t="n"/>
      <c r="K679" s="20" t="str">
        <f>IF(ISNUMBER(J679),J679,IF(ISNUMBER(F679),G679+H679+I679+ROUND(F679*'参数'!$C$16,2),""))</f>
        <v/>
      </c>
      <c r="L679" s="43" t="str">
        <f>IF(A679="","",IFERROR(T(INDEX('交易记录'!$C$5:$C$304,MATCH(A679,'交易记录'!$A$5:$A$304,0))),"编号没找到"))</f>
        <v/>
      </c>
      <c r="M679" s="57" t="str">
        <f>IF(AND(C679="买",ISNUMBER(B679)),WORKDAY(B679,1,'参数'!$B$58:$B$80),"")</f>
        <v/>
      </c>
      <c r="N679" s="36" t="str">
        <f>IF(C679&lt;&gt;"卖","",IF(AND(ISNUMBER(B679),A679&lt;&gt;""),IF(SUMIFS($E$5:$E$804,$A$5:$A$804,A679,$C$5:$C$804,"卖",$B$5:$B$804,"&lt;="&amp;B679)&gt;SUMIFS($E$5:$E$804,$A$5:$A$804,A679,$C$5:$C$804,"买",$B$5:$B$804,"&lt;"&amp;B679),"超出可卖股数","OK"),""))</f>
        <v/>
      </c>
      <c r="O679" s="32" t="n"/>
    </row>
    <row r="680">
      <c r="A680" s="46" t="n"/>
      <c r="B680" s="31" t="n"/>
      <c r="C680" s="27" t="n"/>
      <c r="D680" s="56" t="n"/>
      <c r="E680" s="17" t="n"/>
      <c r="F680" s="20" t="str">
        <f>IF(AND(ISNUMBER(D680),ISNUMBER(E680)),D680*E680,"")</f>
        <v/>
      </c>
      <c r="G680" s="51" t="str">
        <f>IF(ISNUMBER(F680),ROUND(MAX(F680*'参数'!$C$12,'参数'!$C$13),2),"")</f>
        <v/>
      </c>
      <c r="H680" s="51" t="str">
        <f>IF(ISNUMBER(F680),IF(C680="卖",ROUND(F680*'参数'!$C$14,2),0),"")</f>
        <v/>
      </c>
      <c r="I680" s="51" t="str">
        <f>IF(ISNUMBER(F680),ROUND(F680*'参数'!$C$15,2),"")</f>
        <v/>
      </c>
      <c r="J680" s="21" t="n"/>
      <c r="K680" s="20" t="str">
        <f>IF(ISNUMBER(J680),J680,IF(ISNUMBER(F680),G680+H680+I680+ROUND(F680*'参数'!$C$16,2),""))</f>
        <v/>
      </c>
      <c r="L680" s="43" t="str">
        <f>IF(A680="","",IFERROR(T(INDEX('交易记录'!$C$5:$C$304,MATCH(A680,'交易记录'!$A$5:$A$304,0))),"编号没找到"))</f>
        <v/>
      </c>
      <c r="M680" s="57" t="str">
        <f>IF(AND(C680="买",ISNUMBER(B680)),WORKDAY(B680,1,'参数'!$B$58:$B$80),"")</f>
        <v/>
      </c>
      <c r="N680" s="36" t="str">
        <f>IF(C680&lt;&gt;"卖","",IF(AND(ISNUMBER(B680),A680&lt;&gt;""),IF(SUMIFS($E$5:$E$804,$A$5:$A$804,A680,$C$5:$C$804,"卖",$B$5:$B$804,"&lt;="&amp;B680)&gt;SUMIFS($E$5:$E$804,$A$5:$A$804,A680,$C$5:$C$804,"买",$B$5:$B$804,"&lt;"&amp;B680),"超出可卖股数","OK"),""))</f>
        <v/>
      </c>
      <c r="O680" s="32" t="n"/>
    </row>
    <row r="681">
      <c r="A681" s="46" t="n"/>
      <c r="B681" s="31" t="n"/>
      <c r="C681" s="27" t="n"/>
      <c r="D681" s="56" t="n"/>
      <c r="E681" s="17" t="n"/>
      <c r="F681" s="20" t="str">
        <f>IF(AND(ISNUMBER(D681),ISNUMBER(E681)),D681*E681,"")</f>
        <v/>
      </c>
      <c r="G681" s="51" t="str">
        <f>IF(ISNUMBER(F681),ROUND(MAX(F681*'参数'!$C$12,'参数'!$C$13),2),"")</f>
        <v/>
      </c>
      <c r="H681" s="51" t="str">
        <f>IF(ISNUMBER(F681),IF(C681="卖",ROUND(F681*'参数'!$C$14,2),0),"")</f>
        <v/>
      </c>
      <c r="I681" s="51" t="str">
        <f>IF(ISNUMBER(F681),ROUND(F681*'参数'!$C$15,2),"")</f>
        <v/>
      </c>
      <c r="J681" s="21" t="n"/>
      <c r="K681" s="20" t="str">
        <f>IF(ISNUMBER(J681),J681,IF(ISNUMBER(F681),G681+H681+I681+ROUND(F681*'参数'!$C$16,2),""))</f>
        <v/>
      </c>
      <c r="L681" s="43" t="str">
        <f>IF(A681="","",IFERROR(T(INDEX('交易记录'!$C$5:$C$304,MATCH(A681,'交易记录'!$A$5:$A$304,0))),"编号没找到"))</f>
        <v/>
      </c>
      <c r="M681" s="57" t="str">
        <f>IF(AND(C681="买",ISNUMBER(B681)),WORKDAY(B681,1,'参数'!$B$58:$B$80),"")</f>
        <v/>
      </c>
      <c r="N681" s="36" t="str">
        <f>IF(C681&lt;&gt;"卖","",IF(AND(ISNUMBER(B681),A681&lt;&gt;""),IF(SUMIFS($E$5:$E$804,$A$5:$A$804,A681,$C$5:$C$804,"卖",$B$5:$B$804,"&lt;="&amp;B681)&gt;SUMIFS($E$5:$E$804,$A$5:$A$804,A681,$C$5:$C$804,"买",$B$5:$B$804,"&lt;"&amp;B681),"超出可卖股数","OK"),""))</f>
        <v/>
      </c>
      <c r="O681" s="32" t="n"/>
    </row>
    <row r="682">
      <c r="A682" s="46" t="n"/>
      <c r="B682" s="31" t="n"/>
      <c r="C682" s="27" t="n"/>
      <c r="D682" s="56" t="n"/>
      <c r="E682" s="17" t="n"/>
      <c r="F682" s="20" t="str">
        <f>IF(AND(ISNUMBER(D682),ISNUMBER(E682)),D682*E682,"")</f>
        <v/>
      </c>
      <c r="G682" s="51" t="str">
        <f>IF(ISNUMBER(F682),ROUND(MAX(F682*'参数'!$C$12,'参数'!$C$13),2),"")</f>
        <v/>
      </c>
      <c r="H682" s="51" t="str">
        <f>IF(ISNUMBER(F682),IF(C682="卖",ROUND(F682*'参数'!$C$14,2),0),"")</f>
        <v/>
      </c>
      <c r="I682" s="51" t="str">
        <f>IF(ISNUMBER(F682),ROUND(F682*'参数'!$C$15,2),"")</f>
        <v/>
      </c>
      <c r="J682" s="21" t="n"/>
      <c r="K682" s="20" t="str">
        <f>IF(ISNUMBER(J682),J682,IF(ISNUMBER(F682),G682+H682+I682+ROUND(F682*'参数'!$C$16,2),""))</f>
        <v/>
      </c>
      <c r="L682" s="43" t="str">
        <f>IF(A682="","",IFERROR(T(INDEX('交易记录'!$C$5:$C$304,MATCH(A682,'交易记录'!$A$5:$A$304,0))),"编号没找到"))</f>
        <v/>
      </c>
      <c r="M682" s="57" t="str">
        <f>IF(AND(C682="买",ISNUMBER(B682)),WORKDAY(B682,1,'参数'!$B$58:$B$80),"")</f>
        <v/>
      </c>
      <c r="N682" s="36" t="str">
        <f>IF(C682&lt;&gt;"卖","",IF(AND(ISNUMBER(B682),A682&lt;&gt;""),IF(SUMIFS($E$5:$E$804,$A$5:$A$804,A682,$C$5:$C$804,"卖",$B$5:$B$804,"&lt;="&amp;B682)&gt;SUMIFS($E$5:$E$804,$A$5:$A$804,A682,$C$5:$C$804,"买",$B$5:$B$804,"&lt;"&amp;B682),"超出可卖股数","OK"),""))</f>
        <v/>
      </c>
      <c r="O682" s="32" t="n"/>
    </row>
    <row r="683">
      <c r="A683" s="46" t="n"/>
      <c r="B683" s="31" t="n"/>
      <c r="C683" s="27" t="n"/>
      <c r="D683" s="56" t="n"/>
      <c r="E683" s="17" t="n"/>
      <c r="F683" s="20" t="str">
        <f>IF(AND(ISNUMBER(D683),ISNUMBER(E683)),D683*E683,"")</f>
        <v/>
      </c>
      <c r="G683" s="51" t="str">
        <f>IF(ISNUMBER(F683),ROUND(MAX(F683*'参数'!$C$12,'参数'!$C$13),2),"")</f>
        <v/>
      </c>
      <c r="H683" s="51" t="str">
        <f>IF(ISNUMBER(F683),IF(C683="卖",ROUND(F683*'参数'!$C$14,2),0),"")</f>
        <v/>
      </c>
      <c r="I683" s="51" t="str">
        <f>IF(ISNUMBER(F683),ROUND(F683*'参数'!$C$15,2),"")</f>
        <v/>
      </c>
      <c r="J683" s="21" t="n"/>
      <c r="K683" s="20" t="str">
        <f>IF(ISNUMBER(J683),J683,IF(ISNUMBER(F683),G683+H683+I683+ROUND(F683*'参数'!$C$16,2),""))</f>
        <v/>
      </c>
      <c r="L683" s="43" t="str">
        <f>IF(A683="","",IFERROR(T(INDEX('交易记录'!$C$5:$C$304,MATCH(A683,'交易记录'!$A$5:$A$304,0))),"编号没找到"))</f>
        <v/>
      </c>
      <c r="M683" s="57" t="str">
        <f>IF(AND(C683="买",ISNUMBER(B683)),WORKDAY(B683,1,'参数'!$B$58:$B$80),"")</f>
        <v/>
      </c>
      <c r="N683" s="36" t="str">
        <f>IF(C683&lt;&gt;"卖","",IF(AND(ISNUMBER(B683),A683&lt;&gt;""),IF(SUMIFS($E$5:$E$804,$A$5:$A$804,A683,$C$5:$C$804,"卖",$B$5:$B$804,"&lt;="&amp;B683)&gt;SUMIFS($E$5:$E$804,$A$5:$A$804,A683,$C$5:$C$804,"买",$B$5:$B$804,"&lt;"&amp;B683),"超出可卖股数","OK"),""))</f>
        <v/>
      </c>
      <c r="O683" s="32" t="n"/>
    </row>
    <row r="684">
      <c r="A684" s="46" t="n"/>
      <c r="B684" s="31" t="n"/>
      <c r="C684" s="27" t="n"/>
      <c r="D684" s="56" t="n"/>
      <c r="E684" s="17" t="n"/>
      <c r="F684" s="20" t="str">
        <f>IF(AND(ISNUMBER(D684),ISNUMBER(E684)),D684*E684,"")</f>
        <v/>
      </c>
      <c r="G684" s="51" t="str">
        <f>IF(ISNUMBER(F684),ROUND(MAX(F684*'参数'!$C$12,'参数'!$C$13),2),"")</f>
        <v/>
      </c>
      <c r="H684" s="51" t="str">
        <f>IF(ISNUMBER(F684),IF(C684="卖",ROUND(F684*'参数'!$C$14,2),0),"")</f>
        <v/>
      </c>
      <c r="I684" s="51" t="str">
        <f>IF(ISNUMBER(F684),ROUND(F684*'参数'!$C$15,2),"")</f>
        <v/>
      </c>
      <c r="J684" s="21" t="n"/>
      <c r="K684" s="20" t="str">
        <f>IF(ISNUMBER(J684),J684,IF(ISNUMBER(F684),G684+H684+I684+ROUND(F684*'参数'!$C$16,2),""))</f>
        <v/>
      </c>
      <c r="L684" s="43" t="str">
        <f>IF(A684="","",IFERROR(T(INDEX('交易记录'!$C$5:$C$304,MATCH(A684,'交易记录'!$A$5:$A$304,0))),"编号没找到"))</f>
        <v/>
      </c>
      <c r="M684" s="57" t="str">
        <f>IF(AND(C684="买",ISNUMBER(B684)),WORKDAY(B684,1,'参数'!$B$58:$B$80),"")</f>
        <v/>
      </c>
      <c r="N684" s="36" t="str">
        <f>IF(C684&lt;&gt;"卖","",IF(AND(ISNUMBER(B684),A684&lt;&gt;""),IF(SUMIFS($E$5:$E$804,$A$5:$A$804,A684,$C$5:$C$804,"卖",$B$5:$B$804,"&lt;="&amp;B684)&gt;SUMIFS($E$5:$E$804,$A$5:$A$804,A684,$C$5:$C$804,"买",$B$5:$B$804,"&lt;"&amp;B684),"超出可卖股数","OK"),""))</f>
        <v/>
      </c>
      <c r="O684" s="32" t="n"/>
    </row>
    <row r="685">
      <c r="A685" s="46" t="n"/>
      <c r="B685" s="31" t="n"/>
      <c r="C685" s="27" t="n"/>
      <c r="D685" s="56" t="n"/>
      <c r="E685" s="17" t="n"/>
      <c r="F685" s="20" t="str">
        <f>IF(AND(ISNUMBER(D685),ISNUMBER(E685)),D685*E685,"")</f>
        <v/>
      </c>
      <c r="G685" s="51" t="str">
        <f>IF(ISNUMBER(F685),ROUND(MAX(F685*'参数'!$C$12,'参数'!$C$13),2),"")</f>
        <v/>
      </c>
      <c r="H685" s="51" t="str">
        <f>IF(ISNUMBER(F685),IF(C685="卖",ROUND(F685*'参数'!$C$14,2),0),"")</f>
        <v/>
      </c>
      <c r="I685" s="51" t="str">
        <f>IF(ISNUMBER(F685),ROUND(F685*'参数'!$C$15,2),"")</f>
        <v/>
      </c>
      <c r="J685" s="21" t="n"/>
      <c r="K685" s="20" t="str">
        <f>IF(ISNUMBER(J685),J685,IF(ISNUMBER(F685),G685+H685+I685+ROUND(F685*'参数'!$C$16,2),""))</f>
        <v/>
      </c>
      <c r="L685" s="43" t="str">
        <f>IF(A685="","",IFERROR(T(INDEX('交易记录'!$C$5:$C$304,MATCH(A685,'交易记录'!$A$5:$A$304,0))),"编号没找到"))</f>
        <v/>
      </c>
      <c r="M685" s="57" t="str">
        <f>IF(AND(C685="买",ISNUMBER(B685)),WORKDAY(B685,1,'参数'!$B$58:$B$80),"")</f>
        <v/>
      </c>
      <c r="N685" s="36" t="str">
        <f>IF(C685&lt;&gt;"卖","",IF(AND(ISNUMBER(B685),A685&lt;&gt;""),IF(SUMIFS($E$5:$E$804,$A$5:$A$804,A685,$C$5:$C$804,"卖",$B$5:$B$804,"&lt;="&amp;B685)&gt;SUMIFS($E$5:$E$804,$A$5:$A$804,A685,$C$5:$C$804,"买",$B$5:$B$804,"&lt;"&amp;B685),"超出可卖股数","OK"),""))</f>
        <v/>
      </c>
      <c r="O685" s="32" t="n"/>
    </row>
    <row r="686">
      <c r="A686" s="46" t="n"/>
      <c r="B686" s="31" t="n"/>
      <c r="C686" s="27" t="n"/>
      <c r="D686" s="56" t="n"/>
      <c r="E686" s="17" t="n"/>
      <c r="F686" s="20" t="str">
        <f>IF(AND(ISNUMBER(D686),ISNUMBER(E686)),D686*E686,"")</f>
        <v/>
      </c>
      <c r="G686" s="51" t="str">
        <f>IF(ISNUMBER(F686),ROUND(MAX(F686*'参数'!$C$12,'参数'!$C$13),2),"")</f>
        <v/>
      </c>
      <c r="H686" s="51" t="str">
        <f>IF(ISNUMBER(F686),IF(C686="卖",ROUND(F686*'参数'!$C$14,2),0),"")</f>
        <v/>
      </c>
      <c r="I686" s="51" t="str">
        <f>IF(ISNUMBER(F686),ROUND(F686*'参数'!$C$15,2),"")</f>
        <v/>
      </c>
      <c r="J686" s="21" t="n"/>
      <c r="K686" s="20" t="str">
        <f>IF(ISNUMBER(J686),J686,IF(ISNUMBER(F686),G686+H686+I686+ROUND(F686*'参数'!$C$16,2),""))</f>
        <v/>
      </c>
      <c r="L686" s="43" t="str">
        <f>IF(A686="","",IFERROR(T(INDEX('交易记录'!$C$5:$C$304,MATCH(A686,'交易记录'!$A$5:$A$304,0))),"编号没找到"))</f>
        <v/>
      </c>
      <c r="M686" s="57" t="str">
        <f>IF(AND(C686="买",ISNUMBER(B686)),WORKDAY(B686,1,'参数'!$B$58:$B$80),"")</f>
        <v/>
      </c>
      <c r="N686" s="36" t="str">
        <f>IF(C686&lt;&gt;"卖","",IF(AND(ISNUMBER(B686),A686&lt;&gt;""),IF(SUMIFS($E$5:$E$804,$A$5:$A$804,A686,$C$5:$C$804,"卖",$B$5:$B$804,"&lt;="&amp;B686)&gt;SUMIFS($E$5:$E$804,$A$5:$A$804,A686,$C$5:$C$804,"买",$B$5:$B$804,"&lt;"&amp;B686),"超出可卖股数","OK"),""))</f>
        <v/>
      </c>
      <c r="O686" s="32" t="n"/>
    </row>
    <row r="687">
      <c r="A687" s="46" t="n"/>
      <c r="B687" s="31" t="n"/>
      <c r="C687" s="27" t="n"/>
      <c r="D687" s="56" t="n"/>
      <c r="E687" s="17" t="n"/>
      <c r="F687" s="20" t="str">
        <f>IF(AND(ISNUMBER(D687),ISNUMBER(E687)),D687*E687,"")</f>
        <v/>
      </c>
      <c r="G687" s="51" t="str">
        <f>IF(ISNUMBER(F687),ROUND(MAX(F687*'参数'!$C$12,'参数'!$C$13),2),"")</f>
        <v/>
      </c>
      <c r="H687" s="51" t="str">
        <f>IF(ISNUMBER(F687),IF(C687="卖",ROUND(F687*'参数'!$C$14,2),0),"")</f>
        <v/>
      </c>
      <c r="I687" s="51" t="str">
        <f>IF(ISNUMBER(F687),ROUND(F687*'参数'!$C$15,2),"")</f>
        <v/>
      </c>
      <c r="J687" s="21" t="n"/>
      <c r="K687" s="20" t="str">
        <f>IF(ISNUMBER(J687),J687,IF(ISNUMBER(F687),G687+H687+I687+ROUND(F687*'参数'!$C$16,2),""))</f>
        <v/>
      </c>
      <c r="L687" s="43" t="str">
        <f>IF(A687="","",IFERROR(T(INDEX('交易记录'!$C$5:$C$304,MATCH(A687,'交易记录'!$A$5:$A$304,0))),"编号没找到"))</f>
        <v/>
      </c>
      <c r="M687" s="57" t="str">
        <f>IF(AND(C687="买",ISNUMBER(B687)),WORKDAY(B687,1,'参数'!$B$58:$B$80),"")</f>
        <v/>
      </c>
      <c r="N687" s="36" t="str">
        <f>IF(C687&lt;&gt;"卖","",IF(AND(ISNUMBER(B687),A687&lt;&gt;""),IF(SUMIFS($E$5:$E$804,$A$5:$A$804,A687,$C$5:$C$804,"卖",$B$5:$B$804,"&lt;="&amp;B687)&gt;SUMIFS($E$5:$E$804,$A$5:$A$804,A687,$C$5:$C$804,"买",$B$5:$B$804,"&lt;"&amp;B687),"超出可卖股数","OK"),""))</f>
        <v/>
      </c>
      <c r="O687" s="32" t="n"/>
    </row>
    <row r="688">
      <c r="A688" s="46" t="n"/>
      <c r="B688" s="31" t="n"/>
      <c r="C688" s="27" t="n"/>
      <c r="D688" s="56" t="n"/>
      <c r="E688" s="17" t="n"/>
      <c r="F688" s="20" t="str">
        <f>IF(AND(ISNUMBER(D688),ISNUMBER(E688)),D688*E688,"")</f>
        <v/>
      </c>
      <c r="G688" s="51" t="str">
        <f>IF(ISNUMBER(F688),ROUND(MAX(F688*'参数'!$C$12,'参数'!$C$13),2),"")</f>
        <v/>
      </c>
      <c r="H688" s="51" t="str">
        <f>IF(ISNUMBER(F688),IF(C688="卖",ROUND(F688*'参数'!$C$14,2),0),"")</f>
        <v/>
      </c>
      <c r="I688" s="51" t="str">
        <f>IF(ISNUMBER(F688),ROUND(F688*'参数'!$C$15,2),"")</f>
        <v/>
      </c>
      <c r="J688" s="21" t="n"/>
      <c r="K688" s="20" t="str">
        <f>IF(ISNUMBER(J688),J688,IF(ISNUMBER(F688),G688+H688+I688+ROUND(F688*'参数'!$C$16,2),""))</f>
        <v/>
      </c>
      <c r="L688" s="43" t="str">
        <f>IF(A688="","",IFERROR(T(INDEX('交易记录'!$C$5:$C$304,MATCH(A688,'交易记录'!$A$5:$A$304,0))),"编号没找到"))</f>
        <v/>
      </c>
      <c r="M688" s="57" t="str">
        <f>IF(AND(C688="买",ISNUMBER(B688)),WORKDAY(B688,1,'参数'!$B$58:$B$80),"")</f>
        <v/>
      </c>
      <c r="N688" s="36" t="str">
        <f>IF(C688&lt;&gt;"卖","",IF(AND(ISNUMBER(B688),A688&lt;&gt;""),IF(SUMIFS($E$5:$E$804,$A$5:$A$804,A688,$C$5:$C$804,"卖",$B$5:$B$804,"&lt;="&amp;B688)&gt;SUMIFS($E$5:$E$804,$A$5:$A$804,A688,$C$5:$C$804,"买",$B$5:$B$804,"&lt;"&amp;B688),"超出可卖股数","OK"),""))</f>
        <v/>
      </c>
      <c r="O688" s="32" t="n"/>
    </row>
    <row r="689">
      <c r="A689" s="46" t="n"/>
      <c r="B689" s="31" t="n"/>
      <c r="C689" s="27" t="n"/>
      <c r="D689" s="56" t="n"/>
      <c r="E689" s="17" t="n"/>
      <c r="F689" s="20" t="str">
        <f>IF(AND(ISNUMBER(D689),ISNUMBER(E689)),D689*E689,"")</f>
        <v/>
      </c>
      <c r="G689" s="51" t="str">
        <f>IF(ISNUMBER(F689),ROUND(MAX(F689*'参数'!$C$12,'参数'!$C$13),2),"")</f>
        <v/>
      </c>
      <c r="H689" s="51" t="str">
        <f>IF(ISNUMBER(F689),IF(C689="卖",ROUND(F689*'参数'!$C$14,2),0),"")</f>
        <v/>
      </c>
      <c r="I689" s="51" t="str">
        <f>IF(ISNUMBER(F689),ROUND(F689*'参数'!$C$15,2),"")</f>
        <v/>
      </c>
      <c r="J689" s="21" t="n"/>
      <c r="K689" s="20" t="str">
        <f>IF(ISNUMBER(J689),J689,IF(ISNUMBER(F689),G689+H689+I689+ROUND(F689*'参数'!$C$16,2),""))</f>
        <v/>
      </c>
      <c r="L689" s="43" t="str">
        <f>IF(A689="","",IFERROR(T(INDEX('交易记录'!$C$5:$C$304,MATCH(A689,'交易记录'!$A$5:$A$304,0))),"编号没找到"))</f>
        <v/>
      </c>
      <c r="M689" s="57" t="str">
        <f>IF(AND(C689="买",ISNUMBER(B689)),WORKDAY(B689,1,'参数'!$B$58:$B$80),"")</f>
        <v/>
      </c>
      <c r="N689" s="36" t="str">
        <f>IF(C689&lt;&gt;"卖","",IF(AND(ISNUMBER(B689),A689&lt;&gt;""),IF(SUMIFS($E$5:$E$804,$A$5:$A$804,A689,$C$5:$C$804,"卖",$B$5:$B$804,"&lt;="&amp;B689)&gt;SUMIFS($E$5:$E$804,$A$5:$A$804,A689,$C$5:$C$804,"买",$B$5:$B$804,"&lt;"&amp;B689),"超出可卖股数","OK"),""))</f>
        <v/>
      </c>
      <c r="O689" s="32" t="n"/>
    </row>
    <row r="690">
      <c r="A690" s="46" t="n"/>
      <c r="B690" s="31" t="n"/>
      <c r="C690" s="27" t="n"/>
      <c r="D690" s="56" t="n"/>
      <c r="E690" s="17" t="n"/>
      <c r="F690" s="20" t="str">
        <f>IF(AND(ISNUMBER(D690),ISNUMBER(E690)),D690*E690,"")</f>
        <v/>
      </c>
      <c r="G690" s="51" t="str">
        <f>IF(ISNUMBER(F690),ROUND(MAX(F690*'参数'!$C$12,'参数'!$C$13),2),"")</f>
        <v/>
      </c>
      <c r="H690" s="51" t="str">
        <f>IF(ISNUMBER(F690),IF(C690="卖",ROUND(F690*'参数'!$C$14,2),0),"")</f>
        <v/>
      </c>
      <c r="I690" s="51" t="str">
        <f>IF(ISNUMBER(F690),ROUND(F690*'参数'!$C$15,2),"")</f>
        <v/>
      </c>
      <c r="J690" s="21" t="n"/>
      <c r="K690" s="20" t="str">
        <f>IF(ISNUMBER(J690),J690,IF(ISNUMBER(F690),G690+H690+I690+ROUND(F690*'参数'!$C$16,2),""))</f>
        <v/>
      </c>
      <c r="L690" s="43" t="str">
        <f>IF(A690="","",IFERROR(T(INDEX('交易记录'!$C$5:$C$304,MATCH(A690,'交易记录'!$A$5:$A$304,0))),"编号没找到"))</f>
        <v/>
      </c>
      <c r="M690" s="57" t="str">
        <f>IF(AND(C690="买",ISNUMBER(B690)),WORKDAY(B690,1,'参数'!$B$58:$B$80),"")</f>
        <v/>
      </c>
      <c r="N690" s="36" t="str">
        <f>IF(C690&lt;&gt;"卖","",IF(AND(ISNUMBER(B690),A690&lt;&gt;""),IF(SUMIFS($E$5:$E$804,$A$5:$A$804,A690,$C$5:$C$804,"卖",$B$5:$B$804,"&lt;="&amp;B690)&gt;SUMIFS($E$5:$E$804,$A$5:$A$804,A690,$C$5:$C$804,"买",$B$5:$B$804,"&lt;"&amp;B690),"超出可卖股数","OK"),""))</f>
        <v/>
      </c>
      <c r="O690" s="32" t="n"/>
    </row>
    <row r="691">
      <c r="A691" s="46" t="n"/>
      <c r="B691" s="31" t="n"/>
      <c r="C691" s="27" t="n"/>
      <c r="D691" s="56" t="n"/>
      <c r="E691" s="17" t="n"/>
      <c r="F691" s="20" t="str">
        <f>IF(AND(ISNUMBER(D691),ISNUMBER(E691)),D691*E691,"")</f>
        <v/>
      </c>
      <c r="G691" s="51" t="str">
        <f>IF(ISNUMBER(F691),ROUND(MAX(F691*'参数'!$C$12,'参数'!$C$13),2),"")</f>
        <v/>
      </c>
      <c r="H691" s="51" t="str">
        <f>IF(ISNUMBER(F691),IF(C691="卖",ROUND(F691*'参数'!$C$14,2),0),"")</f>
        <v/>
      </c>
      <c r="I691" s="51" t="str">
        <f>IF(ISNUMBER(F691),ROUND(F691*'参数'!$C$15,2),"")</f>
        <v/>
      </c>
      <c r="J691" s="21" t="n"/>
      <c r="K691" s="20" t="str">
        <f>IF(ISNUMBER(J691),J691,IF(ISNUMBER(F691),G691+H691+I691+ROUND(F691*'参数'!$C$16,2),""))</f>
        <v/>
      </c>
      <c r="L691" s="43" t="str">
        <f>IF(A691="","",IFERROR(T(INDEX('交易记录'!$C$5:$C$304,MATCH(A691,'交易记录'!$A$5:$A$304,0))),"编号没找到"))</f>
        <v/>
      </c>
      <c r="M691" s="57" t="str">
        <f>IF(AND(C691="买",ISNUMBER(B691)),WORKDAY(B691,1,'参数'!$B$58:$B$80),"")</f>
        <v/>
      </c>
      <c r="N691" s="36" t="str">
        <f>IF(C691&lt;&gt;"卖","",IF(AND(ISNUMBER(B691),A691&lt;&gt;""),IF(SUMIFS($E$5:$E$804,$A$5:$A$804,A691,$C$5:$C$804,"卖",$B$5:$B$804,"&lt;="&amp;B691)&gt;SUMIFS($E$5:$E$804,$A$5:$A$804,A691,$C$5:$C$804,"买",$B$5:$B$804,"&lt;"&amp;B691),"超出可卖股数","OK"),""))</f>
        <v/>
      </c>
      <c r="O691" s="32" t="n"/>
    </row>
    <row r="692">
      <c r="A692" s="46" t="n"/>
      <c r="B692" s="31" t="n"/>
      <c r="C692" s="27" t="n"/>
      <c r="D692" s="56" t="n"/>
      <c r="E692" s="17" t="n"/>
      <c r="F692" s="20" t="str">
        <f>IF(AND(ISNUMBER(D692),ISNUMBER(E692)),D692*E692,"")</f>
        <v/>
      </c>
      <c r="G692" s="51" t="str">
        <f>IF(ISNUMBER(F692),ROUND(MAX(F692*'参数'!$C$12,'参数'!$C$13),2),"")</f>
        <v/>
      </c>
      <c r="H692" s="51" t="str">
        <f>IF(ISNUMBER(F692),IF(C692="卖",ROUND(F692*'参数'!$C$14,2),0),"")</f>
        <v/>
      </c>
      <c r="I692" s="51" t="str">
        <f>IF(ISNUMBER(F692),ROUND(F692*'参数'!$C$15,2),"")</f>
        <v/>
      </c>
      <c r="J692" s="21" t="n"/>
      <c r="K692" s="20" t="str">
        <f>IF(ISNUMBER(J692),J692,IF(ISNUMBER(F692),G692+H692+I692+ROUND(F692*'参数'!$C$16,2),""))</f>
        <v/>
      </c>
      <c r="L692" s="43" t="str">
        <f>IF(A692="","",IFERROR(T(INDEX('交易记录'!$C$5:$C$304,MATCH(A692,'交易记录'!$A$5:$A$304,0))),"编号没找到"))</f>
        <v/>
      </c>
      <c r="M692" s="57" t="str">
        <f>IF(AND(C692="买",ISNUMBER(B692)),WORKDAY(B692,1,'参数'!$B$58:$B$80),"")</f>
        <v/>
      </c>
      <c r="N692" s="36" t="str">
        <f>IF(C692&lt;&gt;"卖","",IF(AND(ISNUMBER(B692),A692&lt;&gt;""),IF(SUMIFS($E$5:$E$804,$A$5:$A$804,A692,$C$5:$C$804,"卖",$B$5:$B$804,"&lt;="&amp;B692)&gt;SUMIFS($E$5:$E$804,$A$5:$A$804,A692,$C$5:$C$804,"买",$B$5:$B$804,"&lt;"&amp;B692),"超出可卖股数","OK"),""))</f>
        <v/>
      </c>
      <c r="O692" s="32" t="n"/>
    </row>
    <row r="693">
      <c r="A693" s="46" t="n"/>
      <c r="B693" s="31" t="n"/>
      <c r="C693" s="27" t="n"/>
      <c r="D693" s="56" t="n"/>
      <c r="E693" s="17" t="n"/>
      <c r="F693" s="20" t="str">
        <f>IF(AND(ISNUMBER(D693),ISNUMBER(E693)),D693*E693,"")</f>
        <v/>
      </c>
      <c r="G693" s="51" t="str">
        <f>IF(ISNUMBER(F693),ROUND(MAX(F693*'参数'!$C$12,'参数'!$C$13),2),"")</f>
        <v/>
      </c>
      <c r="H693" s="51" t="str">
        <f>IF(ISNUMBER(F693),IF(C693="卖",ROUND(F693*'参数'!$C$14,2),0),"")</f>
        <v/>
      </c>
      <c r="I693" s="51" t="str">
        <f>IF(ISNUMBER(F693),ROUND(F693*'参数'!$C$15,2),"")</f>
        <v/>
      </c>
      <c r="J693" s="21" t="n"/>
      <c r="K693" s="20" t="str">
        <f>IF(ISNUMBER(J693),J693,IF(ISNUMBER(F693),G693+H693+I693+ROUND(F693*'参数'!$C$16,2),""))</f>
        <v/>
      </c>
      <c r="L693" s="43" t="str">
        <f>IF(A693="","",IFERROR(T(INDEX('交易记录'!$C$5:$C$304,MATCH(A693,'交易记录'!$A$5:$A$304,0))),"编号没找到"))</f>
        <v/>
      </c>
      <c r="M693" s="57" t="str">
        <f>IF(AND(C693="买",ISNUMBER(B693)),WORKDAY(B693,1,'参数'!$B$58:$B$80),"")</f>
        <v/>
      </c>
      <c r="N693" s="36" t="str">
        <f>IF(C693&lt;&gt;"卖","",IF(AND(ISNUMBER(B693),A693&lt;&gt;""),IF(SUMIFS($E$5:$E$804,$A$5:$A$804,A693,$C$5:$C$804,"卖",$B$5:$B$804,"&lt;="&amp;B693)&gt;SUMIFS($E$5:$E$804,$A$5:$A$804,A693,$C$5:$C$804,"买",$B$5:$B$804,"&lt;"&amp;B693),"超出可卖股数","OK"),""))</f>
        <v/>
      </c>
      <c r="O693" s="32" t="n"/>
    </row>
    <row r="694">
      <c r="A694" s="46" t="n"/>
      <c r="B694" s="31" t="n"/>
      <c r="C694" s="27" t="n"/>
      <c r="D694" s="56" t="n"/>
      <c r="E694" s="17" t="n"/>
      <c r="F694" s="20" t="str">
        <f>IF(AND(ISNUMBER(D694),ISNUMBER(E694)),D694*E694,"")</f>
        <v/>
      </c>
      <c r="G694" s="51" t="str">
        <f>IF(ISNUMBER(F694),ROUND(MAX(F694*'参数'!$C$12,'参数'!$C$13),2),"")</f>
        <v/>
      </c>
      <c r="H694" s="51" t="str">
        <f>IF(ISNUMBER(F694),IF(C694="卖",ROUND(F694*'参数'!$C$14,2),0),"")</f>
        <v/>
      </c>
      <c r="I694" s="51" t="str">
        <f>IF(ISNUMBER(F694),ROUND(F694*'参数'!$C$15,2),"")</f>
        <v/>
      </c>
      <c r="J694" s="21" t="n"/>
      <c r="K694" s="20" t="str">
        <f>IF(ISNUMBER(J694),J694,IF(ISNUMBER(F694),G694+H694+I694+ROUND(F694*'参数'!$C$16,2),""))</f>
        <v/>
      </c>
      <c r="L694" s="43" t="str">
        <f>IF(A694="","",IFERROR(T(INDEX('交易记录'!$C$5:$C$304,MATCH(A694,'交易记录'!$A$5:$A$304,0))),"编号没找到"))</f>
        <v/>
      </c>
      <c r="M694" s="57" t="str">
        <f>IF(AND(C694="买",ISNUMBER(B694)),WORKDAY(B694,1,'参数'!$B$58:$B$80),"")</f>
        <v/>
      </c>
      <c r="N694" s="36" t="str">
        <f>IF(C694&lt;&gt;"卖","",IF(AND(ISNUMBER(B694),A694&lt;&gt;""),IF(SUMIFS($E$5:$E$804,$A$5:$A$804,A694,$C$5:$C$804,"卖",$B$5:$B$804,"&lt;="&amp;B694)&gt;SUMIFS($E$5:$E$804,$A$5:$A$804,A694,$C$5:$C$804,"买",$B$5:$B$804,"&lt;"&amp;B694),"超出可卖股数","OK"),""))</f>
        <v/>
      </c>
      <c r="O694" s="32" t="n"/>
    </row>
    <row r="695">
      <c r="A695" s="46" t="n"/>
      <c r="B695" s="31" t="n"/>
      <c r="C695" s="27" t="n"/>
      <c r="D695" s="56" t="n"/>
      <c r="E695" s="17" t="n"/>
      <c r="F695" s="20" t="str">
        <f>IF(AND(ISNUMBER(D695),ISNUMBER(E695)),D695*E695,"")</f>
        <v/>
      </c>
      <c r="G695" s="51" t="str">
        <f>IF(ISNUMBER(F695),ROUND(MAX(F695*'参数'!$C$12,'参数'!$C$13),2),"")</f>
        <v/>
      </c>
      <c r="H695" s="51" t="str">
        <f>IF(ISNUMBER(F695),IF(C695="卖",ROUND(F695*'参数'!$C$14,2),0),"")</f>
        <v/>
      </c>
      <c r="I695" s="51" t="str">
        <f>IF(ISNUMBER(F695),ROUND(F695*'参数'!$C$15,2),"")</f>
        <v/>
      </c>
      <c r="J695" s="21" t="n"/>
      <c r="K695" s="20" t="str">
        <f>IF(ISNUMBER(J695),J695,IF(ISNUMBER(F695),G695+H695+I695+ROUND(F695*'参数'!$C$16,2),""))</f>
        <v/>
      </c>
      <c r="L695" s="43" t="str">
        <f>IF(A695="","",IFERROR(T(INDEX('交易记录'!$C$5:$C$304,MATCH(A695,'交易记录'!$A$5:$A$304,0))),"编号没找到"))</f>
        <v/>
      </c>
      <c r="M695" s="57" t="str">
        <f>IF(AND(C695="买",ISNUMBER(B695)),WORKDAY(B695,1,'参数'!$B$58:$B$80),"")</f>
        <v/>
      </c>
      <c r="N695" s="36" t="str">
        <f>IF(C695&lt;&gt;"卖","",IF(AND(ISNUMBER(B695),A695&lt;&gt;""),IF(SUMIFS($E$5:$E$804,$A$5:$A$804,A695,$C$5:$C$804,"卖",$B$5:$B$804,"&lt;="&amp;B695)&gt;SUMIFS($E$5:$E$804,$A$5:$A$804,A695,$C$5:$C$804,"买",$B$5:$B$804,"&lt;"&amp;B695),"超出可卖股数","OK"),""))</f>
        <v/>
      </c>
      <c r="O695" s="32" t="n"/>
    </row>
    <row r="696">
      <c r="A696" s="46" t="n"/>
      <c r="B696" s="31" t="n"/>
      <c r="C696" s="27" t="n"/>
      <c r="D696" s="56" t="n"/>
      <c r="E696" s="17" t="n"/>
      <c r="F696" s="20" t="str">
        <f>IF(AND(ISNUMBER(D696),ISNUMBER(E696)),D696*E696,"")</f>
        <v/>
      </c>
      <c r="G696" s="51" t="str">
        <f>IF(ISNUMBER(F696),ROUND(MAX(F696*'参数'!$C$12,'参数'!$C$13),2),"")</f>
        <v/>
      </c>
      <c r="H696" s="51" t="str">
        <f>IF(ISNUMBER(F696),IF(C696="卖",ROUND(F696*'参数'!$C$14,2),0),"")</f>
        <v/>
      </c>
      <c r="I696" s="51" t="str">
        <f>IF(ISNUMBER(F696),ROUND(F696*'参数'!$C$15,2),"")</f>
        <v/>
      </c>
      <c r="J696" s="21" t="n"/>
      <c r="K696" s="20" t="str">
        <f>IF(ISNUMBER(J696),J696,IF(ISNUMBER(F696),G696+H696+I696+ROUND(F696*'参数'!$C$16,2),""))</f>
        <v/>
      </c>
      <c r="L696" s="43" t="str">
        <f>IF(A696="","",IFERROR(T(INDEX('交易记录'!$C$5:$C$304,MATCH(A696,'交易记录'!$A$5:$A$304,0))),"编号没找到"))</f>
        <v/>
      </c>
      <c r="M696" s="57" t="str">
        <f>IF(AND(C696="买",ISNUMBER(B696)),WORKDAY(B696,1,'参数'!$B$58:$B$80),"")</f>
        <v/>
      </c>
      <c r="N696" s="36" t="str">
        <f>IF(C696&lt;&gt;"卖","",IF(AND(ISNUMBER(B696),A696&lt;&gt;""),IF(SUMIFS($E$5:$E$804,$A$5:$A$804,A696,$C$5:$C$804,"卖",$B$5:$B$804,"&lt;="&amp;B696)&gt;SUMIFS($E$5:$E$804,$A$5:$A$804,A696,$C$5:$C$804,"买",$B$5:$B$804,"&lt;"&amp;B696),"超出可卖股数","OK"),""))</f>
        <v/>
      </c>
      <c r="O696" s="32" t="n"/>
    </row>
    <row r="697">
      <c r="A697" s="46" t="n"/>
      <c r="B697" s="31" t="n"/>
      <c r="C697" s="27" t="n"/>
      <c r="D697" s="56" t="n"/>
      <c r="E697" s="17" t="n"/>
      <c r="F697" s="20" t="str">
        <f>IF(AND(ISNUMBER(D697),ISNUMBER(E697)),D697*E697,"")</f>
        <v/>
      </c>
      <c r="G697" s="51" t="str">
        <f>IF(ISNUMBER(F697),ROUND(MAX(F697*'参数'!$C$12,'参数'!$C$13),2),"")</f>
        <v/>
      </c>
      <c r="H697" s="51" t="str">
        <f>IF(ISNUMBER(F697),IF(C697="卖",ROUND(F697*'参数'!$C$14,2),0),"")</f>
        <v/>
      </c>
      <c r="I697" s="51" t="str">
        <f>IF(ISNUMBER(F697),ROUND(F697*'参数'!$C$15,2),"")</f>
        <v/>
      </c>
      <c r="J697" s="21" t="n"/>
      <c r="K697" s="20" t="str">
        <f>IF(ISNUMBER(J697),J697,IF(ISNUMBER(F697),G697+H697+I697+ROUND(F697*'参数'!$C$16,2),""))</f>
        <v/>
      </c>
      <c r="L697" s="43" t="str">
        <f>IF(A697="","",IFERROR(T(INDEX('交易记录'!$C$5:$C$304,MATCH(A697,'交易记录'!$A$5:$A$304,0))),"编号没找到"))</f>
        <v/>
      </c>
      <c r="M697" s="57" t="str">
        <f>IF(AND(C697="买",ISNUMBER(B697)),WORKDAY(B697,1,'参数'!$B$58:$B$80),"")</f>
        <v/>
      </c>
      <c r="N697" s="36" t="str">
        <f>IF(C697&lt;&gt;"卖","",IF(AND(ISNUMBER(B697),A697&lt;&gt;""),IF(SUMIFS($E$5:$E$804,$A$5:$A$804,A697,$C$5:$C$804,"卖",$B$5:$B$804,"&lt;="&amp;B697)&gt;SUMIFS($E$5:$E$804,$A$5:$A$804,A697,$C$5:$C$804,"买",$B$5:$B$804,"&lt;"&amp;B697),"超出可卖股数","OK"),""))</f>
        <v/>
      </c>
      <c r="O697" s="32" t="n"/>
    </row>
    <row r="698">
      <c r="A698" s="46" t="n"/>
      <c r="B698" s="31" t="n"/>
      <c r="C698" s="27" t="n"/>
      <c r="D698" s="56" t="n"/>
      <c r="E698" s="17" t="n"/>
      <c r="F698" s="20" t="str">
        <f>IF(AND(ISNUMBER(D698),ISNUMBER(E698)),D698*E698,"")</f>
        <v/>
      </c>
      <c r="G698" s="51" t="str">
        <f>IF(ISNUMBER(F698),ROUND(MAX(F698*'参数'!$C$12,'参数'!$C$13),2),"")</f>
        <v/>
      </c>
      <c r="H698" s="51" t="str">
        <f>IF(ISNUMBER(F698),IF(C698="卖",ROUND(F698*'参数'!$C$14,2),0),"")</f>
        <v/>
      </c>
      <c r="I698" s="51" t="str">
        <f>IF(ISNUMBER(F698),ROUND(F698*'参数'!$C$15,2),"")</f>
        <v/>
      </c>
      <c r="J698" s="21" t="n"/>
      <c r="K698" s="20" t="str">
        <f>IF(ISNUMBER(J698),J698,IF(ISNUMBER(F698),G698+H698+I698+ROUND(F698*'参数'!$C$16,2),""))</f>
        <v/>
      </c>
      <c r="L698" s="43" t="str">
        <f>IF(A698="","",IFERROR(T(INDEX('交易记录'!$C$5:$C$304,MATCH(A698,'交易记录'!$A$5:$A$304,0))),"编号没找到"))</f>
        <v/>
      </c>
      <c r="M698" s="57" t="str">
        <f>IF(AND(C698="买",ISNUMBER(B698)),WORKDAY(B698,1,'参数'!$B$58:$B$80),"")</f>
        <v/>
      </c>
      <c r="N698" s="36" t="str">
        <f>IF(C698&lt;&gt;"卖","",IF(AND(ISNUMBER(B698),A698&lt;&gt;""),IF(SUMIFS($E$5:$E$804,$A$5:$A$804,A698,$C$5:$C$804,"卖",$B$5:$B$804,"&lt;="&amp;B698)&gt;SUMIFS($E$5:$E$804,$A$5:$A$804,A698,$C$5:$C$804,"买",$B$5:$B$804,"&lt;"&amp;B698),"超出可卖股数","OK"),""))</f>
        <v/>
      </c>
      <c r="O698" s="32" t="n"/>
    </row>
    <row r="699">
      <c r="A699" s="46" t="n"/>
      <c r="B699" s="31" t="n"/>
      <c r="C699" s="27" t="n"/>
      <c r="D699" s="56" t="n"/>
      <c r="E699" s="17" t="n"/>
      <c r="F699" s="20" t="str">
        <f>IF(AND(ISNUMBER(D699),ISNUMBER(E699)),D699*E699,"")</f>
        <v/>
      </c>
      <c r="G699" s="51" t="str">
        <f>IF(ISNUMBER(F699),ROUND(MAX(F699*'参数'!$C$12,'参数'!$C$13),2),"")</f>
        <v/>
      </c>
      <c r="H699" s="51" t="str">
        <f>IF(ISNUMBER(F699),IF(C699="卖",ROUND(F699*'参数'!$C$14,2),0),"")</f>
        <v/>
      </c>
      <c r="I699" s="51" t="str">
        <f>IF(ISNUMBER(F699),ROUND(F699*'参数'!$C$15,2),"")</f>
        <v/>
      </c>
      <c r="J699" s="21" t="n"/>
      <c r="K699" s="20" t="str">
        <f>IF(ISNUMBER(J699),J699,IF(ISNUMBER(F699),G699+H699+I699+ROUND(F699*'参数'!$C$16,2),""))</f>
        <v/>
      </c>
      <c r="L699" s="43" t="str">
        <f>IF(A699="","",IFERROR(T(INDEX('交易记录'!$C$5:$C$304,MATCH(A699,'交易记录'!$A$5:$A$304,0))),"编号没找到"))</f>
        <v/>
      </c>
      <c r="M699" s="57" t="str">
        <f>IF(AND(C699="买",ISNUMBER(B699)),WORKDAY(B699,1,'参数'!$B$58:$B$80),"")</f>
        <v/>
      </c>
      <c r="N699" s="36" t="str">
        <f>IF(C699&lt;&gt;"卖","",IF(AND(ISNUMBER(B699),A699&lt;&gt;""),IF(SUMIFS($E$5:$E$804,$A$5:$A$804,A699,$C$5:$C$804,"卖",$B$5:$B$804,"&lt;="&amp;B699)&gt;SUMIFS($E$5:$E$804,$A$5:$A$804,A699,$C$5:$C$804,"买",$B$5:$B$804,"&lt;"&amp;B699),"超出可卖股数","OK"),""))</f>
        <v/>
      </c>
      <c r="O699" s="32" t="n"/>
    </row>
    <row r="700">
      <c r="A700" s="46" t="n"/>
      <c r="B700" s="31" t="n"/>
      <c r="C700" s="27" t="n"/>
      <c r="D700" s="56" t="n"/>
      <c r="E700" s="17" t="n"/>
      <c r="F700" s="20" t="str">
        <f>IF(AND(ISNUMBER(D700),ISNUMBER(E700)),D700*E700,"")</f>
        <v/>
      </c>
      <c r="G700" s="51" t="str">
        <f>IF(ISNUMBER(F700),ROUND(MAX(F700*'参数'!$C$12,'参数'!$C$13),2),"")</f>
        <v/>
      </c>
      <c r="H700" s="51" t="str">
        <f>IF(ISNUMBER(F700),IF(C700="卖",ROUND(F700*'参数'!$C$14,2),0),"")</f>
        <v/>
      </c>
      <c r="I700" s="51" t="str">
        <f>IF(ISNUMBER(F700),ROUND(F700*'参数'!$C$15,2),"")</f>
        <v/>
      </c>
      <c r="J700" s="21" t="n"/>
      <c r="K700" s="20" t="str">
        <f>IF(ISNUMBER(J700),J700,IF(ISNUMBER(F700),G700+H700+I700+ROUND(F700*'参数'!$C$16,2),""))</f>
        <v/>
      </c>
      <c r="L700" s="43" t="str">
        <f>IF(A700="","",IFERROR(T(INDEX('交易记录'!$C$5:$C$304,MATCH(A700,'交易记录'!$A$5:$A$304,0))),"编号没找到"))</f>
        <v/>
      </c>
      <c r="M700" s="57" t="str">
        <f>IF(AND(C700="买",ISNUMBER(B700)),WORKDAY(B700,1,'参数'!$B$58:$B$80),"")</f>
        <v/>
      </c>
      <c r="N700" s="36" t="str">
        <f>IF(C700&lt;&gt;"卖","",IF(AND(ISNUMBER(B700),A700&lt;&gt;""),IF(SUMIFS($E$5:$E$804,$A$5:$A$804,A700,$C$5:$C$804,"卖",$B$5:$B$804,"&lt;="&amp;B700)&gt;SUMIFS($E$5:$E$804,$A$5:$A$804,A700,$C$5:$C$804,"买",$B$5:$B$804,"&lt;"&amp;B700),"超出可卖股数","OK"),""))</f>
        <v/>
      </c>
      <c r="O700" s="32" t="n"/>
    </row>
    <row r="701">
      <c r="A701" s="46" t="n"/>
      <c r="B701" s="31" t="n"/>
      <c r="C701" s="27" t="n"/>
      <c r="D701" s="56" t="n"/>
      <c r="E701" s="17" t="n"/>
      <c r="F701" s="20" t="str">
        <f>IF(AND(ISNUMBER(D701),ISNUMBER(E701)),D701*E701,"")</f>
        <v/>
      </c>
      <c r="G701" s="51" t="str">
        <f>IF(ISNUMBER(F701),ROUND(MAX(F701*'参数'!$C$12,'参数'!$C$13),2),"")</f>
        <v/>
      </c>
      <c r="H701" s="51" t="str">
        <f>IF(ISNUMBER(F701),IF(C701="卖",ROUND(F701*'参数'!$C$14,2),0),"")</f>
        <v/>
      </c>
      <c r="I701" s="51" t="str">
        <f>IF(ISNUMBER(F701),ROUND(F701*'参数'!$C$15,2),"")</f>
        <v/>
      </c>
      <c r="J701" s="21" t="n"/>
      <c r="K701" s="20" t="str">
        <f>IF(ISNUMBER(J701),J701,IF(ISNUMBER(F701),G701+H701+I701+ROUND(F701*'参数'!$C$16,2),""))</f>
        <v/>
      </c>
      <c r="L701" s="43" t="str">
        <f>IF(A701="","",IFERROR(T(INDEX('交易记录'!$C$5:$C$304,MATCH(A701,'交易记录'!$A$5:$A$304,0))),"编号没找到"))</f>
        <v/>
      </c>
      <c r="M701" s="57" t="str">
        <f>IF(AND(C701="买",ISNUMBER(B701)),WORKDAY(B701,1,'参数'!$B$58:$B$80),"")</f>
        <v/>
      </c>
      <c r="N701" s="36" t="str">
        <f>IF(C701&lt;&gt;"卖","",IF(AND(ISNUMBER(B701),A701&lt;&gt;""),IF(SUMIFS($E$5:$E$804,$A$5:$A$804,A701,$C$5:$C$804,"卖",$B$5:$B$804,"&lt;="&amp;B701)&gt;SUMIFS($E$5:$E$804,$A$5:$A$804,A701,$C$5:$C$804,"买",$B$5:$B$804,"&lt;"&amp;B701),"超出可卖股数","OK"),""))</f>
        <v/>
      </c>
      <c r="O701" s="32" t="n"/>
    </row>
    <row r="702">
      <c r="A702" s="46" t="n"/>
      <c r="B702" s="31" t="n"/>
      <c r="C702" s="27" t="n"/>
      <c r="D702" s="56" t="n"/>
      <c r="E702" s="17" t="n"/>
      <c r="F702" s="20" t="str">
        <f>IF(AND(ISNUMBER(D702),ISNUMBER(E702)),D702*E702,"")</f>
        <v/>
      </c>
      <c r="G702" s="51" t="str">
        <f>IF(ISNUMBER(F702),ROUND(MAX(F702*'参数'!$C$12,'参数'!$C$13),2),"")</f>
        <v/>
      </c>
      <c r="H702" s="51" t="str">
        <f>IF(ISNUMBER(F702),IF(C702="卖",ROUND(F702*'参数'!$C$14,2),0),"")</f>
        <v/>
      </c>
      <c r="I702" s="51" t="str">
        <f>IF(ISNUMBER(F702),ROUND(F702*'参数'!$C$15,2),"")</f>
        <v/>
      </c>
      <c r="J702" s="21" t="n"/>
      <c r="K702" s="20" t="str">
        <f>IF(ISNUMBER(J702),J702,IF(ISNUMBER(F702),G702+H702+I702+ROUND(F702*'参数'!$C$16,2),""))</f>
        <v/>
      </c>
      <c r="L702" s="43" t="str">
        <f>IF(A702="","",IFERROR(T(INDEX('交易记录'!$C$5:$C$304,MATCH(A702,'交易记录'!$A$5:$A$304,0))),"编号没找到"))</f>
        <v/>
      </c>
      <c r="M702" s="57" t="str">
        <f>IF(AND(C702="买",ISNUMBER(B702)),WORKDAY(B702,1,'参数'!$B$58:$B$80),"")</f>
        <v/>
      </c>
      <c r="N702" s="36" t="str">
        <f>IF(C702&lt;&gt;"卖","",IF(AND(ISNUMBER(B702),A702&lt;&gt;""),IF(SUMIFS($E$5:$E$804,$A$5:$A$804,A702,$C$5:$C$804,"卖",$B$5:$B$804,"&lt;="&amp;B702)&gt;SUMIFS($E$5:$E$804,$A$5:$A$804,A702,$C$5:$C$804,"买",$B$5:$B$804,"&lt;"&amp;B702),"超出可卖股数","OK"),""))</f>
        <v/>
      </c>
      <c r="O702" s="32" t="n"/>
    </row>
    <row r="703">
      <c r="A703" s="46" t="n"/>
      <c r="B703" s="31" t="n"/>
      <c r="C703" s="27" t="n"/>
      <c r="D703" s="56" t="n"/>
      <c r="E703" s="17" t="n"/>
      <c r="F703" s="20" t="str">
        <f>IF(AND(ISNUMBER(D703),ISNUMBER(E703)),D703*E703,"")</f>
        <v/>
      </c>
      <c r="G703" s="51" t="str">
        <f>IF(ISNUMBER(F703),ROUND(MAX(F703*'参数'!$C$12,'参数'!$C$13),2),"")</f>
        <v/>
      </c>
      <c r="H703" s="51" t="str">
        <f>IF(ISNUMBER(F703),IF(C703="卖",ROUND(F703*'参数'!$C$14,2),0),"")</f>
        <v/>
      </c>
      <c r="I703" s="51" t="str">
        <f>IF(ISNUMBER(F703),ROUND(F703*'参数'!$C$15,2),"")</f>
        <v/>
      </c>
      <c r="J703" s="21" t="n"/>
      <c r="K703" s="20" t="str">
        <f>IF(ISNUMBER(J703),J703,IF(ISNUMBER(F703),G703+H703+I703+ROUND(F703*'参数'!$C$16,2),""))</f>
        <v/>
      </c>
      <c r="L703" s="43" t="str">
        <f>IF(A703="","",IFERROR(T(INDEX('交易记录'!$C$5:$C$304,MATCH(A703,'交易记录'!$A$5:$A$304,0))),"编号没找到"))</f>
        <v/>
      </c>
      <c r="M703" s="57" t="str">
        <f>IF(AND(C703="买",ISNUMBER(B703)),WORKDAY(B703,1,'参数'!$B$58:$B$80),"")</f>
        <v/>
      </c>
      <c r="N703" s="36" t="str">
        <f>IF(C703&lt;&gt;"卖","",IF(AND(ISNUMBER(B703),A703&lt;&gt;""),IF(SUMIFS($E$5:$E$804,$A$5:$A$804,A703,$C$5:$C$804,"卖",$B$5:$B$804,"&lt;="&amp;B703)&gt;SUMIFS($E$5:$E$804,$A$5:$A$804,A703,$C$5:$C$804,"买",$B$5:$B$804,"&lt;"&amp;B703),"超出可卖股数","OK"),""))</f>
        <v/>
      </c>
      <c r="O703" s="32" t="n"/>
    </row>
    <row r="704">
      <c r="A704" s="46" t="n"/>
      <c r="B704" s="31" t="n"/>
      <c r="C704" s="27" t="n"/>
      <c r="D704" s="56" t="n"/>
      <c r="E704" s="17" t="n"/>
      <c r="F704" s="20" t="str">
        <f>IF(AND(ISNUMBER(D704),ISNUMBER(E704)),D704*E704,"")</f>
        <v/>
      </c>
      <c r="G704" s="51" t="str">
        <f>IF(ISNUMBER(F704),ROUND(MAX(F704*'参数'!$C$12,'参数'!$C$13),2),"")</f>
        <v/>
      </c>
      <c r="H704" s="51" t="str">
        <f>IF(ISNUMBER(F704),IF(C704="卖",ROUND(F704*'参数'!$C$14,2),0),"")</f>
        <v/>
      </c>
      <c r="I704" s="51" t="str">
        <f>IF(ISNUMBER(F704),ROUND(F704*'参数'!$C$15,2),"")</f>
        <v/>
      </c>
      <c r="J704" s="21" t="n"/>
      <c r="K704" s="20" t="str">
        <f>IF(ISNUMBER(J704),J704,IF(ISNUMBER(F704),G704+H704+I704+ROUND(F704*'参数'!$C$16,2),""))</f>
        <v/>
      </c>
      <c r="L704" s="43" t="str">
        <f>IF(A704="","",IFERROR(T(INDEX('交易记录'!$C$5:$C$304,MATCH(A704,'交易记录'!$A$5:$A$304,0))),"编号没找到"))</f>
        <v/>
      </c>
      <c r="M704" s="57" t="str">
        <f>IF(AND(C704="买",ISNUMBER(B704)),WORKDAY(B704,1,'参数'!$B$58:$B$80),"")</f>
        <v/>
      </c>
      <c r="N704" s="36" t="str">
        <f>IF(C704&lt;&gt;"卖","",IF(AND(ISNUMBER(B704),A704&lt;&gt;""),IF(SUMIFS($E$5:$E$804,$A$5:$A$804,A704,$C$5:$C$804,"卖",$B$5:$B$804,"&lt;="&amp;B704)&gt;SUMIFS($E$5:$E$804,$A$5:$A$804,A704,$C$5:$C$804,"买",$B$5:$B$804,"&lt;"&amp;B704),"超出可卖股数","OK"),""))</f>
        <v/>
      </c>
      <c r="O704" s="32" t="n"/>
    </row>
    <row r="705">
      <c r="A705" s="46" t="n"/>
      <c r="B705" s="31" t="n"/>
      <c r="C705" s="27" t="n"/>
      <c r="D705" s="56" t="n"/>
      <c r="E705" s="17" t="n"/>
      <c r="F705" s="20" t="str">
        <f>IF(AND(ISNUMBER(D705),ISNUMBER(E705)),D705*E705,"")</f>
        <v/>
      </c>
      <c r="G705" s="51" t="str">
        <f>IF(ISNUMBER(F705),ROUND(MAX(F705*'参数'!$C$12,'参数'!$C$13),2),"")</f>
        <v/>
      </c>
      <c r="H705" s="51" t="str">
        <f>IF(ISNUMBER(F705),IF(C705="卖",ROUND(F705*'参数'!$C$14,2),0),"")</f>
        <v/>
      </c>
      <c r="I705" s="51" t="str">
        <f>IF(ISNUMBER(F705),ROUND(F705*'参数'!$C$15,2),"")</f>
        <v/>
      </c>
      <c r="J705" s="21" t="n"/>
      <c r="K705" s="20" t="str">
        <f>IF(ISNUMBER(J705),J705,IF(ISNUMBER(F705),G705+H705+I705+ROUND(F705*'参数'!$C$16,2),""))</f>
        <v/>
      </c>
      <c r="L705" s="43" t="str">
        <f>IF(A705="","",IFERROR(T(INDEX('交易记录'!$C$5:$C$304,MATCH(A705,'交易记录'!$A$5:$A$304,0))),"编号没找到"))</f>
        <v/>
      </c>
      <c r="M705" s="57" t="str">
        <f>IF(AND(C705="买",ISNUMBER(B705)),WORKDAY(B705,1,'参数'!$B$58:$B$80),"")</f>
        <v/>
      </c>
      <c r="N705" s="36" t="str">
        <f>IF(C705&lt;&gt;"卖","",IF(AND(ISNUMBER(B705),A705&lt;&gt;""),IF(SUMIFS($E$5:$E$804,$A$5:$A$804,A705,$C$5:$C$804,"卖",$B$5:$B$804,"&lt;="&amp;B705)&gt;SUMIFS($E$5:$E$804,$A$5:$A$804,A705,$C$5:$C$804,"买",$B$5:$B$804,"&lt;"&amp;B705),"超出可卖股数","OK"),""))</f>
        <v/>
      </c>
      <c r="O705" s="32" t="n"/>
    </row>
    <row r="706">
      <c r="A706" s="46" t="n"/>
      <c r="B706" s="31" t="n"/>
      <c r="C706" s="27" t="n"/>
      <c r="D706" s="56" t="n"/>
      <c r="E706" s="17" t="n"/>
      <c r="F706" s="20" t="str">
        <f>IF(AND(ISNUMBER(D706),ISNUMBER(E706)),D706*E706,"")</f>
        <v/>
      </c>
      <c r="G706" s="51" t="str">
        <f>IF(ISNUMBER(F706),ROUND(MAX(F706*'参数'!$C$12,'参数'!$C$13),2),"")</f>
        <v/>
      </c>
      <c r="H706" s="51" t="str">
        <f>IF(ISNUMBER(F706),IF(C706="卖",ROUND(F706*'参数'!$C$14,2),0),"")</f>
        <v/>
      </c>
      <c r="I706" s="51" t="str">
        <f>IF(ISNUMBER(F706),ROUND(F706*'参数'!$C$15,2),"")</f>
        <v/>
      </c>
      <c r="J706" s="21" t="n"/>
      <c r="K706" s="20" t="str">
        <f>IF(ISNUMBER(J706),J706,IF(ISNUMBER(F706),G706+H706+I706+ROUND(F706*'参数'!$C$16,2),""))</f>
        <v/>
      </c>
      <c r="L706" s="43" t="str">
        <f>IF(A706="","",IFERROR(T(INDEX('交易记录'!$C$5:$C$304,MATCH(A706,'交易记录'!$A$5:$A$304,0))),"编号没找到"))</f>
        <v/>
      </c>
      <c r="M706" s="57" t="str">
        <f>IF(AND(C706="买",ISNUMBER(B706)),WORKDAY(B706,1,'参数'!$B$58:$B$80),"")</f>
        <v/>
      </c>
      <c r="N706" s="36" t="str">
        <f>IF(C706&lt;&gt;"卖","",IF(AND(ISNUMBER(B706),A706&lt;&gt;""),IF(SUMIFS($E$5:$E$804,$A$5:$A$804,A706,$C$5:$C$804,"卖",$B$5:$B$804,"&lt;="&amp;B706)&gt;SUMIFS($E$5:$E$804,$A$5:$A$804,A706,$C$5:$C$804,"买",$B$5:$B$804,"&lt;"&amp;B706),"超出可卖股数","OK"),""))</f>
        <v/>
      </c>
      <c r="O706" s="32" t="n"/>
    </row>
    <row r="707">
      <c r="A707" s="46" t="n"/>
      <c r="B707" s="31" t="n"/>
      <c r="C707" s="27" t="n"/>
      <c r="D707" s="56" t="n"/>
      <c r="E707" s="17" t="n"/>
      <c r="F707" s="20" t="str">
        <f>IF(AND(ISNUMBER(D707),ISNUMBER(E707)),D707*E707,"")</f>
        <v/>
      </c>
      <c r="G707" s="51" t="str">
        <f>IF(ISNUMBER(F707),ROUND(MAX(F707*'参数'!$C$12,'参数'!$C$13),2),"")</f>
        <v/>
      </c>
      <c r="H707" s="51" t="str">
        <f>IF(ISNUMBER(F707),IF(C707="卖",ROUND(F707*'参数'!$C$14,2),0),"")</f>
        <v/>
      </c>
      <c r="I707" s="51" t="str">
        <f>IF(ISNUMBER(F707),ROUND(F707*'参数'!$C$15,2),"")</f>
        <v/>
      </c>
      <c r="J707" s="21" t="n"/>
      <c r="K707" s="20" t="str">
        <f>IF(ISNUMBER(J707),J707,IF(ISNUMBER(F707),G707+H707+I707+ROUND(F707*'参数'!$C$16,2),""))</f>
        <v/>
      </c>
      <c r="L707" s="43" t="str">
        <f>IF(A707="","",IFERROR(T(INDEX('交易记录'!$C$5:$C$304,MATCH(A707,'交易记录'!$A$5:$A$304,0))),"编号没找到"))</f>
        <v/>
      </c>
      <c r="M707" s="57" t="str">
        <f>IF(AND(C707="买",ISNUMBER(B707)),WORKDAY(B707,1,'参数'!$B$58:$B$80),"")</f>
        <v/>
      </c>
      <c r="N707" s="36" t="str">
        <f>IF(C707&lt;&gt;"卖","",IF(AND(ISNUMBER(B707),A707&lt;&gt;""),IF(SUMIFS($E$5:$E$804,$A$5:$A$804,A707,$C$5:$C$804,"卖",$B$5:$B$804,"&lt;="&amp;B707)&gt;SUMIFS($E$5:$E$804,$A$5:$A$804,A707,$C$5:$C$804,"买",$B$5:$B$804,"&lt;"&amp;B707),"超出可卖股数","OK"),""))</f>
        <v/>
      </c>
      <c r="O707" s="32" t="n"/>
    </row>
    <row r="708">
      <c r="A708" s="46" t="n"/>
      <c r="B708" s="31" t="n"/>
      <c r="C708" s="27" t="n"/>
      <c r="D708" s="56" t="n"/>
      <c r="E708" s="17" t="n"/>
      <c r="F708" s="20" t="str">
        <f>IF(AND(ISNUMBER(D708),ISNUMBER(E708)),D708*E708,"")</f>
        <v/>
      </c>
      <c r="G708" s="51" t="str">
        <f>IF(ISNUMBER(F708),ROUND(MAX(F708*'参数'!$C$12,'参数'!$C$13),2),"")</f>
        <v/>
      </c>
      <c r="H708" s="51" t="str">
        <f>IF(ISNUMBER(F708),IF(C708="卖",ROUND(F708*'参数'!$C$14,2),0),"")</f>
        <v/>
      </c>
      <c r="I708" s="51" t="str">
        <f>IF(ISNUMBER(F708),ROUND(F708*'参数'!$C$15,2),"")</f>
        <v/>
      </c>
      <c r="J708" s="21" t="n"/>
      <c r="K708" s="20" t="str">
        <f>IF(ISNUMBER(J708),J708,IF(ISNUMBER(F708),G708+H708+I708+ROUND(F708*'参数'!$C$16,2),""))</f>
        <v/>
      </c>
      <c r="L708" s="43" t="str">
        <f>IF(A708="","",IFERROR(T(INDEX('交易记录'!$C$5:$C$304,MATCH(A708,'交易记录'!$A$5:$A$304,0))),"编号没找到"))</f>
        <v/>
      </c>
      <c r="M708" s="57" t="str">
        <f>IF(AND(C708="买",ISNUMBER(B708)),WORKDAY(B708,1,'参数'!$B$58:$B$80),"")</f>
        <v/>
      </c>
      <c r="N708" s="36" t="str">
        <f>IF(C708&lt;&gt;"卖","",IF(AND(ISNUMBER(B708),A708&lt;&gt;""),IF(SUMIFS($E$5:$E$804,$A$5:$A$804,A708,$C$5:$C$804,"卖",$B$5:$B$804,"&lt;="&amp;B708)&gt;SUMIFS($E$5:$E$804,$A$5:$A$804,A708,$C$5:$C$804,"买",$B$5:$B$804,"&lt;"&amp;B708),"超出可卖股数","OK"),""))</f>
        <v/>
      </c>
      <c r="O708" s="32" t="n"/>
    </row>
    <row r="709">
      <c r="A709" s="46" t="n"/>
      <c r="B709" s="31" t="n"/>
      <c r="C709" s="27" t="n"/>
      <c r="D709" s="56" t="n"/>
      <c r="E709" s="17" t="n"/>
      <c r="F709" s="20" t="str">
        <f>IF(AND(ISNUMBER(D709),ISNUMBER(E709)),D709*E709,"")</f>
        <v/>
      </c>
      <c r="G709" s="51" t="str">
        <f>IF(ISNUMBER(F709),ROUND(MAX(F709*'参数'!$C$12,'参数'!$C$13),2),"")</f>
        <v/>
      </c>
      <c r="H709" s="51" t="str">
        <f>IF(ISNUMBER(F709),IF(C709="卖",ROUND(F709*'参数'!$C$14,2),0),"")</f>
        <v/>
      </c>
      <c r="I709" s="51" t="str">
        <f>IF(ISNUMBER(F709),ROUND(F709*'参数'!$C$15,2),"")</f>
        <v/>
      </c>
      <c r="J709" s="21" t="n"/>
      <c r="K709" s="20" t="str">
        <f>IF(ISNUMBER(J709),J709,IF(ISNUMBER(F709),G709+H709+I709+ROUND(F709*'参数'!$C$16,2),""))</f>
        <v/>
      </c>
      <c r="L709" s="43" t="str">
        <f>IF(A709="","",IFERROR(T(INDEX('交易记录'!$C$5:$C$304,MATCH(A709,'交易记录'!$A$5:$A$304,0))),"编号没找到"))</f>
        <v/>
      </c>
      <c r="M709" s="57" t="str">
        <f>IF(AND(C709="买",ISNUMBER(B709)),WORKDAY(B709,1,'参数'!$B$58:$B$80),"")</f>
        <v/>
      </c>
      <c r="N709" s="36" t="str">
        <f>IF(C709&lt;&gt;"卖","",IF(AND(ISNUMBER(B709),A709&lt;&gt;""),IF(SUMIFS($E$5:$E$804,$A$5:$A$804,A709,$C$5:$C$804,"卖",$B$5:$B$804,"&lt;="&amp;B709)&gt;SUMIFS($E$5:$E$804,$A$5:$A$804,A709,$C$5:$C$804,"买",$B$5:$B$804,"&lt;"&amp;B709),"超出可卖股数","OK"),""))</f>
        <v/>
      </c>
      <c r="O709" s="32" t="n"/>
    </row>
    <row r="710">
      <c r="A710" s="46" t="n"/>
      <c r="B710" s="31" t="n"/>
      <c r="C710" s="27" t="n"/>
      <c r="D710" s="56" t="n"/>
      <c r="E710" s="17" t="n"/>
      <c r="F710" s="20" t="str">
        <f>IF(AND(ISNUMBER(D710),ISNUMBER(E710)),D710*E710,"")</f>
        <v/>
      </c>
      <c r="G710" s="51" t="str">
        <f>IF(ISNUMBER(F710),ROUND(MAX(F710*'参数'!$C$12,'参数'!$C$13),2),"")</f>
        <v/>
      </c>
      <c r="H710" s="51" t="str">
        <f>IF(ISNUMBER(F710),IF(C710="卖",ROUND(F710*'参数'!$C$14,2),0),"")</f>
        <v/>
      </c>
      <c r="I710" s="51" t="str">
        <f>IF(ISNUMBER(F710),ROUND(F710*'参数'!$C$15,2),"")</f>
        <v/>
      </c>
      <c r="J710" s="21" t="n"/>
      <c r="K710" s="20" t="str">
        <f>IF(ISNUMBER(J710),J710,IF(ISNUMBER(F710),G710+H710+I710+ROUND(F710*'参数'!$C$16,2),""))</f>
        <v/>
      </c>
      <c r="L710" s="43" t="str">
        <f>IF(A710="","",IFERROR(T(INDEX('交易记录'!$C$5:$C$304,MATCH(A710,'交易记录'!$A$5:$A$304,0))),"编号没找到"))</f>
        <v/>
      </c>
      <c r="M710" s="57" t="str">
        <f>IF(AND(C710="买",ISNUMBER(B710)),WORKDAY(B710,1,'参数'!$B$58:$B$80),"")</f>
        <v/>
      </c>
      <c r="N710" s="36" t="str">
        <f>IF(C710&lt;&gt;"卖","",IF(AND(ISNUMBER(B710),A710&lt;&gt;""),IF(SUMIFS($E$5:$E$804,$A$5:$A$804,A710,$C$5:$C$804,"卖",$B$5:$B$804,"&lt;="&amp;B710)&gt;SUMIFS($E$5:$E$804,$A$5:$A$804,A710,$C$5:$C$804,"买",$B$5:$B$804,"&lt;"&amp;B710),"超出可卖股数","OK"),""))</f>
        <v/>
      </c>
      <c r="O710" s="32" t="n"/>
    </row>
    <row r="711">
      <c r="A711" s="46" t="n"/>
      <c r="B711" s="31" t="n"/>
      <c r="C711" s="27" t="n"/>
      <c r="D711" s="56" t="n"/>
      <c r="E711" s="17" t="n"/>
      <c r="F711" s="20" t="str">
        <f>IF(AND(ISNUMBER(D711),ISNUMBER(E711)),D711*E711,"")</f>
        <v/>
      </c>
      <c r="G711" s="51" t="str">
        <f>IF(ISNUMBER(F711),ROUND(MAX(F711*'参数'!$C$12,'参数'!$C$13),2),"")</f>
        <v/>
      </c>
      <c r="H711" s="51" t="str">
        <f>IF(ISNUMBER(F711),IF(C711="卖",ROUND(F711*'参数'!$C$14,2),0),"")</f>
        <v/>
      </c>
      <c r="I711" s="51" t="str">
        <f>IF(ISNUMBER(F711),ROUND(F711*'参数'!$C$15,2),"")</f>
        <v/>
      </c>
      <c r="J711" s="21" t="n"/>
      <c r="K711" s="20" t="str">
        <f>IF(ISNUMBER(J711),J711,IF(ISNUMBER(F711),G711+H711+I711+ROUND(F711*'参数'!$C$16,2),""))</f>
        <v/>
      </c>
      <c r="L711" s="43" t="str">
        <f>IF(A711="","",IFERROR(T(INDEX('交易记录'!$C$5:$C$304,MATCH(A711,'交易记录'!$A$5:$A$304,0))),"编号没找到"))</f>
        <v/>
      </c>
      <c r="M711" s="57" t="str">
        <f>IF(AND(C711="买",ISNUMBER(B711)),WORKDAY(B711,1,'参数'!$B$58:$B$80),"")</f>
        <v/>
      </c>
      <c r="N711" s="36" t="str">
        <f>IF(C711&lt;&gt;"卖","",IF(AND(ISNUMBER(B711),A711&lt;&gt;""),IF(SUMIFS($E$5:$E$804,$A$5:$A$804,A711,$C$5:$C$804,"卖",$B$5:$B$804,"&lt;="&amp;B711)&gt;SUMIFS($E$5:$E$804,$A$5:$A$804,A711,$C$5:$C$804,"买",$B$5:$B$804,"&lt;"&amp;B711),"超出可卖股数","OK"),""))</f>
        <v/>
      </c>
      <c r="O711" s="32" t="n"/>
    </row>
    <row r="712">
      <c r="A712" s="46" t="n"/>
      <c r="B712" s="31" t="n"/>
      <c r="C712" s="27" t="n"/>
      <c r="D712" s="56" t="n"/>
      <c r="E712" s="17" t="n"/>
      <c r="F712" s="20" t="str">
        <f>IF(AND(ISNUMBER(D712),ISNUMBER(E712)),D712*E712,"")</f>
        <v/>
      </c>
      <c r="G712" s="51" t="str">
        <f>IF(ISNUMBER(F712),ROUND(MAX(F712*'参数'!$C$12,'参数'!$C$13),2),"")</f>
        <v/>
      </c>
      <c r="H712" s="51" t="str">
        <f>IF(ISNUMBER(F712),IF(C712="卖",ROUND(F712*'参数'!$C$14,2),0),"")</f>
        <v/>
      </c>
      <c r="I712" s="51" t="str">
        <f>IF(ISNUMBER(F712),ROUND(F712*'参数'!$C$15,2),"")</f>
        <v/>
      </c>
      <c r="J712" s="21" t="n"/>
      <c r="K712" s="20" t="str">
        <f>IF(ISNUMBER(J712),J712,IF(ISNUMBER(F712),G712+H712+I712+ROUND(F712*'参数'!$C$16,2),""))</f>
        <v/>
      </c>
      <c r="L712" s="43" t="str">
        <f>IF(A712="","",IFERROR(T(INDEX('交易记录'!$C$5:$C$304,MATCH(A712,'交易记录'!$A$5:$A$304,0))),"编号没找到"))</f>
        <v/>
      </c>
      <c r="M712" s="57" t="str">
        <f>IF(AND(C712="买",ISNUMBER(B712)),WORKDAY(B712,1,'参数'!$B$58:$B$80),"")</f>
        <v/>
      </c>
      <c r="N712" s="36" t="str">
        <f>IF(C712&lt;&gt;"卖","",IF(AND(ISNUMBER(B712),A712&lt;&gt;""),IF(SUMIFS($E$5:$E$804,$A$5:$A$804,A712,$C$5:$C$804,"卖",$B$5:$B$804,"&lt;="&amp;B712)&gt;SUMIFS($E$5:$E$804,$A$5:$A$804,A712,$C$5:$C$804,"买",$B$5:$B$804,"&lt;"&amp;B712),"超出可卖股数","OK"),""))</f>
        <v/>
      </c>
      <c r="O712" s="32" t="n"/>
    </row>
    <row r="713">
      <c r="A713" s="46" t="n"/>
      <c r="B713" s="31" t="n"/>
      <c r="C713" s="27" t="n"/>
      <c r="D713" s="56" t="n"/>
      <c r="E713" s="17" t="n"/>
      <c r="F713" s="20" t="str">
        <f>IF(AND(ISNUMBER(D713),ISNUMBER(E713)),D713*E713,"")</f>
        <v/>
      </c>
      <c r="G713" s="51" t="str">
        <f>IF(ISNUMBER(F713),ROUND(MAX(F713*'参数'!$C$12,'参数'!$C$13),2),"")</f>
        <v/>
      </c>
      <c r="H713" s="51" t="str">
        <f>IF(ISNUMBER(F713),IF(C713="卖",ROUND(F713*'参数'!$C$14,2),0),"")</f>
        <v/>
      </c>
      <c r="I713" s="51" t="str">
        <f>IF(ISNUMBER(F713),ROUND(F713*'参数'!$C$15,2),"")</f>
        <v/>
      </c>
      <c r="J713" s="21" t="n"/>
      <c r="K713" s="20" t="str">
        <f>IF(ISNUMBER(J713),J713,IF(ISNUMBER(F713),G713+H713+I713+ROUND(F713*'参数'!$C$16,2),""))</f>
        <v/>
      </c>
      <c r="L713" s="43" t="str">
        <f>IF(A713="","",IFERROR(T(INDEX('交易记录'!$C$5:$C$304,MATCH(A713,'交易记录'!$A$5:$A$304,0))),"编号没找到"))</f>
        <v/>
      </c>
      <c r="M713" s="57" t="str">
        <f>IF(AND(C713="买",ISNUMBER(B713)),WORKDAY(B713,1,'参数'!$B$58:$B$80),"")</f>
        <v/>
      </c>
      <c r="N713" s="36" t="str">
        <f>IF(C713&lt;&gt;"卖","",IF(AND(ISNUMBER(B713),A713&lt;&gt;""),IF(SUMIFS($E$5:$E$804,$A$5:$A$804,A713,$C$5:$C$804,"卖",$B$5:$B$804,"&lt;="&amp;B713)&gt;SUMIFS($E$5:$E$804,$A$5:$A$804,A713,$C$5:$C$804,"买",$B$5:$B$804,"&lt;"&amp;B713),"超出可卖股数","OK"),""))</f>
        <v/>
      </c>
      <c r="O713" s="32" t="n"/>
    </row>
    <row r="714">
      <c r="A714" s="46" t="n"/>
      <c r="B714" s="31" t="n"/>
      <c r="C714" s="27" t="n"/>
      <c r="D714" s="56" t="n"/>
      <c r="E714" s="17" t="n"/>
      <c r="F714" s="20" t="str">
        <f>IF(AND(ISNUMBER(D714),ISNUMBER(E714)),D714*E714,"")</f>
        <v/>
      </c>
      <c r="G714" s="51" t="str">
        <f>IF(ISNUMBER(F714),ROUND(MAX(F714*'参数'!$C$12,'参数'!$C$13),2),"")</f>
        <v/>
      </c>
      <c r="H714" s="51" t="str">
        <f>IF(ISNUMBER(F714),IF(C714="卖",ROUND(F714*'参数'!$C$14,2),0),"")</f>
        <v/>
      </c>
      <c r="I714" s="51" t="str">
        <f>IF(ISNUMBER(F714),ROUND(F714*'参数'!$C$15,2),"")</f>
        <v/>
      </c>
      <c r="J714" s="21" t="n"/>
      <c r="K714" s="20" t="str">
        <f>IF(ISNUMBER(J714),J714,IF(ISNUMBER(F714),G714+H714+I714+ROUND(F714*'参数'!$C$16,2),""))</f>
        <v/>
      </c>
      <c r="L714" s="43" t="str">
        <f>IF(A714="","",IFERROR(T(INDEX('交易记录'!$C$5:$C$304,MATCH(A714,'交易记录'!$A$5:$A$304,0))),"编号没找到"))</f>
        <v/>
      </c>
      <c r="M714" s="57" t="str">
        <f>IF(AND(C714="买",ISNUMBER(B714)),WORKDAY(B714,1,'参数'!$B$58:$B$80),"")</f>
        <v/>
      </c>
      <c r="N714" s="36" t="str">
        <f>IF(C714&lt;&gt;"卖","",IF(AND(ISNUMBER(B714),A714&lt;&gt;""),IF(SUMIFS($E$5:$E$804,$A$5:$A$804,A714,$C$5:$C$804,"卖",$B$5:$B$804,"&lt;="&amp;B714)&gt;SUMIFS($E$5:$E$804,$A$5:$A$804,A714,$C$5:$C$804,"买",$B$5:$B$804,"&lt;"&amp;B714),"超出可卖股数","OK"),""))</f>
        <v/>
      </c>
      <c r="O714" s="32" t="n"/>
    </row>
    <row r="715">
      <c r="A715" s="46" t="n"/>
      <c r="B715" s="31" t="n"/>
      <c r="C715" s="27" t="n"/>
      <c r="D715" s="56" t="n"/>
      <c r="E715" s="17" t="n"/>
      <c r="F715" s="20" t="str">
        <f>IF(AND(ISNUMBER(D715),ISNUMBER(E715)),D715*E715,"")</f>
        <v/>
      </c>
      <c r="G715" s="51" t="str">
        <f>IF(ISNUMBER(F715),ROUND(MAX(F715*'参数'!$C$12,'参数'!$C$13),2),"")</f>
        <v/>
      </c>
      <c r="H715" s="51" t="str">
        <f>IF(ISNUMBER(F715),IF(C715="卖",ROUND(F715*'参数'!$C$14,2),0),"")</f>
        <v/>
      </c>
      <c r="I715" s="51" t="str">
        <f>IF(ISNUMBER(F715),ROUND(F715*'参数'!$C$15,2),"")</f>
        <v/>
      </c>
      <c r="J715" s="21" t="n"/>
      <c r="K715" s="20" t="str">
        <f>IF(ISNUMBER(J715),J715,IF(ISNUMBER(F715),G715+H715+I715+ROUND(F715*'参数'!$C$16,2),""))</f>
        <v/>
      </c>
      <c r="L715" s="43" t="str">
        <f>IF(A715="","",IFERROR(T(INDEX('交易记录'!$C$5:$C$304,MATCH(A715,'交易记录'!$A$5:$A$304,0))),"编号没找到"))</f>
        <v/>
      </c>
      <c r="M715" s="57" t="str">
        <f>IF(AND(C715="买",ISNUMBER(B715)),WORKDAY(B715,1,'参数'!$B$58:$B$80),"")</f>
        <v/>
      </c>
      <c r="N715" s="36" t="str">
        <f>IF(C715&lt;&gt;"卖","",IF(AND(ISNUMBER(B715),A715&lt;&gt;""),IF(SUMIFS($E$5:$E$804,$A$5:$A$804,A715,$C$5:$C$804,"卖",$B$5:$B$804,"&lt;="&amp;B715)&gt;SUMIFS($E$5:$E$804,$A$5:$A$804,A715,$C$5:$C$804,"买",$B$5:$B$804,"&lt;"&amp;B715),"超出可卖股数","OK"),""))</f>
        <v/>
      </c>
      <c r="O715" s="32" t="n"/>
    </row>
    <row r="716">
      <c r="A716" s="46" t="n"/>
      <c r="B716" s="31" t="n"/>
      <c r="C716" s="27" t="n"/>
      <c r="D716" s="56" t="n"/>
      <c r="E716" s="17" t="n"/>
      <c r="F716" s="20" t="str">
        <f>IF(AND(ISNUMBER(D716),ISNUMBER(E716)),D716*E716,"")</f>
        <v/>
      </c>
      <c r="G716" s="51" t="str">
        <f>IF(ISNUMBER(F716),ROUND(MAX(F716*'参数'!$C$12,'参数'!$C$13),2),"")</f>
        <v/>
      </c>
      <c r="H716" s="51" t="str">
        <f>IF(ISNUMBER(F716),IF(C716="卖",ROUND(F716*'参数'!$C$14,2),0),"")</f>
        <v/>
      </c>
      <c r="I716" s="51" t="str">
        <f>IF(ISNUMBER(F716),ROUND(F716*'参数'!$C$15,2),"")</f>
        <v/>
      </c>
      <c r="J716" s="21" t="n"/>
      <c r="K716" s="20" t="str">
        <f>IF(ISNUMBER(J716),J716,IF(ISNUMBER(F716),G716+H716+I716+ROUND(F716*'参数'!$C$16,2),""))</f>
        <v/>
      </c>
      <c r="L716" s="43" t="str">
        <f>IF(A716="","",IFERROR(T(INDEX('交易记录'!$C$5:$C$304,MATCH(A716,'交易记录'!$A$5:$A$304,0))),"编号没找到"))</f>
        <v/>
      </c>
      <c r="M716" s="57" t="str">
        <f>IF(AND(C716="买",ISNUMBER(B716)),WORKDAY(B716,1,'参数'!$B$58:$B$80),"")</f>
        <v/>
      </c>
      <c r="N716" s="36" t="str">
        <f>IF(C716&lt;&gt;"卖","",IF(AND(ISNUMBER(B716),A716&lt;&gt;""),IF(SUMIFS($E$5:$E$804,$A$5:$A$804,A716,$C$5:$C$804,"卖",$B$5:$B$804,"&lt;="&amp;B716)&gt;SUMIFS($E$5:$E$804,$A$5:$A$804,A716,$C$5:$C$804,"买",$B$5:$B$804,"&lt;"&amp;B716),"超出可卖股数","OK"),""))</f>
        <v/>
      </c>
      <c r="O716" s="32" t="n"/>
    </row>
    <row r="717">
      <c r="A717" s="46" t="n"/>
      <c r="B717" s="31" t="n"/>
      <c r="C717" s="27" t="n"/>
      <c r="D717" s="56" t="n"/>
      <c r="E717" s="17" t="n"/>
      <c r="F717" s="20" t="str">
        <f>IF(AND(ISNUMBER(D717),ISNUMBER(E717)),D717*E717,"")</f>
        <v/>
      </c>
      <c r="G717" s="51" t="str">
        <f>IF(ISNUMBER(F717),ROUND(MAX(F717*'参数'!$C$12,'参数'!$C$13),2),"")</f>
        <v/>
      </c>
      <c r="H717" s="51" t="str">
        <f>IF(ISNUMBER(F717),IF(C717="卖",ROUND(F717*'参数'!$C$14,2),0),"")</f>
        <v/>
      </c>
      <c r="I717" s="51" t="str">
        <f>IF(ISNUMBER(F717),ROUND(F717*'参数'!$C$15,2),"")</f>
        <v/>
      </c>
      <c r="J717" s="21" t="n"/>
      <c r="K717" s="20" t="str">
        <f>IF(ISNUMBER(J717),J717,IF(ISNUMBER(F717),G717+H717+I717+ROUND(F717*'参数'!$C$16,2),""))</f>
        <v/>
      </c>
      <c r="L717" s="43" t="str">
        <f>IF(A717="","",IFERROR(T(INDEX('交易记录'!$C$5:$C$304,MATCH(A717,'交易记录'!$A$5:$A$304,0))),"编号没找到"))</f>
        <v/>
      </c>
      <c r="M717" s="57" t="str">
        <f>IF(AND(C717="买",ISNUMBER(B717)),WORKDAY(B717,1,'参数'!$B$58:$B$80),"")</f>
        <v/>
      </c>
      <c r="N717" s="36" t="str">
        <f>IF(C717&lt;&gt;"卖","",IF(AND(ISNUMBER(B717),A717&lt;&gt;""),IF(SUMIFS($E$5:$E$804,$A$5:$A$804,A717,$C$5:$C$804,"卖",$B$5:$B$804,"&lt;="&amp;B717)&gt;SUMIFS($E$5:$E$804,$A$5:$A$804,A717,$C$5:$C$804,"买",$B$5:$B$804,"&lt;"&amp;B717),"超出可卖股数","OK"),""))</f>
        <v/>
      </c>
      <c r="O717" s="32" t="n"/>
    </row>
    <row r="718">
      <c r="A718" s="46" t="n"/>
      <c r="B718" s="31" t="n"/>
      <c r="C718" s="27" t="n"/>
      <c r="D718" s="56" t="n"/>
      <c r="E718" s="17" t="n"/>
      <c r="F718" s="20" t="str">
        <f>IF(AND(ISNUMBER(D718),ISNUMBER(E718)),D718*E718,"")</f>
        <v/>
      </c>
      <c r="G718" s="51" t="str">
        <f>IF(ISNUMBER(F718),ROUND(MAX(F718*'参数'!$C$12,'参数'!$C$13),2),"")</f>
        <v/>
      </c>
      <c r="H718" s="51" t="str">
        <f>IF(ISNUMBER(F718),IF(C718="卖",ROUND(F718*'参数'!$C$14,2),0),"")</f>
        <v/>
      </c>
      <c r="I718" s="51" t="str">
        <f>IF(ISNUMBER(F718),ROUND(F718*'参数'!$C$15,2),"")</f>
        <v/>
      </c>
      <c r="J718" s="21" t="n"/>
      <c r="K718" s="20" t="str">
        <f>IF(ISNUMBER(J718),J718,IF(ISNUMBER(F718),G718+H718+I718+ROUND(F718*'参数'!$C$16,2),""))</f>
        <v/>
      </c>
      <c r="L718" s="43" t="str">
        <f>IF(A718="","",IFERROR(T(INDEX('交易记录'!$C$5:$C$304,MATCH(A718,'交易记录'!$A$5:$A$304,0))),"编号没找到"))</f>
        <v/>
      </c>
      <c r="M718" s="57" t="str">
        <f>IF(AND(C718="买",ISNUMBER(B718)),WORKDAY(B718,1,'参数'!$B$58:$B$80),"")</f>
        <v/>
      </c>
      <c r="N718" s="36" t="str">
        <f>IF(C718&lt;&gt;"卖","",IF(AND(ISNUMBER(B718),A718&lt;&gt;""),IF(SUMIFS($E$5:$E$804,$A$5:$A$804,A718,$C$5:$C$804,"卖",$B$5:$B$804,"&lt;="&amp;B718)&gt;SUMIFS($E$5:$E$804,$A$5:$A$804,A718,$C$5:$C$804,"买",$B$5:$B$804,"&lt;"&amp;B718),"超出可卖股数","OK"),""))</f>
        <v/>
      </c>
      <c r="O718" s="32" t="n"/>
    </row>
    <row r="719">
      <c r="A719" s="46" t="n"/>
      <c r="B719" s="31" t="n"/>
      <c r="C719" s="27" t="n"/>
      <c r="D719" s="56" t="n"/>
      <c r="E719" s="17" t="n"/>
      <c r="F719" s="20" t="str">
        <f>IF(AND(ISNUMBER(D719),ISNUMBER(E719)),D719*E719,"")</f>
        <v/>
      </c>
      <c r="G719" s="51" t="str">
        <f>IF(ISNUMBER(F719),ROUND(MAX(F719*'参数'!$C$12,'参数'!$C$13),2),"")</f>
        <v/>
      </c>
      <c r="H719" s="51" t="str">
        <f>IF(ISNUMBER(F719),IF(C719="卖",ROUND(F719*'参数'!$C$14,2),0),"")</f>
        <v/>
      </c>
      <c r="I719" s="51" t="str">
        <f>IF(ISNUMBER(F719),ROUND(F719*'参数'!$C$15,2),"")</f>
        <v/>
      </c>
      <c r="J719" s="21" t="n"/>
      <c r="K719" s="20" t="str">
        <f>IF(ISNUMBER(J719),J719,IF(ISNUMBER(F719),G719+H719+I719+ROUND(F719*'参数'!$C$16,2),""))</f>
        <v/>
      </c>
      <c r="L719" s="43" t="str">
        <f>IF(A719="","",IFERROR(T(INDEX('交易记录'!$C$5:$C$304,MATCH(A719,'交易记录'!$A$5:$A$304,0))),"编号没找到"))</f>
        <v/>
      </c>
      <c r="M719" s="57" t="str">
        <f>IF(AND(C719="买",ISNUMBER(B719)),WORKDAY(B719,1,'参数'!$B$58:$B$80),"")</f>
        <v/>
      </c>
      <c r="N719" s="36" t="str">
        <f>IF(C719&lt;&gt;"卖","",IF(AND(ISNUMBER(B719),A719&lt;&gt;""),IF(SUMIFS($E$5:$E$804,$A$5:$A$804,A719,$C$5:$C$804,"卖",$B$5:$B$804,"&lt;="&amp;B719)&gt;SUMIFS($E$5:$E$804,$A$5:$A$804,A719,$C$5:$C$804,"买",$B$5:$B$804,"&lt;"&amp;B719),"超出可卖股数","OK"),""))</f>
        <v/>
      </c>
      <c r="O719" s="32" t="n"/>
    </row>
    <row r="720">
      <c r="A720" s="46" t="n"/>
      <c r="B720" s="31" t="n"/>
      <c r="C720" s="27" t="n"/>
      <c r="D720" s="56" t="n"/>
      <c r="E720" s="17" t="n"/>
      <c r="F720" s="20" t="str">
        <f>IF(AND(ISNUMBER(D720),ISNUMBER(E720)),D720*E720,"")</f>
        <v/>
      </c>
      <c r="G720" s="51" t="str">
        <f>IF(ISNUMBER(F720),ROUND(MAX(F720*'参数'!$C$12,'参数'!$C$13),2),"")</f>
        <v/>
      </c>
      <c r="H720" s="51" t="str">
        <f>IF(ISNUMBER(F720),IF(C720="卖",ROUND(F720*'参数'!$C$14,2),0),"")</f>
        <v/>
      </c>
      <c r="I720" s="51" t="str">
        <f>IF(ISNUMBER(F720),ROUND(F720*'参数'!$C$15,2),"")</f>
        <v/>
      </c>
      <c r="J720" s="21" t="n"/>
      <c r="K720" s="20" t="str">
        <f>IF(ISNUMBER(J720),J720,IF(ISNUMBER(F720),G720+H720+I720+ROUND(F720*'参数'!$C$16,2),""))</f>
        <v/>
      </c>
      <c r="L720" s="43" t="str">
        <f>IF(A720="","",IFERROR(T(INDEX('交易记录'!$C$5:$C$304,MATCH(A720,'交易记录'!$A$5:$A$304,0))),"编号没找到"))</f>
        <v/>
      </c>
      <c r="M720" s="57" t="str">
        <f>IF(AND(C720="买",ISNUMBER(B720)),WORKDAY(B720,1,'参数'!$B$58:$B$80),"")</f>
        <v/>
      </c>
      <c r="N720" s="36" t="str">
        <f>IF(C720&lt;&gt;"卖","",IF(AND(ISNUMBER(B720),A720&lt;&gt;""),IF(SUMIFS($E$5:$E$804,$A$5:$A$804,A720,$C$5:$C$804,"卖",$B$5:$B$804,"&lt;="&amp;B720)&gt;SUMIFS($E$5:$E$804,$A$5:$A$804,A720,$C$5:$C$804,"买",$B$5:$B$804,"&lt;"&amp;B720),"超出可卖股数","OK"),""))</f>
        <v/>
      </c>
      <c r="O720" s="32" t="n"/>
    </row>
    <row r="721">
      <c r="A721" s="46" t="n"/>
      <c r="B721" s="31" t="n"/>
      <c r="C721" s="27" t="n"/>
      <c r="D721" s="56" t="n"/>
      <c r="E721" s="17" t="n"/>
      <c r="F721" s="20" t="str">
        <f>IF(AND(ISNUMBER(D721),ISNUMBER(E721)),D721*E721,"")</f>
        <v/>
      </c>
      <c r="G721" s="51" t="str">
        <f>IF(ISNUMBER(F721),ROUND(MAX(F721*'参数'!$C$12,'参数'!$C$13),2),"")</f>
        <v/>
      </c>
      <c r="H721" s="51" t="str">
        <f>IF(ISNUMBER(F721),IF(C721="卖",ROUND(F721*'参数'!$C$14,2),0),"")</f>
        <v/>
      </c>
      <c r="I721" s="51" t="str">
        <f>IF(ISNUMBER(F721),ROUND(F721*'参数'!$C$15,2),"")</f>
        <v/>
      </c>
      <c r="J721" s="21" t="n"/>
      <c r="K721" s="20" t="str">
        <f>IF(ISNUMBER(J721),J721,IF(ISNUMBER(F721),G721+H721+I721+ROUND(F721*'参数'!$C$16,2),""))</f>
        <v/>
      </c>
      <c r="L721" s="43" t="str">
        <f>IF(A721="","",IFERROR(T(INDEX('交易记录'!$C$5:$C$304,MATCH(A721,'交易记录'!$A$5:$A$304,0))),"编号没找到"))</f>
        <v/>
      </c>
      <c r="M721" s="57" t="str">
        <f>IF(AND(C721="买",ISNUMBER(B721)),WORKDAY(B721,1,'参数'!$B$58:$B$80),"")</f>
        <v/>
      </c>
      <c r="N721" s="36" t="str">
        <f>IF(C721&lt;&gt;"卖","",IF(AND(ISNUMBER(B721),A721&lt;&gt;""),IF(SUMIFS($E$5:$E$804,$A$5:$A$804,A721,$C$5:$C$804,"卖",$B$5:$B$804,"&lt;="&amp;B721)&gt;SUMIFS($E$5:$E$804,$A$5:$A$804,A721,$C$5:$C$804,"买",$B$5:$B$804,"&lt;"&amp;B721),"超出可卖股数","OK"),""))</f>
        <v/>
      </c>
      <c r="O721" s="32" t="n"/>
    </row>
    <row r="722">
      <c r="A722" s="46" t="n"/>
      <c r="B722" s="31" t="n"/>
      <c r="C722" s="27" t="n"/>
      <c r="D722" s="56" t="n"/>
      <c r="E722" s="17" t="n"/>
      <c r="F722" s="20" t="str">
        <f>IF(AND(ISNUMBER(D722),ISNUMBER(E722)),D722*E722,"")</f>
        <v/>
      </c>
      <c r="G722" s="51" t="str">
        <f>IF(ISNUMBER(F722),ROUND(MAX(F722*'参数'!$C$12,'参数'!$C$13),2),"")</f>
        <v/>
      </c>
      <c r="H722" s="51" t="str">
        <f>IF(ISNUMBER(F722),IF(C722="卖",ROUND(F722*'参数'!$C$14,2),0),"")</f>
        <v/>
      </c>
      <c r="I722" s="51" t="str">
        <f>IF(ISNUMBER(F722),ROUND(F722*'参数'!$C$15,2),"")</f>
        <v/>
      </c>
      <c r="J722" s="21" t="n"/>
      <c r="K722" s="20" t="str">
        <f>IF(ISNUMBER(J722),J722,IF(ISNUMBER(F722),G722+H722+I722+ROUND(F722*'参数'!$C$16,2),""))</f>
        <v/>
      </c>
      <c r="L722" s="43" t="str">
        <f>IF(A722="","",IFERROR(T(INDEX('交易记录'!$C$5:$C$304,MATCH(A722,'交易记录'!$A$5:$A$304,0))),"编号没找到"))</f>
        <v/>
      </c>
      <c r="M722" s="57" t="str">
        <f>IF(AND(C722="买",ISNUMBER(B722)),WORKDAY(B722,1,'参数'!$B$58:$B$80),"")</f>
        <v/>
      </c>
      <c r="N722" s="36" t="str">
        <f>IF(C722&lt;&gt;"卖","",IF(AND(ISNUMBER(B722),A722&lt;&gt;""),IF(SUMIFS($E$5:$E$804,$A$5:$A$804,A722,$C$5:$C$804,"卖",$B$5:$B$804,"&lt;="&amp;B722)&gt;SUMIFS($E$5:$E$804,$A$5:$A$804,A722,$C$5:$C$804,"买",$B$5:$B$804,"&lt;"&amp;B722),"超出可卖股数","OK"),""))</f>
        <v/>
      </c>
      <c r="O722" s="32" t="n"/>
    </row>
    <row r="723">
      <c r="A723" s="46" t="n"/>
      <c r="B723" s="31" t="n"/>
      <c r="C723" s="27" t="n"/>
      <c r="D723" s="56" t="n"/>
      <c r="E723" s="17" t="n"/>
      <c r="F723" s="20" t="str">
        <f>IF(AND(ISNUMBER(D723),ISNUMBER(E723)),D723*E723,"")</f>
        <v/>
      </c>
      <c r="G723" s="51" t="str">
        <f>IF(ISNUMBER(F723),ROUND(MAX(F723*'参数'!$C$12,'参数'!$C$13),2),"")</f>
        <v/>
      </c>
      <c r="H723" s="51" t="str">
        <f>IF(ISNUMBER(F723),IF(C723="卖",ROUND(F723*'参数'!$C$14,2),0),"")</f>
        <v/>
      </c>
      <c r="I723" s="51" t="str">
        <f>IF(ISNUMBER(F723),ROUND(F723*'参数'!$C$15,2),"")</f>
        <v/>
      </c>
      <c r="J723" s="21" t="n"/>
      <c r="K723" s="20" t="str">
        <f>IF(ISNUMBER(J723),J723,IF(ISNUMBER(F723),G723+H723+I723+ROUND(F723*'参数'!$C$16,2),""))</f>
        <v/>
      </c>
      <c r="L723" s="43" t="str">
        <f>IF(A723="","",IFERROR(T(INDEX('交易记录'!$C$5:$C$304,MATCH(A723,'交易记录'!$A$5:$A$304,0))),"编号没找到"))</f>
        <v/>
      </c>
      <c r="M723" s="57" t="str">
        <f>IF(AND(C723="买",ISNUMBER(B723)),WORKDAY(B723,1,'参数'!$B$58:$B$80),"")</f>
        <v/>
      </c>
      <c r="N723" s="36" t="str">
        <f>IF(C723&lt;&gt;"卖","",IF(AND(ISNUMBER(B723),A723&lt;&gt;""),IF(SUMIFS($E$5:$E$804,$A$5:$A$804,A723,$C$5:$C$804,"卖",$B$5:$B$804,"&lt;="&amp;B723)&gt;SUMIFS($E$5:$E$804,$A$5:$A$804,A723,$C$5:$C$804,"买",$B$5:$B$804,"&lt;"&amp;B723),"超出可卖股数","OK"),""))</f>
        <v/>
      </c>
      <c r="O723" s="32" t="n"/>
    </row>
    <row r="724">
      <c r="A724" s="46" t="n"/>
      <c r="B724" s="31" t="n"/>
      <c r="C724" s="27" t="n"/>
      <c r="D724" s="56" t="n"/>
      <c r="E724" s="17" t="n"/>
      <c r="F724" s="20" t="str">
        <f>IF(AND(ISNUMBER(D724),ISNUMBER(E724)),D724*E724,"")</f>
        <v/>
      </c>
      <c r="G724" s="51" t="str">
        <f>IF(ISNUMBER(F724),ROUND(MAX(F724*'参数'!$C$12,'参数'!$C$13),2),"")</f>
        <v/>
      </c>
      <c r="H724" s="51" t="str">
        <f>IF(ISNUMBER(F724),IF(C724="卖",ROUND(F724*'参数'!$C$14,2),0),"")</f>
        <v/>
      </c>
      <c r="I724" s="51" t="str">
        <f>IF(ISNUMBER(F724),ROUND(F724*'参数'!$C$15,2),"")</f>
        <v/>
      </c>
      <c r="J724" s="21" t="n"/>
      <c r="K724" s="20" t="str">
        <f>IF(ISNUMBER(J724),J724,IF(ISNUMBER(F724),G724+H724+I724+ROUND(F724*'参数'!$C$16,2),""))</f>
        <v/>
      </c>
      <c r="L724" s="43" t="str">
        <f>IF(A724="","",IFERROR(T(INDEX('交易记录'!$C$5:$C$304,MATCH(A724,'交易记录'!$A$5:$A$304,0))),"编号没找到"))</f>
        <v/>
      </c>
      <c r="M724" s="57" t="str">
        <f>IF(AND(C724="买",ISNUMBER(B724)),WORKDAY(B724,1,'参数'!$B$58:$B$80),"")</f>
        <v/>
      </c>
      <c r="N724" s="36" t="str">
        <f>IF(C724&lt;&gt;"卖","",IF(AND(ISNUMBER(B724),A724&lt;&gt;""),IF(SUMIFS($E$5:$E$804,$A$5:$A$804,A724,$C$5:$C$804,"卖",$B$5:$B$804,"&lt;="&amp;B724)&gt;SUMIFS($E$5:$E$804,$A$5:$A$804,A724,$C$5:$C$804,"买",$B$5:$B$804,"&lt;"&amp;B724),"超出可卖股数","OK"),""))</f>
        <v/>
      </c>
      <c r="O724" s="32" t="n"/>
    </row>
    <row r="725">
      <c r="A725" s="46" t="n"/>
      <c r="B725" s="31" t="n"/>
      <c r="C725" s="27" t="n"/>
      <c r="D725" s="56" t="n"/>
      <c r="E725" s="17" t="n"/>
      <c r="F725" s="20" t="str">
        <f>IF(AND(ISNUMBER(D725),ISNUMBER(E725)),D725*E725,"")</f>
        <v/>
      </c>
      <c r="G725" s="51" t="str">
        <f>IF(ISNUMBER(F725),ROUND(MAX(F725*'参数'!$C$12,'参数'!$C$13),2),"")</f>
        <v/>
      </c>
      <c r="H725" s="51" t="str">
        <f>IF(ISNUMBER(F725),IF(C725="卖",ROUND(F725*'参数'!$C$14,2),0),"")</f>
        <v/>
      </c>
      <c r="I725" s="51" t="str">
        <f>IF(ISNUMBER(F725),ROUND(F725*'参数'!$C$15,2),"")</f>
        <v/>
      </c>
      <c r="J725" s="21" t="n"/>
      <c r="K725" s="20" t="str">
        <f>IF(ISNUMBER(J725),J725,IF(ISNUMBER(F725),G725+H725+I725+ROUND(F725*'参数'!$C$16,2),""))</f>
        <v/>
      </c>
      <c r="L725" s="43" t="str">
        <f>IF(A725="","",IFERROR(T(INDEX('交易记录'!$C$5:$C$304,MATCH(A725,'交易记录'!$A$5:$A$304,0))),"编号没找到"))</f>
        <v/>
      </c>
      <c r="M725" s="57" t="str">
        <f>IF(AND(C725="买",ISNUMBER(B725)),WORKDAY(B725,1,'参数'!$B$58:$B$80),"")</f>
        <v/>
      </c>
      <c r="N725" s="36" t="str">
        <f>IF(C725&lt;&gt;"卖","",IF(AND(ISNUMBER(B725),A725&lt;&gt;""),IF(SUMIFS($E$5:$E$804,$A$5:$A$804,A725,$C$5:$C$804,"卖",$B$5:$B$804,"&lt;="&amp;B725)&gt;SUMIFS($E$5:$E$804,$A$5:$A$804,A725,$C$5:$C$804,"买",$B$5:$B$804,"&lt;"&amp;B725),"超出可卖股数","OK"),""))</f>
        <v/>
      </c>
      <c r="O725" s="32" t="n"/>
    </row>
    <row r="726">
      <c r="A726" s="46" t="n"/>
      <c r="B726" s="31" t="n"/>
      <c r="C726" s="27" t="n"/>
      <c r="D726" s="56" t="n"/>
      <c r="E726" s="17" t="n"/>
      <c r="F726" s="20" t="str">
        <f>IF(AND(ISNUMBER(D726),ISNUMBER(E726)),D726*E726,"")</f>
        <v/>
      </c>
      <c r="G726" s="51" t="str">
        <f>IF(ISNUMBER(F726),ROUND(MAX(F726*'参数'!$C$12,'参数'!$C$13),2),"")</f>
        <v/>
      </c>
      <c r="H726" s="51" t="str">
        <f>IF(ISNUMBER(F726),IF(C726="卖",ROUND(F726*'参数'!$C$14,2),0),"")</f>
        <v/>
      </c>
      <c r="I726" s="51" t="str">
        <f>IF(ISNUMBER(F726),ROUND(F726*'参数'!$C$15,2),"")</f>
        <v/>
      </c>
      <c r="J726" s="21" t="n"/>
      <c r="K726" s="20" t="str">
        <f>IF(ISNUMBER(J726),J726,IF(ISNUMBER(F726),G726+H726+I726+ROUND(F726*'参数'!$C$16,2),""))</f>
        <v/>
      </c>
      <c r="L726" s="43" t="str">
        <f>IF(A726="","",IFERROR(T(INDEX('交易记录'!$C$5:$C$304,MATCH(A726,'交易记录'!$A$5:$A$304,0))),"编号没找到"))</f>
        <v/>
      </c>
      <c r="M726" s="57" t="str">
        <f>IF(AND(C726="买",ISNUMBER(B726)),WORKDAY(B726,1,'参数'!$B$58:$B$80),"")</f>
        <v/>
      </c>
      <c r="N726" s="36" t="str">
        <f>IF(C726&lt;&gt;"卖","",IF(AND(ISNUMBER(B726),A726&lt;&gt;""),IF(SUMIFS($E$5:$E$804,$A$5:$A$804,A726,$C$5:$C$804,"卖",$B$5:$B$804,"&lt;="&amp;B726)&gt;SUMIFS($E$5:$E$804,$A$5:$A$804,A726,$C$5:$C$804,"买",$B$5:$B$804,"&lt;"&amp;B726),"超出可卖股数","OK"),""))</f>
        <v/>
      </c>
      <c r="O726" s="32" t="n"/>
    </row>
    <row r="727">
      <c r="A727" s="46" t="n"/>
      <c r="B727" s="31" t="n"/>
      <c r="C727" s="27" t="n"/>
      <c r="D727" s="56" t="n"/>
      <c r="E727" s="17" t="n"/>
      <c r="F727" s="20" t="str">
        <f>IF(AND(ISNUMBER(D727),ISNUMBER(E727)),D727*E727,"")</f>
        <v/>
      </c>
      <c r="G727" s="51" t="str">
        <f>IF(ISNUMBER(F727),ROUND(MAX(F727*'参数'!$C$12,'参数'!$C$13),2),"")</f>
        <v/>
      </c>
      <c r="H727" s="51" t="str">
        <f>IF(ISNUMBER(F727),IF(C727="卖",ROUND(F727*'参数'!$C$14,2),0),"")</f>
        <v/>
      </c>
      <c r="I727" s="51" t="str">
        <f>IF(ISNUMBER(F727),ROUND(F727*'参数'!$C$15,2),"")</f>
        <v/>
      </c>
      <c r="J727" s="21" t="n"/>
      <c r="K727" s="20" t="str">
        <f>IF(ISNUMBER(J727),J727,IF(ISNUMBER(F727),G727+H727+I727+ROUND(F727*'参数'!$C$16,2),""))</f>
        <v/>
      </c>
      <c r="L727" s="43" t="str">
        <f>IF(A727="","",IFERROR(T(INDEX('交易记录'!$C$5:$C$304,MATCH(A727,'交易记录'!$A$5:$A$304,0))),"编号没找到"))</f>
        <v/>
      </c>
      <c r="M727" s="57" t="str">
        <f>IF(AND(C727="买",ISNUMBER(B727)),WORKDAY(B727,1,'参数'!$B$58:$B$80),"")</f>
        <v/>
      </c>
      <c r="N727" s="36" t="str">
        <f>IF(C727&lt;&gt;"卖","",IF(AND(ISNUMBER(B727),A727&lt;&gt;""),IF(SUMIFS($E$5:$E$804,$A$5:$A$804,A727,$C$5:$C$804,"卖",$B$5:$B$804,"&lt;="&amp;B727)&gt;SUMIFS($E$5:$E$804,$A$5:$A$804,A727,$C$5:$C$804,"买",$B$5:$B$804,"&lt;"&amp;B727),"超出可卖股数","OK"),""))</f>
        <v/>
      </c>
      <c r="O727" s="32" t="n"/>
    </row>
    <row r="728">
      <c r="A728" s="46" t="n"/>
      <c r="B728" s="31" t="n"/>
      <c r="C728" s="27" t="n"/>
      <c r="D728" s="56" t="n"/>
      <c r="E728" s="17" t="n"/>
      <c r="F728" s="20" t="str">
        <f>IF(AND(ISNUMBER(D728),ISNUMBER(E728)),D728*E728,"")</f>
        <v/>
      </c>
      <c r="G728" s="51" t="str">
        <f>IF(ISNUMBER(F728),ROUND(MAX(F728*'参数'!$C$12,'参数'!$C$13),2),"")</f>
        <v/>
      </c>
      <c r="H728" s="51" t="str">
        <f>IF(ISNUMBER(F728),IF(C728="卖",ROUND(F728*'参数'!$C$14,2),0),"")</f>
        <v/>
      </c>
      <c r="I728" s="51" t="str">
        <f>IF(ISNUMBER(F728),ROUND(F728*'参数'!$C$15,2),"")</f>
        <v/>
      </c>
      <c r="J728" s="21" t="n"/>
      <c r="K728" s="20" t="str">
        <f>IF(ISNUMBER(J728),J728,IF(ISNUMBER(F728),G728+H728+I728+ROUND(F728*'参数'!$C$16,2),""))</f>
        <v/>
      </c>
      <c r="L728" s="43" t="str">
        <f>IF(A728="","",IFERROR(T(INDEX('交易记录'!$C$5:$C$304,MATCH(A728,'交易记录'!$A$5:$A$304,0))),"编号没找到"))</f>
        <v/>
      </c>
      <c r="M728" s="57" t="str">
        <f>IF(AND(C728="买",ISNUMBER(B728)),WORKDAY(B728,1,'参数'!$B$58:$B$80),"")</f>
        <v/>
      </c>
      <c r="N728" s="36" t="str">
        <f>IF(C728&lt;&gt;"卖","",IF(AND(ISNUMBER(B728),A728&lt;&gt;""),IF(SUMIFS($E$5:$E$804,$A$5:$A$804,A728,$C$5:$C$804,"卖",$B$5:$B$804,"&lt;="&amp;B728)&gt;SUMIFS($E$5:$E$804,$A$5:$A$804,A728,$C$5:$C$804,"买",$B$5:$B$804,"&lt;"&amp;B728),"超出可卖股数","OK"),""))</f>
        <v/>
      </c>
      <c r="O728" s="32" t="n"/>
    </row>
    <row r="729">
      <c r="A729" s="46" t="n"/>
      <c r="B729" s="31" t="n"/>
      <c r="C729" s="27" t="n"/>
      <c r="D729" s="56" t="n"/>
      <c r="E729" s="17" t="n"/>
      <c r="F729" s="20" t="str">
        <f>IF(AND(ISNUMBER(D729),ISNUMBER(E729)),D729*E729,"")</f>
        <v/>
      </c>
      <c r="G729" s="51" t="str">
        <f>IF(ISNUMBER(F729),ROUND(MAX(F729*'参数'!$C$12,'参数'!$C$13),2),"")</f>
        <v/>
      </c>
      <c r="H729" s="51" t="str">
        <f>IF(ISNUMBER(F729),IF(C729="卖",ROUND(F729*'参数'!$C$14,2),0),"")</f>
        <v/>
      </c>
      <c r="I729" s="51" t="str">
        <f>IF(ISNUMBER(F729),ROUND(F729*'参数'!$C$15,2),"")</f>
        <v/>
      </c>
      <c r="J729" s="21" t="n"/>
      <c r="K729" s="20" t="str">
        <f>IF(ISNUMBER(J729),J729,IF(ISNUMBER(F729),G729+H729+I729+ROUND(F729*'参数'!$C$16,2),""))</f>
        <v/>
      </c>
      <c r="L729" s="43" t="str">
        <f>IF(A729="","",IFERROR(T(INDEX('交易记录'!$C$5:$C$304,MATCH(A729,'交易记录'!$A$5:$A$304,0))),"编号没找到"))</f>
        <v/>
      </c>
      <c r="M729" s="57" t="str">
        <f>IF(AND(C729="买",ISNUMBER(B729)),WORKDAY(B729,1,'参数'!$B$58:$B$80),"")</f>
        <v/>
      </c>
      <c r="N729" s="36" t="str">
        <f>IF(C729&lt;&gt;"卖","",IF(AND(ISNUMBER(B729),A729&lt;&gt;""),IF(SUMIFS($E$5:$E$804,$A$5:$A$804,A729,$C$5:$C$804,"卖",$B$5:$B$804,"&lt;="&amp;B729)&gt;SUMIFS($E$5:$E$804,$A$5:$A$804,A729,$C$5:$C$804,"买",$B$5:$B$804,"&lt;"&amp;B729),"超出可卖股数","OK"),""))</f>
        <v/>
      </c>
      <c r="O729" s="32" t="n"/>
    </row>
    <row r="730">
      <c r="A730" s="46" t="n"/>
      <c r="B730" s="31" t="n"/>
      <c r="C730" s="27" t="n"/>
      <c r="D730" s="56" t="n"/>
      <c r="E730" s="17" t="n"/>
      <c r="F730" s="20" t="str">
        <f>IF(AND(ISNUMBER(D730),ISNUMBER(E730)),D730*E730,"")</f>
        <v/>
      </c>
      <c r="G730" s="51" t="str">
        <f>IF(ISNUMBER(F730),ROUND(MAX(F730*'参数'!$C$12,'参数'!$C$13),2),"")</f>
        <v/>
      </c>
      <c r="H730" s="51" t="str">
        <f>IF(ISNUMBER(F730),IF(C730="卖",ROUND(F730*'参数'!$C$14,2),0),"")</f>
        <v/>
      </c>
      <c r="I730" s="51" t="str">
        <f>IF(ISNUMBER(F730),ROUND(F730*'参数'!$C$15,2),"")</f>
        <v/>
      </c>
      <c r="J730" s="21" t="n"/>
      <c r="K730" s="20" t="str">
        <f>IF(ISNUMBER(J730),J730,IF(ISNUMBER(F730),G730+H730+I730+ROUND(F730*'参数'!$C$16,2),""))</f>
        <v/>
      </c>
      <c r="L730" s="43" t="str">
        <f>IF(A730="","",IFERROR(T(INDEX('交易记录'!$C$5:$C$304,MATCH(A730,'交易记录'!$A$5:$A$304,0))),"编号没找到"))</f>
        <v/>
      </c>
      <c r="M730" s="57" t="str">
        <f>IF(AND(C730="买",ISNUMBER(B730)),WORKDAY(B730,1,'参数'!$B$58:$B$80),"")</f>
        <v/>
      </c>
      <c r="N730" s="36" t="str">
        <f>IF(C730&lt;&gt;"卖","",IF(AND(ISNUMBER(B730),A730&lt;&gt;""),IF(SUMIFS($E$5:$E$804,$A$5:$A$804,A730,$C$5:$C$804,"卖",$B$5:$B$804,"&lt;="&amp;B730)&gt;SUMIFS($E$5:$E$804,$A$5:$A$804,A730,$C$5:$C$804,"买",$B$5:$B$804,"&lt;"&amp;B730),"超出可卖股数","OK"),""))</f>
        <v/>
      </c>
      <c r="O730" s="32" t="n"/>
    </row>
    <row r="731">
      <c r="A731" s="46" t="n"/>
      <c r="B731" s="31" t="n"/>
      <c r="C731" s="27" t="n"/>
      <c r="D731" s="56" t="n"/>
      <c r="E731" s="17" t="n"/>
      <c r="F731" s="20" t="str">
        <f>IF(AND(ISNUMBER(D731),ISNUMBER(E731)),D731*E731,"")</f>
        <v/>
      </c>
      <c r="G731" s="51" t="str">
        <f>IF(ISNUMBER(F731),ROUND(MAX(F731*'参数'!$C$12,'参数'!$C$13),2),"")</f>
        <v/>
      </c>
      <c r="H731" s="51" t="str">
        <f>IF(ISNUMBER(F731),IF(C731="卖",ROUND(F731*'参数'!$C$14,2),0),"")</f>
        <v/>
      </c>
      <c r="I731" s="51" t="str">
        <f>IF(ISNUMBER(F731),ROUND(F731*'参数'!$C$15,2),"")</f>
        <v/>
      </c>
      <c r="J731" s="21" t="n"/>
      <c r="K731" s="20" t="str">
        <f>IF(ISNUMBER(J731),J731,IF(ISNUMBER(F731),G731+H731+I731+ROUND(F731*'参数'!$C$16,2),""))</f>
        <v/>
      </c>
      <c r="L731" s="43" t="str">
        <f>IF(A731="","",IFERROR(T(INDEX('交易记录'!$C$5:$C$304,MATCH(A731,'交易记录'!$A$5:$A$304,0))),"编号没找到"))</f>
        <v/>
      </c>
      <c r="M731" s="57" t="str">
        <f>IF(AND(C731="买",ISNUMBER(B731)),WORKDAY(B731,1,'参数'!$B$58:$B$80),"")</f>
        <v/>
      </c>
      <c r="N731" s="36" t="str">
        <f>IF(C731&lt;&gt;"卖","",IF(AND(ISNUMBER(B731),A731&lt;&gt;""),IF(SUMIFS($E$5:$E$804,$A$5:$A$804,A731,$C$5:$C$804,"卖",$B$5:$B$804,"&lt;="&amp;B731)&gt;SUMIFS($E$5:$E$804,$A$5:$A$804,A731,$C$5:$C$804,"买",$B$5:$B$804,"&lt;"&amp;B731),"超出可卖股数","OK"),""))</f>
        <v/>
      </c>
      <c r="O731" s="32" t="n"/>
    </row>
    <row r="732">
      <c r="A732" s="46" t="n"/>
      <c r="B732" s="31" t="n"/>
      <c r="C732" s="27" t="n"/>
      <c r="D732" s="56" t="n"/>
      <c r="E732" s="17" t="n"/>
      <c r="F732" s="20" t="str">
        <f>IF(AND(ISNUMBER(D732),ISNUMBER(E732)),D732*E732,"")</f>
        <v/>
      </c>
      <c r="G732" s="51" t="str">
        <f>IF(ISNUMBER(F732),ROUND(MAX(F732*'参数'!$C$12,'参数'!$C$13),2),"")</f>
        <v/>
      </c>
      <c r="H732" s="51" t="str">
        <f>IF(ISNUMBER(F732),IF(C732="卖",ROUND(F732*'参数'!$C$14,2),0),"")</f>
        <v/>
      </c>
      <c r="I732" s="51" t="str">
        <f>IF(ISNUMBER(F732),ROUND(F732*'参数'!$C$15,2),"")</f>
        <v/>
      </c>
      <c r="J732" s="21" t="n"/>
      <c r="K732" s="20" t="str">
        <f>IF(ISNUMBER(J732),J732,IF(ISNUMBER(F732),G732+H732+I732+ROUND(F732*'参数'!$C$16,2),""))</f>
        <v/>
      </c>
      <c r="L732" s="43" t="str">
        <f>IF(A732="","",IFERROR(T(INDEX('交易记录'!$C$5:$C$304,MATCH(A732,'交易记录'!$A$5:$A$304,0))),"编号没找到"))</f>
        <v/>
      </c>
      <c r="M732" s="57" t="str">
        <f>IF(AND(C732="买",ISNUMBER(B732)),WORKDAY(B732,1,'参数'!$B$58:$B$80),"")</f>
        <v/>
      </c>
      <c r="N732" s="36" t="str">
        <f>IF(C732&lt;&gt;"卖","",IF(AND(ISNUMBER(B732),A732&lt;&gt;""),IF(SUMIFS($E$5:$E$804,$A$5:$A$804,A732,$C$5:$C$804,"卖",$B$5:$B$804,"&lt;="&amp;B732)&gt;SUMIFS($E$5:$E$804,$A$5:$A$804,A732,$C$5:$C$804,"买",$B$5:$B$804,"&lt;"&amp;B732),"超出可卖股数","OK"),""))</f>
        <v/>
      </c>
      <c r="O732" s="32" t="n"/>
    </row>
    <row r="733">
      <c r="A733" s="46" t="n"/>
      <c r="B733" s="31" t="n"/>
      <c r="C733" s="27" t="n"/>
      <c r="D733" s="56" t="n"/>
      <c r="E733" s="17" t="n"/>
      <c r="F733" s="20" t="str">
        <f>IF(AND(ISNUMBER(D733),ISNUMBER(E733)),D733*E733,"")</f>
        <v/>
      </c>
      <c r="G733" s="51" t="str">
        <f>IF(ISNUMBER(F733),ROUND(MAX(F733*'参数'!$C$12,'参数'!$C$13),2),"")</f>
        <v/>
      </c>
      <c r="H733" s="51" t="str">
        <f>IF(ISNUMBER(F733),IF(C733="卖",ROUND(F733*'参数'!$C$14,2),0),"")</f>
        <v/>
      </c>
      <c r="I733" s="51" t="str">
        <f>IF(ISNUMBER(F733),ROUND(F733*'参数'!$C$15,2),"")</f>
        <v/>
      </c>
      <c r="J733" s="21" t="n"/>
      <c r="K733" s="20" t="str">
        <f>IF(ISNUMBER(J733),J733,IF(ISNUMBER(F733),G733+H733+I733+ROUND(F733*'参数'!$C$16,2),""))</f>
        <v/>
      </c>
      <c r="L733" s="43" t="str">
        <f>IF(A733="","",IFERROR(T(INDEX('交易记录'!$C$5:$C$304,MATCH(A733,'交易记录'!$A$5:$A$304,0))),"编号没找到"))</f>
        <v/>
      </c>
      <c r="M733" s="57" t="str">
        <f>IF(AND(C733="买",ISNUMBER(B733)),WORKDAY(B733,1,'参数'!$B$58:$B$80),"")</f>
        <v/>
      </c>
      <c r="N733" s="36" t="str">
        <f>IF(C733&lt;&gt;"卖","",IF(AND(ISNUMBER(B733),A733&lt;&gt;""),IF(SUMIFS($E$5:$E$804,$A$5:$A$804,A733,$C$5:$C$804,"卖",$B$5:$B$804,"&lt;="&amp;B733)&gt;SUMIFS($E$5:$E$804,$A$5:$A$804,A733,$C$5:$C$804,"买",$B$5:$B$804,"&lt;"&amp;B733),"超出可卖股数","OK"),""))</f>
        <v/>
      </c>
      <c r="O733" s="32" t="n"/>
    </row>
    <row r="734">
      <c r="A734" s="46" t="n"/>
      <c r="B734" s="31" t="n"/>
      <c r="C734" s="27" t="n"/>
      <c r="D734" s="56" t="n"/>
      <c r="E734" s="17" t="n"/>
      <c r="F734" s="20" t="str">
        <f>IF(AND(ISNUMBER(D734),ISNUMBER(E734)),D734*E734,"")</f>
        <v/>
      </c>
      <c r="G734" s="51" t="str">
        <f>IF(ISNUMBER(F734),ROUND(MAX(F734*'参数'!$C$12,'参数'!$C$13),2),"")</f>
        <v/>
      </c>
      <c r="H734" s="51" t="str">
        <f>IF(ISNUMBER(F734),IF(C734="卖",ROUND(F734*'参数'!$C$14,2),0),"")</f>
        <v/>
      </c>
      <c r="I734" s="51" t="str">
        <f>IF(ISNUMBER(F734),ROUND(F734*'参数'!$C$15,2),"")</f>
        <v/>
      </c>
      <c r="J734" s="21" t="n"/>
      <c r="K734" s="20" t="str">
        <f>IF(ISNUMBER(J734),J734,IF(ISNUMBER(F734),G734+H734+I734+ROUND(F734*'参数'!$C$16,2),""))</f>
        <v/>
      </c>
      <c r="L734" s="43" t="str">
        <f>IF(A734="","",IFERROR(T(INDEX('交易记录'!$C$5:$C$304,MATCH(A734,'交易记录'!$A$5:$A$304,0))),"编号没找到"))</f>
        <v/>
      </c>
      <c r="M734" s="57" t="str">
        <f>IF(AND(C734="买",ISNUMBER(B734)),WORKDAY(B734,1,'参数'!$B$58:$B$80),"")</f>
        <v/>
      </c>
      <c r="N734" s="36" t="str">
        <f>IF(C734&lt;&gt;"卖","",IF(AND(ISNUMBER(B734),A734&lt;&gt;""),IF(SUMIFS($E$5:$E$804,$A$5:$A$804,A734,$C$5:$C$804,"卖",$B$5:$B$804,"&lt;="&amp;B734)&gt;SUMIFS($E$5:$E$804,$A$5:$A$804,A734,$C$5:$C$804,"买",$B$5:$B$804,"&lt;"&amp;B734),"超出可卖股数","OK"),""))</f>
        <v/>
      </c>
      <c r="O734" s="32" t="n"/>
    </row>
    <row r="735">
      <c r="A735" s="46" t="n"/>
      <c r="B735" s="31" t="n"/>
      <c r="C735" s="27" t="n"/>
      <c r="D735" s="56" t="n"/>
      <c r="E735" s="17" t="n"/>
      <c r="F735" s="20" t="str">
        <f>IF(AND(ISNUMBER(D735),ISNUMBER(E735)),D735*E735,"")</f>
        <v/>
      </c>
      <c r="G735" s="51" t="str">
        <f>IF(ISNUMBER(F735),ROUND(MAX(F735*'参数'!$C$12,'参数'!$C$13),2),"")</f>
        <v/>
      </c>
      <c r="H735" s="51" t="str">
        <f>IF(ISNUMBER(F735),IF(C735="卖",ROUND(F735*'参数'!$C$14,2),0),"")</f>
        <v/>
      </c>
      <c r="I735" s="51" t="str">
        <f>IF(ISNUMBER(F735),ROUND(F735*'参数'!$C$15,2),"")</f>
        <v/>
      </c>
      <c r="J735" s="21" t="n"/>
      <c r="K735" s="20" t="str">
        <f>IF(ISNUMBER(J735),J735,IF(ISNUMBER(F735),G735+H735+I735+ROUND(F735*'参数'!$C$16,2),""))</f>
        <v/>
      </c>
      <c r="L735" s="43" t="str">
        <f>IF(A735="","",IFERROR(T(INDEX('交易记录'!$C$5:$C$304,MATCH(A735,'交易记录'!$A$5:$A$304,0))),"编号没找到"))</f>
        <v/>
      </c>
      <c r="M735" s="57" t="str">
        <f>IF(AND(C735="买",ISNUMBER(B735)),WORKDAY(B735,1,'参数'!$B$58:$B$80),"")</f>
        <v/>
      </c>
      <c r="N735" s="36" t="str">
        <f>IF(C735&lt;&gt;"卖","",IF(AND(ISNUMBER(B735),A735&lt;&gt;""),IF(SUMIFS($E$5:$E$804,$A$5:$A$804,A735,$C$5:$C$804,"卖",$B$5:$B$804,"&lt;="&amp;B735)&gt;SUMIFS($E$5:$E$804,$A$5:$A$804,A735,$C$5:$C$804,"买",$B$5:$B$804,"&lt;"&amp;B735),"超出可卖股数","OK"),""))</f>
        <v/>
      </c>
      <c r="O735" s="32" t="n"/>
    </row>
    <row r="736">
      <c r="A736" s="46" t="n"/>
      <c r="B736" s="31" t="n"/>
      <c r="C736" s="27" t="n"/>
      <c r="D736" s="56" t="n"/>
      <c r="E736" s="17" t="n"/>
      <c r="F736" s="20" t="str">
        <f>IF(AND(ISNUMBER(D736),ISNUMBER(E736)),D736*E736,"")</f>
        <v/>
      </c>
      <c r="G736" s="51" t="str">
        <f>IF(ISNUMBER(F736),ROUND(MAX(F736*'参数'!$C$12,'参数'!$C$13),2),"")</f>
        <v/>
      </c>
      <c r="H736" s="51" t="str">
        <f>IF(ISNUMBER(F736),IF(C736="卖",ROUND(F736*'参数'!$C$14,2),0),"")</f>
        <v/>
      </c>
      <c r="I736" s="51" t="str">
        <f>IF(ISNUMBER(F736),ROUND(F736*'参数'!$C$15,2),"")</f>
        <v/>
      </c>
      <c r="J736" s="21" t="n"/>
      <c r="K736" s="20" t="str">
        <f>IF(ISNUMBER(J736),J736,IF(ISNUMBER(F736),G736+H736+I736+ROUND(F736*'参数'!$C$16,2),""))</f>
        <v/>
      </c>
      <c r="L736" s="43" t="str">
        <f>IF(A736="","",IFERROR(T(INDEX('交易记录'!$C$5:$C$304,MATCH(A736,'交易记录'!$A$5:$A$304,0))),"编号没找到"))</f>
        <v/>
      </c>
      <c r="M736" s="57" t="str">
        <f>IF(AND(C736="买",ISNUMBER(B736)),WORKDAY(B736,1,'参数'!$B$58:$B$80),"")</f>
        <v/>
      </c>
      <c r="N736" s="36" t="str">
        <f>IF(C736&lt;&gt;"卖","",IF(AND(ISNUMBER(B736),A736&lt;&gt;""),IF(SUMIFS($E$5:$E$804,$A$5:$A$804,A736,$C$5:$C$804,"卖",$B$5:$B$804,"&lt;="&amp;B736)&gt;SUMIFS($E$5:$E$804,$A$5:$A$804,A736,$C$5:$C$804,"买",$B$5:$B$804,"&lt;"&amp;B736),"超出可卖股数","OK"),""))</f>
        <v/>
      </c>
      <c r="O736" s="32" t="n"/>
    </row>
    <row r="737">
      <c r="A737" s="46" t="n"/>
      <c r="B737" s="31" t="n"/>
      <c r="C737" s="27" t="n"/>
      <c r="D737" s="56" t="n"/>
      <c r="E737" s="17" t="n"/>
      <c r="F737" s="20" t="str">
        <f>IF(AND(ISNUMBER(D737),ISNUMBER(E737)),D737*E737,"")</f>
        <v/>
      </c>
      <c r="G737" s="51" t="str">
        <f>IF(ISNUMBER(F737),ROUND(MAX(F737*'参数'!$C$12,'参数'!$C$13),2),"")</f>
        <v/>
      </c>
      <c r="H737" s="51" t="str">
        <f>IF(ISNUMBER(F737),IF(C737="卖",ROUND(F737*'参数'!$C$14,2),0),"")</f>
        <v/>
      </c>
      <c r="I737" s="51" t="str">
        <f>IF(ISNUMBER(F737),ROUND(F737*'参数'!$C$15,2),"")</f>
        <v/>
      </c>
      <c r="J737" s="21" t="n"/>
      <c r="K737" s="20" t="str">
        <f>IF(ISNUMBER(J737),J737,IF(ISNUMBER(F737),G737+H737+I737+ROUND(F737*'参数'!$C$16,2),""))</f>
        <v/>
      </c>
      <c r="L737" s="43" t="str">
        <f>IF(A737="","",IFERROR(T(INDEX('交易记录'!$C$5:$C$304,MATCH(A737,'交易记录'!$A$5:$A$304,0))),"编号没找到"))</f>
        <v/>
      </c>
      <c r="M737" s="57" t="str">
        <f>IF(AND(C737="买",ISNUMBER(B737)),WORKDAY(B737,1,'参数'!$B$58:$B$80),"")</f>
        <v/>
      </c>
      <c r="N737" s="36" t="str">
        <f>IF(C737&lt;&gt;"卖","",IF(AND(ISNUMBER(B737),A737&lt;&gt;""),IF(SUMIFS($E$5:$E$804,$A$5:$A$804,A737,$C$5:$C$804,"卖",$B$5:$B$804,"&lt;="&amp;B737)&gt;SUMIFS($E$5:$E$804,$A$5:$A$804,A737,$C$5:$C$804,"买",$B$5:$B$804,"&lt;"&amp;B737),"超出可卖股数","OK"),""))</f>
        <v/>
      </c>
      <c r="O737" s="32" t="n"/>
    </row>
    <row r="738">
      <c r="A738" s="46" t="n"/>
      <c r="B738" s="31" t="n"/>
      <c r="C738" s="27" t="n"/>
      <c r="D738" s="56" t="n"/>
      <c r="E738" s="17" t="n"/>
      <c r="F738" s="20" t="str">
        <f>IF(AND(ISNUMBER(D738),ISNUMBER(E738)),D738*E738,"")</f>
        <v/>
      </c>
      <c r="G738" s="51" t="str">
        <f>IF(ISNUMBER(F738),ROUND(MAX(F738*'参数'!$C$12,'参数'!$C$13),2),"")</f>
        <v/>
      </c>
      <c r="H738" s="51" t="str">
        <f>IF(ISNUMBER(F738),IF(C738="卖",ROUND(F738*'参数'!$C$14,2),0),"")</f>
        <v/>
      </c>
      <c r="I738" s="51" t="str">
        <f>IF(ISNUMBER(F738),ROUND(F738*'参数'!$C$15,2),"")</f>
        <v/>
      </c>
      <c r="J738" s="21" t="n"/>
      <c r="K738" s="20" t="str">
        <f>IF(ISNUMBER(J738),J738,IF(ISNUMBER(F738),G738+H738+I738+ROUND(F738*'参数'!$C$16,2),""))</f>
        <v/>
      </c>
      <c r="L738" s="43" t="str">
        <f>IF(A738="","",IFERROR(T(INDEX('交易记录'!$C$5:$C$304,MATCH(A738,'交易记录'!$A$5:$A$304,0))),"编号没找到"))</f>
        <v/>
      </c>
      <c r="M738" s="57" t="str">
        <f>IF(AND(C738="买",ISNUMBER(B738)),WORKDAY(B738,1,'参数'!$B$58:$B$80),"")</f>
        <v/>
      </c>
      <c r="N738" s="36" t="str">
        <f>IF(C738&lt;&gt;"卖","",IF(AND(ISNUMBER(B738),A738&lt;&gt;""),IF(SUMIFS($E$5:$E$804,$A$5:$A$804,A738,$C$5:$C$804,"卖",$B$5:$B$804,"&lt;="&amp;B738)&gt;SUMIFS($E$5:$E$804,$A$5:$A$804,A738,$C$5:$C$804,"买",$B$5:$B$804,"&lt;"&amp;B738),"超出可卖股数","OK"),""))</f>
        <v/>
      </c>
      <c r="O738" s="32" t="n"/>
    </row>
    <row r="739">
      <c r="A739" s="46" t="n"/>
      <c r="B739" s="31" t="n"/>
      <c r="C739" s="27" t="n"/>
      <c r="D739" s="56" t="n"/>
      <c r="E739" s="17" t="n"/>
      <c r="F739" s="20" t="str">
        <f>IF(AND(ISNUMBER(D739),ISNUMBER(E739)),D739*E739,"")</f>
        <v/>
      </c>
      <c r="G739" s="51" t="str">
        <f>IF(ISNUMBER(F739),ROUND(MAX(F739*'参数'!$C$12,'参数'!$C$13),2),"")</f>
        <v/>
      </c>
      <c r="H739" s="51" t="str">
        <f>IF(ISNUMBER(F739),IF(C739="卖",ROUND(F739*'参数'!$C$14,2),0),"")</f>
        <v/>
      </c>
      <c r="I739" s="51" t="str">
        <f>IF(ISNUMBER(F739),ROUND(F739*'参数'!$C$15,2),"")</f>
        <v/>
      </c>
      <c r="J739" s="21" t="n"/>
      <c r="K739" s="20" t="str">
        <f>IF(ISNUMBER(J739),J739,IF(ISNUMBER(F739),G739+H739+I739+ROUND(F739*'参数'!$C$16,2),""))</f>
        <v/>
      </c>
      <c r="L739" s="43" t="str">
        <f>IF(A739="","",IFERROR(T(INDEX('交易记录'!$C$5:$C$304,MATCH(A739,'交易记录'!$A$5:$A$304,0))),"编号没找到"))</f>
        <v/>
      </c>
      <c r="M739" s="57" t="str">
        <f>IF(AND(C739="买",ISNUMBER(B739)),WORKDAY(B739,1,'参数'!$B$58:$B$80),"")</f>
        <v/>
      </c>
      <c r="N739" s="36" t="str">
        <f>IF(C739&lt;&gt;"卖","",IF(AND(ISNUMBER(B739),A739&lt;&gt;""),IF(SUMIFS($E$5:$E$804,$A$5:$A$804,A739,$C$5:$C$804,"卖",$B$5:$B$804,"&lt;="&amp;B739)&gt;SUMIFS($E$5:$E$804,$A$5:$A$804,A739,$C$5:$C$804,"买",$B$5:$B$804,"&lt;"&amp;B739),"超出可卖股数","OK"),""))</f>
        <v/>
      </c>
      <c r="O739" s="32" t="n"/>
    </row>
    <row r="740">
      <c r="A740" s="46" t="n"/>
      <c r="B740" s="31" t="n"/>
      <c r="C740" s="27" t="n"/>
      <c r="D740" s="56" t="n"/>
      <c r="E740" s="17" t="n"/>
      <c r="F740" s="20" t="str">
        <f>IF(AND(ISNUMBER(D740),ISNUMBER(E740)),D740*E740,"")</f>
        <v/>
      </c>
      <c r="G740" s="51" t="str">
        <f>IF(ISNUMBER(F740),ROUND(MAX(F740*'参数'!$C$12,'参数'!$C$13),2),"")</f>
        <v/>
      </c>
      <c r="H740" s="51" t="str">
        <f>IF(ISNUMBER(F740),IF(C740="卖",ROUND(F740*'参数'!$C$14,2),0),"")</f>
        <v/>
      </c>
      <c r="I740" s="51" t="str">
        <f>IF(ISNUMBER(F740),ROUND(F740*'参数'!$C$15,2),"")</f>
        <v/>
      </c>
      <c r="J740" s="21" t="n"/>
      <c r="K740" s="20" t="str">
        <f>IF(ISNUMBER(J740),J740,IF(ISNUMBER(F740),G740+H740+I740+ROUND(F740*'参数'!$C$16,2),""))</f>
        <v/>
      </c>
      <c r="L740" s="43" t="str">
        <f>IF(A740="","",IFERROR(T(INDEX('交易记录'!$C$5:$C$304,MATCH(A740,'交易记录'!$A$5:$A$304,0))),"编号没找到"))</f>
        <v/>
      </c>
      <c r="M740" s="57" t="str">
        <f>IF(AND(C740="买",ISNUMBER(B740)),WORKDAY(B740,1,'参数'!$B$58:$B$80),"")</f>
        <v/>
      </c>
      <c r="N740" s="36" t="str">
        <f>IF(C740&lt;&gt;"卖","",IF(AND(ISNUMBER(B740),A740&lt;&gt;""),IF(SUMIFS($E$5:$E$804,$A$5:$A$804,A740,$C$5:$C$804,"卖",$B$5:$B$804,"&lt;="&amp;B740)&gt;SUMIFS($E$5:$E$804,$A$5:$A$804,A740,$C$5:$C$804,"买",$B$5:$B$804,"&lt;"&amp;B740),"超出可卖股数","OK"),""))</f>
        <v/>
      </c>
      <c r="O740" s="32" t="n"/>
    </row>
    <row r="741">
      <c r="A741" s="46" t="n"/>
      <c r="B741" s="31" t="n"/>
      <c r="C741" s="27" t="n"/>
      <c r="D741" s="56" t="n"/>
      <c r="E741" s="17" t="n"/>
      <c r="F741" s="20" t="str">
        <f>IF(AND(ISNUMBER(D741),ISNUMBER(E741)),D741*E741,"")</f>
        <v/>
      </c>
      <c r="G741" s="51" t="str">
        <f>IF(ISNUMBER(F741),ROUND(MAX(F741*'参数'!$C$12,'参数'!$C$13),2),"")</f>
        <v/>
      </c>
      <c r="H741" s="51" t="str">
        <f>IF(ISNUMBER(F741),IF(C741="卖",ROUND(F741*'参数'!$C$14,2),0),"")</f>
        <v/>
      </c>
      <c r="I741" s="51" t="str">
        <f>IF(ISNUMBER(F741),ROUND(F741*'参数'!$C$15,2),"")</f>
        <v/>
      </c>
      <c r="J741" s="21" t="n"/>
      <c r="K741" s="20" t="str">
        <f>IF(ISNUMBER(J741),J741,IF(ISNUMBER(F741),G741+H741+I741+ROUND(F741*'参数'!$C$16,2),""))</f>
        <v/>
      </c>
      <c r="L741" s="43" t="str">
        <f>IF(A741="","",IFERROR(T(INDEX('交易记录'!$C$5:$C$304,MATCH(A741,'交易记录'!$A$5:$A$304,0))),"编号没找到"))</f>
        <v/>
      </c>
      <c r="M741" s="57" t="str">
        <f>IF(AND(C741="买",ISNUMBER(B741)),WORKDAY(B741,1,'参数'!$B$58:$B$80),"")</f>
        <v/>
      </c>
      <c r="N741" s="36" t="str">
        <f>IF(C741&lt;&gt;"卖","",IF(AND(ISNUMBER(B741),A741&lt;&gt;""),IF(SUMIFS($E$5:$E$804,$A$5:$A$804,A741,$C$5:$C$804,"卖",$B$5:$B$804,"&lt;="&amp;B741)&gt;SUMIFS($E$5:$E$804,$A$5:$A$804,A741,$C$5:$C$804,"买",$B$5:$B$804,"&lt;"&amp;B741),"超出可卖股数","OK"),""))</f>
        <v/>
      </c>
      <c r="O741" s="32" t="n"/>
    </row>
    <row r="742">
      <c r="A742" s="46" t="n"/>
      <c r="B742" s="31" t="n"/>
      <c r="C742" s="27" t="n"/>
      <c r="D742" s="56" t="n"/>
      <c r="E742" s="17" t="n"/>
      <c r="F742" s="20" t="str">
        <f>IF(AND(ISNUMBER(D742),ISNUMBER(E742)),D742*E742,"")</f>
        <v/>
      </c>
      <c r="G742" s="51" t="str">
        <f>IF(ISNUMBER(F742),ROUND(MAX(F742*'参数'!$C$12,'参数'!$C$13),2),"")</f>
        <v/>
      </c>
      <c r="H742" s="51" t="str">
        <f>IF(ISNUMBER(F742),IF(C742="卖",ROUND(F742*'参数'!$C$14,2),0),"")</f>
        <v/>
      </c>
      <c r="I742" s="51" t="str">
        <f>IF(ISNUMBER(F742),ROUND(F742*'参数'!$C$15,2),"")</f>
        <v/>
      </c>
      <c r="J742" s="21" t="n"/>
      <c r="K742" s="20" t="str">
        <f>IF(ISNUMBER(J742),J742,IF(ISNUMBER(F742),G742+H742+I742+ROUND(F742*'参数'!$C$16,2),""))</f>
        <v/>
      </c>
      <c r="L742" s="43" t="str">
        <f>IF(A742="","",IFERROR(T(INDEX('交易记录'!$C$5:$C$304,MATCH(A742,'交易记录'!$A$5:$A$304,0))),"编号没找到"))</f>
        <v/>
      </c>
      <c r="M742" s="57" t="str">
        <f>IF(AND(C742="买",ISNUMBER(B742)),WORKDAY(B742,1,'参数'!$B$58:$B$80),"")</f>
        <v/>
      </c>
      <c r="N742" s="36" t="str">
        <f>IF(C742&lt;&gt;"卖","",IF(AND(ISNUMBER(B742),A742&lt;&gt;""),IF(SUMIFS($E$5:$E$804,$A$5:$A$804,A742,$C$5:$C$804,"卖",$B$5:$B$804,"&lt;="&amp;B742)&gt;SUMIFS($E$5:$E$804,$A$5:$A$804,A742,$C$5:$C$804,"买",$B$5:$B$804,"&lt;"&amp;B742),"超出可卖股数","OK"),""))</f>
        <v/>
      </c>
      <c r="O742" s="32" t="n"/>
    </row>
    <row r="743">
      <c r="A743" s="46" t="n"/>
      <c r="B743" s="31" t="n"/>
      <c r="C743" s="27" t="n"/>
      <c r="D743" s="56" t="n"/>
      <c r="E743" s="17" t="n"/>
      <c r="F743" s="20" t="str">
        <f>IF(AND(ISNUMBER(D743),ISNUMBER(E743)),D743*E743,"")</f>
        <v/>
      </c>
      <c r="G743" s="51" t="str">
        <f>IF(ISNUMBER(F743),ROUND(MAX(F743*'参数'!$C$12,'参数'!$C$13),2),"")</f>
        <v/>
      </c>
      <c r="H743" s="51" t="str">
        <f>IF(ISNUMBER(F743),IF(C743="卖",ROUND(F743*'参数'!$C$14,2),0),"")</f>
        <v/>
      </c>
      <c r="I743" s="51" t="str">
        <f>IF(ISNUMBER(F743),ROUND(F743*'参数'!$C$15,2),"")</f>
        <v/>
      </c>
      <c r="J743" s="21" t="n"/>
      <c r="K743" s="20" t="str">
        <f>IF(ISNUMBER(J743),J743,IF(ISNUMBER(F743),G743+H743+I743+ROUND(F743*'参数'!$C$16,2),""))</f>
        <v/>
      </c>
      <c r="L743" s="43" t="str">
        <f>IF(A743="","",IFERROR(T(INDEX('交易记录'!$C$5:$C$304,MATCH(A743,'交易记录'!$A$5:$A$304,0))),"编号没找到"))</f>
        <v/>
      </c>
      <c r="M743" s="57" t="str">
        <f>IF(AND(C743="买",ISNUMBER(B743)),WORKDAY(B743,1,'参数'!$B$58:$B$80),"")</f>
        <v/>
      </c>
      <c r="N743" s="36" t="str">
        <f>IF(C743&lt;&gt;"卖","",IF(AND(ISNUMBER(B743),A743&lt;&gt;""),IF(SUMIFS($E$5:$E$804,$A$5:$A$804,A743,$C$5:$C$804,"卖",$B$5:$B$804,"&lt;="&amp;B743)&gt;SUMIFS($E$5:$E$804,$A$5:$A$804,A743,$C$5:$C$804,"买",$B$5:$B$804,"&lt;"&amp;B743),"超出可卖股数","OK"),""))</f>
        <v/>
      </c>
      <c r="O743" s="32" t="n"/>
    </row>
    <row r="744">
      <c r="A744" s="46" t="n"/>
      <c r="B744" s="31" t="n"/>
      <c r="C744" s="27" t="n"/>
      <c r="D744" s="56" t="n"/>
      <c r="E744" s="17" t="n"/>
      <c r="F744" s="20" t="str">
        <f>IF(AND(ISNUMBER(D744),ISNUMBER(E744)),D744*E744,"")</f>
        <v/>
      </c>
      <c r="G744" s="51" t="str">
        <f>IF(ISNUMBER(F744),ROUND(MAX(F744*'参数'!$C$12,'参数'!$C$13),2),"")</f>
        <v/>
      </c>
      <c r="H744" s="51" t="str">
        <f>IF(ISNUMBER(F744),IF(C744="卖",ROUND(F744*'参数'!$C$14,2),0),"")</f>
        <v/>
      </c>
      <c r="I744" s="51" t="str">
        <f>IF(ISNUMBER(F744),ROUND(F744*'参数'!$C$15,2),"")</f>
        <v/>
      </c>
      <c r="J744" s="21" t="n"/>
      <c r="K744" s="20" t="str">
        <f>IF(ISNUMBER(J744),J744,IF(ISNUMBER(F744),G744+H744+I744+ROUND(F744*'参数'!$C$16,2),""))</f>
        <v/>
      </c>
      <c r="L744" s="43" t="str">
        <f>IF(A744="","",IFERROR(T(INDEX('交易记录'!$C$5:$C$304,MATCH(A744,'交易记录'!$A$5:$A$304,0))),"编号没找到"))</f>
        <v/>
      </c>
      <c r="M744" s="57" t="str">
        <f>IF(AND(C744="买",ISNUMBER(B744)),WORKDAY(B744,1,'参数'!$B$58:$B$80),"")</f>
        <v/>
      </c>
      <c r="N744" s="36" t="str">
        <f>IF(C744&lt;&gt;"卖","",IF(AND(ISNUMBER(B744),A744&lt;&gt;""),IF(SUMIFS($E$5:$E$804,$A$5:$A$804,A744,$C$5:$C$804,"卖",$B$5:$B$804,"&lt;="&amp;B744)&gt;SUMIFS($E$5:$E$804,$A$5:$A$804,A744,$C$5:$C$804,"买",$B$5:$B$804,"&lt;"&amp;B744),"超出可卖股数","OK"),""))</f>
        <v/>
      </c>
      <c r="O744" s="32" t="n"/>
    </row>
    <row r="745">
      <c r="A745" s="46" t="n"/>
      <c r="B745" s="31" t="n"/>
      <c r="C745" s="27" t="n"/>
      <c r="D745" s="56" t="n"/>
      <c r="E745" s="17" t="n"/>
      <c r="F745" s="20" t="str">
        <f>IF(AND(ISNUMBER(D745),ISNUMBER(E745)),D745*E745,"")</f>
        <v/>
      </c>
      <c r="G745" s="51" t="str">
        <f>IF(ISNUMBER(F745),ROUND(MAX(F745*'参数'!$C$12,'参数'!$C$13),2),"")</f>
        <v/>
      </c>
      <c r="H745" s="51" t="str">
        <f>IF(ISNUMBER(F745),IF(C745="卖",ROUND(F745*'参数'!$C$14,2),0),"")</f>
        <v/>
      </c>
      <c r="I745" s="51" t="str">
        <f>IF(ISNUMBER(F745),ROUND(F745*'参数'!$C$15,2),"")</f>
        <v/>
      </c>
      <c r="J745" s="21" t="n"/>
      <c r="K745" s="20" t="str">
        <f>IF(ISNUMBER(J745),J745,IF(ISNUMBER(F745),G745+H745+I745+ROUND(F745*'参数'!$C$16,2),""))</f>
        <v/>
      </c>
      <c r="L745" s="43" t="str">
        <f>IF(A745="","",IFERROR(T(INDEX('交易记录'!$C$5:$C$304,MATCH(A745,'交易记录'!$A$5:$A$304,0))),"编号没找到"))</f>
        <v/>
      </c>
      <c r="M745" s="57" t="str">
        <f>IF(AND(C745="买",ISNUMBER(B745)),WORKDAY(B745,1,'参数'!$B$58:$B$80),"")</f>
        <v/>
      </c>
      <c r="N745" s="36" t="str">
        <f>IF(C745&lt;&gt;"卖","",IF(AND(ISNUMBER(B745),A745&lt;&gt;""),IF(SUMIFS($E$5:$E$804,$A$5:$A$804,A745,$C$5:$C$804,"卖",$B$5:$B$804,"&lt;="&amp;B745)&gt;SUMIFS($E$5:$E$804,$A$5:$A$804,A745,$C$5:$C$804,"买",$B$5:$B$804,"&lt;"&amp;B745),"超出可卖股数","OK"),""))</f>
        <v/>
      </c>
      <c r="O745" s="32" t="n"/>
    </row>
    <row r="746">
      <c r="A746" s="46" t="n"/>
      <c r="B746" s="31" t="n"/>
      <c r="C746" s="27" t="n"/>
      <c r="D746" s="56" t="n"/>
      <c r="E746" s="17" t="n"/>
      <c r="F746" s="20" t="str">
        <f>IF(AND(ISNUMBER(D746),ISNUMBER(E746)),D746*E746,"")</f>
        <v/>
      </c>
      <c r="G746" s="51" t="str">
        <f>IF(ISNUMBER(F746),ROUND(MAX(F746*'参数'!$C$12,'参数'!$C$13),2),"")</f>
        <v/>
      </c>
      <c r="H746" s="51" t="str">
        <f>IF(ISNUMBER(F746),IF(C746="卖",ROUND(F746*'参数'!$C$14,2),0),"")</f>
        <v/>
      </c>
      <c r="I746" s="51" t="str">
        <f>IF(ISNUMBER(F746),ROUND(F746*'参数'!$C$15,2),"")</f>
        <v/>
      </c>
      <c r="J746" s="21" t="n"/>
      <c r="K746" s="20" t="str">
        <f>IF(ISNUMBER(J746),J746,IF(ISNUMBER(F746),G746+H746+I746+ROUND(F746*'参数'!$C$16,2),""))</f>
        <v/>
      </c>
      <c r="L746" s="43" t="str">
        <f>IF(A746="","",IFERROR(T(INDEX('交易记录'!$C$5:$C$304,MATCH(A746,'交易记录'!$A$5:$A$304,0))),"编号没找到"))</f>
        <v/>
      </c>
      <c r="M746" s="57" t="str">
        <f>IF(AND(C746="买",ISNUMBER(B746)),WORKDAY(B746,1,'参数'!$B$58:$B$80),"")</f>
        <v/>
      </c>
      <c r="N746" s="36" t="str">
        <f>IF(C746&lt;&gt;"卖","",IF(AND(ISNUMBER(B746),A746&lt;&gt;""),IF(SUMIFS($E$5:$E$804,$A$5:$A$804,A746,$C$5:$C$804,"卖",$B$5:$B$804,"&lt;="&amp;B746)&gt;SUMIFS($E$5:$E$804,$A$5:$A$804,A746,$C$5:$C$804,"买",$B$5:$B$804,"&lt;"&amp;B746),"超出可卖股数","OK"),""))</f>
        <v/>
      </c>
      <c r="O746" s="32" t="n"/>
    </row>
    <row r="747">
      <c r="A747" s="46" t="n"/>
      <c r="B747" s="31" t="n"/>
      <c r="C747" s="27" t="n"/>
      <c r="D747" s="56" t="n"/>
      <c r="E747" s="17" t="n"/>
      <c r="F747" s="20" t="str">
        <f>IF(AND(ISNUMBER(D747),ISNUMBER(E747)),D747*E747,"")</f>
        <v/>
      </c>
      <c r="G747" s="51" t="str">
        <f>IF(ISNUMBER(F747),ROUND(MAX(F747*'参数'!$C$12,'参数'!$C$13),2),"")</f>
        <v/>
      </c>
      <c r="H747" s="51" t="str">
        <f>IF(ISNUMBER(F747),IF(C747="卖",ROUND(F747*'参数'!$C$14,2),0),"")</f>
        <v/>
      </c>
      <c r="I747" s="51" t="str">
        <f>IF(ISNUMBER(F747),ROUND(F747*'参数'!$C$15,2),"")</f>
        <v/>
      </c>
      <c r="J747" s="21" t="n"/>
      <c r="K747" s="20" t="str">
        <f>IF(ISNUMBER(J747),J747,IF(ISNUMBER(F747),G747+H747+I747+ROUND(F747*'参数'!$C$16,2),""))</f>
        <v/>
      </c>
      <c r="L747" s="43" t="str">
        <f>IF(A747="","",IFERROR(T(INDEX('交易记录'!$C$5:$C$304,MATCH(A747,'交易记录'!$A$5:$A$304,0))),"编号没找到"))</f>
        <v/>
      </c>
      <c r="M747" s="57" t="str">
        <f>IF(AND(C747="买",ISNUMBER(B747)),WORKDAY(B747,1,'参数'!$B$58:$B$80),"")</f>
        <v/>
      </c>
      <c r="N747" s="36" t="str">
        <f>IF(C747&lt;&gt;"卖","",IF(AND(ISNUMBER(B747),A747&lt;&gt;""),IF(SUMIFS($E$5:$E$804,$A$5:$A$804,A747,$C$5:$C$804,"卖",$B$5:$B$804,"&lt;="&amp;B747)&gt;SUMIFS($E$5:$E$804,$A$5:$A$804,A747,$C$5:$C$804,"买",$B$5:$B$804,"&lt;"&amp;B747),"超出可卖股数","OK"),""))</f>
        <v/>
      </c>
      <c r="O747" s="32" t="n"/>
    </row>
    <row r="748">
      <c r="A748" s="46" t="n"/>
      <c r="B748" s="31" t="n"/>
      <c r="C748" s="27" t="n"/>
      <c r="D748" s="56" t="n"/>
      <c r="E748" s="17" t="n"/>
      <c r="F748" s="20" t="str">
        <f>IF(AND(ISNUMBER(D748),ISNUMBER(E748)),D748*E748,"")</f>
        <v/>
      </c>
      <c r="G748" s="51" t="str">
        <f>IF(ISNUMBER(F748),ROUND(MAX(F748*'参数'!$C$12,'参数'!$C$13),2),"")</f>
        <v/>
      </c>
      <c r="H748" s="51" t="str">
        <f>IF(ISNUMBER(F748),IF(C748="卖",ROUND(F748*'参数'!$C$14,2),0),"")</f>
        <v/>
      </c>
      <c r="I748" s="51" t="str">
        <f>IF(ISNUMBER(F748),ROUND(F748*'参数'!$C$15,2),"")</f>
        <v/>
      </c>
      <c r="J748" s="21" t="n"/>
      <c r="K748" s="20" t="str">
        <f>IF(ISNUMBER(J748),J748,IF(ISNUMBER(F748),G748+H748+I748+ROUND(F748*'参数'!$C$16,2),""))</f>
        <v/>
      </c>
      <c r="L748" s="43" t="str">
        <f>IF(A748="","",IFERROR(T(INDEX('交易记录'!$C$5:$C$304,MATCH(A748,'交易记录'!$A$5:$A$304,0))),"编号没找到"))</f>
        <v/>
      </c>
      <c r="M748" s="57" t="str">
        <f>IF(AND(C748="买",ISNUMBER(B748)),WORKDAY(B748,1,'参数'!$B$58:$B$80),"")</f>
        <v/>
      </c>
      <c r="N748" s="36" t="str">
        <f>IF(C748&lt;&gt;"卖","",IF(AND(ISNUMBER(B748),A748&lt;&gt;""),IF(SUMIFS($E$5:$E$804,$A$5:$A$804,A748,$C$5:$C$804,"卖",$B$5:$B$804,"&lt;="&amp;B748)&gt;SUMIFS($E$5:$E$804,$A$5:$A$804,A748,$C$5:$C$804,"买",$B$5:$B$804,"&lt;"&amp;B748),"超出可卖股数","OK"),""))</f>
        <v/>
      </c>
      <c r="O748" s="32" t="n"/>
    </row>
    <row r="749">
      <c r="A749" s="46" t="n"/>
      <c r="B749" s="31" t="n"/>
      <c r="C749" s="27" t="n"/>
      <c r="D749" s="56" t="n"/>
      <c r="E749" s="17" t="n"/>
      <c r="F749" s="20" t="str">
        <f>IF(AND(ISNUMBER(D749),ISNUMBER(E749)),D749*E749,"")</f>
        <v/>
      </c>
      <c r="G749" s="51" t="str">
        <f>IF(ISNUMBER(F749),ROUND(MAX(F749*'参数'!$C$12,'参数'!$C$13),2),"")</f>
        <v/>
      </c>
      <c r="H749" s="51" t="str">
        <f>IF(ISNUMBER(F749),IF(C749="卖",ROUND(F749*'参数'!$C$14,2),0),"")</f>
        <v/>
      </c>
      <c r="I749" s="51" t="str">
        <f>IF(ISNUMBER(F749),ROUND(F749*'参数'!$C$15,2),"")</f>
        <v/>
      </c>
      <c r="J749" s="21" t="n"/>
      <c r="K749" s="20" t="str">
        <f>IF(ISNUMBER(J749),J749,IF(ISNUMBER(F749),G749+H749+I749+ROUND(F749*'参数'!$C$16,2),""))</f>
        <v/>
      </c>
      <c r="L749" s="43" t="str">
        <f>IF(A749="","",IFERROR(T(INDEX('交易记录'!$C$5:$C$304,MATCH(A749,'交易记录'!$A$5:$A$304,0))),"编号没找到"))</f>
        <v/>
      </c>
      <c r="M749" s="57" t="str">
        <f>IF(AND(C749="买",ISNUMBER(B749)),WORKDAY(B749,1,'参数'!$B$58:$B$80),"")</f>
        <v/>
      </c>
      <c r="N749" s="36" t="str">
        <f>IF(C749&lt;&gt;"卖","",IF(AND(ISNUMBER(B749),A749&lt;&gt;""),IF(SUMIFS($E$5:$E$804,$A$5:$A$804,A749,$C$5:$C$804,"卖",$B$5:$B$804,"&lt;="&amp;B749)&gt;SUMIFS($E$5:$E$804,$A$5:$A$804,A749,$C$5:$C$804,"买",$B$5:$B$804,"&lt;"&amp;B749),"超出可卖股数","OK"),""))</f>
        <v/>
      </c>
      <c r="O749" s="32" t="n"/>
    </row>
    <row r="750">
      <c r="A750" s="46" t="n"/>
      <c r="B750" s="31" t="n"/>
      <c r="C750" s="27" t="n"/>
      <c r="D750" s="56" t="n"/>
      <c r="E750" s="17" t="n"/>
      <c r="F750" s="20" t="str">
        <f>IF(AND(ISNUMBER(D750),ISNUMBER(E750)),D750*E750,"")</f>
        <v/>
      </c>
      <c r="G750" s="51" t="str">
        <f>IF(ISNUMBER(F750),ROUND(MAX(F750*'参数'!$C$12,'参数'!$C$13),2),"")</f>
        <v/>
      </c>
      <c r="H750" s="51" t="str">
        <f>IF(ISNUMBER(F750),IF(C750="卖",ROUND(F750*'参数'!$C$14,2),0),"")</f>
        <v/>
      </c>
      <c r="I750" s="51" t="str">
        <f>IF(ISNUMBER(F750),ROUND(F750*'参数'!$C$15,2),"")</f>
        <v/>
      </c>
      <c r="J750" s="21" t="n"/>
      <c r="K750" s="20" t="str">
        <f>IF(ISNUMBER(J750),J750,IF(ISNUMBER(F750),G750+H750+I750+ROUND(F750*'参数'!$C$16,2),""))</f>
        <v/>
      </c>
      <c r="L750" s="43" t="str">
        <f>IF(A750="","",IFERROR(T(INDEX('交易记录'!$C$5:$C$304,MATCH(A750,'交易记录'!$A$5:$A$304,0))),"编号没找到"))</f>
        <v/>
      </c>
      <c r="M750" s="57" t="str">
        <f>IF(AND(C750="买",ISNUMBER(B750)),WORKDAY(B750,1,'参数'!$B$58:$B$80),"")</f>
        <v/>
      </c>
      <c r="N750" s="36" t="str">
        <f>IF(C750&lt;&gt;"卖","",IF(AND(ISNUMBER(B750),A750&lt;&gt;""),IF(SUMIFS($E$5:$E$804,$A$5:$A$804,A750,$C$5:$C$804,"卖",$B$5:$B$804,"&lt;="&amp;B750)&gt;SUMIFS($E$5:$E$804,$A$5:$A$804,A750,$C$5:$C$804,"买",$B$5:$B$804,"&lt;"&amp;B750),"超出可卖股数","OK"),""))</f>
        <v/>
      </c>
      <c r="O750" s="32" t="n"/>
    </row>
    <row r="751">
      <c r="A751" s="46" t="n"/>
      <c r="B751" s="31" t="n"/>
      <c r="C751" s="27" t="n"/>
      <c r="D751" s="56" t="n"/>
      <c r="E751" s="17" t="n"/>
      <c r="F751" s="20" t="str">
        <f>IF(AND(ISNUMBER(D751),ISNUMBER(E751)),D751*E751,"")</f>
        <v/>
      </c>
      <c r="G751" s="51" t="str">
        <f>IF(ISNUMBER(F751),ROUND(MAX(F751*'参数'!$C$12,'参数'!$C$13),2),"")</f>
        <v/>
      </c>
      <c r="H751" s="51" t="str">
        <f>IF(ISNUMBER(F751),IF(C751="卖",ROUND(F751*'参数'!$C$14,2),0),"")</f>
        <v/>
      </c>
      <c r="I751" s="51" t="str">
        <f>IF(ISNUMBER(F751),ROUND(F751*'参数'!$C$15,2),"")</f>
        <v/>
      </c>
      <c r="J751" s="21" t="n"/>
      <c r="K751" s="20" t="str">
        <f>IF(ISNUMBER(J751),J751,IF(ISNUMBER(F751),G751+H751+I751+ROUND(F751*'参数'!$C$16,2),""))</f>
        <v/>
      </c>
      <c r="L751" s="43" t="str">
        <f>IF(A751="","",IFERROR(T(INDEX('交易记录'!$C$5:$C$304,MATCH(A751,'交易记录'!$A$5:$A$304,0))),"编号没找到"))</f>
        <v/>
      </c>
      <c r="M751" s="57" t="str">
        <f>IF(AND(C751="买",ISNUMBER(B751)),WORKDAY(B751,1,'参数'!$B$58:$B$80),"")</f>
        <v/>
      </c>
      <c r="N751" s="36" t="str">
        <f>IF(C751&lt;&gt;"卖","",IF(AND(ISNUMBER(B751),A751&lt;&gt;""),IF(SUMIFS($E$5:$E$804,$A$5:$A$804,A751,$C$5:$C$804,"卖",$B$5:$B$804,"&lt;="&amp;B751)&gt;SUMIFS($E$5:$E$804,$A$5:$A$804,A751,$C$5:$C$804,"买",$B$5:$B$804,"&lt;"&amp;B751),"超出可卖股数","OK"),""))</f>
        <v/>
      </c>
      <c r="O751" s="32" t="n"/>
    </row>
    <row r="752">
      <c r="A752" s="46" t="n"/>
      <c r="B752" s="31" t="n"/>
      <c r="C752" s="27" t="n"/>
      <c r="D752" s="56" t="n"/>
      <c r="E752" s="17" t="n"/>
      <c r="F752" s="20" t="str">
        <f>IF(AND(ISNUMBER(D752),ISNUMBER(E752)),D752*E752,"")</f>
        <v/>
      </c>
      <c r="G752" s="51" t="str">
        <f>IF(ISNUMBER(F752),ROUND(MAX(F752*'参数'!$C$12,'参数'!$C$13),2),"")</f>
        <v/>
      </c>
      <c r="H752" s="51" t="str">
        <f>IF(ISNUMBER(F752),IF(C752="卖",ROUND(F752*'参数'!$C$14,2),0),"")</f>
        <v/>
      </c>
      <c r="I752" s="51" t="str">
        <f>IF(ISNUMBER(F752),ROUND(F752*'参数'!$C$15,2),"")</f>
        <v/>
      </c>
      <c r="J752" s="21" t="n"/>
      <c r="K752" s="20" t="str">
        <f>IF(ISNUMBER(J752),J752,IF(ISNUMBER(F752),G752+H752+I752+ROUND(F752*'参数'!$C$16,2),""))</f>
        <v/>
      </c>
      <c r="L752" s="43" t="str">
        <f>IF(A752="","",IFERROR(T(INDEX('交易记录'!$C$5:$C$304,MATCH(A752,'交易记录'!$A$5:$A$304,0))),"编号没找到"))</f>
        <v/>
      </c>
      <c r="M752" s="57" t="str">
        <f>IF(AND(C752="买",ISNUMBER(B752)),WORKDAY(B752,1,'参数'!$B$58:$B$80),"")</f>
        <v/>
      </c>
      <c r="N752" s="36" t="str">
        <f>IF(C752&lt;&gt;"卖","",IF(AND(ISNUMBER(B752),A752&lt;&gt;""),IF(SUMIFS($E$5:$E$804,$A$5:$A$804,A752,$C$5:$C$804,"卖",$B$5:$B$804,"&lt;="&amp;B752)&gt;SUMIFS($E$5:$E$804,$A$5:$A$804,A752,$C$5:$C$804,"买",$B$5:$B$804,"&lt;"&amp;B752),"超出可卖股数","OK"),""))</f>
        <v/>
      </c>
      <c r="O752" s="32" t="n"/>
    </row>
    <row r="753">
      <c r="A753" s="46" t="n"/>
      <c r="B753" s="31" t="n"/>
      <c r="C753" s="27" t="n"/>
      <c r="D753" s="56" t="n"/>
      <c r="E753" s="17" t="n"/>
      <c r="F753" s="20" t="str">
        <f>IF(AND(ISNUMBER(D753),ISNUMBER(E753)),D753*E753,"")</f>
        <v/>
      </c>
      <c r="G753" s="51" t="str">
        <f>IF(ISNUMBER(F753),ROUND(MAX(F753*'参数'!$C$12,'参数'!$C$13),2),"")</f>
        <v/>
      </c>
      <c r="H753" s="51" t="str">
        <f>IF(ISNUMBER(F753),IF(C753="卖",ROUND(F753*'参数'!$C$14,2),0),"")</f>
        <v/>
      </c>
      <c r="I753" s="51" t="str">
        <f>IF(ISNUMBER(F753),ROUND(F753*'参数'!$C$15,2),"")</f>
        <v/>
      </c>
      <c r="J753" s="21" t="n"/>
      <c r="K753" s="20" t="str">
        <f>IF(ISNUMBER(J753),J753,IF(ISNUMBER(F753),G753+H753+I753+ROUND(F753*'参数'!$C$16,2),""))</f>
        <v/>
      </c>
      <c r="L753" s="43" t="str">
        <f>IF(A753="","",IFERROR(T(INDEX('交易记录'!$C$5:$C$304,MATCH(A753,'交易记录'!$A$5:$A$304,0))),"编号没找到"))</f>
        <v/>
      </c>
      <c r="M753" s="57" t="str">
        <f>IF(AND(C753="买",ISNUMBER(B753)),WORKDAY(B753,1,'参数'!$B$58:$B$80),"")</f>
        <v/>
      </c>
      <c r="N753" s="36" t="str">
        <f>IF(C753&lt;&gt;"卖","",IF(AND(ISNUMBER(B753),A753&lt;&gt;""),IF(SUMIFS($E$5:$E$804,$A$5:$A$804,A753,$C$5:$C$804,"卖",$B$5:$B$804,"&lt;="&amp;B753)&gt;SUMIFS($E$5:$E$804,$A$5:$A$804,A753,$C$5:$C$804,"买",$B$5:$B$804,"&lt;"&amp;B753),"超出可卖股数","OK"),""))</f>
        <v/>
      </c>
      <c r="O753" s="32" t="n"/>
    </row>
    <row r="754">
      <c r="A754" s="46" t="n"/>
      <c r="B754" s="31" t="n"/>
      <c r="C754" s="27" t="n"/>
      <c r="D754" s="56" t="n"/>
      <c r="E754" s="17" t="n"/>
      <c r="F754" s="20" t="str">
        <f>IF(AND(ISNUMBER(D754),ISNUMBER(E754)),D754*E754,"")</f>
        <v/>
      </c>
      <c r="G754" s="51" t="str">
        <f>IF(ISNUMBER(F754),ROUND(MAX(F754*'参数'!$C$12,'参数'!$C$13),2),"")</f>
        <v/>
      </c>
      <c r="H754" s="51" t="str">
        <f>IF(ISNUMBER(F754),IF(C754="卖",ROUND(F754*'参数'!$C$14,2),0),"")</f>
        <v/>
      </c>
      <c r="I754" s="51" t="str">
        <f>IF(ISNUMBER(F754),ROUND(F754*'参数'!$C$15,2),"")</f>
        <v/>
      </c>
      <c r="J754" s="21" t="n"/>
      <c r="K754" s="20" t="str">
        <f>IF(ISNUMBER(J754),J754,IF(ISNUMBER(F754),G754+H754+I754+ROUND(F754*'参数'!$C$16,2),""))</f>
        <v/>
      </c>
      <c r="L754" s="43" t="str">
        <f>IF(A754="","",IFERROR(T(INDEX('交易记录'!$C$5:$C$304,MATCH(A754,'交易记录'!$A$5:$A$304,0))),"编号没找到"))</f>
        <v/>
      </c>
      <c r="M754" s="57" t="str">
        <f>IF(AND(C754="买",ISNUMBER(B754)),WORKDAY(B754,1,'参数'!$B$58:$B$80),"")</f>
        <v/>
      </c>
      <c r="N754" s="36" t="str">
        <f>IF(C754&lt;&gt;"卖","",IF(AND(ISNUMBER(B754),A754&lt;&gt;""),IF(SUMIFS($E$5:$E$804,$A$5:$A$804,A754,$C$5:$C$804,"卖",$B$5:$B$804,"&lt;="&amp;B754)&gt;SUMIFS($E$5:$E$804,$A$5:$A$804,A754,$C$5:$C$804,"买",$B$5:$B$804,"&lt;"&amp;B754),"超出可卖股数","OK"),""))</f>
        <v/>
      </c>
      <c r="O754" s="32" t="n"/>
    </row>
    <row r="755">
      <c r="A755" s="46" t="n"/>
      <c r="B755" s="31" t="n"/>
      <c r="C755" s="27" t="n"/>
      <c r="D755" s="56" t="n"/>
      <c r="E755" s="17" t="n"/>
      <c r="F755" s="20" t="str">
        <f>IF(AND(ISNUMBER(D755),ISNUMBER(E755)),D755*E755,"")</f>
        <v/>
      </c>
      <c r="G755" s="51" t="str">
        <f>IF(ISNUMBER(F755),ROUND(MAX(F755*'参数'!$C$12,'参数'!$C$13),2),"")</f>
        <v/>
      </c>
      <c r="H755" s="51" t="str">
        <f>IF(ISNUMBER(F755),IF(C755="卖",ROUND(F755*'参数'!$C$14,2),0),"")</f>
        <v/>
      </c>
      <c r="I755" s="51" t="str">
        <f>IF(ISNUMBER(F755),ROUND(F755*'参数'!$C$15,2),"")</f>
        <v/>
      </c>
      <c r="J755" s="21" t="n"/>
      <c r="K755" s="20" t="str">
        <f>IF(ISNUMBER(J755),J755,IF(ISNUMBER(F755),G755+H755+I755+ROUND(F755*'参数'!$C$16,2),""))</f>
        <v/>
      </c>
      <c r="L755" s="43" t="str">
        <f>IF(A755="","",IFERROR(T(INDEX('交易记录'!$C$5:$C$304,MATCH(A755,'交易记录'!$A$5:$A$304,0))),"编号没找到"))</f>
        <v/>
      </c>
      <c r="M755" s="57" t="str">
        <f>IF(AND(C755="买",ISNUMBER(B755)),WORKDAY(B755,1,'参数'!$B$58:$B$80),"")</f>
        <v/>
      </c>
      <c r="N755" s="36" t="str">
        <f>IF(C755&lt;&gt;"卖","",IF(AND(ISNUMBER(B755),A755&lt;&gt;""),IF(SUMIFS($E$5:$E$804,$A$5:$A$804,A755,$C$5:$C$804,"卖",$B$5:$B$804,"&lt;="&amp;B755)&gt;SUMIFS($E$5:$E$804,$A$5:$A$804,A755,$C$5:$C$804,"买",$B$5:$B$804,"&lt;"&amp;B755),"超出可卖股数","OK"),""))</f>
        <v/>
      </c>
      <c r="O755" s="32" t="n"/>
    </row>
    <row r="756">
      <c r="A756" s="46" t="n"/>
      <c r="B756" s="31" t="n"/>
      <c r="C756" s="27" t="n"/>
      <c r="D756" s="56" t="n"/>
      <c r="E756" s="17" t="n"/>
      <c r="F756" s="20" t="str">
        <f>IF(AND(ISNUMBER(D756),ISNUMBER(E756)),D756*E756,"")</f>
        <v/>
      </c>
      <c r="G756" s="51" t="str">
        <f>IF(ISNUMBER(F756),ROUND(MAX(F756*'参数'!$C$12,'参数'!$C$13),2),"")</f>
        <v/>
      </c>
      <c r="H756" s="51" t="str">
        <f>IF(ISNUMBER(F756),IF(C756="卖",ROUND(F756*'参数'!$C$14,2),0),"")</f>
        <v/>
      </c>
      <c r="I756" s="51" t="str">
        <f>IF(ISNUMBER(F756),ROUND(F756*'参数'!$C$15,2),"")</f>
        <v/>
      </c>
      <c r="J756" s="21" t="n"/>
      <c r="K756" s="20" t="str">
        <f>IF(ISNUMBER(J756),J756,IF(ISNUMBER(F756),G756+H756+I756+ROUND(F756*'参数'!$C$16,2),""))</f>
        <v/>
      </c>
      <c r="L756" s="43" t="str">
        <f>IF(A756="","",IFERROR(T(INDEX('交易记录'!$C$5:$C$304,MATCH(A756,'交易记录'!$A$5:$A$304,0))),"编号没找到"))</f>
        <v/>
      </c>
      <c r="M756" s="57" t="str">
        <f>IF(AND(C756="买",ISNUMBER(B756)),WORKDAY(B756,1,'参数'!$B$58:$B$80),"")</f>
        <v/>
      </c>
      <c r="N756" s="36" t="str">
        <f>IF(C756&lt;&gt;"卖","",IF(AND(ISNUMBER(B756),A756&lt;&gt;""),IF(SUMIFS($E$5:$E$804,$A$5:$A$804,A756,$C$5:$C$804,"卖",$B$5:$B$804,"&lt;="&amp;B756)&gt;SUMIFS($E$5:$E$804,$A$5:$A$804,A756,$C$5:$C$804,"买",$B$5:$B$804,"&lt;"&amp;B756),"超出可卖股数","OK"),""))</f>
        <v/>
      </c>
      <c r="O756" s="32" t="n"/>
    </row>
    <row r="757">
      <c r="A757" s="46" t="n"/>
      <c r="B757" s="31" t="n"/>
      <c r="C757" s="27" t="n"/>
      <c r="D757" s="56" t="n"/>
      <c r="E757" s="17" t="n"/>
      <c r="F757" s="20" t="str">
        <f>IF(AND(ISNUMBER(D757),ISNUMBER(E757)),D757*E757,"")</f>
        <v/>
      </c>
      <c r="G757" s="51" t="str">
        <f>IF(ISNUMBER(F757),ROUND(MAX(F757*'参数'!$C$12,'参数'!$C$13),2),"")</f>
        <v/>
      </c>
      <c r="H757" s="51" t="str">
        <f>IF(ISNUMBER(F757),IF(C757="卖",ROUND(F757*'参数'!$C$14,2),0),"")</f>
        <v/>
      </c>
      <c r="I757" s="51" t="str">
        <f>IF(ISNUMBER(F757),ROUND(F757*'参数'!$C$15,2),"")</f>
        <v/>
      </c>
      <c r="J757" s="21" t="n"/>
      <c r="K757" s="20" t="str">
        <f>IF(ISNUMBER(J757),J757,IF(ISNUMBER(F757),G757+H757+I757+ROUND(F757*'参数'!$C$16,2),""))</f>
        <v/>
      </c>
      <c r="L757" s="43" t="str">
        <f>IF(A757="","",IFERROR(T(INDEX('交易记录'!$C$5:$C$304,MATCH(A757,'交易记录'!$A$5:$A$304,0))),"编号没找到"))</f>
        <v/>
      </c>
      <c r="M757" s="57" t="str">
        <f>IF(AND(C757="买",ISNUMBER(B757)),WORKDAY(B757,1,'参数'!$B$58:$B$80),"")</f>
        <v/>
      </c>
      <c r="N757" s="36" t="str">
        <f>IF(C757&lt;&gt;"卖","",IF(AND(ISNUMBER(B757),A757&lt;&gt;""),IF(SUMIFS($E$5:$E$804,$A$5:$A$804,A757,$C$5:$C$804,"卖",$B$5:$B$804,"&lt;="&amp;B757)&gt;SUMIFS($E$5:$E$804,$A$5:$A$804,A757,$C$5:$C$804,"买",$B$5:$B$804,"&lt;"&amp;B757),"超出可卖股数","OK"),""))</f>
        <v/>
      </c>
      <c r="O757" s="32" t="n"/>
    </row>
    <row r="758">
      <c r="A758" s="46" t="n"/>
      <c r="B758" s="31" t="n"/>
      <c r="C758" s="27" t="n"/>
      <c r="D758" s="56" t="n"/>
      <c r="E758" s="17" t="n"/>
      <c r="F758" s="20" t="str">
        <f>IF(AND(ISNUMBER(D758),ISNUMBER(E758)),D758*E758,"")</f>
        <v/>
      </c>
      <c r="G758" s="51" t="str">
        <f>IF(ISNUMBER(F758),ROUND(MAX(F758*'参数'!$C$12,'参数'!$C$13),2),"")</f>
        <v/>
      </c>
      <c r="H758" s="51" t="str">
        <f>IF(ISNUMBER(F758),IF(C758="卖",ROUND(F758*'参数'!$C$14,2),0),"")</f>
        <v/>
      </c>
      <c r="I758" s="51" t="str">
        <f>IF(ISNUMBER(F758),ROUND(F758*'参数'!$C$15,2),"")</f>
        <v/>
      </c>
      <c r="J758" s="21" t="n"/>
      <c r="K758" s="20" t="str">
        <f>IF(ISNUMBER(J758),J758,IF(ISNUMBER(F758),G758+H758+I758+ROUND(F758*'参数'!$C$16,2),""))</f>
        <v/>
      </c>
      <c r="L758" s="43" t="str">
        <f>IF(A758="","",IFERROR(T(INDEX('交易记录'!$C$5:$C$304,MATCH(A758,'交易记录'!$A$5:$A$304,0))),"编号没找到"))</f>
        <v/>
      </c>
      <c r="M758" s="57" t="str">
        <f>IF(AND(C758="买",ISNUMBER(B758)),WORKDAY(B758,1,'参数'!$B$58:$B$80),"")</f>
        <v/>
      </c>
      <c r="N758" s="36" t="str">
        <f>IF(C758&lt;&gt;"卖","",IF(AND(ISNUMBER(B758),A758&lt;&gt;""),IF(SUMIFS($E$5:$E$804,$A$5:$A$804,A758,$C$5:$C$804,"卖",$B$5:$B$804,"&lt;="&amp;B758)&gt;SUMIFS($E$5:$E$804,$A$5:$A$804,A758,$C$5:$C$804,"买",$B$5:$B$804,"&lt;"&amp;B758),"超出可卖股数","OK"),""))</f>
        <v/>
      </c>
      <c r="O758" s="32" t="n"/>
    </row>
    <row r="759">
      <c r="A759" s="46" t="n"/>
      <c r="B759" s="31" t="n"/>
      <c r="C759" s="27" t="n"/>
      <c r="D759" s="56" t="n"/>
      <c r="E759" s="17" t="n"/>
      <c r="F759" s="20" t="str">
        <f>IF(AND(ISNUMBER(D759),ISNUMBER(E759)),D759*E759,"")</f>
        <v/>
      </c>
      <c r="G759" s="51" t="str">
        <f>IF(ISNUMBER(F759),ROUND(MAX(F759*'参数'!$C$12,'参数'!$C$13),2),"")</f>
        <v/>
      </c>
      <c r="H759" s="51" t="str">
        <f>IF(ISNUMBER(F759),IF(C759="卖",ROUND(F759*'参数'!$C$14,2),0),"")</f>
        <v/>
      </c>
      <c r="I759" s="51" t="str">
        <f>IF(ISNUMBER(F759),ROUND(F759*'参数'!$C$15,2),"")</f>
        <v/>
      </c>
      <c r="J759" s="21" t="n"/>
      <c r="K759" s="20" t="str">
        <f>IF(ISNUMBER(J759),J759,IF(ISNUMBER(F759),G759+H759+I759+ROUND(F759*'参数'!$C$16,2),""))</f>
        <v/>
      </c>
      <c r="L759" s="43" t="str">
        <f>IF(A759="","",IFERROR(T(INDEX('交易记录'!$C$5:$C$304,MATCH(A759,'交易记录'!$A$5:$A$304,0))),"编号没找到"))</f>
        <v/>
      </c>
      <c r="M759" s="57" t="str">
        <f>IF(AND(C759="买",ISNUMBER(B759)),WORKDAY(B759,1,'参数'!$B$58:$B$80),"")</f>
        <v/>
      </c>
      <c r="N759" s="36" t="str">
        <f>IF(C759&lt;&gt;"卖","",IF(AND(ISNUMBER(B759),A759&lt;&gt;""),IF(SUMIFS($E$5:$E$804,$A$5:$A$804,A759,$C$5:$C$804,"卖",$B$5:$B$804,"&lt;="&amp;B759)&gt;SUMIFS($E$5:$E$804,$A$5:$A$804,A759,$C$5:$C$804,"买",$B$5:$B$804,"&lt;"&amp;B759),"超出可卖股数","OK"),""))</f>
        <v/>
      </c>
      <c r="O759" s="32" t="n"/>
    </row>
    <row r="760">
      <c r="A760" s="46" t="n"/>
      <c r="B760" s="31" t="n"/>
      <c r="C760" s="27" t="n"/>
      <c r="D760" s="56" t="n"/>
      <c r="E760" s="17" t="n"/>
      <c r="F760" s="20" t="str">
        <f>IF(AND(ISNUMBER(D760),ISNUMBER(E760)),D760*E760,"")</f>
        <v/>
      </c>
      <c r="G760" s="51" t="str">
        <f>IF(ISNUMBER(F760),ROUND(MAX(F760*'参数'!$C$12,'参数'!$C$13),2),"")</f>
        <v/>
      </c>
      <c r="H760" s="51" t="str">
        <f>IF(ISNUMBER(F760),IF(C760="卖",ROUND(F760*'参数'!$C$14,2),0),"")</f>
        <v/>
      </c>
      <c r="I760" s="51" t="str">
        <f>IF(ISNUMBER(F760),ROUND(F760*'参数'!$C$15,2),"")</f>
        <v/>
      </c>
      <c r="J760" s="21" t="n"/>
      <c r="K760" s="20" t="str">
        <f>IF(ISNUMBER(J760),J760,IF(ISNUMBER(F760),G760+H760+I760+ROUND(F760*'参数'!$C$16,2),""))</f>
        <v/>
      </c>
      <c r="L760" s="43" t="str">
        <f>IF(A760="","",IFERROR(T(INDEX('交易记录'!$C$5:$C$304,MATCH(A760,'交易记录'!$A$5:$A$304,0))),"编号没找到"))</f>
        <v/>
      </c>
      <c r="M760" s="57" t="str">
        <f>IF(AND(C760="买",ISNUMBER(B760)),WORKDAY(B760,1,'参数'!$B$58:$B$80),"")</f>
        <v/>
      </c>
      <c r="N760" s="36" t="str">
        <f>IF(C760&lt;&gt;"卖","",IF(AND(ISNUMBER(B760),A760&lt;&gt;""),IF(SUMIFS($E$5:$E$804,$A$5:$A$804,A760,$C$5:$C$804,"卖",$B$5:$B$804,"&lt;="&amp;B760)&gt;SUMIFS($E$5:$E$804,$A$5:$A$804,A760,$C$5:$C$804,"买",$B$5:$B$804,"&lt;"&amp;B760),"超出可卖股数","OK"),""))</f>
        <v/>
      </c>
      <c r="O760" s="32" t="n"/>
    </row>
    <row r="761">
      <c r="A761" s="46" t="n"/>
      <c r="B761" s="31" t="n"/>
      <c r="C761" s="27" t="n"/>
      <c r="D761" s="56" t="n"/>
      <c r="E761" s="17" t="n"/>
      <c r="F761" s="20" t="str">
        <f>IF(AND(ISNUMBER(D761),ISNUMBER(E761)),D761*E761,"")</f>
        <v/>
      </c>
      <c r="G761" s="51" t="str">
        <f>IF(ISNUMBER(F761),ROUND(MAX(F761*'参数'!$C$12,'参数'!$C$13),2),"")</f>
        <v/>
      </c>
      <c r="H761" s="51" t="str">
        <f>IF(ISNUMBER(F761),IF(C761="卖",ROUND(F761*'参数'!$C$14,2),0),"")</f>
        <v/>
      </c>
      <c r="I761" s="51" t="str">
        <f>IF(ISNUMBER(F761),ROUND(F761*'参数'!$C$15,2),"")</f>
        <v/>
      </c>
      <c r="J761" s="21" t="n"/>
      <c r="K761" s="20" t="str">
        <f>IF(ISNUMBER(J761),J761,IF(ISNUMBER(F761),G761+H761+I761+ROUND(F761*'参数'!$C$16,2),""))</f>
        <v/>
      </c>
      <c r="L761" s="43" t="str">
        <f>IF(A761="","",IFERROR(T(INDEX('交易记录'!$C$5:$C$304,MATCH(A761,'交易记录'!$A$5:$A$304,0))),"编号没找到"))</f>
        <v/>
      </c>
      <c r="M761" s="57" t="str">
        <f>IF(AND(C761="买",ISNUMBER(B761)),WORKDAY(B761,1,'参数'!$B$58:$B$80),"")</f>
        <v/>
      </c>
      <c r="N761" s="36" t="str">
        <f>IF(C761&lt;&gt;"卖","",IF(AND(ISNUMBER(B761),A761&lt;&gt;""),IF(SUMIFS($E$5:$E$804,$A$5:$A$804,A761,$C$5:$C$804,"卖",$B$5:$B$804,"&lt;="&amp;B761)&gt;SUMIFS($E$5:$E$804,$A$5:$A$804,A761,$C$5:$C$804,"买",$B$5:$B$804,"&lt;"&amp;B761),"超出可卖股数","OK"),""))</f>
        <v/>
      </c>
      <c r="O761" s="32" t="n"/>
    </row>
    <row r="762">
      <c r="A762" s="46" t="n"/>
      <c r="B762" s="31" t="n"/>
      <c r="C762" s="27" t="n"/>
      <c r="D762" s="56" t="n"/>
      <c r="E762" s="17" t="n"/>
      <c r="F762" s="20" t="str">
        <f>IF(AND(ISNUMBER(D762),ISNUMBER(E762)),D762*E762,"")</f>
        <v/>
      </c>
      <c r="G762" s="51" t="str">
        <f>IF(ISNUMBER(F762),ROUND(MAX(F762*'参数'!$C$12,'参数'!$C$13),2),"")</f>
        <v/>
      </c>
      <c r="H762" s="51" t="str">
        <f>IF(ISNUMBER(F762),IF(C762="卖",ROUND(F762*'参数'!$C$14,2),0),"")</f>
        <v/>
      </c>
      <c r="I762" s="51" t="str">
        <f>IF(ISNUMBER(F762),ROUND(F762*'参数'!$C$15,2),"")</f>
        <v/>
      </c>
      <c r="J762" s="21" t="n"/>
      <c r="K762" s="20" t="str">
        <f>IF(ISNUMBER(J762),J762,IF(ISNUMBER(F762),G762+H762+I762+ROUND(F762*'参数'!$C$16,2),""))</f>
        <v/>
      </c>
      <c r="L762" s="43" t="str">
        <f>IF(A762="","",IFERROR(T(INDEX('交易记录'!$C$5:$C$304,MATCH(A762,'交易记录'!$A$5:$A$304,0))),"编号没找到"))</f>
        <v/>
      </c>
      <c r="M762" s="57" t="str">
        <f>IF(AND(C762="买",ISNUMBER(B762)),WORKDAY(B762,1,'参数'!$B$58:$B$80),"")</f>
        <v/>
      </c>
      <c r="N762" s="36" t="str">
        <f>IF(C762&lt;&gt;"卖","",IF(AND(ISNUMBER(B762),A762&lt;&gt;""),IF(SUMIFS($E$5:$E$804,$A$5:$A$804,A762,$C$5:$C$804,"卖",$B$5:$B$804,"&lt;="&amp;B762)&gt;SUMIFS($E$5:$E$804,$A$5:$A$804,A762,$C$5:$C$804,"买",$B$5:$B$804,"&lt;"&amp;B762),"超出可卖股数","OK"),""))</f>
        <v/>
      </c>
      <c r="O762" s="32" t="n"/>
    </row>
    <row r="763">
      <c r="A763" s="46" t="n"/>
      <c r="B763" s="31" t="n"/>
      <c r="C763" s="27" t="n"/>
      <c r="D763" s="56" t="n"/>
      <c r="E763" s="17" t="n"/>
      <c r="F763" s="20" t="str">
        <f>IF(AND(ISNUMBER(D763),ISNUMBER(E763)),D763*E763,"")</f>
        <v/>
      </c>
      <c r="G763" s="51" t="str">
        <f>IF(ISNUMBER(F763),ROUND(MAX(F763*'参数'!$C$12,'参数'!$C$13),2),"")</f>
        <v/>
      </c>
      <c r="H763" s="51" t="str">
        <f>IF(ISNUMBER(F763),IF(C763="卖",ROUND(F763*'参数'!$C$14,2),0),"")</f>
        <v/>
      </c>
      <c r="I763" s="51" t="str">
        <f>IF(ISNUMBER(F763),ROUND(F763*'参数'!$C$15,2),"")</f>
        <v/>
      </c>
      <c r="J763" s="21" t="n"/>
      <c r="K763" s="20" t="str">
        <f>IF(ISNUMBER(J763),J763,IF(ISNUMBER(F763),G763+H763+I763+ROUND(F763*'参数'!$C$16,2),""))</f>
        <v/>
      </c>
      <c r="L763" s="43" t="str">
        <f>IF(A763="","",IFERROR(T(INDEX('交易记录'!$C$5:$C$304,MATCH(A763,'交易记录'!$A$5:$A$304,0))),"编号没找到"))</f>
        <v/>
      </c>
      <c r="M763" s="57" t="str">
        <f>IF(AND(C763="买",ISNUMBER(B763)),WORKDAY(B763,1,'参数'!$B$58:$B$80),"")</f>
        <v/>
      </c>
      <c r="N763" s="36" t="str">
        <f>IF(C763&lt;&gt;"卖","",IF(AND(ISNUMBER(B763),A763&lt;&gt;""),IF(SUMIFS($E$5:$E$804,$A$5:$A$804,A763,$C$5:$C$804,"卖",$B$5:$B$804,"&lt;="&amp;B763)&gt;SUMIFS($E$5:$E$804,$A$5:$A$804,A763,$C$5:$C$804,"买",$B$5:$B$804,"&lt;"&amp;B763),"超出可卖股数","OK"),""))</f>
        <v/>
      </c>
      <c r="O763" s="32" t="n"/>
    </row>
    <row r="764">
      <c r="A764" s="46" t="n"/>
      <c r="B764" s="31" t="n"/>
      <c r="C764" s="27" t="n"/>
      <c r="D764" s="56" t="n"/>
      <c r="E764" s="17" t="n"/>
      <c r="F764" s="20" t="str">
        <f>IF(AND(ISNUMBER(D764),ISNUMBER(E764)),D764*E764,"")</f>
        <v/>
      </c>
      <c r="G764" s="51" t="str">
        <f>IF(ISNUMBER(F764),ROUND(MAX(F764*'参数'!$C$12,'参数'!$C$13),2),"")</f>
        <v/>
      </c>
      <c r="H764" s="51" t="str">
        <f>IF(ISNUMBER(F764),IF(C764="卖",ROUND(F764*'参数'!$C$14,2),0),"")</f>
        <v/>
      </c>
      <c r="I764" s="51" t="str">
        <f>IF(ISNUMBER(F764),ROUND(F764*'参数'!$C$15,2),"")</f>
        <v/>
      </c>
      <c r="J764" s="21" t="n"/>
      <c r="K764" s="20" t="str">
        <f>IF(ISNUMBER(J764),J764,IF(ISNUMBER(F764),G764+H764+I764+ROUND(F764*'参数'!$C$16,2),""))</f>
        <v/>
      </c>
      <c r="L764" s="43" t="str">
        <f>IF(A764="","",IFERROR(T(INDEX('交易记录'!$C$5:$C$304,MATCH(A764,'交易记录'!$A$5:$A$304,0))),"编号没找到"))</f>
        <v/>
      </c>
      <c r="M764" s="57" t="str">
        <f>IF(AND(C764="买",ISNUMBER(B764)),WORKDAY(B764,1,'参数'!$B$58:$B$80),"")</f>
        <v/>
      </c>
      <c r="N764" s="36" t="str">
        <f>IF(C764&lt;&gt;"卖","",IF(AND(ISNUMBER(B764),A764&lt;&gt;""),IF(SUMIFS($E$5:$E$804,$A$5:$A$804,A764,$C$5:$C$804,"卖",$B$5:$B$804,"&lt;="&amp;B764)&gt;SUMIFS($E$5:$E$804,$A$5:$A$804,A764,$C$5:$C$804,"买",$B$5:$B$804,"&lt;"&amp;B764),"超出可卖股数","OK"),""))</f>
        <v/>
      </c>
      <c r="O764" s="32" t="n"/>
    </row>
    <row r="765">
      <c r="A765" s="46" t="n"/>
      <c r="B765" s="31" t="n"/>
      <c r="C765" s="27" t="n"/>
      <c r="D765" s="56" t="n"/>
      <c r="E765" s="17" t="n"/>
      <c r="F765" s="20" t="str">
        <f>IF(AND(ISNUMBER(D765),ISNUMBER(E765)),D765*E765,"")</f>
        <v/>
      </c>
      <c r="G765" s="51" t="str">
        <f>IF(ISNUMBER(F765),ROUND(MAX(F765*'参数'!$C$12,'参数'!$C$13),2),"")</f>
        <v/>
      </c>
      <c r="H765" s="51" t="str">
        <f>IF(ISNUMBER(F765),IF(C765="卖",ROUND(F765*'参数'!$C$14,2),0),"")</f>
        <v/>
      </c>
      <c r="I765" s="51" t="str">
        <f>IF(ISNUMBER(F765),ROUND(F765*'参数'!$C$15,2),"")</f>
        <v/>
      </c>
      <c r="J765" s="21" t="n"/>
      <c r="K765" s="20" t="str">
        <f>IF(ISNUMBER(J765),J765,IF(ISNUMBER(F765),G765+H765+I765+ROUND(F765*'参数'!$C$16,2),""))</f>
        <v/>
      </c>
      <c r="L765" s="43" t="str">
        <f>IF(A765="","",IFERROR(T(INDEX('交易记录'!$C$5:$C$304,MATCH(A765,'交易记录'!$A$5:$A$304,0))),"编号没找到"))</f>
        <v/>
      </c>
      <c r="M765" s="57" t="str">
        <f>IF(AND(C765="买",ISNUMBER(B765)),WORKDAY(B765,1,'参数'!$B$58:$B$80),"")</f>
        <v/>
      </c>
      <c r="N765" s="36" t="str">
        <f>IF(C765&lt;&gt;"卖","",IF(AND(ISNUMBER(B765),A765&lt;&gt;""),IF(SUMIFS($E$5:$E$804,$A$5:$A$804,A765,$C$5:$C$804,"卖",$B$5:$B$804,"&lt;="&amp;B765)&gt;SUMIFS($E$5:$E$804,$A$5:$A$804,A765,$C$5:$C$804,"买",$B$5:$B$804,"&lt;"&amp;B765),"超出可卖股数","OK"),""))</f>
        <v/>
      </c>
      <c r="O765" s="32" t="n"/>
    </row>
    <row r="766">
      <c r="A766" s="46" t="n"/>
      <c r="B766" s="31" t="n"/>
      <c r="C766" s="27" t="n"/>
      <c r="D766" s="56" t="n"/>
      <c r="E766" s="17" t="n"/>
      <c r="F766" s="20" t="str">
        <f>IF(AND(ISNUMBER(D766),ISNUMBER(E766)),D766*E766,"")</f>
        <v/>
      </c>
      <c r="G766" s="51" t="str">
        <f>IF(ISNUMBER(F766),ROUND(MAX(F766*'参数'!$C$12,'参数'!$C$13),2),"")</f>
        <v/>
      </c>
      <c r="H766" s="51" t="str">
        <f>IF(ISNUMBER(F766),IF(C766="卖",ROUND(F766*'参数'!$C$14,2),0),"")</f>
        <v/>
      </c>
      <c r="I766" s="51" t="str">
        <f>IF(ISNUMBER(F766),ROUND(F766*'参数'!$C$15,2),"")</f>
        <v/>
      </c>
      <c r="J766" s="21" t="n"/>
      <c r="K766" s="20" t="str">
        <f>IF(ISNUMBER(J766),J766,IF(ISNUMBER(F766),G766+H766+I766+ROUND(F766*'参数'!$C$16,2),""))</f>
        <v/>
      </c>
      <c r="L766" s="43" t="str">
        <f>IF(A766="","",IFERROR(T(INDEX('交易记录'!$C$5:$C$304,MATCH(A766,'交易记录'!$A$5:$A$304,0))),"编号没找到"))</f>
        <v/>
      </c>
      <c r="M766" s="57" t="str">
        <f>IF(AND(C766="买",ISNUMBER(B766)),WORKDAY(B766,1,'参数'!$B$58:$B$80),"")</f>
        <v/>
      </c>
      <c r="N766" s="36" t="str">
        <f>IF(C766&lt;&gt;"卖","",IF(AND(ISNUMBER(B766),A766&lt;&gt;""),IF(SUMIFS($E$5:$E$804,$A$5:$A$804,A766,$C$5:$C$804,"卖",$B$5:$B$804,"&lt;="&amp;B766)&gt;SUMIFS($E$5:$E$804,$A$5:$A$804,A766,$C$5:$C$804,"买",$B$5:$B$804,"&lt;"&amp;B766),"超出可卖股数","OK"),""))</f>
        <v/>
      </c>
      <c r="O766" s="32" t="n"/>
    </row>
    <row r="767">
      <c r="A767" s="46" t="n"/>
      <c r="B767" s="31" t="n"/>
      <c r="C767" s="27" t="n"/>
      <c r="D767" s="56" t="n"/>
      <c r="E767" s="17" t="n"/>
      <c r="F767" s="20" t="str">
        <f>IF(AND(ISNUMBER(D767),ISNUMBER(E767)),D767*E767,"")</f>
        <v/>
      </c>
      <c r="G767" s="51" t="str">
        <f>IF(ISNUMBER(F767),ROUND(MAX(F767*'参数'!$C$12,'参数'!$C$13),2),"")</f>
        <v/>
      </c>
      <c r="H767" s="51" t="str">
        <f>IF(ISNUMBER(F767),IF(C767="卖",ROUND(F767*'参数'!$C$14,2),0),"")</f>
        <v/>
      </c>
      <c r="I767" s="51" t="str">
        <f>IF(ISNUMBER(F767),ROUND(F767*'参数'!$C$15,2),"")</f>
        <v/>
      </c>
      <c r="J767" s="21" t="n"/>
      <c r="K767" s="20" t="str">
        <f>IF(ISNUMBER(J767),J767,IF(ISNUMBER(F767),G767+H767+I767+ROUND(F767*'参数'!$C$16,2),""))</f>
        <v/>
      </c>
      <c r="L767" s="43" t="str">
        <f>IF(A767="","",IFERROR(T(INDEX('交易记录'!$C$5:$C$304,MATCH(A767,'交易记录'!$A$5:$A$304,0))),"编号没找到"))</f>
        <v/>
      </c>
      <c r="M767" s="57" t="str">
        <f>IF(AND(C767="买",ISNUMBER(B767)),WORKDAY(B767,1,'参数'!$B$58:$B$80),"")</f>
        <v/>
      </c>
      <c r="N767" s="36" t="str">
        <f>IF(C767&lt;&gt;"卖","",IF(AND(ISNUMBER(B767),A767&lt;&gt;""),IF(SUMIFS($E$5:$E$804,$A$5:$A$804,A767,$C$5:$C$804,"卖",$B$5:$B$804,"&lt;="&amp;B767)&gt;SUMIFS($E$5:$E$804,$A$5:$A$804,A767,$C$5:$C$804,"买",$B$5:$B$804,"&lt;"&amp;B767),"超出可卖股数","OK"),""))</f>
        <v/>
      </c>
      <c r="O767" s="32" t="n"/>
    </row>
    <row r="768">
      <c r="A768" s="46" t="n"/>
      <c r="B768" s="31" t="n"/>
      <c r="C768" s="27" t="n"/>
      <c r="D768" s="56" t="n"/>
      <c r="E768" s="17" t="n"/>
      <c r="F768" s="20" t="str">
        <f>IF(AND(ISNUMBER(D768),ISNUMBER(E768)),D768*E768,"")</f>
        <v/>
      </c>
      <c r="G768" s="51" t="str">
        <f>IF(ISNUMBER(F768),ROUND(MAX(F768*'参数'!$C$12,'参数'!$C$13),2),"")</f>
        <v/>
      </c>
      <c r="H768" s="51" t="str">
        <f>IF(ISNUMBER(F768),IF(C768="卖",ROUND(F768*'参数'!$C$14,2),0),"")</f>
        <v/>
      </c>
      <c r="I768" s="51" t="str">
        <f>IF(ISNUMBER(F768),ROUND(F768*'参数'!$C$15,2),"")</f>
        <v/>
      </c>
      <c r="J768" s="21" t="n"/>
      <c r="K768" s="20" t="str">
        <f>IF(ISNUMBER(J768),J768,IF(ISNUMBER(F768),G768+H768+I768+ROUND(F768*'参数'!$C$16,2),""))</f>
        <v/>
      </c>
      <c r="L768" s="43" t="str">
        <f>IF(A768="","",IFERROR(T(INDEX('交易记录'!$C$5:$C$304,MATCH(A768,'交易记录'!$A$5:$A$304,0))),"编号没找到"))</f>
        <v/>
      </c>
      <c r="M768" s="57" t="str">
        <f>IF(AND(C768="买",ISNUMBER(B768)),WORKDAY(B768,1,'参数'!$B$58:$B$80),"")</f>
        <v/>
      </c>
      <c r="N768" s="36" t="str">
        <f>IF(C768&lt;&gt;"卖","",IF(AND(ISNUMBER(B768),A768&lt;&gt;""),IF(SUMIFS($E$5:$E$804,$A$5:$A$804,A768,$C$5:$C$804,"卖",$B$5:$B$804,"&lt;="&amp;B768)&gt;SUMIFS($E$5:$E$804,$A$5:$A$804,A768,$C$5:$C$804,"买",$B$5:$B$804,"&lt;"&amp;B768),"超出可卖股数","OK"),""))</f>
        <v/>
      </c>
      <c r="O768" s="32" t="n"/>
    </row>
    <row r="769">
      <c r="A769" s="46" t="n"/>
      <c r="B769" s="31" t="n"/>
      <c r="C769" s="27" t="n"/>
      <c r="D769" s="56" t="n"/>
      <c r="E769" s="17" t="n"/>
      <c r="F769" s="20" t="str">
        <f>IF(AND(ISNUMBER(D769),ISNUMBER(E769)),D769*E769,"")</f>
        <v/>
      </c>
      <c r="G769" s="51" t="str">
        <f>IF(ISNUMBER(F769),ROUND(MAX(F769*'参数'!$C$12,'参数'!$C$13),2),"")</f>
        <v/>
      </c>
      <c r="H769" s="51" t="str">
        <f>IF(ISNUMBER(F769),IF(C769="卖",ROUND(F769*'参数'!$C$14,2),0),"")</f>
        <v/>
      </c>
      <c r="I769" s="51" t="str">
        <f>IF(ISNUMBER(F769),ROUND(F769*'参数'!$C$15,2),"")</f>
        <v/>
      </c>
      <c r="J769" s="21" t="n"/>
      <c r="K769" s="20" t="str">
        <f>IF(ISNUMBER(J769),J769,IF(ISNUMBER(F769),G769+H769+I769+ROUND(F769*'参数'!$C$16,2),""))</f>
        <v/>
      </c>
      <c r="L769" s="43" t="str">
        <f>IF(A769="","",IFERROR(T(INDEX('交易记录'!$C$5:$C$304,MATCH(A769,'交易记录'!$A$5:$A$304,0))),"编号没找到"))</f>
        <v/>
      </c>
      <c r="M769" s="57" t="str">
        <f>IF(AND(C769="买",ISNUMBER(B769)),WORKDAY(B769,1,'参数'!$B$58:$B$80),"")</f>
        <v/>
      </c>
      <c r="N769" s="36" t="str">
        <f>IF(C769&lt;&gt;"卖","",IF(AND(ISNUMBER(B769),A769&lt;&gt;""),IF(SUMIFS($E$5:$E$804,$A$5:$A$804,A769,$C$5:$C$804,"卖",$B$5:$B$804,"&lt;="&amp;B769)&gt;SUMIFS($E$5:$E$804,$A$5:$A$804,A769,$C$5:$C$804,"买",$B$5:$B$804,"&lt;"&amp;B769),"超出可卖股数","OK"),""))</f>
        <v/>
      </c>
      <c r="O769" s="32" t="n"/>
    </row>
    <row r="770">
      <c r="A770" s="46" t="n"/>
      <c r="B770" s="31" t="n"/>
      <c r="C770" s="27" t="n"/>
      <c r="D770" s="56" t="n"/>
      <c r="E770" s="17" t="n"/>
      <c r="F770" s="20" t="str">
        <f>IF(AND(ISNUMBER(D770),ISNUMBER(E770)),D770*E770,"")</f>
        <v/>
      </c>
      <c r="G770" s="51" t="str">
        <f>IF(ISNUMBER(F770),ROUND(MAX(F770*'参数'!$C$12,'参数'!$C$13),2),"")</f>
        <v/>
      </c>
      <c r="H770" s="51" t="str">
        <f>IF(ISNUMBER(F770),IF(C770="卖",ROUND(F770*'参数'!$C$14,2),0),"")</f>
        <v/>
      </c>
      <c r="I770" s="51" t="str">
        <f>IF(ISNUMBER(F770),ROUND(F770*'参数'!$C$15,2),"")</f>
        <v/>
      </c>
      <c r="J770" s="21" t="n"/>
      <c r="K770" s="20" t="str">
        <f>IF(ISNUMBER(J770),J770,IF(ISNUMBER(F770),G770+H770+I770+ROUND(F770*'参数'!$C$16,2),""))</f>
        <v/>
      </c>
      <c r="L770" s="43" t="str">
        <f>IF(A770="","",IFERROR(T(INDEX('交易记录'!$C$5:$C$304,MATCH(A770,'交易记录'!$A$5:$A$304,0))),"编号没找到"))</f>
        <v/>
      </c>
      <c r="M770" s="57" t="str">
        <f>IF(AND(C770="买",ISNUMBER(B770)),WORKDAY(B770,1,'参数'!$B$58:$B$80),"")</f>
        <v/>
      </c>
      <c r="N770" s="36" t="str">
        <f>IF(C770&lt;&gt;"卖","",IF(AND(ISNUMBER(B770),A770&lt;&gt;""),IF(SUMIFS($E$5:$E$804,$A$5:$A$804,A770,$C$5:$C$804,"卖",$B$5:$B$804,"&lt;="&amp;B770)&gt;SUMIFS($E$5:$E$804,$A$5:$A$804,A770,$C$5:$C$804,"买",$B$5:$B$804,"&lt;"&amp;B770),"超出可卖股数","OK"),""))</f>
        <v/>
      </c>
      <c r="O770" s="32" t="n"/>
    </row>
    <row r="771">
      <c r="A771" s="46" t="n"/>
      <c r="B771" s="31" t="n"/>
      <c r="C771" s="27" t="n"/>
      <c r="D771" s="56" t="n"/>
      <c r="E771" s="17" t="n"/>
      <c r="F771" s="20" t="str">
        <f>IF(AND(ISNUMBER(D771),ISNUMBER(E771)),D771*E771,"")</f>
        <v/>
      </c>
      <c r="G771" s="51" t="str">
        <f>IF(ISNUMBER(F771),ROUND(MAX(F771*'参数'!$C$12,'参数'!$C$13),2),"")</f>
        <v/>
      </c>
      <c r="H771" s="51" t="str">
        <f>IF(ISNUMBER(F771),IF(C771="卖",ROUND(F771*'参数'!$C$14,2),0),"")</f>
        <v/>
      </c>
      <c r="I771" s="51" t="str">
        <f>IF(ISNUMBER(F771),ROUND(F771*'参数'!$C$15,2),"")</f>
        <v/>
      </c>
      <c r="J771" s="21" t="n"/>
      <c r="K771" s="20" t="str">
        <f>IF(ISNUMBER(J771),J771,IF(ISNUMBER(F771),G771+H771+I771+ROUND(F771*'参数'!$C$16,2),""))</f>
        <v/>
      </c>
      <c r="L771" s="43" t="str">
        <f>IF(A771="","",IFERROR(T(INDEX('交易记录'!$C$5:$C$304,MATCH(A771,'交易记录'!$A$5:$A$304,0))),"编号没找到"))</f>
        <v/>
      </c>
      <c r="M771" s="57" t="str">
        <f>IF(AND(C771="买",ISNUMBER(B771)),WORKDAY(B771,1,'参数'!$B$58:$B$80),"")</f>
        <v/>
      </c>
      <c r="N771" s="36" t="str">
        <f>IF(C771&lt;&gt;"卖","",IF(AND(ISNUMBER(B771),A771&lt;&gt;""),IF(SUMIFS($E$5:$E$804,$A$5:$A$804,A771,$C$5:$C$804,"卖",$B$5:$B$804,"&lt;="&amp;B771)&gt;SUMIFS($E$5:$E$804,$A$5:$A$804,A771,$C$5:$C$804,"买",$B$5:$B$804,"&lt;"&amp;B771),"超出可卖股数","OK"),""))</f>
        <v/>
      </c>
      <c r="O771" s="32" t="n"/>
    </row>
    <row r="772">
      <c r="A772" s="46" t="n"/>
      <c r="B772" s="31" t="n"/>
      <c r="C772" s="27" t="n"/>
      <c r="D772" s="56" t="n"/>
      <c r="E772" s="17" t="n"/>
      <c r="F772" s="20" t="str">
        <f>IF(AND(ISNUMBER(D772),ISNUMBER(E772)),D772*E772,"")</f>
        <v/>
      </c>
      <c r="G772" s="51" t="str">
        <f>IF(ISNUMBER(F772),ROUND(MAX(F772*'参数'!$C$12,'参数'!$C$13),2),"")</f>
        <v/>
      </c>
      <c r="H772" s="51" t="str">
        <f>IF(ISNUMBER(F772),IF(C772="卖",ROUND(F772*'参数'!$C$14,2),0),"")</f>
        <v/>
      </c>
      <c r="I772" s="51" t="str">
        <f>IF(ISNUMBER(F772),ROUND(F772*'参数'!$C$15,2),"")</f>
        <v/>
      </c>
      <c r="J772" s="21" t="n"/>
      <c r="K772" s="20" t="str">
        <f>IF(ISNUMBER(J772),J772,IF(ISNUMBER(F772),G772+H772+I772+ROUND(F772*'参数'!$C$16,2),""))</f>
        <v/>
      </c>
      <c r="L772" s="43" t="str">
        <f>IF(A772="","",IFERROR(T(INDEX('交易记录'!$C$5:$C$304,MATCH(A772,'交易记录'!$A$5:$A$304,0))),"编号没找到"))</f>
        <v/>
      </c>
      <c r="M772" s="57" t="str">
        <f>IF(AND(C772="买",ISNUMBER(B772)),WORKDAY(B772,1,'参数'!$B$58:$B$80),"")</f>
        <v/>
      </c>
      <c r="N772" s="36" t="str">
        <f>IF(C772&lt;&gt;"卖","",IF(AND(ISNUMBER(B772),A772&lt;&gt;""),IF(SUMIFS($E$5:$E$804,$A$5:$A$804,A772,$C$5:$C$804,"卖",$B$5:$B$804,"&lt;="&amp;B772)&gt;SUMIFS($E$5:$E$804,$A$5:$A$804,A772,$C$5:$C$804,"买",$B$5:$B$804,"&lt;"&amp;B772),"超出可卖股数","OK"),""))</f>
        <v/>
      </c>
      <c r="O772" s="32" t="n"/>
    </row>
    <row r="773">
      <c r="A773" s="46" t="n"/>
      <c r="B773" s="31" t="n"/>
      <c r="C773" s="27" t="n"/>
      <c r="D773" s="56" t="n"/>
      <c r="E773" s="17" t="n"/>
      <c r="F773" s="20" t="str">
        <f>IF(AND(ISNUMBER(D773),ISNUMBER(E773)),D773*E773,"")</f>
        <v/>
      </c>
      <c r="G773" s="51" t="str">
        <f>IF(ISNUMBER(F773),ROUND(MAX(F773*'参数'!$C$12,'参数'!$C$13),2),"")</f>
        <v/>
      </c>
      <c r="H773" s="51" t="str">
        <f>IF(ISNUMBER(F773),IF(C773="卖",ROUND(F773*'参数'!$C$14,2),0),"")</f>
        <v/>
      </c>
      <c r="I773" s="51" t="str">
        <f>IF(ISNUMBER(F773),ROUND(F773*'参数'!$C$15,2),"")</f>
        <v/>
      </c>
      <c r="J773" s="21" t="n"/>
      <c r="K773" s="20" t="str">
        <f>IF(ISNUMBER(J773),J773,IF(ISNUMBER(F773),G773+H773+I773+ROUND(F773*'参数'!$C$16,2),""))</f>
        <v/>
      </c>
      <c r="L773" s="43" t="str">
        <f>IF(A773="","",IFERROR(T(INDEX('交易记录'!$C$5:$C$304,MATCH(A773,'交易记录'!$A$5:$A$304,0))),"编号没找到"))</f>
        <v/>
      </c>
      <c r="M773" s="57" t="str">
        <f>IF(AND(C773="买",ISNUMBER(B773)),WORKDAY(B773,1,'参数'!$B$58:$B$80),"")</f>
        <v/>
      </c>
      <c r="N773" s="36" t="str">
        <f>IF(C773&lt;&gt;"卖","",IF(AND(ISNUMBER(B773),A773&lt;&gt;""),IF(SUMIFS($E$5:$E$804,$A$5:$A$804,A773,$C$5:$C$804,"卖",$B$5:$B$804,"&lt;="&amp;B773)&gt;SUMIFS($E$5:$E$804,$A$5:$A$804,A773,$C$5:$C$804,"买",$B$5:$B$804,"&lt;"&amp;B773),"超出可卖股数","OK"),""))</f>
        <v/>
      </c>
      <c r="O773" s="32" t="n"/>
    </row>
    <row r="774">
      <c r="A774" s="46" t="n"/>
      <c r="B774" s="31" t="n"/>
      <c r="C774" s="27" t="n"/>
      <c r="D774" s="56" t="n"/>
      <c r="E774" s="17" t="n"/>
      <c r="F774" s="20" t="str">
        <f>IF(AND(ISNUMBER(D774),ISNUMBER(E774)),D774*E774,"")</f>
        <v/>
      </c>
      <c r="G774" s="51" t="str">
        <f>IF(ISNUMBER(F774),ROUND(MAX(F774*'参数'!$C$12,'参数'!$C$13),2),"")</f>
        <v/>
      </c>
      <c r="H774" s="51" t="str">
        <f>IF(ISNUMBER(F774),IF(C774="卖",ROUND(F774*'参数'!$C$14,2),0),"")</f>
        <v/>
      </c>
      <c r="I774" s="51" t="str">
        <f>IF(ISNUMBER(F774),ROUND(F774*'参数'!$C$15,2),"")</f>
        <v/>
      </c>
      <c r="J774" s="21" t="n"/>
      <c r="K774" s="20" t="str">
        <f>IF(ISNUMBER(J774),J774,IF(ISNUMBER(F774),G774+H774+I774+ROUND(F774*'参数'!$C$16,2),""))</f>
        <v/>
      </c>
      <c r="L774" s="43" t="str">
        <f>IF(A774="","",IFERROR(T(INDEX('交易记录'!$C$5:$C$304,MATCH(A774,'交易记录'!$A$5:$A$304,0))),"编号没找到"))</f>
        <v/>
      </c>
      <c r="M774" s="57" t="str">
        <f>IF(AND(C774="买",ISNUMBER(B774)),WORKDAY(B774,1,'参数'!$B$58:$B$80),"")</f>
        <v/>
      </c>
      <c r="N774" s="36" t="str">
        <f>IF(C774&lt;&gt;"卖","",IF(AND(ISNUMBER(B774),A774&lt;&gt;""),IF(SUMIFS($E$5:$E$804,$A$5:$A$804,A774,$C$5:$C$804,"卖",$B$5:$B$804,"&lt;="&amp;B774)&gt;SUMIFS($E$5:$E$804,$A$5:$A$804,A774,$C$5:$C$804,"买",$B$5:$B$804,"&lt;"&amp;B774),"超出可卖股数","OK"),""))</f>
        <v/>
      </c>
      <c r="O774" s="32" t="n"/>
    </row>
    <row r="775">
      <c r="A775" s="46" t="n"/>
      <c r="B775" s="31" t="n"/>
      <c r="C775" s="27" t="n"/>
      <c r="D775" s="56" t="n"/>
      <c r="E775" s="17" t="n"/>
      <c r="F775" s="20" t="str">
        <f>IF(AND(ISNUMBER(D775),ISNUMBER(E775)),D775*E775,"")</f>
        <v/>
      </c>
      <c r="G775" s="51" t="str">
        <f>IF(ISNUMBER(F775),ROUND(MAX(F775*'参数'!$C$12,'参数'!$C$13),2),"")</f>
        <v/>
      </c>
      <c r="H775" s="51" t="str">
        <f>IF(ISNUMBER(F775),IF(C775="卖",ROUND(F775*'参数'!$C$14,2),0),"")</f>
        <v/>
      </c>
      <c r="I775" s="51" t="str">
        <f>IF(ISNUMBER(F775),ROUND(F775*'参数'!$C$15,2),"")</f>
        <v/>
      </c>
      <c r="J775" s="21" t="n"/>
      <c r="K775" s="20" t="str">
        <f>IF(ISNUMBER(J775),J775,IF(ISNUMBER(F775),G775+H775+I775+ROUND(F775*'参数'!$C$16,2),""))</f>
        <v/>
      </c>
      <c r="L775" s="43" t="str">
        <f>IF(A775="","",IFERROR(T(INDEX('交易记录'!$C$5:$C$304,MATCH(A775,'交易记录'!$A$5:$A$304,0))),"编号没找到"))</f>
        <v/>
      </c>
      <c r="M775" s="57" t="str">
        <f>IF(AND(C775="买",ISNUMBER(B775)),WORKDAY(B775,1,'参数'!$B$58:$B$80),"")</f>
        <v/>
      </c>
      <c r="N775" s="36" t="str">
        <f>IF(C775&lt;&gt;"卖","",IF(AND(ISNUMBER(B775),A775&lt;&gt;""),IF(SUMIFS($E$5:$E$804,$A$5:$A$804,A775,$C$5:$C$804,"卖",$B$5:$B$804,"&lt;="&amp;B775)&gt;SUMIFS($E$5:$E$804,$A$5:$A$804,A775,$C$5:$C$804,"买",$B$5:$B$804,"&lt;"&amp;B775),"超出可卖股数","OK"),""))</f>
        <v/>
      </c>
      <c r="O775" s="32" t="n"/>
    </row>
    <row r="776">
      <c r="A776" s="46" t="n"/>
      <c r="B776" s="31" t="n"/>
      <c r="C776" s="27" t="n"/>
      <c r="D776" s="56" t="n"/>
      <c r="E776" s="17" t="n"/>
      <c r="F776" s="20" t="str">
        <f>IF(AND(ISNUMBER(D776),ISNUMBER(E776)),D776*E776,"")</f>
        <v/>
      </c>
      <c r="G776" s="51" t="str">
        <f>IF(ISNUMBER(F776),ROUND(MAX(F776*'参数'!$C$12,'参数'!$C$13),2),"")</f>
        <v/>
      </c>
      <c r="H776" s="51" t="str">
        <f>IF(ISNUMBER(F776),IF(C776="卖",ROUND(F776*'参数'!$C$14,2),0),"")</f>
        <v/>
      </c>
      <c r="I776" s="51" t="str">
        <f>IF(ISNUMBER(F776),ROUND(F776*'参数'!$C$15,2),"")</f>
        <v/>
      </c>
      <c r="J776" s="21" t="n"/>
      <c r="K776" s="20" t="str">
        <f>IF(ISNUMBER(J776),J776,IF(ISNUMBER(F776),G776+H776+I776+ROUND(F776*'参数'!$C$16,2),""))</f>
        <v/>
      </c>
      <c r="L776" s="43" t="str">
        <f>IF(A776="","",IFERROR(T(INDEX('交易记录'!$C$5:$C$304,MATCH(A776,'交易记录'!$A$5:$A$304,0))),"编号没找到"))</f>
        <v/>
      </c>
      <c r="M776" s="57" t="str">
        <f>IF(AND(C776="买",ISNUMBER(B776)),WORKDAY(B776,1,'参数'!$B$58:$B$80),"")</f>
        <v/>
      </c>
      <c r="N776" s="36" t="str">
        <f>IF(C776&lt;&gt;"卖","",IF(AND(ISNUMBER(B776),A776&lt;&gt;""),IF(SUMIFS($E$5:$E$804,$A$5:$A$804,A776,$C$5:$C$804,"卖",$B$5:$B$804,"&lt;="&amp;B776)&gt;SUMIFS($E$5:$E$804,$A$5:$A$804,A776,$C$5:$C$804,"买",$B$5:$B$804,"&lt;"&amp;B776),"超出可卖股数","OK"),""))</f>
        <v/>
      </c>
      <c r="O776" s="32" t="n"/>
    </row>
    <row r="777">
      <c r="A777" s="46" t="n"/>
      <c r="B777" s="31" t="n"/>
      <c r="C777" s="27" t="n"/>
      <c r="D777" s="56" t="n"/>
      <c r="E777" s="17" t="n"/>
      <c r="F777" s="20" t="str">
        <f>IF(AND(ISNUMBER(D777),ISNUMBER(E777)),D777*E777,"")</f>
        <v/>
      </c>
      <c r="G777" s="51" t="str">
        <f>IF(ISNUMBER(F777),ROUND(MAX(F777*'参数'!$C$12,'参数'!$C$13),2),"")</f>
        <v/>
      </c>
      <c r="H777" s="51" t="str">
        <f>IF(ISNUMBER(F777),IF(C777="卖",ROUND(F777*'参数'!$C$14,2),0),"")</f>
        <v/>
      </c>
      <c r="I777" s="51" t="str">
        <f>IF(ISNUMBER(F777),ROUND(F777*'参数'!$C$15,2),"")</f>
        <v/>
      </c>
      <c r="J777" s="21" t="n"/>
      <c r="K777" s="20" t="str">
        <f>IF(ISNUMBER(J777),J777,IF(ISNUMBER(F777),G777+H777+I777+ROUND(F777*'参数'!$C$16,2),""))</f>
        <v/>
      </c>
      <c r="L777" s="43" t="str">
        <f>IF(A777="","",IFERROR(T(INDEX('交易记录'!$C$5:$C$304,MATCH(A777,'交易记录'!$A$5:$A$304,0))),"编号没找到"))</f>
        <v/>
      </c>
      <c r="M777" s="57" t="str">
        <f>IF(AND(C777="买",ISNUMBER(B777)),WORKDAY(B777,1,'参数'!$B$58:$B$80),"")</f>
        <v/>
      </c>
      <c r="N777" s="36" t="str">
        <f>IF(C777&lt;&gt;"卖","",IF(AND(ISNUMBER(B777),A777&lt;&gt;""),IF(SUMIFS($E$5:$E$804,$A$5:$A$804,A777,$C$5:$C$804,"卖",$B$5:$B$804,"&lt;="&amp;B777)&gt;SUMIFS($E$5:$E$804,$A$5:$A$804,A777,$C$5:$C$804,"买",$B$5:$B$804,"&lt;"&amp;B777),"超出可卖股数","OK"),""))</f>
        <v/>
      </c>
      <c r="O777" s="32" t="n"/>
    </row>
    <row r="778">
      <c r="A778" s="46" t="n"/>
      <c r="B778" s="31" t="n"/>
      <c r="C778" s="27" t="n"/>
      <c r="D778" s="56" t="n"/>
      <c r="E778" s="17" t="n"/>
      <c r="F778" s="20" t="str">
        <f>IF(AND(ISNUMBER(D778),ISNUMBER(E778)),D778*E778,"")</f>
        <v/>
      </c>
      <c r="G778" s="51" t="str">
        <f>IF(ISNUMBER(F778),ROUND(MAX(F778*'参数'!$C$12,'参数'!$C$13),2),"")</f>
        <v/>
      </c>
      <c r="H778" s="51" t="str">
        <f>IF(ISNUMBER(F778),IF(C778="卖",ROUND(F778*'参数'!$C$14,2),0),"")</f>
        <v/>
      </c>
      <c r="I778" s="51" t="str">
        <f>IF(ISNUMBER(F778),ROUND(F778*'参数'!$C$15,2),"")</f>
        <v/>
      </c>
      <c r="J778" s="21" t="n"/>
      <c r="K778" s="20" t="str">
        <f>IF(ISNUMBER(J778),J778,IF(ISNUMBER(F778),G778+H778+I778+ROUND(F778*'参数'!$C$16,2),""))</f>
        <v/>
      </c>
      <c r="L778" s="43" t="str">
        <f>IF(A778="","",IFERROR(T(INDEX('交易记录'!$C$5:$C$304,MATCH(A778,'交易记录'!$A$5:$A$304,0))),"编号没找到"))</f>
        <v/>
      </c>
      <c r="M778" s="57" t="str">
        <f>IF(AND(C778="买",ISNUMBER(B778)),WORKDAY(B778,1,'参数'!$B$58:$B$80),"")</f>
        <v/>
      </c>
      <c r="N778" s="36" t="str">
        <f>IF(C778&lt;&gt;"卖","",IF(AND(ISNUMBER(B778),A778&lt;&gt;""),IF(SUMIFS($E$5:$E$804,$A$5:$A$804,A778,$C$5:$C$804,"卖",$B$5:$B$804,"&lt;="&amp;B778)&gt;SUMIFS($E$5:$E$804,$A$5:$A$804,A778,$C$5:$C$804,"买",$B$5:$B$804,"&lt;"&amp;B778),"超出可卖股数","OK"),""))</f>
        <v/>
      </c>
      <c r="O778" s="32" t="n"/>
    </row>
    <row r="779">
      <c r="A779" s="46" t="n"/>
      <c r="B779" s="31" t="n"/>
      <c r="C779" s="27" t="n"/>
      <c r="D779" s="56" t="n"/>
      <c r="E779" s="17" t="n"/>
      <c r="F779" s="20" t="str">
        <f>IF(AND(ISNUMBER(D779),ISNUMBER(E779)),D779*E779,"")</f>
        <v/>
      </c>
      <c r="G779" s="51" t="str">
        <f>IF(ISNUMBER(F779),ROUND(MAX(F779*'参数'!$C$12,'参数'!$C$13),2),"")</f>
        <v/>
      </c>
      <c r="H779" s="51" t="str">
        <f>IF(ISNUMBER(F779),IF(C779="卖",ROUND(F779*'参数'!$C$14,2),0),"")</f>
        <v/>
      </c>
      <c r="I779" s="51" t="str">
        <f>IF(ISNUMBER(F779),ROUND(F779*'参数'!$C$15,2),"")</f>
        <v/>
      </c>
      <c r="J779" s="21" t="n"/>
      <c r="K779" s="20" t="str">
        <f>IF(ISNUMBER(J779),J779,IF(ISNUMBER(F779),G779+H779+I779+ROUND(F779*'参数'!$C$16,2),""))</f>
        <v/>
      </c>
      <c r="L779" s="43" t="str">
        <f>IF(A779="","",IFERROR(T(INDEX('交易记录'!$C$5:$C$304,MATCH(A779,'交易记录'!$A$5:$A$304,0))),"编号没找到"))</f>
        <v/>
      </c>
      <c r="M779" s="57" t="str">
        <f>IF(AND(C779="买",ISNUMBER(B779)),WORKDAY(B779,1,'参数'!$B$58:$B$80),"")</f>
        <v/>
      </c>
      <c r="N779" s="36" t="str">
        <f>IF(C779&lt;&gt;"卖","",IF(AND(ISNUMBER(B779),A779&lt;&gt;""),IF(SUMIFS($E$5:$E$804,$A$5:$A$804,A779,$C$5:$C$804,"卖",$B$5:$B$804,"&lt;="&amp;B779)&gt;SUMIFS($E$5:$E$804,$A$5:$A$804,A779,$C$5:$C$804,"买",$B$5:$B$804,"&lt;"&amp;B779),"超出可卖股数","OK"),""))</f>
        <v/>
      </c>
      <c r="O779" s="32" t="n"/>
    </row>
    <row r="780">
      <c r="A780" s="46" t="n"/>
      <c r="B780" s="31" t="n"/>
      <c r="C780" s="27" t="n"/>
      <c r="D780" s="56" t="n"/>
      <c r="E780" s="17" t="n"/>
      <c r="F780" s="20" t="str">
        <f>IF(AND(ISNUMBER(D780),ISNUMBER(E780)),D780*E780,"")</f>
        <v/>
      </c>
      <c r="G780" s="51" t="str">
        <f>IF(ISNUMBER(F780),ROUND(MAX(F780*'参数'!$C$12,'参数'!$C$13),2),"")</f>
        <v/>
      </c>
      <c r="H780" s="51" t="str">
        <f>IF(ISNUMBER(F780),IF(C780="卖",ROUND(F780*'参数'!$C$14,2),0),"")</f>
        <v/>
      </c>
      <c r="I780" s="51" t="str">
        <f>IF(ISNUMBER(F780),ROUND(F780*'参数'!$C$15,2),"")</f>
        <v/>
      </c>
      <c r="J780" s="21" t="n"/>
      <c r="K780" s="20" t="str">
        <f>IF(ISNUMBER(J780),J780,IF(ISNUMBER(F780),G780+H780+I780+ROUND(F780*'参数'!$C$16,2),""))</f>
        <v/>
      </c>
      <c r="L780" s="43" t="str">
        <f>IF(A780="","",IFERROR(T(INDEX('交易记录'!$C$5:$C$304,MATCH(A780,'交易记录'!$A$5:$A$304,0))),"编号没找到"))</f>
        <v/>
      </c>
      <c r="M780" s="57" t="str">
        <f>IF(AND(C780="买",ISNUMBER(B780)),WORKDAY(B780,1,'参数'!$B$58:$B$80),"")</f>
        <v/>
      </c>
      <c r="N780" s="36" t="str">
        <f>IF(C780&lt;&gt;"卖","",IF(AND(ISNUMBER(B780),A780&lt;&gt;""),IF(SUMIFS($E$5:$E$804,$A$5:$A$804,A780,$C$5:$C$804,"卖",$B$5:$B$804,"&lt;="&amp;B780)&gt;SUMIFS($E$5:$E$804,$A$5:$A$804,A780,$C$5:$C$804,"买",$B$5:$B$804,"&lt;"&amp;B780),"超出可卖股数","OK"),""))</f>
        <v/>
      </c>
      <c r="O780" s="32" t="n"/>
    </row>
    <row r="781">
      <c r="A781" s="46" t="n"/>
      <c r="B781" s="31" t="n"/>
      <c r="C781" s="27" t="n"/>
      <c r="D781" s="56" t="n"/>
      <c r="E781" s="17" t="n"/>
      <c r="F781" s="20" t="str">
        <f>IF(AND(ISNUMBER(D781),ISNUMBER(E781)),D781*E781,"")</f>
        <v/>
      </c>
      <c r="G781" s="51" t="str">
        <f>IF(ISNUMBER(F781),ROUND(MAX(F781*'参数'!$C$12,'参数'!$C$13),2),"")</f>
        <v/>
      </c>
      <c r="H781" s="51" t="str">
        <f>IF(ISNUMBER(F781),IF(C781="卖",ROUND(F781*'参数'!$C$14,2),0),"")</f>
        <v/>
      </c>
      <c r="I781" s="51" t="str">
        <f>IF(ISNUMBER(F781),ROUND(F781*'参数'!$C$15,2),"")</f>
        <v/>
      </c>
      <c r="J781" s="21" t="n"/>
      <c r="K781" s="20" t="str">
        <f>IF(ISNUMBER(J781),J781,IF(ISNUMBER(F781),G781+H781+I781+ROUND(F781*'参数'!$C$16,2),""))</f>
        <v/>
      </c>
      <c r="L781" s="43" t="str">
        <f>IF(A781="","",IFERROR(T(INDEX('交易记录'!$C$5:$C$304,MATCH(A781,'交易记录'!$A$5:$A$304,0))),"编号没找到"))</f>
        <v/>
      </c>
      <c r="M781" s="57" t="str">
        <f>IF(AND(C781="买",ISNUMBER(B781)),WORKDAY(B781,1,'参数'!$B$58:$B$80),"")</f>
        <v/>
      </c>
      <c r="N781" s="36" t="str">
        <f>IF(C781&lt;&gt;"卖","",IF(AND(ISNUMBER(B781),A781&lt;&gt;""),IF(SUMIFS($E$5:$E$804,$A$5:$A$804,A781,$C$5:$C$804,"卖",$B$5:$B$804,"&lt;="&amp;B781)&gt;SUMIFS($E$5:$E$804,$A$5:$A$804,A781,$C$5:$C$804,"买",$B$5:$B$804,"&lt;"&amp;B781),"超出可卖股数","OK"),""))</f>
        <v/>
      </c>
      <c r="O781" s="32" t="n"/>
    </row>
    <row r="782">
      <c r="A782" s="46" t="n"/>
      <c r="B782" s="31" t="n"/>
      <c r="C782" s="27" t="n"/>
      <c r="D782" s="56" t="n"/>
      <c r="E782" s="17" t="n"/>
      <c r="F782" s="20" t="str">
        <f>IF(AND(ISNUMBER(D782),ISNUMBER(E782)),D782*E782,"")</f>
        <v/>
      </c>
      <c r="G782" s="51" t="str">
        <f>IF(ISNUMBER(F782),ROUND(MAX(F782*'参数'!$C$12,'参数'!$C$13),2),"")</f>
        <v/>
      </c>
      <c r="H782" s="51" t="str">
        <f>IF(ISNUMBER(F782),IF(C782="卖",ROUND(F782*'参数'!$C$14,2),0),"")</f>
        <v/>
      </c>
      <c r="I782" s="51" t="str">
        <f>IF(ISNUMBER(F782),ROUND(F782*'参数'!$C$15,2),"")</f>
        <v/>
      </c>
      <c r="J782" s="21" t="n"/>
      <c r="K782" s="20" t="str">
        <f>IF(ISNUMBER(J782),J782,IF(ISNUMBER(F782),G782+H782+I782+ROUND(F782*'参数'!$C$16,2),""))</f>
        <v/>
      </c>
      <c r="L782" s="43" t="str">
        <f>IF(A782="","",IFERROR(T(INDEX('交易记录'!$C$5:$C$304,MATCH(A782,'交易记录'!$A$5:$A$304,0))),"编号没找到"))</f>
        <v/>
      </c>
      <c r="M782" s="57" t="str">
        <f>IF(AND(C782="买",ISNUMBER(B782)),WORKDAY(B782,1,'参数'!$B$58:$B$80),"")</f>
        <v/>
      </c>
      <c r="N782" s="36" t="str">
        <f>IF(C782&lt;&gt;"卖","",IF(AND(ISNUMBER(B782),A782&lt;&gt;""),IF(SUMIFS($E$5:$E$804,$A$5:$A$804,A782,$C$5:$C$804,"卖",$B$5:$B$804,"&lt;="&amp;B782)&gt;SUMIFS($E$5:$E$804,$A$5:$A$804,A782,$C$5:$C$804,"买",$B$5:$B$804,"&lt;"&amp;B782),"超出可卖股数","OK"),""))</f>
        <v/>
      </c>
      <c r="O782" s="32" t="n"/>
    </row>
    <row r="783">
      <c r="A783" s="46" t="n"/>
      <c r="B783" s="31" t="n"/>
      <c r="C783" s="27" t="n"/>
      <c r="D783" s="56" t="n"/>
      <c r="E783" s="17" t="n"/>
      <c r="F783" s="20" t="str">
        <f>IF(AND(ISNUMBER(D783),ISNUMBER(E783)),D783*E783,"")</f>
        <v/>
      </c>
      <c r="G783" s="51" t="str">
        <f>IF(ISNUMBER(F783),ROUND(MAX(F783*'参数'!$C$12,'参数'!$C$13),2),"")</f>
        <v/>
      </c>
      <c r="H783" s="51" t="str">
        <f>IF(ISNUMBER(F783),IF(C783="卖",ROUND(F783*'参数'!$C$14,2),0),"")</f>
        <v/>
      </c>
      <c r="I783" s="51" t="str">
        <f>IF(ISNUMBER(F783),ROUND(F783*'参数'!$C$15,2),"")</f>
        <v/>
      </c>
      <c r="J783" s="21" t="n"/>
      <c r="K783" s="20" t="str">
        <f>IF(ISNUMBER(J783),J783,IF(ISNUMBER(F783),G783+H783+I783+ROUND(F783*'参数'!$C$16,2),""))</f>
        <v/>
      </c>
      <c r="L783" s="43" t="str">
        <f>IF(A783="","",IFERROR(T(INDEX('交易记录'!$C$5:$C$304,MATCH(A783,'交易记录'!$A$5:$A$304,0))),"编号没找到"))</f>
        <v/>
      </c>
      <c r="M783" s="57" t="str">
        <f>IF(AND(C783="买",ISNUMBER(B783)),WORKDAY(B783,1,'参数'!$B$58:$B$80),"")</f>
        <v/>
      </c>
      <c r="N783" s="36" t="str">
        <f>IF(C783&lt;&gt;"卖","",IF(AND(ISNUMBER(B783),A783&lt;&gt;""),IF(SUMIFS($E$5:$E$804,$A$5:$A$804,A783,$C$5:$C$804,"卖",$B$5:$B$804,"&lt;="&amp;B783)&gt;SUMIFS($E$5:$E$804,$A$5:$A$804,A783,$C$5:$C$804,"买",$B$5:$B$804,"&lt;"&amp;B783),"超出可卖股数","OK"),""))</f>
        <v/>
      </c>
      <c r="O783" s="32" t="n"/>
    </row>
    <row r="784">
      <c r="A784" s="46" t="n"/>
      <c r="B784" s="31" t="n"/>
      <c r="C784" s="27" t="n"/>
      <c r="D784" s="56" t="n"/>
      <c r="E784" s="17" t="n"/>
      <c r="F784" s="20" t="str">
        <f>IF(AND(ISNUMBER(D784),ISNUMBER(E784)),D784*E784,"")</f>
        <v/>
      </c>
      <c r="G784" s="51" t="str">
        <f>IF(ISNUMBER(F784),ROUND(MAX(F784*'参数'!$C$12,'参数'!$C$13),2),"")</f>
        <v/>
      </c>
      <c r="H784" s="51" t="str">
        <f>IF(ISNUMBER(F784),IF(C784="卖",ROUND(F784*'参数'!$C$14,2),0),"")</f>
        <v/>
      </c>
      <c r="I784" s="51" t="str">
        <f>IF(ISNUMBER(F784),ROUND(F784*'参数'!$C$15,2),"")</f>
        <v/>
      </c>
      <c r="J784" s="21" t="n"/>
      <c r="K784" s="20" t="str">
        <f>IF(ISNUMBER(J784),J784,IF(ISNUMBER(F784),G784+H784+I784+ROUND(F784*'参数'!$C$16,2),""))</f>
        <v/>
      </c>
      <c r="L784" s="43" t="str">
        <f>IF(A784="","",IFERROR(T(INDEX('交易记录'!$C$5:$C$304,MATCH(A784,'交易记录'!$A$5:$A$304,0))),"编号没找到"))</f>
        <v/>
      </c>
      <c r="M784" s="57" t="str">
        <f>IF(AND(C784="买",ISNUMBER(B784)),WORKDAY(B784,1,'参数'!$B$58:$B$80),"")</f>
        <v/>
      </c>
      <c r="N784" s="36" t="str">
        <f>IF(C784&lt;&gt;"卖","",IF(AND(ISNUMBER(B784),A784&lt;&gt;""),IF(SUMIFS($E$5:$E$804,$A$5:$A$804,A784,$C$5:$C$804,"卖",$B$5:$B$804,"&lt;="&amp;B784)&gt;SUMIFS($E$5:$E$804,$A$5:$A$804,A784,$C$5:$C$804,"买",$B$5:$B$804,"&lt;"&amp;B784),"超出可卖股数","OK"),""))</f>
        <v/>
      </c>
      <c r="O784" s="32" t="n"/>
    </row>
    <row r="785">
      <c r="A785" s="46" t="n"/>
      <c r="B785" s="31" t="n"/>
      <c r="C785" s="27" t="n"/>
      <c r="D785" s="56" t="n"/>
      <c r="E785" s="17" t="n"/>
      <c r="F785" s="20" t="str">
        <f>IF(AND(ISNUMBER(D785),ISNUMBER(E785)),D785*E785,"")</f>
        <v/>
      </c>
      <c r="G785" s="51" t="str">
        <f>IF(ISNUMBER(F785),ROUND(MAX(F785*'参数'!$C$12,'参数'!$C$13),2),"")</f>
        <v/>
      </c>
      <c r="H785" s="51" t="str">
        <f>IF(ISNUMBER(F785),IF(C785="卖",ROUND(F785*'参数'!$C$14,2),0),"")</f>
        <v/>
      </c>
      <c r="I785" s="51" t="str">
        <f>IF(ISNUMBER(F785),ROUND(F785*'参数'!$C$15,2),"")</f>
        <v/>
      </c>
      <c r="J785" s="21" t="n"/>
      <c r="K785" s="20" t="str">
        <f>IF(ISNUMBER(J785),J785,IF(ISNUMBER(F785),G785+H785+I785+ROUND(F785*'参数'!$C$16,2),""))</f>
        <v/>
      </c>
      <c r="L785" s="43" t="str">
        <f>IF(A785="","",IFERROR(T(INDEX('交易记录'!$C$5:$C$304,MATCH(A785,'交易记录'!$A$5:$A$304,0))),"编号没找到"))</f>
        <v/>
      </c>
      <c r="M785" s="57" t="str">
        <f>IF(AND(C785="买",ISNUMBER(B785)),WORKDAY(B785,1,'参数'!$B$58:$B$80),"")</f>
        <v/>
      </c>
      <c r="N785" s="36" t="str">
        <f>IF(C785&lt;&gt;"卖","",IF(AND(ISNUMBER(B785),A785&lt;&gt;""),IF(SUMIFS($E$5:$E$804,$A$5:$A$804,A785,$C$5:$C$804,"卖",$B$5:$B$804,"&lt;="&amp;B785)&gt;SUMIFS($E$5:$E$804,$A$5:$A$804,A785,$C$5:$C$804,"买",$B$5:$B$804,"&lt;"&amp;B785),"超出可卖股数","OK"),""))</f>
        <v/>
      </c>
      <c r="O785" s="32" t="n"/>
    </row>
    <row r="786">
      <c r="A786" s="46" t="n"/>
      <c r="B786" s="31" t="n"/>
      <c r="C786" s="27" t="n"/>
      <c r="D786" s="56" t="n"/>
      <c r="E786" s="17" t="n"/>
      <c r="F786" s="20" t="str">
        <f>IF(AND(ISNUMBER(D786),ISNUMBER(E786)),D786*E786,"")</f>
        <v/>
      </c>
      <c r="G786" s="51" t="str">
        <f>IF(ISNUMBER(F786),ROUND(MAX(F786*'参数'!$C$12,'参数'!$C$13),2),"")</f>
        <v/>
      </c>
      <c r="H786" s="51" t="str">
        <f>IF(ISNUMBER(F786),IF(C786="卖",ROUND(F786*'参数'!$C$14,2),0),"")</f>
        <v/>
      </c>
      <c r="I786" s="51" t="str">
        <f>IF(ISNUMBER(F786),ROUND(F786*'参数'!$C$15,2),"")</f>
        <v/>
      </c>
      <c r="J786" s="21" t="n"/>
      <c r="K786" s="20" t="str">
        <f>IF(ISNUMBER(J786),J786,IF(ISNUMBER(F786),G786+H786+I786+ROUND(F786*'参数'!$C$16,2),""))</f>
        <v/>
      </c>
      <c r="L786" s="43" t="str">
        <f>IF(A786="","",IFERROR(T(INDEX('交易记录'!$C$5:$C$304,MATCH(A786,'交易记录'!$A$5:$A$304,0))),"编号没找到"))</f>
        <v/>
      </c>
      <c r="M786" s="57" t="str">
        <f>IF(AND(C786="买",ISNUMBER(B786)),WORKDAY(B786,1,'参数'!$B$58:$B$80),"")</f>
        <v/>
      </c>
      <c r="N786" s="36" t="str">
        <f>IF(C786&lt;&gt;"卖","",IF(AND(ISNUMBER(B786),A786&lt;&gt;""),IF(SUMIFS($E$5:$E$804,$A$5:$A$804,A786,$C$5:$C$804,"卖",$B$5:$B$804,"&lt;="&amp;B786)&gt;SUMIFS($E$5:$E$804,$A$5:$A$804,A786,$C$5:$C$804,"买",$B$5:$B$804,"&lt;"&amp;B786),"超出可卖股数","OK"),""))</f>
        <v/>
      </c>
      <c r="O786" s="32" t="n"/>
    </row>
    <row r="787">
      <c r="A787" s="46" t="n"/>
      <c r="B787" s="31" t="n"/>
      <c r="C787" s="27" t="n"/>
      <c r="D787" s="56" t="n"/>
      <c r="E787" s="17" t="n"/>
      <c r="F787" s="20" t="str">
        <f>IF(AND(ISNUMBER(D787),ISNUMBER(E787)),D787*E787,"")</f>
        <v/>
      </c>
      <c r="G787" s="51" t="str">
        <f>IF(ISNUMBER(F787),ROUND(MAX(F787*'参数'!$C$12,'参数'!$C$13),2),"")</f>
        <v/>
      </c>
      <c r="H787" s="51" t="str">
        <f>IF(ISNUMBER(F787),IF(C787="卖",ROUND(F787*'参数'!$C$14,2),0),"")</f>
        <v/>
      </c>
      <c r="I787" s="51" t="str">
        <f>IF(ISNUMBER(F787),ROUND(F787*'参数'!$C$15,2),"")</f>
        <v/>
      </c>
      <c r="J787" s="21" t="n"/>
      <c r="K787" s="20" t="str">
        <f>IF(ISNUMBER(J787),J787,IF(ISNUMBER(F787),G787+H787+I787+ROUND(F787*'参数'!$C$16,2),""))</f>
        <v/>
      </c>
      <c r="L787" s="43" t="str">
        <f>IF(A787="","",IFERROR(T(INDEX('交易记录'!$C$5:$C$304,MATCH(A787,'交易记录'!$A$5:$A$304,0))),"编号没找到"))</f>
        <v/>
      </c>
      <c r="M787" s="57" t="str">
        <f>IF(AND(C787="买",ISNUMBER(B787)),WORKDAY(B787,1,'参数'!$B$58:$B$80),"")</f>
        <v/>
      </c>
      <c r="N787" s="36" t="str">
        <f>IF(C787&lt;&gt;"卖","",IF(AND(ISNUMBER(B787),A787&lt;&gt;""),IF(SUMIFS($E$5:$E$804,$A$5:$A$804,A787,$C$5:$C$804,"卖",$B$5:$B$804,"&lt;="&amp;B787)&gt;SUMIFS($E$5:$E$804,$A$5:$A$804,A787,$C$5:$C$804,"买",$B$5:$B$804,"&lt;"&amp;B787),"超出可卖股数","OK"),""))</f>
        <v/>
      </c>
      <c r="O787" s="32" t="n"/>
    </row>
    <row r="788">
      <c r="A788" s="46" t="n"/>
      <c r="B788" s="31" t="n"/>
      <c r="C788" s="27" t="n"/>
      <c r="D788" s="56" t="n"/>
      <c r="E788" s="17" t="n"/>
      <c r="F788" s="20" t="str">
        <f>IF(AND(ISNUMBER(D788),ISNUMBER(E788)),D788*E788,"")</f>
        <v/>
      </c>
      <c r="G788" s="51" t="str">
        <f>IF(ISNUMBER(F788),ROUND(MAX(F788*'参数'!$C$12,'参数'!$C$13),2),"")</f>
        <v/>
      </c>
      <c r="H788" s="51" t="str">
        <f>IF(ISNUMBER(F788),IF(C788="卖",ROUND(F788*'参数'!$C$14,2),0),"")</f>
        <v/>
      </c>
      <c r="I788" s="51" t="str">
        <f>IF(ISNUMBER(F788),ROUND(F788*'参数'!$C$15,2),"")</f>
        <v/>
      </c>
      <c r="J788" s="21" t="n"/>
      <c r="K788" s="20" t="str">
        <f>IF(ISNUMBER(J788),J788,IF(ISNUMBER(F788),G788+H788+I788+ROUND(F788*'参数'!$C$16,2),""))</f>
        <v/>
      </c>
      <c r="L788" s="43" t="str">
        <f>IF(A788="","",IFERROR(T(INDEX('交易记录'!$C$5:$C$304,MATCH(A788,'交易记录'!$A$5:$A$304,0))),"编号没找到"))</f>
        <v/>
      </c>
      <c r="M788" s="57" t="str">
        <f>IF(AND(C788="买",ISNUMBER(B788)),WORKDAY(B788,1,'参数'!$B$58:$B$80),"")</f>
        <v/>
      </c>
      <c r="N788" s="36" t="str">
        <f>IF(C788&lt;&gt;"卖","",IF(AND(ISNUMBER(B788),A788&lt;&gt;""),IF(SUMIFS($E$5:$E$804,$A$5:$A$804,A788,$C$5:$C$804,"卖",$B$5:$B$804,"&lt;="&amp;B788)&gt;SUMIFS($E$5:$E$804,$A$5:$A$804,A788,$C$5:$C$804,"买",$B$5:$B$804,"&lt;"&amp;B788),"超出可卖股数","OK"),""))</f>
        <v/>
      </c>
      <c r="O788" s="32" t="n"/>
    </row>
    <row r="789">
      <c r="A789" s="46" t="n"/>
      <c r="B789" s="31" t="n"/>
      <c r="C789" s="27" t="n"/>
      <c r="D789" s="56" t="n"/>
      <c r="E789" s="17" t="n"/>
      <c r="F789" s="20" t="str">
        <f>IF(AND(ISNUMBER(D789),ISNUMBER(E789)),D789*E789,"")</f>
        <v/>
      </c>
      <c r="G789" s="51" t="str">
        <f>IF(ISNUMBER(F789),ROUND(MAX(F789*'参数'!$C$12,'参数'!$C$13),2),"")</f>
        <v/>
      </c>
      <c r="H789" s="51" t="str">
        <f>IF(ISNUMBER(F789),IF(C789="卖",ROUND(F789*'参数'!$C$14,2),0),"")</f>
        <v/>
      </c>
      <c r="I789" s="51" t="str">
        <f>IF(ISNUMBER(F789),ROUND(F789*'参数'!$C$15,2),"")</f>
        <v/>
      </c>
      <c r="J789" s="21" t="n"/>
      <c r="K789" s="20" t="str">
        <f>IF(ISNUMBER(J789),J789,IF(ISNUMBER(F789),G789+H789+I789+ROUND(F789*'参数'!$C$16,2),""))</f>
        <v/>
      </c>
      <c r="L789" s="43" t="str">
        <f>IF(A789="","",IFERROR(T(INDEX('交易记录'!$C$5:$C$304,MATCH(A789,'交易记录'!$A$5:$A$304,0))),"编号没找到"))</f>
        <v/>
      </c>
      <c r="M789" s="57" t="str">
        <f>IF(AND(C789="买",ISNUMBER(B789)),WORKDAY(B789,1,'参数'!$B$58:$B$80),"")</f>
        <v/>
      </c>
      <c r="N789" s="36" t="str">
        <f>IF(C789&lt;&gt;"卖","",IF(AND(ISNUMBER(B789),A789&lt;&gt;""),IF(SUMIFS($E$5:$E$804,$A$5:$A$804,A789,$C$5:$C$804,"卖",$B$5:$B$804,"&lt;="&amp;B789)&gt;SUMIFS($E$5:$E$804,$A$5:$A$804,A789,$C$5:$C$804,"买",$B$5:$B$804,"&lt;"&amp;B789),"超出可卖股数","OK"),""))</f>
        <v/>
      </c>
      <c r="O789" s="32" t="n"/>
    </row>
    <row r="790">
      <c r="A790" s="46" t="n"/>
      <c r="B790" s="31" t="n"/>
      <c r="C790" s="27" t="n"/>
      <c r="D790" s="56" t="n"/>
      <c r="E790" s="17" t="n"/>
      <c r="F790" s="20" t="str">
        <f>IF(AND(ISNUMBER(D790),ISNUMBER(E790)),D790*E790,"")</f>
        <v/>
      </c>
      <c r="G790" s="51" t="str">
        <f>IF(ISNUMBER(F790),ROUND(MAX(F790*'参数'!$C$12,'参数'!$C$13),2),"")</f>
        <v/>
      </c>
      <c r="H790" s="51" t="str">
        <f>IF(ISNUMBER(F790),IF(C790="卖",ROUND(F790*'参数'!$C$14,2),0),"")</f>
        <v/>
      </c>
      <c r="I790" s="51" t="str">
        <f>IF(ISNUMBER(F790),ROUND(F790*'参数'!$C$15,2),"")</f>
        <v/>
      </c>
      <c r="J790" s="21" t="n"/>
      <c r="K790" s="20" t="str">
        <f>IF(ISNUMBER(J790),J790,IF(ISNUMBER(F790),G790+H790+I790+ROUND(F790*'参数'!$C$16,2),""))</f>
        <v/>
      </c>
      <c r="L790" s="43" t="str">
        <f>IF(A790="","",IFERROR(T(INDEX('交易记录'!$C$5:$C$304,MATCH(A790,'交易记录'!$A$5:$A$304,0))),"编号没找到"))</f>
        <v/>
      </c>
      <c r="M790" s="57" t="str">
        <f>IF(AND(C790="买",ISNUMBER(B790)),WORKDAY(B790,1,'参数'!$B$58:$B$80),"")</f>
        <v/>
      </c>
      <c r="N790" s="36" t="str">
        <f>IF(C790&lt;&gt;"卖","",IF(AND(ISNUMBER(B790),A790&lt;&gt;""),IF(SUMIFS($E$5:$E$804,$A$5:$A$804,A790,$C$5:$C$804,"卖",$B$5:$B$804,"&lt;="&amp;B790)&gt;SUMIFS($E$5:$E$804,$A$5:$A$804,A790,$C$5:$C$804,"买",$B$5:$B$804,"&lt;"&amp;B790),"超出可卖股数","OK"),""))</f>
        <v/>
      </c>
      <c r="O790" s="32" t="n"/>
    </row>
    <row r="791">
      <c r="A791" s="46" t="n"/>
      <c r="B791" s="31" t="n"/>
      <c r="C791" s="27" t="n"/>
      <c r="D791" s="56" t="n"/>
      <c r="E791" s="17" t="n"/>
      <c r="F791" s="20" t="str">
        <f>IF(AND(ISNUMBER(D791),ISNUMBER(E791)),D791*E791,"")</f>
        <v/>
      </c>
      <c r="G791" s="51" t="str">
        <f>IF(ISNUMBER(F791),ROUND(MAX(F791*'参数'!$C$12,'参数'!$C$13),2),"")</f>
        <v/>
      </c>
      <c r="H791" s="51" t="str">
        <f>IF(ISNUMBER(F791),IF(C791="卖",ROUND(F791*'参数'!$C$14,2),0),"")</f>
        <v/>
      </c>
      <c r="I791" s="51" t="str">
        <f>IF(ISNUMBER(F791),ROUND(F791*'参数'!$C$15,2),"")</f>
        <v/>
      </c>
      <c r="J791" s="21" t="n"/>
      <c r="K791" s="20" t="str">
        <f>IF(ISNUMBER(J791),J791,IF(ISNUMBER(F791),G791+H791+I791+ROUND(F791*'参数'!$C$16,2),""))</f>
        <v/>
      </c>
      <c r="L791" s="43" t="str">
        <f>IF(A791="","",IFERROR(T(INDEX('交易记录'!$C$5:$C$304,MATCH(A791,'交易记录'!$A$5:$A$304,0))),"编号没找到"))</f>
        <v/>
      </c>
      <c r="M791" s="57" t="str">
        <f>IF(AND(C791="买",ISNUMBER(B791)),WORKDAY(B791,1,'参数'!$B$58:$B$80),"")</f>
        <v/>
      </c>
      <c r="N791" s="36" t="str">
        <f>IF(C791&lt;&gt;"卖","",IF(AND(ISNUMBER(B791),A791&lt;&gt;""),IF(SUMIFS($E$5:$E$804,$A$5:$A$804,A791,$C$5:$C$804,"卖",$B$5:$B$804,"&lt;="&amp;B791)&gt;SUMIFS($E$5:$E$804,$A$5:$A$804,A791,$C$5:$C$804,"买",$B$5:$B$804,"&lt;"&amp;B791),"超出可卖股数","OK"),""))</f>
        <v/>
      </c>
      <c r="O791" s="32" t="n"/>
    </row>
    <row r="792">
      <c r="A792" s="46" t="n"/>
      <c r="B792" s="31" t="n"/>
      <c r="C792" s="27" t="n"/>
      <c r="D792" s="56" t="n"/>
      <c r="E792" s="17" t="n"/>
      <c r="F792" s="20" t="str">
        <f>IF(AND(ISNUMBER(D792),ISNUMBER(E792)),D792*E792,"")</f>
        <v/>
      </c>
      <c r="G792" s="51" t="str">
        <f>IF(ISNUMBER(F792),ROUND(MAX(F792*'参数'!$C$12,'参数'!$C$13),2),"")</f>
        <v/>
      </c>
      <c r="H792" s="51" t="str">
        <f>IF(ISNUMBER(F792),IF(C792="卖",ROUND(F792*'参数'!$C$14,2),0),"")</f>
        <v/>
      </c>
      <c r="I792" s="51" t="str">
        <f>IF(ISNUMBER(F792),ROUND(F792*'参数'!$C$15,2),"")</f>
        <v/>
      </c>
      <c r="J792" s="21" t="n"/>
      <c r="K792" s="20" t="str">
        <f>IF(ISNUMBER(J792),J792,IF(ISNUMBER(F792),G792+H792+I792+ROUND(F792*'参数'!$C$16,2),""))</f>
        <v/>
      </c>
      <c r="L792" s="43" t="str">
        <f>IF(A792="","",IFERROR(T(INDEX('交易记录'!$C$5:$C$304,MATCH(A792,'交易记录'!$A$5:$A$304,0))),"编号没找到"))</f>
        <v/>
      </c>
      <c r="M792" s="57" t="str">
        <f>IF(AND(C792="买",ISNUMBER(B792)),WORKDAY(B792,1,'参数'!$B$58:$B$80),"")</f>
        <v/>
      </c>
      <c r="N792" s="36" t="str">
        <f>IF(C792&lt;&gt;"卖","",IF(AND(ISNUMBER(B792),A792&lt;&gt;""),IF(SUMIFS($E$5:$E$804,$A$5:$A$804,A792,$C$5:$C$804,"卖",$B$5:$B$804,"&lt;="&amp;B792)&gt;SUMIFS($E$5:$E$804,$A$5:$A$804,A792,$C$5:$C$804,"买",$B$5:$B$804,"&lt;"&amp;B792),"超出可卖股数","OK"),""))</f>
        <v/>
      </c>
      <c r="O792" s="32" t="n"/>
    </row>
    <row r="793">
      <c r="A793" s="46" t="n"/>
      <c r="B793" s="31" t="n"/>
      <c r="C793" s="27" t="n"/>
      <c r="D793" s="56" t="n"/>
      <c r="E793" s="17" t="n"/>
      <c r="F793" s="20" t="str">
        <f>IF(AND(ISNUMBER(D793),ISNUMBER(E793)),D793*E793,"")</f>
        <v/>
      </c>
      <c r="G793" s="51" t="str">
        <f>IF(ISNUMBER(F793),ROUND(MAX(F793*'参数'!$C$12,'参数'!$C$13),2),"")</f>
        <v/>
      </c>
      <c r="H793" s="51" t="str">
        <f>IF(ISNUMBER(F793),IF(C793="卖",ROUND(F793*'参数'!$C$14,2),0),"")</f>
        <v/>
      </c>
      <c r="I793" s="51" t="str">
        <f>IF(ISNUMBER(F793),ROUND(F793*'参数'!$C$15,2),"")</f>
        <v/>
      </c>
      <c r="J793" s="21" t="n"/>
      <c r="K793" s="20" t="str">
        <f>IF(ISNUMBER(J793),J793,IF(ISNUMBER(F793),G793+H793+I793+ROUND(F793*'参数'!$C$16,2),""))</f>
        <v/>
      </c>
      <c r="L793" s="43" t="str">
        <f>IF(A793="","",IFERROR(T(INDEX('交易记录'!$C$5:$C$304,MATCH(A793,'交易记录'!$A$5:$A$304,0))),"编号没找到"))</f>
        <v/>
      </c>
      <c r="M793" s="57" t="str">
        <f>IF(AND(C793="买",ISNUMBER(B793)),WORKDAY(B793,1,'参数'!$B$58:$B$80),"")</f>
        <v/>
      </c>
      <c r="N793" s="36" t="str">
        <f>IF(C793&lt;&gt;"卖","",IF(AND(ISNUMBER(B793),A793&lt;&gt;""),IF(SUMIFS($E$5:$E$804,$A$5:$A$804,A793,$C$5:$C$804,"卖",$B$5:$B$804,"&lt;="&amp;B793)&gt;SUMIFS($E$5:$E$804,$A$5:$A$804,A793,$C$5:$C$804,"买",$B$5:$B$804,"&lt;"&amp;B793),"超出可卖股数","OK"),""))</f>
        <v/>
      </c>
      <c r="O793" s="32" t="n"/>
    </row>
    <row r="794">
      <c r="A794" s="46" t="n"/>
      <c r="B794" s="31" t="n"/>
      <c r="C794" s="27" t="n"/>
      <c r="D794" s="56" t="n"/>
      <c r="E794" s="17" t="n"/>
      <c r="F794" s="20" t="str">
        <f>IF(AND(ISNUMBER(D794),ISNUMBER(E794)),D794*E794,"")</f>
        <v/>
      </c>
      <c r="G794" s="51" t="str">
        <f>IF(ISNUMBER(F794),ROUND(MAX(F794*'参数'!$C$12,'参数'!$C$13),2),"")</f>
        <v/>
      </c>
      <c r="H794" s="51" t="str">
        <f>IF(ISNUMBER(F794),IF(C794="卖",ROUND(F794*'参数'!$C$14,2),0),"")</f>
        <v/>
      </c>
      <c r="I794" s="51" t="str">
        <f>IF(ISNUMBER(F794),ROUND(F794*'参数'!$C$15,2),"")</f>
        <v/>
      </c>
      <c r="J794" s="21" t="n"/>
      <c r="K794" s="20" t="str">
        <f>IF(ISNUMBER(J794),J794,IF(ISNUMBER(F794),G794+H794+I794+ROUND(F794*'参数'!$C$16,2),""))</f>
        <v/>
      </c>
      <c r="L794" s="43" t="str">
        <f>IF(A794="","",IFERROR(T(INDEX('交易记录'!$C$5:$C$304,MATCH(A794,'交易记录'!$A$5:$A$304,0))),"编号没找到"))</f>
        <v/>
      </c>
      <c r="M794" s="57" t="str">
        <f>IF(AND(C794="买",ISNUMBER(B794)),WORKDAY(B794,1,'参数'!$B$58:$B$80),"")</f>
        <v/>
      </c>
      <c r="N794" s="36" t="str">
        <f>IF(C794&lt;&gt;"卖","",IF(AND(ISNUMBER(B794),A794&lt;&gt;""),IF(SUMIFS($E$5:$E$804,$A$5:$A$804,A794,$C$5:$C$804,"卖",$B$5:$B$804,"&lt;="&amp;B794)&gt;SUMIFS($E$5:$E$804,$A$5:$A$804,A794,$C$5:$C$804,"买",$B$5:$B$804,"&lt;"&amp;B794),"超出可卖股数","OK"),""))</f>
        <v/>
      </c>
      <c r="O794" s="32" t="n"/>
    </row>
    <row r="795">
      <c r="A795" s="46" t="n"/>
      <c r="B795" s="31" t="n"/>
      <c r="C795" s="27" t="n"/>
      <c r="D795" s="56" t="n"/>
      <c r="E795" s="17" t="n"/>
      <c r="F795" s="20" t="str">
        <f>IF(AND(ISNUMBER(D795),ISNUMBER(E795)),D795*E795,"")</f>
        <v/>
      </c>
      <c r="G795" s="51" t="str">
        <f>IF(ISNUMBER(F795),ROUND(MAX(F795*'参数'!$C$12,'参数'!$C$13),2),"")</f>
        <v/>
      </c>
      <c r="H795" s="51" t="str">
        <f>IF(ISNUMBER(F795),IF(C795="卖",ROUND(F795*'参数'!$C$14,2),0),"")</f>
        <v/>
      </c>
      <c r="I795" s="51" t="str">
        <f>IF(ISNUMBER(F795),ROUND(F795*'参数'!$C$15,2),"")</f>
        <v/>
      </c>
      <c r="J795" s="21" t="n"/>
      <c r="K795" s="20" t="str">
        <f>IF(ISNUMBER(J795),J795,IF(ISNUMBER(F795),G795+H795+I795+ROUND(F795*'参数'!$C$16,2),""))</f>
        <v/>
      </c>
      <c r="L795" s="43" t="str">
        <f>IF(A795="","",IFERROR(T(INDEX('交易记录'!$C$5:$C$304,MATCH(A795,'交易记录'!$A$5:$A$304,0))),"编号没找到"))</f>
        <v/>
      </c>
      <c r="M795" s="57" t="str">
        <f>IF(AND(C795="买",ISNUMBER(B795)),WORKDAY(B795,1,'参数'!$B$58:$B$80),"")</f>
        <v/>
      </c>
      <c r="N795" s="36" t="str">
        <f>IF(C795&lt;&gt;"卖","",IF(AND(ISNUMBER(B795),A795&lt;&gt;""),IF(SUMIFS($E$5:$E$804,$A$5:$A$804,A795,$C$5:$C$804,"卖",$B$5:$B$804,"&lt;="&amp;B795)&gt;SUMIFS($E$5:$E$804,$A$5:$A$804,A795,$C$5:$C$804,"买",$B$5:$B$804,"&lt;"&amp;B795),"超出可卖股数","OK"),""))</f>
        <v/>
      </c>
      <c r="O795" s="32" t="n"/>
    </row>
    <row r="796">
      <c r="A796" s="46" t="n"/>
      <c r="B796" s="31" t="n"/>
      <c r="C796" s="27" t="n"/>
      <c r="D796" s="56" t="n"/>
      <c r="E796" s="17" t="n"/>
      <c r="F796" s="20" t="str">
        <f>IF(AND(ISNUMBER(D796),ISNUMBER(E796)),D796*E796,"")</f>
        <v/>
      </c>
      <c r="G796" s="51" t="str">
        <f>IF(ISNUMBER(F796),ROUND(MAX(F796*'参数'!$C$12,'参数'!$C$13),2),"")</f>
        <v/>
      </c>
      <c r="H796" s="51" t="str">
        <f>IF(ISNUMBER(F796),IF(C796="卖",ROUND(F796*'参数'!$C$14,2),0),"")</f>
        <v/>
      </c>
      <c r="I796" s="51" t="str">
        <f>IF(ISNUMBER(F796),ROUND(F796*'参数'!$C$15,2),"")</f>
        <v/>
      </c>
      <c r="J796" s="21" t="n"/>
      <c r="K796" s="20" t="str">
        <f>IF(ISNUMBER(J796),J796,IF(ISNUMBER(F796),G796+H796+I796+ROUND(F796*'参数'!$C$16,2),""))</f>
        <v/>
      </c>
      <c r="L796" s="43" t="str">
        <f>IF(A796="","",IFERROR(T(INDEX('交易记录'!$C$5:$C$304,MATCH(A796,'交易记录'!$A$5:$A$304,0))),"编号没找到"))</f>
        <v/>
      </c>
      <c r="M796" s="57" t="str">
        <f>IF(AND(C796="买",ISNUMBER(B796)),WORKDAY(B796,1,'参数'!$B$58:$B$80),"")</f>
        <v/>
      </c>
      <c r="N796" s="36" t="str">
        <f>IF(C796&lt;&gt;"卖","",IF(AND(ISNUMBER(B796),A796&lt;&gt;""),IF(SUMIFS($E$5:$E$804,$A$5:$A$804,A796,$C$5:$C$804,"卖",$B$5:$B$804,"&lt;="&amp;B796)&gt;SUMIFS($E$5:$E$804,$A$5:$A$804,A796,$C$5:$C$804,"买",$B$5:$B$804,"&lt;"&amp;B796),"超出可卖股数","OK"),""))</f>
        <v/>
      </c>
      <c r="O796" s="32" t="n"/>
    </row>
    <row r="797">
      <c r="A797" s="46" t="n"/>
      <c r="B797" s="31" t="n"/>
      <c r="C797" s="27" t="n"/>
      <c r="D797" s="56" t="n"/>
      <c r="E797" s="17" t="n"/>
      <c r="F797" s="20" t="str">
        <f>IF(AND(ISNUMBER(D797),ISNUMBER(E797)),D797*E797,"")</f>
        <v/>
      </c>
      <c r="G797" s="51" t="str">
        <f>IF(ISNUMBER(F797),ROUND(MAX(F797*'参数'!$C$12,'参数'!$C$13),2),"")</f>
        <v/>
      </c>
      <c r="H797" s="51" t="str">
        <f>IF(ISNUMBER(F797),IF(C797="卖",ROUND(F797*'参数'!$C$14,2),0),"")</f>
        <v/>
      </c>
      <c r="I797" s="51" t="str">
        <f>IF(ISNUMBER(F797),ROUND(F797*'参数'!$C$15,2),"")</f>
        <v/>
      </c>
      <c r="J797" s="21" t="n"/>
      <c r="K797" s="20" t="str">
        <f>IF(ISNUMBER(J797),J797,IF(ISNUMBER(F797),G797+H797+I797+ROUND(F797*'参数'!$C$16,2),""))</f>
        <v/>
      </c>
      <c r="L797" s="43" t="str">
        <f>IF(A797="","",IFERROR(T(INDEX('交易记录'!$C$5:$C$304,MATCH(A797,'交易记录'!$A$5:$A$304,0))),"编号没找到"))</f>
        <v/>
      </c>
      <c r="M797" s="57" t="str">
        <f>IF(AND(C797="买",ISNUMBER(B797)),WORKDAY(B797,1,'参数'!$B$58:$B$80),"")</f>
        <v/>
      </c>
      <c r="N797" s="36" t="str">
        <f>IF(C797&lt;&gt;"卖","",IF(AND(ISNUMBER(B797),A797&lt;&gt;""),IF(SUMIFS($E$5:$E$804,$A$5:$A$804,A797,$C$5:$C$804,"卖",$B$5:$B$804,"&lt;="&amp;B797)&gt;SUMIFS($E$5:$E$804,$A$5:$A$804,A797,$C$5:$C$804,"买",$B$5:$B$804,"&lt;"&amp;B797),"超出可卖股数","OK"),""))</f>
        <v/>
      </c>
      <c r="O797" s="32" t="n"/>
    </row>
    <row r="798">
      <c r="A798" s="46" t="n"/>
      <c r="B798" s="31" t="n"/>
      <c r="C798" s="27" t="n"/>
      <c r="D798" s="56" t="n"/>
      <c r="E798" s="17" t="n"/>
      <c r="F798" s="20" t="str">
        <f>IF(AND(ISNUMBER(D798),ISNUMBER(E798)),D798*E798,"")</f>
        <v/>
      </c>
      <c r="G798" s="51" t="str">
        <f>IF(ISNUMBER(F798),ROUND(MAX(F798*'参数'!$C$12,'参数'!$C$13),2),"")</f>
        <v/>
      </c>
      <c r="H798" s="51" t="str">
        <f>IF(ISNUMBER(F798),IF(C798="卖",ROUND(F798*'参数'!$C$14,2),0),"")</f>
        <v/>
      </c>
      <c r="I798" s="51" t="str">
        <f>IF(ISNUMBER(F798),ROUND(F798*'参数'!$C$15,2),"")</f>
        <v/>
      </c>
      <c r="J798" s="21" t="n"/>
      <c r="K798" s="20" t="str">
        <f>IF(ISNUMBER(J798),J798,IF(ISNUMBER(F798),G798+H798+I798+ROUND(F798*'参数'!$C$16,2),""))</f>
        <v/>
      </c>
      <c r="L798" s="43" t="str">
        <f>IF(A798="","",IFERROR(T(INDEX('交易记录'!$C$5:$C$304,MATCH(A798,'交易记录'!$A$5:$A$304,0))),"编号没找到"))</f>
        <v/>
      </c>
      <c r="M798" s="57" t="str">
        <f>IF(AND(C798="买",ISNUMBER(B798)),WORKDAY(B798,1,'参数'!$B$58:$B$80),"")</f>
        <v/>
      </c>
      <c r="N798" s="36" t="str">
        <f>IF(C798&lt;&gt;"卖","",IF(AND(ISNUMBER(B798),A798&lt;&gt;""),IF(SUMIFS($E$5:$E$804,$A$5:$A$804,A798,$C$5:$C$804,"卖",$B$5:$B$804,"&lt;="&amp;B798)&gt;SUMIFS($E$5:$E$804,$A$5:$A$804,A798,$C$5:$C$804,"买",$B$5:$B$804,"&lt;"&amp;B798),"超出可卖股数","OK"),""))</f>
        <v/>
      </c>
      <c r="O798" s="32" t="n"/>
    </row>
    <row r="799">
      <c r="A799" s="46" t="n"/>
      <c r="B799" s="31" t="n"/>
      <c r="C799" s="27" t="n"/>
      <c r="D799" s="56" t="n"/>
      <c r="E799" s="17" t="n"/>
      <c r="F799" s="20" t="str">
        <f>IF(AND(ISNUMBER(D799),ISNUMBER(E799)),D799*E799,"")</f>
        <v/>
      </c>
      <c r="G799" s="51" t="str">
        <f>IF(ISNUMBER(F799),ROUND(MAX(F799*'参数'!$C$12,'参数'!$C$13),2),"")</f>
        <v/>
      </c>
      <c r="H799" s="51" t="str">
        <f>IF(ISNUMBER(F799),IF(C799="卖",ROUND(F799*'参数'!$C$14,2),0),"")</f>
        <v/>
      </c>
      <c r="I799" s="51" t="str">
        <f>IF(ISNUMBER(F799),ROUND(F799*'参数'!$C$15,2),"")</f>
        <v/>
      </c>
      <c r="J799" s="21" t="n"/>
      <c r="K799" s="20" t="str">
        <f>IF(ISNUMBER(J799),J799,IF(ISNUMBER(F799),G799+H799+I799+ROUND(F799*'参数'!$C$16,2),""))</f>
        <v/>
      </c>
      <c r="L799" s="43" t="str">
        <f>IF(A799="","",IFERROR(T(INDEX('交易记录'!$C$5:$C$304,MATCH(A799,'交易记录'!$A$5:$A$304,0))),"编号没找到"))</f>
        <v/>
      </c>
      <c r="M799" s="57" t="str">
        <f>IF(AND(C799="买",ISNUMBER(B799)),WORKDAY(B799,1,'参数'!$B$58:$B$80),"")</f>
        <v/>
      </c>
      <c r="N799" s="36" t="str">
        <f>IF(C799&lt;&gt;"卖","",IF(AND(ISNUMBER(B799),A799&lt;&gt;""),IF(SUMIFS($E$5:$E$804,$A$5:$A$804,A799,$C$5:$C$804,"卖",$B$5:$B$804,"&lt;="&amp;B799)&gt;SUMIFS($E$5:$E$804,$A$5:$A$804,A799,$C$5:$C$804,"买",$B$5:$B$804,"&lt;"&amp;B799),"超出可卖股数","OK"),""))</f>
        <v/>
      </c>
      <c r="O799" s="32" t="n"/>
    </row>
    <row r="800">
      <c r="A800" s="46" t="n"/>
      <c r="B800" s="31" t="n"/>
      <c r="C800" s="27" t="n"/>
      <c r="D800" s="56" t="n"/>
      <c r="E800" s="17" t="n"/>
      <c r="F800" s="20" t="str">
        <f>IF(AND(ISNUMBER(D800),ISNUMBER(E800)),D800*E800,"")</f>
        <v/>
      </c>
      <c r="G800" s="51" t="str">
        <f>IF(ISNUMBER(F800),ROUND(MAX(F800*'参数'!$C$12,'参数'!$C$13),2),"")</f>
        <v/>
      </c>
      <c r="H800" s="51" t="str">
        <f>IF(ISNUMBER(F800),IF(C800="卖",ROUND(F800*'参数'!$C$14,2),0),"")</f>
        <v/>
      </c>
      <c r="I800" s="51" t="str">
        <f>IF(ISNUMBER(F800),ROUND(F800*'参数'!$C$15,2),"")</f>
        <v/>
      </c>
      <c r="J800" s="21" t="n"/>
      <c r="K800" s="20" t="str">
        <f>IF(ISNUMBER(J800),J800,IF(ISNUMBER(F800),G800+H800+I800+ROUND(F800*'参数'!$C$16,2),""))</f>
        <v/>
      </c>
      <c r="L800" s="43" t="str">
        <f>IF(A800="","",IFERROR(T(INDEX('交易记录'!$C$5:$C$304,MATCH(A800,'交易记录'!$A$5:$A$304,0))),"编号没找到"))</f>
        <v/>
      </c>
      <c r="M800" s="57" t="str">
        <f>IF(AND(C800="买",ISNUMBER(B800)),WORKDAY(B800,1,'参数'!$B$58:$B$80),"")</f>
        <v/>
      </c>
      <c r="N800" s="36" t="str">
        <f>IF(C800&lt;&gt;"卖","",IF(AND(ISNUMBER(B800),A800&lt;&gt;""),IF(SUMIFS($E$5:$E$804,$A$5:$A$804,A800,$C$5:$C$804,"卖",$B$5:$B$804,"&lt;="&amp;B800)&gt;SUMIFS($E$5:$E$804,$A$5:$A$804,A800,$C$5:$C$804,"买",$B$5:$B$804,"&lt;"&amp;B800),"超出可卖股数","OK"),""))</f>
        <v/>
      </c>
      <c r="O800" s="32" t="n"/>
    </row>
    <row r="801">
      <c r="A801" s="46" t="n"/>
      <c r="B801" s="31" t="n"/>
      <c r="C801" s="27" t="n"/>
      <c r="D801" s="56" t="n"/>
      <c r="E801" s="17" t="n"/>
      <c r="F801" s="20" t="str">
        <f>IF(AND(ISNUMBER(D801),ISNUMBER(E801)),D801*E801,"")</f>
        <v/>
      </c>
      <c r="G801" s="51" t="str">
        <f>IF(ISNUMBER(F801),ROUND(MAX(F801*'参数'!$C$12,'参数'!$C$13),2),"")</f>
        <v/>
      </c>
      <c r="H801" s="51" t="str">
        <f>IF(ISNUMBER(F801),IF(C801="卖",ROUND(F801*'参数'!$C$14,2),0),"")</f>
        <v/>
      </c>
      <c r="I801" s="51" t="str">
        <f>IF(ISNUMBER(F801),ROUND(F801*'参数'!$C$15,2),"")</f>
        <v/>
      </c>
      <c r="J801" s="21" t="n"/>
      <c r="K801" s="20" t="str">
        <f>IF(ISNUMBER(J801),J801,IF(ISNUMBER(F801),G801+H801+I801+ROUND(F801*'参数'!$C$16,2),""))</f>
        <v/>
      </c>
      <c r="L801" s="43" t="str">
        <f>IF(A801="","",IFERROR(T(INDEX('交易记录'!$C$5:$C$304,MATCH(A801,'交易记录'!$A$5:$A$304,0))),"编号没找到"))</f>
        <v/>
      </c>
      <c r="M801" s="57" t="str">
        <f>IF(AND(C801="买",ISNUMBER(B801)),WORKDAY(B801,1,'参数'!$B$58:$B$80),"")</f>
        <v/>
      </c>
      <c r="N801" s="36" t="str">
        <f>IF(C801&lt;&gt;"卖","",IF(AND(ISNUMBER(B801),A801&lt;&gt;""),IF(SUMIFS($E$5:$E$804,$A$5:$A$804,A801,$C$5:$C$804,"卖",$B$5:$B$804,"&lt;="&amp;B801)&gt;SUMIFS($E$5:$E$804,$A$5:$A$804,A801,$C$5:$C$804,"买",$B$5:$B$804,"&lt;"&amp;B801),"超出可卖股数","OK"),""))</f>
        <v/>
      </c>
      <c r="O801" s="32" t="n"/>
    </row>
    <row r="802">
      <c r="A802" s="46" t="n"/>
      <c r="B802" s="31" t="n"/>
      <c r="C802" s="27" t="n"/>
      <c r="D802" s="56" t="n"/>
      <c r="E802" s="17" t="n"/>
      <c r="F802" s="20" t="str">
        <f>IF(AND(ISNUMBER(D802),ISNUMBER(E802)),D802*E802,"")</f>
        <v/>
      </c>
      <c r="G802" s="51" t="str">
        <f>IF(ISNUMBER(F802),ROUND(MAX(F802*'参数'!$C$12,'参数'!$C$13),2),"")</f>
        <v/>
      </c>
      <c r="H802" s="51" t="str">
        <f>IF(ISNUMBER(F802),IF(C802="卖",ROUND(F802*'参数'!$C$14,2),0),"")</f>
        <v/>
      </c>
      <c r="I802" s="51" t="str">
        <f>IF(ISNUMBER(F802),ROUND(F802*'参数'!$C$15,2),"")</f>
        <v/>
      </c>
      <c r="J802" s="21" t="n"/>
      <c r="K802" s="20" t="str">
        <f>IF(ISNUMBER(J802),J802,IF(ISNUMBER(F802),G802+H802+I802+ROUND(F802*'参数'!$C$16,2),""))</f>
        <v/>
      </c>
      <c r="L802" s="43" t="str">
        <f>IF(A802="","",IFERROR(T(INDEX('交易记录'!$C$5:$C$304,MATCH(A802,'交易记录'!$A$5:$A$304,0))),"编号没找到"))</f>
        <v/>
      </c>
      <c r="M802" s="57" t="str">
        <f>IF(AND(C802="买",ISNUMBER(B802)),WORKDAY(B802,1,'参数'!$B$58:$B$80),"")</f>
        <v/>
      </c>
      <c r="N802" s="36" t="str">
        <f>IF(C802&lt;&gt;"卖","",IF(AND(ISNUMBER(B802),A802&lt;&gt;""),IF(SUMIFS($E$5:$E$804,$A$5:$A$804,A802,$C$5:$C$804,"卖",$B$5:$B$804,"&lt;="&amp;B802)&gt;SUMIFS($E$5:$E$804,$A$5:$A$804,A802,$C$5:$C$804,"买",$B$5:$B$804,"&lt;"&amp;B802),"超出可卖股数","OK"),""))</f>
        <v/>
      </c>
      <c r="O802" s="32" t="n"/>
    </row>
    <row r="803">
      <c r="A803" s="46" t="n"/>
      <c r="B803" s="31" t="n"/>
      <c r="C803" s="27" t="n"/>
      <c r="D803" s="56" t="n"/>
      <c r="E803" s="17" t="n"/>
      <c r="F803" s="20" t="str">
        <f>IF(AND(ISNUMBER(D803),ISNUMBER(E803)),D803*E803,"")</f>
        <v/>
      </c>
      <c r="G803" s="51" t="str">
        <f>IF(ISNUMBER(F803),ROUND(MAX(F803*'参数'!$C$12,'参数'!$C$13),2),"")</f>
        <v/>
      </c>
      <c r="H803" s="51" t="str">
        <f>IF(ISNUMBER(F803),IF(C803="卖",ROUND(F803*'参数'!$C$14,2),0),"")</f>
        <v/>
      </c>
      <c r="I803" s="51" t="str">
        <f>IF(ISNUMBER(F803),ROUND(F803*'参数'!$C$15,2),"")</f>
        <v/>
      </c>
      <c r="J803" s="21" t="n"/>
      <c r="K803" s="20" t="str">
        <f>IF(ISNUMBER(J803),J803,IF(ISNUMBER(F803),G803+H803+I803+ROUND(F803*'参数'!$C$16,2),""))</f>
        <v/>
      </c>
      <c r="L803" s="43" t="str">
        <f>IF(A803="","",IFERROR(T(INDEX('交易记录'!$C$5:$C$304,MATCH(A803,'交易记录'!$A$5:$A$304,0))),"编号没找到"))</f>
        <v/>
      </c>
      <c r="M803" s="57" t="str">
        <f>IF(AND(C803="买",ISNUMBER(B803)),WORKDAY(B803,1,'参数'!$B$58:$B$80),"")</f>
        <v/>
      </c>
      <c r="N803" s="36" t="str">
        <f>IF(C803&lt;&gt;"卖","",IF(AND(ISNUMBER(B803),A803&lt;&gt;""),IF(SUMIFS($E$5:$E$804,$A$5:$A$804,A803,$C$5:$C$804,"卖",$B$5:$B$804,"&lt;="&amp;B803)&gt;SUMIFS($E$5:$E$804,$A$5:$A$804,A803,$C$5:$C$804,"买",$B$5:$B$804,"&lt;"&amp;B803),"超出可卖股数","OK"),""))</f>
        <v/>
      </c>
      <c r="O803" s="32" t="n"/>
    </row>
    <row r="804">
      <c r="A804" s="46" t="n"/>
      <c r="B804" s="31" t="n"/>
      <c r="C804" s="27" t="n"/>
      <c r="D804" s="56" t="n"/>
      <c r="E804" s="17" t="n"/>
      <c r="F804" s="20" t="str">
        <f>IF(AND(ISNUMBER(D804),ISNUMBER(E804)),D804*E804,"")</f>
        <v/>
      </c>
      <c r="G804" s="51" t="str">
        <f>IF(ISNUMBER(F804),ROUND(MAX(F804*'参数'!$C$12,'参数'!$C$13),2),"")</f>
        <v/>
      </c>
      <c r="H804" s="51" t="str">
        <f>IF(ISNUMBER(F804),IF(C804="卖",ROUND(F804*'参数'!$C$14,2),0),"")</f>
        <v/>
      </c>
      <c r="I804" s="51" t="str">
        <f>IF(ISNUMBER(F804),ROUND(F804*'参数'!$C$15,2),"")</f>
        <v/>
      </c>
      <c r="J804" s="21" t="n"/>
      <c r="K804" s="20" t="str">
        <f>IF(ISNUMBER(J804),J804,IF(ISNUMBER(F804),G804+H804+I804+ROUND(F804*'参数'!$C$16,2),""))</f>
        <v/>
      </c>
      <c r="L804" s="43" t="str">
        <f>IF(A804="","",IFERROR(T(INDEX('交易记录'!$C$5:$C$304,MATCH(A804,'交易记录'!$A$5:$A$304,0))),"编号没找到"))</f>
        <v/>
      </c>
      <c r="M804" s="57" t="str">
        <f>IF(AND(C804="买",ISNUMBER(B804)),WORKDAY(B804,1,'参数'!$B$58:$B$80),"")</f>
        <v/>
      </c>
      <c r="N804" s="36" t="str">
        <f>IF(C804&lt;&gt;"卖","",IF(AND(ISNUMBER(B804),A804&lt;&gt;""),IF(SUMIFS($E$5:$E$804,$A$5:$A$804,A804,$C$5:$C$804,"卖",$B$5:$B$804,"&lt;="&amp;B804)&gt;SUMIFS($E$5:$E$804,$A$5:$A$804,A804,$C$5:$C$804,"买",$B$5:$B$804,"&lt;"&amp;B804),"超出可卖股数","OK"),""))</f>
        <v/>
      </c>
      <c r="O804" s="32" t="n"/>
    </row>
  </sheetData>
  <mergeCells count="6">
    <mergeCell ref="A2:O2"/>
    <mergeCell ref="A1:L1"/>
    <mergeCell ref="M1:O1"/>
    <mergeCell ref="L3:N3"/>
    <mergeCell ref="F3:K3"/>
    <mergeCell ref="A3:E3"/>
  </mergeCells>
  <conditionalFormatting sqref="N5:N804">
    <cfRule type="cellIs" priority="1" operator="equal" dxfId="7">
      <formula>"超出可卖股数"</formula>
    </cfRule>
  </conditionalFormatting>
  <conditionalFormatting sqref="L5:L804">
    <cfRule type="cellIs" priority="2" operator="equal" dxfId="7">
      <formula>"编号没找到"</formula>
    </cfRule>
  </conditionalFormatting>
  <dataValidations count="3">
    <dataValidation sqref="A5:A804" showDropDown="0" showInputMessage="0" showErrorMessage="1" allowBlank="1" errorTitle="格式不对" error="编号请用数字，和交易记录里的编号一致。" type="whole" errorStyle="stop" operator="greaterThanOrEqual">
      <formula1>1</formula1>
    </dataValidation>
    <dataValidation sqref="B5:B80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C5:C804" showDropDown="0" showInputMessage="0" showErrorMessage="1" allowBlank="1" errorTitle="不在选项里" error="请从下拉里选；要加新选项，先去参数页的下拉选项里加。" type="list" errorStyle="stop">
      <formula1>'参数'!$H$43:$H$54</formula1>
    </dataValidation>
  </dataValidation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trade1469.com/templates/a-share-review/?src=tpl-ashare&amp;R&amp;"Microsoft YaHei"&amp;8 第 &amp;P 页，共 &amp;N 页</oddFooter>
    <evenHeader/>
    <evenFooter>&amp;L&amp;"Microsoft YaHei"&amp;8 TradeLearn · XtradingTime 交易内训&amp;C&amp;"Microsoft YaHei"&amp;8 trade1469.com/templates/a-share-review/?src=tpl-ashare&amp;R&amp;"Microsoft YaHei"&amp;8 第 &amp;P 页，共 &amp;N 页</evenFooter>
    <firstHeader/>
    <firstFooter/>
  </headerFooter>
</worksheet>
</file>

<file path=xl/worksheets/sheet7.xml><?xml version="1.0" encoding="utf-8"?>
<worksheet xmlns="http://schemas.openxmlformats.org/spreadsheetml/2006/main">
  <sheetPr>
    <tabColor rgb="007C350E"/>
    <outlinePr summaryBelow="1" summaryRight="1"/>
    <pageSetUpPr fitToPage="1"/>
  </sheetPr>
  <dimension ref="A1:L8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6" customWidth="1" min="10" max="10"/>
    <col hidden="1" width="6" customWidth="1" min="12" max="12"/>
  </cols>
  <sheetData>
    <row r="1" ht="30" customHeight="1">
      <c r="A1" s="13" t="inlineStr">
        <is>
          <t>周复盘：先看过程，再看成绩</t>
        </is>
      </c>
      <c r="H1" s="14" t="inlineStr">
        <is>
          <t>TradeLearn · XtradingTime 交易内训</t>
        </is>
      </c>
    </row>
    <row r="2" ht="20" customHeight="1">
      <c r="A2" s="2" t="inlineStr">
        <is>
          <t>填统计区间的开始和结束日期（默认一周），下面的数都会跟着变。成绩按平仓日期算，计划和执行按计划日期算。少于 20 笔只看执行问题，别急着下结论。</t>
        </is>
      </c>
    </row>
    <row r="4">
      <c r="B4" s="58" t="inlineStr">
        <is>
          <t>统计区间：开始日期</t>
        </is>
      </c>
      <c r="C4" s="31" t="n"/>
      <c r="D4" s="59" t="inlineStr">
        <is>
          <t>结束日期</t>
        </is>
      </c>
      <c r="E4" s="31" t="n"/>
      <c r="F4" s="19" t="inlineStr">
        <is>
          <t>一周就填周一和周五；月复盘就填月初和月底。</t>
        </is>
      </c>
      <c r="G4" s="19" t="n"/>
      <c r="H4" s="19" t="n"/>
      <c r="I4" s="19" t="n"/>
      <c r="J4" s="19" t="n"/>
    </row>
    <row r="6">
      <c r="B6" s="15" t="inlineStr">
        <is>
          <t>1. 这几天的市场（区间里的前 5 个交易日）</t>
        </is>
      </c>
    </row>
    <row r="7">
      <c r="B7" s="25" t="inlineStr">
        <is>
          <t>日期</t>
        </is>
      </c>
      <c r="C7" s="25" t="inlineStr">
        <is>
          <t>星期</t>
        </is>
      </c>
      <c r="D7" s="25" t="inlineStr">
        <is>
          <t>我的判断</t>
        </is>
      </c>
      <c r="E7" s="25" t="inlineStr">
        <is>
          <t>规则建议</t>
        </is>
      </c>
      <c r="F7" s="25" t="inlineStr">
        <is>
          <t>涨停家数</t>
        </is>
      </c>
      <c r="G7" s="25" t="inlineStr">
        <is>
          <t>炸板率</t>
        </is>
      </c>
      <c r="H7" s="25" t="inlineStr">
        <is>
          <t>最高连板</t>
        </is>
      </c>
      <c r="I7" s="25" t="inlineStr">
        <is>
          <t>当日平仓净R</t>
        </is>
      </c>
      <c r="J7" s="25" t="inlineStr">
        <is>
          <t>今天做了什么</t>
        </is>
      </c>
    </row>
    <row r="8" ht="26" customHeight="1">
      <c r="B8" s="57" t="str">
        <f>IF(ISNUMBER($C$4),WORKDAY($C$4-1,1,'参数'!$B$58:$B$80),"")</f>
        <v/>
      </c>
      <c r="C8" s="36" t="str">
        <f>IF(ISNUMBER(B8),"周"&amp;CHOOSE(WEEKDAY(B8,2),"一","二","三","四","五","六","日"),"")</f>
        <v/>
      </c>
      <c r="D8" s="43" t="str">
        <f>IF(ISNUMBER($B8),IFERROR(T(VLOOKUP($B8,'每日复盘'!$A$5:$AA$264,27,FALSE)),"未记"),"")</f>
        <v/>
      </c>
      <c r="E8" s="60" t="str">
        <f>IF(ISNUMBER($B8),IFERROR(T(VLOOKUP($B8,'每日复盘'!$A$5:$AA$264,26,FALSE)),"未记"),"")</f>
        <v/>
      </c>
      <c r="F8" s="44" t="str">
        <f>IF(ISNUMBER($B8),IFERROR(VLOOKUP($B8,'每日复盘'!$A$5:$AA$264,10,FALSE),"未记"),"")</f>
        <v/>
      </c>
      <c r="G8" s="47" t="str">
        <f>IF(ISNUMBER($B8),IFERROR(VLOOKUP($B8,'每日复盘'!$A$5:$AA$264,14,FALSE),"未记"),"")</f>
        <v/>
      </c>
      <c r="H8" s="44" t="str">
        <f>IF(ISNUMBER($B8),IFERROR(VLOOKUP($B8,'每日复盘'!$A$5:$AA$264,18,FALSE),"未记"),"")</f>
        <v/>
      </c>
      <c r="I8" s="45" t="str">
        <f>IF(ISNUMBER($B8),IFERROR(VLOOKUP($B8,'主线与计划'!$A$5:$S$264,15,FALSE),""),"")</f>
        <v/>
      </c>
      <c r="J8" s="43" t="str">
        <f>IF(ISNUMBER($B8),IFERROR(T(VLOOKUP($B8,'主线与计划'!$A$5:$S$264,14,FALSE)),""),"")</f>
        <v/>
      </c>
    </row>
    <row r="9" ht="26" customHeight="1">
      <c r="B9" s="57" t="str">
        <f>IF(ISNUMBER(B8),IF(WORKDAY(B8,1,'参数'!$B$58:$B$80)&lt;=$E$4,WORKDAY(B8,1,'参数'!$B$58:$B$80),""),"")</f>
        <v/>
      </c>
      <c r="C9" s="36" t="str">
        <f>IF(ISNUMBER(B9),"周"&amp;CHOOSE(WEEKDAY(B9,2),"一","二","三","四","五","六","日"),"")</f>
        <v/>
      </c>
      <c r="D9" s="43" t="str">
        <f>IF(ISNUMBER($B9),IFERROR(T(VLOOKUP($B9,'每日复盘'!$A$5:$AA$264,27,FALSE)),"未记"),"")</f>
        <v/>
      </c>
      <c r="E9" s="60" t="str">
        <f>IF(ISNUMBER($B9),IFERROR(T(VLOOKUP($B9,'每日复盘'!$A$5:$AA$264,26,FALSE)),"未记"),"")</f>
        <v/>
      </c>
      <c r="F9" s="44" t="str">
        <f>IF(ISNUMBER($B9),IFERROR(VLOOKUP($B9,'每日复盘'!$A$5:$AA$264,10,FALSE),"未记"),"")</f>
        <v/>
      </c>
      <c r="G9" s="47" t="str">
        <f>IF(ISNUMBER($B9),IFERROR(VLOOKUP($B9,'每日复盘'!$A$5:$AA$264,14,FALSE),"未记"),"")</f>
        <v/>
      </c>
      <c r="H9" s="44" t="str">
        <f>IF(ISNUMBER($B9),IFERROR(VLOOKUP($B9,'每日复盘'!$A$5:$AA$264,18,FALSE),"未记"),"")</f>
        <v/>
      </c>
      <c r="I9" s="45" t="str">
        <f>IF(ISNUMBER($B9),IFERROR(VLOOKUP($B9,'主线与计划'!$A$5:$S$264,15,FALSE),""),"")</f>
        <v/>
      </c>
      <c r="J9" s="43" t="str">
        <f>IF(ISNUMBER($B9),IFERROR(T(VLOOKUP($B9,'主线与计划'!$A$5:$S$264,14,FALSE)),""),"")</f>
        <v/>
      </c>
    </row>
    <row r="10" ht="26" customHeight="1">
      <c r="B10" s="57" t="str">
        <f>IF(ISNUMBER(B9),IF(WORKDAY(B9,1,'参数'!$B$58:$B$80)&lt;=$E$4,WORKDAY(B9,1,'参数'!$B$58:$B$80),""),"")</f>
        <v/>
      </c>
      <c r="C10" s="36" t="str">
        <f>IF(ISNUMBER(B10),"周"&amp;CHOOSE(WEEKDAY(B10,2),"一","二","三","四","五","六","日"),"")</f>
        <v/>
      </c>
      <c r="D10" s="43" t="str">
        <f>IF(ISNUMBER($B10),IFERROR(T(VLOOKUP($B10,'每日复盘'!$A$5:$AA$264,27,FALSE)),"未记"),"")</f>
        <v/>
      </c>
      <c r="E10" s="60" t="str">
        <f>IF(ISNUMBER($B10),IFERROR(T(VLOOKUP($B10,'每日复盘'!$A$5:$AA$264,26,FALSE)),"未记"),"")</f>
        <v/>
      </c>
      <c r="F10" s="44" t="str">
        <f>IF(ISNUMBER($B10),IFERROR(VLOOKUP($B10,'每日复盘'!$A$5:$AA$264,10,FALSE),"未记"),"")</f>
        <v/>
      </c>
      <c r="G10" s="47" t="str">
        <f>IF(ISNUMBER($B10),IFERROR(VLOOKUP($B10,'每日复盘'!$A$5:$AA$264,14,FALSE),"未记"),"")</f>
        <v/>
      </c>
      <c r="H10" s="44" t="str">
        <f>IF(ISNUMBER($B10),IFERROR(VLOOKUP($B10,'每日复盘'!$A$5:$AA$264,18,FALSE),"未记"),"")</f>
        <v/>
      </c>
      <c r="I10" s="45" t="str">
        <f>IF(ISNUMBER($B10),IFERROR(VLOOKUP($B10,'主线与计划'!$A$5:$S$264,15,FALSE),""),"")</f>
        <v/>
      </c>
      <c r="J10" s="43" t="str">
        <f>IF(ISNUMBER($B10),IFERROR(T(VLOOKUP($B10,'主线与计划'!$A$5:$S$264,14,FALSE)),""),"")</f>
        <v/>
      </c>
    </row>
    <row r="11" ht="26" customHeight="1">
      <c r="B11" s="57" t="str">
        <f>IF(ISNUMBER(B10),IF(WORKDAY(B10,1,'参数'!$B$58:$B$80)&lt;=$E$4,WORKDAY(B10,1,'参数'!$B$58:$B$80),""),"")</f>
        <v/>
      </c>
      <c r="C11" s="36" t="str">
        <f>IF(ISNUMBER(B11),"周"&amp;CHOOSE(WEEKDAY(B11,2),"一","二","三","四","五","六","日"),"")</f>
        <v/>
      </c>
      <c r="D11" s="43" t="str">
        <f>IF(ISNUMBER($B11),IFERROR(T(VLOOKUP($B11,'每日复盘'!$A$5:$AA$264,27,FALSE)),"未记"),"")</f>
        <v/>
      </c>
      <c r="E11" s="60" t="str">
        <f>IF(ISNUMBER($B11),IFERROR(T(VLOOKUP($B11,'每日复盘'!$A$5:$AA$264,26,FALSE)),"未记"),"")</f>
        <v/>
      </c>
      <c r="F11" s="44" t="str">
        <f>IF(ISNUMBER($B11),IFERROR(VLOOKUP($B11,'每日复盘'!$A$5:$AA$264,10,FALSE),"未记"),"")</f>
        <v/>
      </c>
      <c r="G11" s="47" t="str">
        <f>IF(ISNUMBER($B11),IFERROR(VLOOKUP($B11,'每日复盘'!$A$5:$AA$264,14,FALSE),"未记"),"")</f>
        <v/>
      </c>
      <c r="H11" s="44" t="str">
        <f>IF(ISNUMBER($B11),IFERROR(VLOOKUP($B11,'每日复盘'!$A$5:$AA$264,18,FALSE),"未记"),"")</f>
        <v/>
      </c>
      <c r="I11" s="45" t="str">
        <f>IF(ISNUMBER($B11),IFERROR(VLOOKUP($B11,'主线与计划'!$A$5:$S$264,15,FALSE),""),"")</f>
        <v/>
      </c>
      <c r="J11" s="43" t="str">
        <f>IF(ISNUMBER($B11),IFERROR(T(VLOOKUP($B11,'主线与计划'!$A$5:$S$264,14,FALSE)),""),"")</f>
        <v/>
      </c>
    </row>
    <row r="12" ht="26" customHeight="1">
      <c r="B12" s="57" t="str">
        <f>IF(ISNUMBER(B11),IF(WORKDAY(B11,1,'参数'!$B$58:$B$80)&lt;=$E$4,WORKDAY(B11,1,'参数'!$B$58:$B$80),""),"")</f>
        <v/>
      </c>
      <c r="C12" s="36" t="str">
        <f>IF(ISNUMBER(B12),"周"&amp;CHOOSE(WEEKDAY(B12,2),"一","二","三","四","五","六","日"),"")</f>
        <v/>
      </c>
      <c r="D12" s="43" t="str">
        <f>IF(ISNUMBER($B12),IFERROR(T(VLOOKUP($B12,'每日复盘'!$A$5:$AA$264,27,FALSE)),"未记"),"")</f>
        <v/>
      </c>
      <c r="E12" s="60" t="str">
        <f>IF(ISNUMBER($B12),IFERROR(T(VLOOKUP($B12,'每日复盘'!$A$5:$AA$264,26,FALSE)),"未记"),"")</f>
        <v/>
      </c>
      <c r="F12" s="44" t="str">
        <f>IF(ISNUMBER($B12),IFERROR(VLOOKUP($B12,'每日复盘'!$A$5:$AA$264,10,FALSE),"未记"),"")</f>
        <v/>
      </c>
      <c r="G12" s="47" t="str">
        <f>IF(ISNUMBER($B12),IFERROR(VLOOKUP($B12,'每日复盘'!$A$5:$AA$264,14,FALSE),"未记"),"")</f>
        <v/>
      </c>
      <c r="H12" s="44" t="str">
        <f>IF(ISNUMBER($B12),IFERROR(VLOOKUP($B12,'每日复盘'!$A$5:$AA$264,18,FALSE),"未记"),"")</f>
        <v/>
      </c>
      <c r="I12" s="45" t="str">
        <f>IF(ISNUMBER($B12),IFERROR(VLOOKUP($B12,'主线与计划'!$A$5:$S$264,15,FALSE),""),"")</f>
        <v/>
      </c>
      <c r="J12" s="43" t="str">
        <f>IF(ISNUMBER($B12),IFERROR(T(VLOOKUP($B12,'主线与计划'!$A$5:$S$264,14,FALSE)),""),"")</f>
        <v/>
      </c>
    </row>
    <row r="14">
      <c r="B14" s="15" t="inlineStr">
        <is>
          <t>2. 成绩与执行</t>
        </is>
      </c>
    </row>
    <row r="15">
      <c r="B15" s="25" t="inlineStr">
        <is>
          <t>指标</t>
        </is>
      </c>
      <c r="C15" s="25" t="inlineStr">
        <is>
          <t>本区间</t>
        </is>
      </c>
      <c r="D15" s="25" t="inlineStr">
        <is>
          <t>全部记录</t>
        </is>
      </c>
      <c r="E15" s="25" t="inlineStr">
        <is>
          <t>怎么看</t>
        </is>
      </c>
      <c r="F15" s="25" t="n"/>
      <c r="G15" s="25" t="n"/>
      <c r="H15" s="25" t="n"/>
      <c r="I15" s="25" t="n"/>
      <c r="J15" s="25" t="n"/>
    </row>
    <row r="16">
      <c r="B16" s="16" t="inlineStr">
        <is>
          <t>写了计划的笔数</t>
        </is>
      </c>
      <c r="C16" s="44" t="str">
        <f>IF(AND(ISNUMBER($C$4),ISNUMBER($E$4)),COUNTIFS('交易记录'!$B$5:$B$304,"&gt;="&amp;$C$4,'交易记录'!$B$5:$B$304,"&lt;="&amp;$E$4),"")</f>
        <v/>
      </c>
      <c r="D16" s="44">
        <f>COUNT('交易记录'!$B$5:$B$304)</f>
        <v>0</v>
      </c>
      <c r="E16" s="19" t="inlineStr">
        <is>
          <t>按计划日期算。计划少不一定是坏事，没机会就不做。</t>
        </is>
      </c>
      <c r="F16" s="19" t="n"/>
      <c r="G16" s="19" t="n"/>
      <c r="H16" s="19" t="n"/>
      <c r="I16" s="19" t="n"/>
      <c r="J16" s="19" t="n"/>
    </row>
    <row r="17">
      <c r="B17" s="16" t="inlineStr">
        <is>
          <t>其中已执行</t>
        </is>
      </c>
      <c r="C17" s="44" t="str">
        <f>IF(AND(ISNUMBER($C$4),ISNUMBER($E$4)),COUNTIFS('交易记录'!$B$5:$B$304,"&gt;="&amp;$C$4,'交易记录'!$B$5:$B$304,"&lt;="&amp;$E$4,'交易记录'!$Q$5:$Q$304,"已执行"),"")</f>
        <v/>
      </c>
      <c r="D17" s="44">
        <f>COUNTIF('交易记录'!$Q$5:$Q$304,"已执行")</f>
        <v>0</v>
      </c>
      <c r="E17" s="19" t="inlineStr"/>
      <c r="F17" s="19" t="n"/>
      <c r="G17" s="19" t="n"/>
      <c r="H17" s="19" t="n"/>
      <c r="I17" s="19" t="n"/>
      <c r="J17" s="19" t="n"/>
    </row>
    <row r="18">
      <c r="B18" s="16" t="inlineStr">
        <is>
          <t>未成交</t>
        </is>
      </c>
      <c r="C18" s="44" t="str">
        <f>IF(AND(ISNUMBER($C$4),ISNUMBER($E$4)),COUNTIFS('交易记录'!$B$5:$B$304,"&gt;="&amp;$C$4,'交易记录'!$B$5:$B$304,"&lt;="&amp;$E$4,'交易记录'!$Q$5:$Q$304,"未成交"),"")</f>
        <v/>
      </c>
      <c r="D18" s="44">
        <f>COUNTIF('交易记录'!$Q$5:$Q$304,"未成交")</f>
        <v>0</v>
      </c>
      <c r="E18" s="19" t="inlineStr">
        <is>
          <t>挂了没成交，不算胜率，也不算错。</t>
        </is>
      </c>
      <c r="F18" s="19" t="n"/>
      <c r="G18" s="19" t="n"/>
      <c r="H18" s="19" t="n"/>
      <c r="I18" s="19" t="n"/>
      <c r="J18" s="19" t="n"/>
    </row>
    <row r="19">
      <c r="B19" s="16" t="inlineStr">
        <is>
          <t>主动放弃</t>
        </is>
      </c>
      <c r="C19" s="44" t="str">
        <f>IF(AND(ISNUMBER($C$4),ISNUMBER($E$4)),COUNTIFS('交易记录'!$B$5:$B$304,"&gt;="&amp;$C$4,'交易记录'!$B$5:$B$304,"&lt;="&amp;$E$4,'交易记录'!$Q$5:$Q$304,"主动放弃"),"")</f>
        <v/>
      </c>
      <c r="D19" s="44">
        <f>COUNTIF('交易记录'!$Q$5:$Q$304,"主动放弃")</f>
        <v>0</v>
      </c>
      <c r="E19" s="19" t="inlineStr">
        <is>
          <t>按规则不做，也是执行。</t>
        </is>
      </c>
      <c r="F19" s="19" t="n"/>
      <c r="G19" s="19" t="n"/>
      <c r="H19" s="19" t="n"/>
      <c r="I19" s="19" t="n"/>
      <c r="J19" s="19" t="n"/>
    </row>
    <row r="20">
      <c r="B20" s="16" t="inlineStr">
        <is>
          <t>漏单</t>
        </is>
      </c>
      <c r="C20" s="44" t="str">
        <f>IF(AND(ISNUMBER($C$4),ISNUMBER($E$4)),COUNTIFS('交易记录'!$B$5:$B$304,"&gt;="&amp;$C$4,'交易记录'!$B$5:$B$304,"&lt;="&amp;$E$4,'交易记录'!$Q$5:$Q$304,"漏单"),"")</f>
        <v/>
      </c>
      <c r="D20" s="44">
        <f>COUNTIF('交易记录'!$Q$5:$Q$304,"漏单")</f>
        <v>0</v>
      </c>
      <c r="E20" s="19" t="inlineStr">
        <is>
          <t>该做没做。多了先修提醒和流程，别先改信号。</t>
        </is>
      </c>
      <c r="F20" s="19" t="n"/>
      <c r="G20" s="19" t="n"/>
      <c r="H20" s="19" t="n"/>
      <c r="I20" s="19" t="n"/>
      <c r="J20" s="19" t="n"/>
    </row>
    <row r="21">
      <c r="B21" s="16" t="inlineStr">
        <is>
          <t>已平仓笔数</t>
        </is>
      </c>
      <c r="C21" s="44" t="str">
        <f>IF(AND(ISNUMBER($C$4),ISNUMBER($E$4)),COUNTIFS('交易记录'!$S$5:$S$304,"&gt;="&amp;$C$4,'交易记录'!$S$5:$S$304,"&lt;="&amp;$E$4,'交易记录'!$X$5:$X$304,"已平仓"),"")</f>
        <v/>
      </c>
      <c r="D21" s="44">
        <f>COUNTIF('交易记录'!$X$5:$X$304,"已平仓")</f>
        <v>0</v>
      </c>
      <c r="E21" s="19" t="inlineStr">
        <is>
          <t>下面的成绩只算这些。持仓中的不算。</t>
        </is>
      </c>
      <c r="F21" s="19" t="n"/>
      <c r="G21" s="19" t="n"/>
      <c r="H21" s="19" t="n"/>
      <c r="I21" s="19" t="n"/>
      <c r="J21" s="19" t="n"/>
    </row>
    <row r="22">
      <c r="B22" s="16" t="inlineStr">
        <is>
          <t>盈利笔数</t>
        </is>
      </c>
      <c r="C22" s="44" t="str">
        <f>IF(AND(ISNUMBER($C$4),ISNUMBER($E$4)),COUNTIFS('交易记录'!$S$5:$S$304,"&gt;="&amp;$C$4,'交易记录'!$S$5:$S$304,"&lt;="&amp;$E$4,'交易记录'!$X$5:$X$304,"已平仓",'交易记录'!$AB$5:$AB$304,"&gt;0"),"")</f>
        <v/>
      </c>
      <c r="D22" s="44">
        <f>COUNTIFS('交易记录'!$X$5:$X$304,"已平仓",'交易记录'!$AB$5:$AB$304,"&gt;0")</f>
        <v>0</v>
      </c>
      <c r="E22" s="19" t="inlineStr">
        <is>
          <t>按净R算，扣完费用还赚才算盈利。</t>
        </is>
      </c>
      <c r="F22" s="19" t="n"/>
      <c r="G22" s="19" t="n"/>
      <c r="H22" s="19" t="n"/>
      <c r="I22" s="19" t="n"/>
      <c r="J22" s="19" t="n"/>
    </row>
    <row r="23">
      <c r="B23" s="16" t="inlineStr">
        <is>
          <t>亏损笔数</t>
        </is>
      </c>
      <c r="C23" s="44" t="str">
        <f>IF(AND(ISNUMBER($C$4),ISNUMBER($E$4)),COUNTIFS('交易记录'!$S$5:$S$304,"&gt;="&amp;$C$4,'交易记录'!$S$5:$S$304,"&lt;="&amp;$E$4,'交易记录'!$X$5:$X$304,"已平仓",'交易记录'!$AB$5:$AB$304,"&lt;0"),"")</f>
        <v/>
      </c>
      <c r="D23" s="44">
        <f>COUNTIFS('交易记录'!$X$5:$X$304,"已平仓",'交易记录'!$AB$5:$AB$304,"&lt;0")</f>
        <v>0</v>
      </c>
      <c r="E23" s="19" t="inlineStr"/>
      <c r="F23" s="19" t="n"/>
      <c r="G23" s="19" t="n"/>
      <c r="H23" s="19" t="n"/>
      <c r="I23" s="19" t="n"/>
      <c r="J23" s="19" t="n"/>
    </row>
    <row r="24">
      <c r="B24" s="16" t="inlineStr">
        <is>
          <t>胜率</t>
        </is>
      </c>
      <c r="C24" s="47" t="str">
        <f>IF(AND(ISNUMBER($C$4),ISNUMBER($E$4)),IF(N(C21)&gt;0,C22/C21,""),"")</f>
        <v/>
      </c>
      <c r="D24" s="47" t="str">
        <f>IF(N(D21)&gt;0,D22/D21,"")</f>
        <v/>
      </c>
      <c r="E24" s="19" t="inlineStr">
        <is>
          <t>只看胜率会被骗，要和下面两行一起看。</t>
        </is>
      </c>
      <c r="F24" s="19" t="n"/>
      <c r="G24" s="19" t="n"/>
      <c r="H24" s="19" t="n"/>
      <c r="I24" s="19" t="n"/>
      <c r="J24" s="19" t="n"/>
    </row>
    <row r="25">
      <c r="B25" s="16" t="inlineStr">
        <is>
          <t>平均盈利（R）</t>
        </is>
      </c>
      <c r="C25" s="45" t="str">
        <f>IF(AND(ISNUMBER($C$4),ISNUMBER($E$4)),IF(N(C22)&gt;0,SUMIFS('交易记录'!$AB$5:$AB$304,'交易记录'!$S$5:$S$304,"&gt;="&amp;$C$4,'交易记录'!$S$5:$S$304,"&lt;="&amp;$E$4,'交易记录'!$X$5:$X$304,"已平仓",'交易记录'!$AB$5:$AB$304,"&gt;0")/C22,""),"")</f>
        <v/>
      </c>
      <c r="D25" s="45" t="str">
        <f>IF(N(D22)&gt;0,SUMIFS('交易记录'!$AB$5:$AB$304,'交易记录'!$X$5:$X$304,"已平仓",'交易记录'!$AB$5:$AB$304,"&gt;0")/D22,"")</f>
        <v/>
      </c>
      <c r="E25" s="19" t="inlineStr"/>
      <c r="F25" s="19" t="n"/>
      <c r="G25" s="19" t="n"/>
      <c r="H25" s="19" t="n"/>
      <c r="I25" s="19" t="n"/>
      <c r="J25" s="19" t="n"/>
    </row>
    <row r="26">
      <c r="B26" s="16" t="inlineStr">
        <is>
          <t>平均亏损（R）</t>
        </is>
      </c>
      <c r="C26" s="45" t="str">
        <f>IF(AND(ISNUMBER($C$4),ISNUMBER($E$4)),IF(N(C23)&gt;0,SUMIFS('交易记录'!$AB$5:$AB$304,'交易记录'!$S$5:$S$304,"&gt;="&amp;$C$4,'交易记录'!$S$5:$S$304,"&lt;="&amp;$E$4,'交易记录'!$X$5:$X$304,"已平仓",'交易记录'!$AB$5:$AB$304,"&lt;0")/C23,""),"")</f>
        <v/>
      </c>
      <c r="D26" s="45" t="str">
        <f>IF(N(D23)&gt;0,SUMIFS('交易记录'!$AB$5:$AB$304,'交易记录'!$X$5:$X$304,"已平仓",'交易记录'!$AB$5:$AB$304,"&lt;0")/D23,"")</f>
        <v/>
      </c>
      <c r="E26" s="19" t="inlineStr">
        <is>
          <t>平均亏损超过 1R，说明止损常被跳空或扛单打穿。</t>
        </is>
      </c>
      <c r="F26" s="19" t="n"/>
      <c r="G26" s="19" t="n"/>
      <c r="H26" s="19" t="n"/>
      <c r="I26" s="19" t="n"/>
      <c r="J26" s="19" t="n"/>
    </row>
    <row r="27">
      <c r="B27" s="16" t="inlineStr">
        <is>
          <t>每笔平均净R（期望）</t>
        </is>
      </c>
      <c r="C27" s="45" t="str">
        <f>IF(AND(ISNUMBER($C$4),ISNUMBER($E$4)),IF(N(C21)&gt;0,SUMIFS('交易记录'!$AB$5:$AB$304,'交易记录'!$S$5:$S$304,"&gt;="&amp;$C$4,'交易记录'!$S$5:$S$304,"&lt;="&amp;$E$4,'交易记录'!$X$5:$X$304,"已平仓")/C21,""),"")</f>
        <v/>
      </c>
      <c r="D27" s="45" t="str">
        <f>IF(N(D21)&gt;0,SUMIFS('交易记录'!$AB$5:$AB$304,'交易记录'!$X$5:$X$304,"已平仓")/D21,"")</f>
        <v/>
      </c>
      <c r="E27" s="19" t="inlineStr">
        <is>
          <t>最重要的一个数。笔数少时只当参考。</t>
        </is>
      </c>
      <c r="F27" s="19" t="n"/>
      <c r="G27" s="19" t="n"/>
      <c r="H27" s="19" t="n"/>
      <c r="I27" s="19" t="n"/>
      <c r="J27" s="19" t="n"/>
    </row>
    <row r="28">
      <c r="B28" s="16" t="inlineStr">
        <is>
          <t>合计毛R（不扣费用）</t>
        </is>
      </c>
      <c r="C28" s="45" t="str">
        <f>IF(AND(ISNUMBER($C$4),ISNUMBER($E$4)),IF(N(C21)&gt;0,SUMIFS('交易记录'!$AA$5:$AA$304,'交易记录'!$S$5:$S$304,"&gt;="&amp;$C$4,'交易记录'!$S$5:$S$304,"&lt;="&amp;$E$4,'交易记录'!$X$5:$X$304,"已平仓"),""),"")</f>
        <v/>
      </c>
      <c r="D28" s="45" t="str">
        <f>IF(N(D21)&gt;0,SUMIFS('交易记录'!$AA$5:$AA$304,'交易记录'!$X$5:$X$304,"已平仓"),"")</f>
        <v/>
      </c>
      <c r="E28" s="19" t="inlineStr"/>
      <c r="F28" s="19" t="n"/>
      <c r="G28" s="19" t="n"/>
      <c r="H28" s="19" t="n"/>
      <c r="I28" s="19" t="n"/>
      <c r="J28" s="19" t="n"/>
    </row>
    <row r="29">
      <c r="B29" s="16" t="inlineStr">
        <is>
          <t>合计净R（扣完费用）</t>
        </is>
      </c>
      <c r="C29" s="45" t="str">
        <f>IF(AND(ISNUMBER($C$4),ISNUMBER($E$4)),IF(N(C21)&gt;0,SUMIFS('交易记录'!$AB$5:$AB$304,'交易记录'!$S$5:$S$304,"&gt;="&amp;$C$4,'交易记录'!$S$5:$S$304,"&lt;="&amp;$E$4,'交易记录'!$X$5:$X$304,"已平仓"),""),"")</f>
        <v/>
      </c>
      <c r="D29" s="45" t="str">
        <f>IF(N(D21)&gt;0,SUMIFS('交易记录'!$AB$5:$AB$304,'交易记录'!$X$5:$X$304,"已平仓"),"")</f>
        <v/>
      </c>
      <c r="E29" s="19" t="inlineStr"/>
      <c r="F29" s="19" t="n"/>
      <c r="G29" s="19" t="n"/>
      <c r="H29" s="19" t="n"/>
      <c r="I29" s="19" t="n"/>
      <c r="J29" s="19" t="n"/>
    </row>
    <row r="30">
      <c r="B30" s="16" t="inlineStr">
        <is>
          <t>费用吃掉的R</t>
        </is>
      </c>
      <c r="C30" s="61" t="str">
        <f>IF(AND(ISNUMBER($C$4),ISNUMBER($E$4)),IF(N(C21)&gt;0,C28-C29,""),"")</f>
        <v/>
      </c>
      <c r="D30" s="61" t="str">
        <f>IF(N(D21)&gt;0,D28-D29,"")</f>
        <v/>
      </c>
      <c r="E30" s="19" t="inlineStr">
        <is>
          <t>短线做得越勤，这一行越大。</t>
        </is>
      </c>
      <c r="F30" s="19" t="n"/>
      <c r="G30" s="19" t="n"/>
      <c r="H30" s="19" t="n"/>
      <c r="I30" s="19" t="n"/>
      <c r="J30" s="19" t="n"/>
    </row>
    <row r="31">
      <c r="B31" s="16" t="inlineStr">
        <is>
          <t>合计净盈亏（元）</t>
        </is>
      </c>
      <c r="C31" s="52" t="str">
        <f>IF(AND(ISNUMBER($C$4),ISNUMBER($E$4)),IF(N(C21)&gt;0,SUMIFS('交易记录'!$Z$5:$Z$304,'交易记录'!$S$5:$S$304,"&gt;="&amp;$C$4,'交易记录'!$S$5:$S$304,"&lt;="&amp;$E$4,'交易记录'!$X$5:$X$304,"已平仓"),""),"")</f>
        <v/>
      </c>
      <c r="D31" s="52" t="str">
        <f>IF(N(D21)&gt;0,SUMIFS('交易记录'!$Z$5:$Z$304,'交易记录'!$X$5:$X$304,"已平仓"),"")</f>
        <v/>
      </c>
      <c r="E31" s="19" t="inlineStr"/>
      <c r="F31" s="19" t="n"/>
      <c r="G31" s="19" t="n"/>
      <c r="H31" s="19" t="n"/>
      <c r="I31" s="19" t="n"/>
      <c r="J31" s="19" t="n"/>
    </row>
    <row r="32">
      <c r="B32" s="16" t="inlineStr">
        <is>
          <t>合计费用（元）</t>
        </is>
      </c>
      <c r="C32" s="51" t="str">
        <f>IF(AND(ISNUMBER($C$4),ISNUMBER($E$4)),IF(N(C21)&gt;0,SUMIFS('交易记录'!$Y$5:$Y$304,'交易记录'!$S$5:$S$304,"&gt;="&amp;$C$4,'交易记录'!$S$5:$S$304,"&lt;="&amp;$E$4,'交易记录'!$X$5:$X$304,"已平仓"),""),"")</f>
        <v/>
      </c>
      <c r="D32" s="51" t="str">
        <f>IF(N(D21)&gt;0,SUMIFS('交易记录'!$Y$5:$Y$304,'交易记录'!$X$5:$X$304,"已平仓"),"")</f>
        <v/>
      </c>
      <c r="E32" s="19" t="inlineStr">
        <is>
          <t>佣金、印花税、过户费合计。</t>
        </is>
      </c>
      <c r="F32" s="19" t="n"/>
      <c r="G32" s="19" t="n"/>
      <c r="H32" s="19" t="n"/>
      <c r="I32" s="19" t="n"/>
      <c r="J32" s="19" t="n"/>
    </row>
    <row r="33">
      <c r="B33" s="16" t="inlineStr">
        <is>
          <t>过程 A（完全照计划）</t>
        </is>
      </c>
      <c r="C33" s="44" t="str">
        <f>IF(AND(ISNUMBER($C$4),ISNUMBER($E$4)),COUNTIFS('交易记录'!$S$5:$S$304,"&gt;="&amp;$C$4,'交易记录'!$S$5:$S$304,"&lt;="&amp;$E$4,'交易记录'!$X$5:$X$304,"已平仓",'交易记录'!$AD$5:$AD$304,"A"),"")</f>
        <v/>
      </c>
      <c r="D33" s="44">
        <f>COUNTIFS('交易记录'!$X$5:$X$304,"已平仓",'交易记录'!$AD$5:$AD$304,"A")</f>
        <v>0</v>
      </c>
      <c r="E33" s="19" t="inlineStr"/>
      <c r="F33" s="19" t="n"/>
      <c r="G33" s="19" t="n"/>
      <c r="H33" s="19" t="n"/>
      <c r="I33" s="19" t="n"/>
      <c r="J33" s="19" t="n"/>
    </row>
    <row r="34">
      <c r="B34" s="16" t="inlineStr">
        <is>
          <t>过程 B（小偏差）</t>
        </is>
      </c>
      <c r="C34" s="44" t="str">
        <f>IF(AND(ISNUMBER($C$4),ISNUMBER($E$4)),COUNTIFS('交易记录'!$S$5:$S$304,"&gt;="&amp;$C$4,'交易记录'!$S$5:$S$304,"&lt;="&amp;$E$4,'交易记录'!$X$5:$X$304,"已平仓",'交易记录'!$AD$5:$AD$304,"B"),"")</f>
        <v/>
      </c>
      <c r="D34" s="44">
        <f>COUNTIFS('交易记录'!$X$5:$X$304,"已平仓",'交易记录'!$AD$5:$AD$304,"B")</f>
        <v>0</v>
      </c>
      <c r="E34" s="19" t="inlineStr"/>
      <c r="F34" s="19" t="n"/>
      <c r="G34" s="19" t="n"/>
      <c r="H34" s="19" t="n"/>
      <c r="I34" s="19" t="n"/>
      <c r="J34" s="19" t="n"/>
    </row>
    <row r="35">
      <c r="B35" s="16" t="inlineStr">
        <is>
          <t>过程 C（违反一条规则）</t>
        </is>
      </c>
      <c r="C35" s="44" t="str">
        <f>IF(AND(ISNUMBER($C$4),ISNUMBER($E$4)),COUNTIFS('交易记录'!$S$5:$S$304,"&gt;="&amp;$C$4,'交易记录'!$S$5:$S$304,"&lt;="&amp;$E$4,'交易记录'!$X$5:$X$304,"已平仓",'交易记录'!$AD$5:$AD$304,"C"),"")</f>
        <v/>
      </c>
      <c r="D35" s="44">
        <f>COUNTIFS('交易记录'!$X$5:$X$304,"已平仓",'交易记录'!$AD$5:$AD$304,"C")</f>
        <v>0</v>
      </c>
      <c r="E35" s="19" t="inlineStr"/>
      <c r="F35" s="19" t="n"/>
      <c r="G35" s="19" t="n"/>
      <c r="H35" s="19" t="n"/>
      <c r="I35" s="19" t="n"/>
      <c r="J35" s="19" t="n"/>
    </row>
    <row r="36">
      <c r="B36" s="16" t="inlineStr">
        <is>
          <t>过程 D（没计划就下单）</t>
        </is>
      </c>
      <c r="C36" s="44" t="str">
        <f>IF(AND(ISNUMBER($C$4),ISNUMBER($E$4)),COUNTIFS('交易记录'!$S$5:$S$304,"&gt;="&amp;$C$4,'交易记录'!$S$5:$S$304,"&lt;="&amp;$E$4,'交易记录'!$X$5:$X$304,"已平仓",'交易记录'!$AD$5:$AD$304,"D"),"")</f>
        <v/>
      </c>
      <c r="D36" s="44">
        <f>COUNTIFS('交易记录'!$X$5:$X$304,"已平仓",'交易记录'!$AD$5:$AD$304,"D")</f>
        <v>0</v>
      </c>
      <c r="E36" s="19" t="inlineStr"/>
      <c r="F36" s="19" t="n"/>
      <c r="G36" s="19" t="n"/>
      <c r="H36" s="19" t="n"/>
      <c r="I36" s="19" t="n"/>
      <c r="J36" s="19" t="n"/>
    </row>
    <row r="37">
      <c r="B37" s="16" t="inlineStr">
        <is>
          <t>A 档占比</t>
        </is>
      </c>
      <c r="C37" s="47" t="str">
        <f>IF(AND(ISNUMBER($C$4),ISNUMBER($E$4)),IF(N(C21)&gt;0,C33/C21,""),"")</f>
        <v/>
      </c>
      <c r="D37" s="47" t="str">
        <f>IF(N(D21)&gt;0,D33/D21,"")</f>
        <v/>
      </c>
      <c r="E37" s="19" t="inlineStr">
        <is>
          <t>这个比例在涨，说明执行在变好，哪怕这周亏了钱。</t>
        </is>
      </c>
      <c r="F37" s="19" t="n"/>
      <c r="G37" s="19" t="n"/>
      <c r="H37" s="19" t="n"/>
      <c r="I37" s="19" t="n"/>
      <c r="J37" s="19" t="n"/>
    </row>
    <row r="38">
      <c r="B38" s="16" t="inlineStr">
        <is>
          <t>赚了钱的坏交易（C/D 档却赚了）</t>
        </is>
      </c>
      <c r="C38" s="44" t="str">
        <f>IF(AND(ISNUMBER($C$4),ISNUMBER($E$4)),COUNTIFS('交易记录'!$S$5:$S$304,"&gt;="&amp;$C$4,'交易记录'!$S$5:$S$304,"&lt;="&amp;$E$4,'交易记录'!$X$5:$X$304,"已平仓",'交易记录'!$AD$5:$AD$304,"C",'交易记录'!$AB$5:$AB$304,"&gt;0")+COUNTIFS('交易记录'!$S$5:$S$304,"&gt;="&amp;$C$4,'交易记录'!$S$5:$S$304,"&lt;="&amp;$E$4,'交易记录'!$X$5:$X$304,"已平仓",'交易记录'!$AD$5:$AD$304,"D",'交易记录'!$AB$5:$AB$304,"&gt;0"),"")</f>
        <v/>
      </c>
      <c r="D38" s="44">
        <f>COUNTIFS('交易记录'!$X$5:$X$304,"已平仓",'交易记录'!$AD$5:$AD$304,"C",'交易记录'!$AB$5:$AB$304,"&gt;0")+COUNTIFS('交易记录'!$X$5:$X$304,"已平仓",'交易记录'!$AD$5:$AD$304,"D",'交易记录'!$AB$5:$AB$304,"&gt;0")</f>
        <v>0</v>
      </c>
      <c r="E38" s="19" t="inlineStr">
        <is>
          <t>最需要复盘的一类：它会让你下次继续违规。</t>
        </is>
      </c>
      <c r="F38" s="19" t="n"/>
      <c r="G38" s="19" t="n"/>
      <c r="H38" s="19" t="n"/>
      <c r="I38" s="19" t="n"/>
      <c r="J38" s="19" t="n"/>
    </row>
    <row r="39">
      <c r="B39" s="16" t="inlineStr">
        <is>
          <t>照计划做的（A/B）每笔平均净R</t>
        </is>
      </c>
      <c r="C39" s="45" t="str">
        <f>IF(AND(ISNUMBER($C$4),ISNUMBER($E$4)),IF(N(C33)+N(C34)&gt;0,(SUMIFS('交易记录'!$AB$5:$AB$304,'交易记录'!$S$5:$S$304,"&gt;="&amp;$C$4,'交易记录'!$S$5:$S$304,"&lt;="&amp;$E$4,'交易记录'!$X$5:$X$304,"已平仓",'交易记录'!$AD$5:$AD$304,"A")+SUMIFS('交易记录'!$AB$5:$AB$304,'交易记录'!$S$5:$S$304,"&gt;="&amp;$C$4,'交易记录'!$S$5:$S$304,"&lt;="&amp;$E$4,'交易记录'!$X$5:$X$304,"已平仓",'交易记录'!$AD$5:$AD$304,"B"))/(C33+C34),""),"")</f>
        <v/>
      </c>
      <c r="D39" s="45" t="str">
        <f>IF(N(D33)+N(D34)&gt;0,(SUMIFS('交易记录'!$AB$5:$AB$304,'交易记录'!$X$5:$X$304,"已平仓",'交易记录'!$AD$5:$AD$304,"A")+SUMIFS('交易记录'!$AB$5:$AB$304,'交易记录'!$X$5:$X$304,"已平仓",'交易记录'!$AD$5:$AD$304,"B"))/(D33+D34),"")</f>
        <v/>
      </c>
      <c r="E39" s="19" t="inlineStr">
        <is>
          <t>和下一行比：规则本身赚不赚钱，先看照做的这些。</t>
        </is>
      </c>
      <c r="F39" s="19" t="n"/>
      <c r="G39" s="19" t="n"/>
      <c r="H39" s="19" t="n"/>
      <c r="I39" s="19" t="n"/>
      <c r="J39" s="19" t="n"/>
    </row>
    <row r="40">
      <c r="B40" s="16" t="inlineStr">
        <is>
          <t>违规的（C/D）每笔平均净R</t>
        </is>
      </c>
      <c r="C40" s="45" t="str">
        <f>IF(AND(ISNUMBER($C$4),ISNUMBER($E$4)),IF(N(C35)+N(C36)&gt;0,(SUMIFS('交易记录'!$AB$5:$AB$304,'交易记录'!$S$5:$S$304,"&gt;="&amp;$C$4,'交易记录'!$S$5:$S$304,"&lt;="&amp;$E$4,'交易记录'!$X$5:$X$304,"已平仓",'交易记录'!$AD$5:$AD$304,"C")+SUMIFS('交易记录'!$AB$5:$AB$304,'交易记录'!$S$5:$S$304,"&gt;="&amp;$C$4,'交易记录'!$S$5:$S$304,"&lt;="&amp;$E$4,'交易记录'!$X$5:$X$304,"已平仓",'交易记录'!$AD$5:$AD$304,"D"))/(C35+C36),""),"")</f>
        <v/>
      </c>
      <c r="D40" s="45" t="str">
        <f>IF(N(D35)+N(D36)&gt;0,(SUMIFS('交易记录'!$AB$5:$AB$304,'交易记录'!$X$5:$X$304,"已平仓",'交易记录'!$AD$5:$AD$304,"C")+SUMIFS('交易记录'!$AB$5:$AB$304,'交易记录'!$X$5:$X$304,"已平仓",'交易记录'!$AD$5:$AD$304,"D"))/(D35+D36),"")</f>
        <v/>
      </c>
      <c r="E40" s="19" t="inlineStr"/>
      <c r="F40" s="19" t="n"/>
      <c r="G40" s="19" t="n"/>
      <c r="H40" s="19" t="n"/>
      <c r="I40" s="19" t="n"/>
      <c r="J40" s="19" t="n"/>
    </row>
    <row r="41">
      <c r="B41" s="16" t="inlineStr">
        <is>
          <t>持仓中（现在）</t>
        </is>
      </c>
      <c r="C41" s="44" t="str">
        <f>IF(AND(ISNUMBER($C$4),ISNUMBER($E$4)),COUNTIF('交易记录'!$X$5:$X$304,"持仓中"),"")</f>
        <v/>
      </c>
      <c r="D41" s="44">
        <f>COUNTIF('交易记录'!$X$5:$X$304,"持仓中")</f>
        <v>0</v>
      </c>
      <c r="E41" s="19" t="inlineStr">
        <is>
          <t>没平仓的不进成绩。</t>
        </is>
      </c>
      <c r="F41" s="19" t="n"/>
      <c r="G41" s="19" t="n"/>
      <c r="H41" s="19" t="n"/>
      <c r="I41" s="19" t="n"/>
      <c r="J41" s="19" t="n"/>
    </row>
    <row r="42">
      <c r="B42" s="16" t="inlineStr">
        <is>
          <t>最大回撤（R，全部记录）</t>
        </is>
      </c>
      <c r="C42" s="61" t="str">
        <f>""</f>
        <v/>
      </c>
      <c r="D42" s="61" t="str">
        <f>IF(COUNT('交易记录'!$AH$5:$AH$304)=0,"",MAX('交易记录'!$AH$5:$AH$304))</f>
        <v/>
      </c>
      <c r="E42" s="19" t="inlineStr">
        <is>
          <t>按交易记录的先后顺序累计净R，从最高点往下最多回了几 R。</t>
        </is>
      </c>
      <c r="F42" s="19" t="n"/>
      <c r="G42" s="19" t="n"/>
      <c r="H42" s="19" t="n"/>
      <c r="I42" s="19" t="n"/>
      <c r="J42" s="19" t="n"/>
    </row>
    <row r="43">
      <c r="B43" s="16" t="inlineStr">
        <is>
          <t>最大单笔亏损（R，全部记录）</t>
        </is>
      </c>
      <c r="C43" s="45" t="str">
        <f>""</f>
        <v/>
      </c>
      <c r="D43" s="45" t="str">
        <f>IF(COUNT('交易记录'!$AB$5:$AB$304)=0,"",MIN('交易记录'!$AB$5:$AB$304))</f>
        <v/>
      </c>
      <c r="E43" s="19" t="inlineStr">
        <is>
          <t>超过 -2R 的单，逐笔回去看是跳空、跌停还是扛单。</t>
        </is>
      </c>
      <c r="F43" s="19" t="n"/>
      <c r="G43" s="19" t="n"/>
      <c r="H43" s="19" t="n"/>
      <c r="I43" s="19" t="n"/>
      <c r="J43" s="19" t="n"/>
    </row>
    <row r="45">
      <c r="B45" s="15" t="inlineStr">
        <is>
          <t>3. 偏差标签：最常犯的是哪一个</t>
        </is>
      </c>
    </row>
    <row r="46">
      <c r="B46" s="25" t="inlineStr">
        <is>
          <t>标签</t>
        </is>
      </c>
      <c r="C46" s="25" t="inlineStr">
        <is>
          <t>本区间笔数</t>
        </is>
      </c>
      <c r="D46" s="25" t="inlineStr">
        <is>
          <t>全部笔数</t>
        </is>
      </c>
      <c r="E46" s="25" t="inlineStr">
        <is>
          <t>全部合计净R</t>
        </is>
      </c>
      <c r="F46" s="25" t="inlineStr">
        <is>
          <t>提示</t>
        </is>
      </c>
    </row>
    <row r="47">
      <c r="B47" s="62" t="str">
        <f>T('参数'!$E$43)</f>
        <v>无</v>
      </c>
      <c r="C47" s="44" t="str">
        <f>IF(OR(B47="",NOT(AND(ISNUMBER($C$4),ISNUMBER($E$4)))),"",COUNTIFS('交易记录'!$S$5:$S$304,"&gt;="&amp;$C$4,'交易记录'!$S$5:$S$304,"&lt;="&amp;$E$4,'交易记录'!$X$5:$X$304,"已平仓",'交易记录'!$AE$5:$AE$304,B47))</f>
        <v/>
      </c>
      <c r="D47" s="44">
        <f>IF(B47="","",COUNTIFS('交易记录'!$X$5:$X$304,"已平仓",'交易记录'!$AE$5:$AE$304,B47))</f>
        <v>0</v>
      </c>
      <c r="E47" s="45">
        <f>IF(B47="","",SUMIFS('交易记录'!$AB$5:$AB$304,'交易记录'!$X$5:$X$304,"已平仓",'交易记录'!$AE$5:$AE$304,B47))</f>
        <v>0</v>
      </c>
      <c r="F47" s="36" t="str">
        <f>IF(AND(B47&lt;&gt;"",B47&lt;&gt;"无",N(C47)&gt;0,N(C47)=MAX($L$47:$L$56)),"本区间最多","")</f>
        <v/>
      </c>
      <c r="L47" s="40">
        <f>IF(OR(B47="",B47="无"),0,N(C47))</f>
        <v>0</v>
      </c>
    </row>
    <row r="48">
      <c r="B48" s="62" t="str">
        <f>T('参数'!$E$44)</f>
        <v>追单</v>
      </c>
      <c r="C48" s="44" t="str">
        <f>IF(OR(B48="",NOT(AND(ISNUMBER($C$4),ISNUMBER($E$4)))),"",COUNTIFS('交易记录'!$S$5:$S$304,"&gt;="&amp;$C$4,'交易记录'!$S$5:$S$304,"&lt;="&amp;$E$4,'交易记录'!$X$5:$X$304,"已平仓",'交易记录'!$AE$5:$AE$304,B48))</f>
        <v/>
      </c>
      <c r="D48" s="44">
        <f>IF(B48="","",COUNTIFS('交易记录'!$X$5:$X$304,"已平仓",'交易记录'!$AE$5:$AE$304,B48))</f>
        <v>0</v>
      </c>
      <c r="E48" s="45">
        <f>IF(B48="","",SUMIFS('交易记录'!$AB$5:$AB$304,'交易记录'!$X$5:$X$304,"已平仓",'交易记录'!$AE$5:$AE$304,B48))</f>
        <v>0</v>
      </c>
      <c r="F48" s="36" t="str">
        <f>IF(AND(B48&lt;&gt;"",B48&lt;&gt;"无",N(C48)&gt;0,N(C48)=MAX($L$47:$L$56)),"本区间最多","")</f>
        <v/>
      </c>
      <c r="L48" s="40">
        <f>IF(OR(B48="",B48="无"),0,N(C48))</f>
        <v>0</v>
      </c>
    </row>
    <row r="49">
      <c r="B49" s="62" t="str">
        <f>T('参数'!$E$45)</f>
        <v>扛单</v>
      </c>
      <c r="C49" s="44" t="str">
        <f>IF(OR(B49="",NOT(AND(ISNUMBER($C$4),ISNUMBER($E$4)))),"",COUNTIFS('交易记录'!$S$5:$S$304,"&gt;="&amp;$C$4,'交易记录'!$S$5:$S$304,"&lt;="&amp;$E$4,'交易记录'!$X$5:$X$304,"已平仓",'交易记录'!$AE$5:$AE$304,B49))</f>
        <v/>
      </c>
      <c r="D49" s="44">
        <f>IF(B49="","",COUNTIFS('交易记录'!$X$5:$X$304,"已平仓",'交易记录'!$AE$5:$AE$304,B49))</f>
        <v>0</v>
      </c>
      <c r="E49" s="45">
        <f>IF(B49="","",SUMIFS('交易记录'!$AB$5:$AB$304,'交易记录'!$X$5:$X$304,"已平仓",'交易记录'!$AE$5:$AE$304,B49))</f>
        <v>0</v>
      </c>
      <c r="F49" s="36" t="str">
        <f>IF(AND(B49&lt;&gt;"",B49&lt;&gt;"无",N(C49)&gt;0,N(C49)=MAX($L$47:$L$56)),"本区间最多","")</f>
        <v/>
      </c>
      <c r="L49" s="40">
        <f>IF(OR(B49="",B49="无"),0,N(C49))</f>
        <v>0</v>
      </c>
    </row>
    <row r="50">
      <c r="B50" s="62" t="str">
        <f>T('参数'!$E$46)</f>
        <v>提前跑</v>
      </c>
      <c r="C50" s="44" t="str">
        <f>IF(OR(B50="",NOT(AND(ISNUMBER($C$4),ISNUMBER($E$4)))),"",COUNTIFS('交易记录'!$S$5:$S$304,"&gt;="&amp;$C$4,'交易记录'!$S$5:$S$304,"&lt;="&amp;$E$4,'交易记录'!$X$5:$X$304,"已平仓",'交易记录'!$AE$5:$AE$304,B50))</f>
        <v/>
      </c>
      <c r="D50" s="44">
        <f>IF(B50="","",COUNTIFS('交易记录'!$X$5:$X$304,"已平仓",'交易记录'!$AE$5:$AE$304,B50))</f>
        <v>0</v>
      </c>
      <c r="E50" s="45">
        <f>IF(B50="","",SUMIFS('交易记录'!$AB$5:$AB$304,'交易记录'!$X$5:$X$304,"已平仓",'交易记录'!$AE$5:$AE$304,B50))</f>
        <v>0</v>
      </c>
      <c r="F50" s="36" t="str">
        <f>IF(AND(B50&lt;&gt;"",B50&lt;&gt;"无",N(C50)&gt;0,N(C50)=MAX($L$47:$L$56)),"本区间最多","")</f>
        <v/>
      </c>
      <c r="L50" s="40">
        <f>IF(OR(B50="",B50="无"),0,N(C50))</f>
        <v>0</v>
      </c>
    </row>
    <row r="51">
      <c r="B51" s="62" t="str">
        <f>T('参数'!$E$47)</f>
        <v>加仓回本</v>
      </c>
      <c r="C51" s="44" t="str">
        <f>IF(OR(B51="",NOT(AND(ISNUMBER($C$4),ISNUMBER($E$4)))),"",COUNTIFS('交易记录'!$S$5:$S$304,"&gt;="&amp;$C$4,'交易记录'!$S$5:$S$304,"&lt;="&amp;$E$4,'交易记录'!$X$5:$X$304,"已平仓",'交易记录'!$AE$5:$AE$304,B51))</f>
        <v/>
      </c>
      <c r="D51" s="44">
        <f>IF(B51="","",COUNTIFS('交易记录'!$X$5:$X$304,"已平仓",'交易记录'!$AE$5:$AE$304,B51))</f>
        <v>0</v>
      </c>
      <c r="E51" s="45">
        <f>IF(B51="","",SUMIFS('交易记录'!$AB$5:$AB$304,'交易记录'!$X$5:$X$304,"已平仓",'交易记录'!$AE$5:$AE$304,B51))</f>
        <v>0</v>
      </c>
      <c r="F51" s="36" t="str">
        <f>IF(AND(B51&lt;&gt;"",B51&lt;&gt;"无",N(C51)&gt;0,N(C51)=MAX($L$47:$L$56)),"本区间最多","")</f>
        <v/>
      </c>
      <c r="L51" s="40">
        <f>IF(OR(B51="",B51="无"),0,N(C51))</f>
        <v>0</v>
      </c>
    </row>
    <row r="52">
      <c r="B52" s="62" t="str">
        <f>T('参数'!$E$48)</f>
        <v>没计划</v>
      </c>
      <c r="C52" s="44" t="str">
        <f>IF(OR(B52="",NOT(AND(ISNUMBER($C$4),ISNUMBER($E$4)))),"",COUNTIFS('交易记录'!$S$5:$S$304,"&gt;="&amp;$C$4,'交易记录'!$S$5:$S$304,"&lt;="&amp;$E$4,'交易记录'!$X$5:$X$304,"已平仓",'交易记录'!$AE$5:$AE$304,B52))</f>
        <v/>
      </c>
      <c r="D52" s="44">
        <f>IF(B52="","",COUNTIFS('交易记录'!$X$5:$X$304,"已平仓",'交易记录'!$AE$5:$AE$304,B52))</f>
        <v>0</v>
      </c>
      <c r="E52" s="45">
        <f>IF(B52="","",SUMIFS('交易记录'!$AB$5:$AB$304,'交易记录'!$X$5:$X$304,"已平仓",'交易记录'!$AE$5:$AE$304,B52))</f>
        <v>0</v>
      </c>
      <c r="F52" s="36" t="str">
        <f>IF(AND(B52&lt;&gt;"",B52&lt;&gt;"无",N(C52)&gt;0,N(C52)=MAX($L$47:$L$56)),"本区间最多","")</f>
        <v/>
      </c>
      <c r="L52" s="40">
        <f>IF(OR(B52="",B52="无"),0,N(C52))</f>
        <v>0</v>
      </c>
    </row>
    <row r="53">
      <c r="B53" s="62" t="str">
        <f>T('参数'!$E$49)</f>
        <v>超仓位</v>
      </c>
      <c r="C53" s="44" t="str">
        <f>IF(OR(B53="",NOT(AND(ISNUMBER($C$4),ISNUMBER($E$4)))),"",COUNTIFS('交易记录'!$S$5:$S$304,"&gt;="&amp;$C$4,'交易记录'!$S$5:$S$304,"&lt;="&amp;$E$4,'交易记录'!$X$5:$X$304,"已平仓",'交易记录'!$AE$5:$AE$304,B53))</f>
        <v/>
      </c>
      <c r="D53" s="44">
        <f>IF(B53="","",COUNTIFS('交易记录'!$X$5:$X$304,"已平仓",'交易记录'!$AE$5:$AE$304,B53))</f>
        <v>0</v>
      </c>
      <c r="E53" s="45">
        <f>IF(B53="","",SUMIFS('交易记录'!$AB$5:$AB$304,'交易记录'!$X$5:$X$304,"已平仓",'交易记录'!$AE$5:$AE$304,B53))</f>
        <v>0</v>
      </c>
      <c r="F53" s="36" t="str">
        <f>IF(AND(B53&lt;&gt;"",B53&lt;&gt;"无",N(C53)&gt;0,N(C53)=MAX($L$47:$L$56)),"本区间最多","")</f>
        <v/>
      </c>
      <c r="L53" s="40">
        <f>IF(OR(B53="",B53="无"),0,N(C53))</f>
        <v>0</v>
      </c>
    </row>
    <row r="54">
      <c r="B54" s="62" t="str">
        <f>T('参数'!$E$50)</f>
        <v>止损挪远</v>
      </c>
      <c r="C54" s="44" t="str">
        <f>IF(OR(B54="",NOT(AND(ISNUMBER($C$4),ISNUMBER($E$4)))),"",COUNTIFS('交易记录'!$S$5:$S$304,"&gt;="&amp;$C$4,'交易记录'!$S$5:$S$304,"&lt;="&amp;$E$4,'交易记录'!$X$5:$X$304,"已平仓",'交易记录'!$AE$5:$AE$304,B54))</f>
        <v/>
      </c>
      <c r="D54" s="44">
        <f>IF(B54="","",COUNTIFS('交易记录'!$X$5:$X$304,"已平仓",'交易记录'!$AE$5:$AE$304,B54))</f>
        <v>0</v>
      </c>
      <c r="E54" s="45">
        <f>IF(B54="","",SUMIFS('交易记录'!$AB$5:$AB$304,'交易记录'!$X$5:$X$304,"已平仓",'交易记录'!$AE$5:$AE$304,B54))</f>
        <v>0</v>
      </c>
      <c r="F54" s="36" t="str">
        <f>IF(AND(B54&lt;&gt;"",B54&lt;&gt;"无",N(C54)&gt;0,N(C54)=MAX($L$47:$L$56)),"本区间最多","")</f>
        <v/>
      </c>
      <c r="L54" s="40">
        <f>IF(OR(B54="",B54="无"),0,N(C54))</f>
        <v>0</v>
      </c>
    </row>
    <row r="55">
      <c r="B55" s="62" t="str">
        <f>T('参数'!$E$51)</f>
        <v>盘中改计划</v>
      </c>
      <c r="C55" s="44" t="str">
        <f>IF(OR(B55="",NOT(AND(ISNUMBER($C$4),ISNUMBER($E$4)))),"",COUNTIFS('交易记录'!$S$5:$S$304,"&gt;="&amp;$C$4,'交易记录'!$S$5:$S$304,"&lt;="&amp;$E$4,'交易记录'!$X$5:$X$304,"已平仓",'交易记录'!$AE$5:$AE$304,B55))</f>
        <v/>
      </c>
      <c r="D55" s="44">
        <f>IF(B55="","",COUNTIFS('交易记录'!$X$5:$X$304,"已平仓",'交易记录'!$AE$5:$AE$304,B55))</f>
        <v>0</v>
      </c>
      <c r="E55" s="45">
        <f>IF(B55="","",SUMIFS('交易记录'!$AB$5:$AB$304,'交易记录'!$X$5:$X$304,"已平仓",'交易记录'!$AE$5:$AE$304,B55))</f>
        <v>0</v>
      </c>
      <c r="F55" s="36" t="str">
        <f>IF(AND(B55&lt;&gt;"",B55&lt;&gt;"无",N(C55)&gt;0,N(C55)=MAX($L$47:$L$56)),"本区间最多","")</f>
        <v/>
      </c>
      <c r="L55" s="40">
        <f>IF(OR(B55="",B55="无"),0,N(C55))</f>
        <v>0</v>
      </c>
    </row>
    <row r="56">
      <c r="B56" s="62" t="str">
        <f>T('参数'!$E$52)</f>
        <v>其他</v>
      </c>
      <c r="C56" s="44" t="str">
        <f>IF(OR(B56="",NOT(AND(ISNUMBER($C$4),ISNUMBER($E$4)))),"",COUNTIFS('交易记录'!$S$5:$S$304,"&gt;="&amp;$C$4,'交易记录'!$S$5:$S$304,"&lt;="&amp;$E$4,'交易记录'!$X$5:$X$304,"已平仓",'交易记录'!$AE$5:$AE$304,B56))</f>
        <v/>
      </c>
      <c r="D56" s="44">
        <f>IF(B56="","",COUNTIFS('交易记录'!$X$5:$X$304,"已平仓",'交易记录'!$AE$5:$AE$304,B56))</f>
        <v>0</v>
      </c>
      <c r="E56" s="45">
        <f>IF(B56="","",SUMIFS('交易记录'!$AB$5:$AB$304,'交易记录'!$X$5:$X$304,"已平仓",'交易记录'!$AE$5:$AE$304,B56))</f>
        <v>0</v>
      </c>
      <c r="F56" s="36" t="str">
        <f>IF(AND(B56&lt;&gt;"",B56&lt;&gt;"无",N(C56)&gt;0,N(C56)=MAX($L$47:$L$56)),"本区间最多","")</f>
        <v/>
      </c>
      <c r="L56" s="40">
        <f>IF(OR(B56="",B56="无"),0,N(C56))</f>
        <v>0</v>
      </c>
    </row>
    <row r="58">
      <c r="B58" s="15" t="inlineStr">
        <is>
          <t>4. 分组看（全部已平仓记录；少于 10 笔只看不下结论）</t>
        </is>
      </c>
    </row>
    <row r="59">
      <c r="B59" s="25" t="inlineStr">
        <is>
          <t>买点类型</t>
        </is>
      </c>
      <c r="C59" s="25" t="inlineStr">
        <is>
          <t>笔数</t>
        </is>
      </c>
      <c r="D59" s="25" t="inlineStr">
        <is>
          <t>胜率</t>
        </is>
      </c>
      <c r="E59" s="25" t="inlineStr">
        <is>
          <t>每笔平均净R</t>
        </is>
      </c>
      <c r="F59" s="25" t="inlineStr">
        <is>
          <t>合计净R</t>
        </is>
      </c>
      <c r="G59" s="25" t="inlineStr">
        <is>
          <t>样本</t>
        </is>
      </c>
    </row>
    <row r="60">
      <c r="B60" s="62" t="str">
        <f>T('参数'!$B$43)</f>
        <v>打板</v>
      </c>
      <c r="C60" s="44">
        <f>IF(B60="","",COUNTIFS('交易记录'!$X$5:$X$304,"已平仓",'交易记录'!$F$5:$F$304,B60))</f>
        <v>0</v>
      </c>
      <c r="D60" s="47" t="str">
        <f>IF(N(C60)&gt;0,COUNTIFS('交易记录'!$X$5:$X$304,"已平仓",'交易记录'!$F$5:$F$304,B60,'交易记录'!$AB$5:$AB$304,"&gt;0")/C60,"")</f>
        <v/>
      </c>
      <c r="E60" s="45" t="str">
        <f>IF(N(C60)&gt;0,SUMIFS('交易记录'!$AB$5:$AB$304,'交易记录'!$X$5:$X$304,"已平仓",'交易记录'!$F$5:$F$304,B60)/C60,"")</f>
        <v/>
      </c>
      <c r="F60" s="45" t="str">
        <f>IF(N(C60)&gt;0,SUMIFS('交易记录'!$AB$5:$AB$304,'交易记录'!$X$5:$X$304,"已平仓",'交易记录'!$F$5:$F$304,B60),"")</f>
        <v/>
      </c>
      <c r="G60" s="36" t="str">
        <f>IF(N(C60)=0,"",IF(C60&lt;10,"样本太少",""))</f>
        <v/>
      </c>
    </row>
    <row r="61">
      <c r="B61" s="62" t="str">
        <f>T('参数'!$B$44)</f>
        <v>半路</v>
      </c>
      <c r="C61" s="44">
        <f>IF(B61="","",COUNTIFS('交易记录'!$X$5:$X$304,"已平仓",'交易记录'!$F$5:$F$304,B61))</f>
        <v>0</v>
      </c>
      <c r="D61" s="47" t="str">
        <f>IF(N(C61)&gt;0,COUNTIFS('交易记录'!$X$5:$X$304,"已平仓",'交易记录'!$F$5:$F$304,B61,'交易记录'!$AB$5:$AB$304,"&gt;0")/C61,"")</f>
        <v/>
      </c>
      <c r="E61" s="45" t="str">
        <f>IF(N(C61)&gt;0,SUMIFS('交易记录'!$AB$5:$AB$304,'交易记录'!$X$5:$X$304,"已平仓",'交易记录'!$F$5:$F$304,B61)/C61,"")</f>
        <v/>
      </c>
      <c r="F61" s="45" t="str">
        <f>IF(N(C61)&gt;0,SUMIFS('交易记录'!$AB$5:$AB$304,'交易记录'!$X$5:$X$304,"已平仓",'交易记录'!$F$5:$F$304,B61),"")</f>
        <v/>
      </c>
      <c r="G61" s="36" t="str">
        <f>IF(N(C61)=0,"",IF(C61&lt;10,"样本太少",""))</f>
        <v/>
      </c>
    </row>
    <row r="62">
      <c r="B62" s="62" t="str">
        <f>T('参数'!$B$45)</f>
        <v>低吸</v>
      </c>
      <c r="C62" s="44">
        <f>IF(B62="","",COUNTIFS('交易记录'!$X$5:$X$304,"已平仓",'交易记录'!$F$5:$F$304,B62))</f>
        <v>0</v>
      </c>
      <c r="D62" s="47" t="str">
        <f>IF(N(C62)&gt;0,COUNTIFS('交易记录'!$X$5:$X$304,"已平仓",'交易记录'!$F$5:$F$304,B62,'交易记录'!$AB$5:$AB$304,"&gt;0")/C62,"")</f>
        <v/>
      </c>
      <c r="E62" s="45" t="str">
        <f>IF(N(C62)&gt;0,SUMIFS('交易记录'!$AB$5:$AB$304,'交易记录'!$X$5:$X$304,"已平仓",'交易记录'!$F$5:$F$304,B62)/C62,"")</f>
        <v/>
      </c>
      <c r="F62" s="45" t="str">
        <f>IF(N(C62)&gt;0,SUMIFS('交易记录'!$AB$5:$AB$304,'交易记录'!$X$5:$X$304,"已平仓",'交易记录'!$F$5:$F$304,B62),"")</f>
        <v/>
      </c>
      <c r="G62" s="36" t="str">
        <f>IF(N(C62)=0,"",IF(C62&lt;10,"样本太少",""))</f>
        <v/>
      </c>
    </row>
    <row r="63">
      <c r="B63" s="62" t="str">
        <f>T('参数'!$B$46)</f>
        <v>尾盘</v>
      </c>
      <c r="C63" s="44">
        <f>IF(B63="","",COUNTIFS('交易记录'!$X$5:$X$304,"已平仓",'交易记录'!$F$5:$F$304,B63))</f>
        <v>0</v>
      </c>
      <c r="D63" s="47" t="str">
        <f>IF(N(C63)&gt;0,COUNTIFS('交易记录'!$X$5:$X$304,"已平仓",'交易记录'!$F$5:$F$304,B63,'交易记录'!$AB$5:$AB$304,"&gt;0")/C63,"")</f>
        <v/>
      </c>
      <c r="E63" s="45" t="str">
        <f>IF(N(C63)&gt;0,SUMIFS('交易记录'!$AB$5:$AB$304,'交易记录'!$X$5:$X$304,"已平仓",'交易记录'!$F$5:$F$304,B63)/C63,"")</f>
        <v/>
      </c>
      <c r="F63" s="45" t="str">
        <f>IF(N(C63)&gt;0,SUMIFS('交易记录'!$AB$5:$AB$304,'交易记录'!$X$5:$X$304,"已平仓",'交易记录'!$F$5:$F$304,B63),"")</f>
        <v/>
      </c>
      <c r="G63" s="36" t="str">
        <f>IF(N(C63)=0,"",IF(C63&lt;10,"样本太少",""))</f>
        <v/>
      </c>
    </row>
    <row r="64">
      <c r="B64" s="62" t="str">
        <f>T('参数'!$B$47)</f>
        <v>趋势回踩</v>
      </c>
      <c r="C64" s="44">
        <f>IF(B64="","",COUNTIFS('交易记录'!$X$5:$X$304,"已平仓",'交易记录'!$F$5:$F$304,B64))</f>
        <v>0</v>
      </c>
      <c r="D64" s="47" t="str">
        <f>IF(N(C64)&gt;0,COUNTIFS('交易记录'!$X$5:$X$304,"已平仓",'交易记录'!$F$5:$F$304,B64,'交易记录'!$AB$5:$AB$304,"&gt;0")/C64,"")</f>
        <v/>
      </c>
      <c r="E64" s="45" t="str">
        <f>IF(N(C64)&gt;0,SUMIFS('交易记录'!$AB$5:$AB$304,'交易记录'!$X$5:$X$304,"已平仓",'交易记录'!$F$5:$F$304,B64)/C64,"")</f>
        <v/>
      </c>
      <c r="F64" s="45" t="str">
        <f>IF(N(C64)&gt;0,SUMIFS('交易记录'!$AB$5:$AB$304,'交易记录'!$X$5:$X$304,"已平仓",'交易记录'!$F$5:$F$304,B64),"")</f>
        <v/>
      </c>
      <c r="G64" s="36" t="str">
        <f>IF(N(C64)=0,"",IF(C64&lt;10,"样本太少",""))</f>
        <v/>
      </c>
    </row>
    <row r="65">
      <c r="B65" s="62" t="str">
        <f>T('参数'!$B$48)</f>
        <v>其他</v>
      </c>
      <c r="C65" s="44">
        <f>IF(B65="","",COUNTIFS('交易记录'!$X$5:$X$304,"已平仓",'交易记录'!$F$5:$F$304,B65))</f>
        <v>0</v>
      </c>
      <c r="D65" s="47" t="str">
        <f>IF(N(C65)&gt;0,COUNTIFS('交易记录'!$X$5:$X$304,"已平仓",'交易记录'!$F$5:$F$304,B65,'交易记录'!$AB$5:$AB$304,"&gt;0")/C65,"")</f>
        <v/>
      </c>
      <c r="E65" s="45" t="str">
        <f>IF(N(C65)&gt;0,SUMIFS('交易记录'!$AB$5:$AB$304,'交易记录'!$X$5:$X$304,"已平仓",'交易记录'!$F$5:$F$304,B65)/C65,"")</f>
        <v/>
      </c>
      <c r="F65" s="45" t="str">
        <f>IF(N(C65)&gt;0,SUMIFS('交易记录'!$AB$5:$AB$304,'交易记录'!$X$5:$X$304,"已平仓",'交易记录'!$F$5:$F$304,B65),"")</f>
        <v/>
      </c>
      <c r="G65" s="36" t="str">
        <f>IF(N(C65)=0,"",IF(C65&lt;10,"样本太少",""))</f>
        <v/>
      </c>
    </row>
    <row r="67">
      <c r="B67" s="25" t="inlineStr">
        <is>
          <t>买入前一日的阶段</t>
        </is>
      </c>
      <c r="C67" s="25" t="inlineStr">
        <is>
          <t>笔数</t>
        </is>
      </c>
      <c r="D67" s="25" t="inlineStr">
        <is>
          <t>胜率</t>
        </is>
      </c>
      <c r="E67" s="25" t="inlineStr">
        <is>
          <t>每笔平均净R</t>
        </is>
      </c>
      <c r="F67" s="25" t="inlineStr">
        <is>
          <t>合计净R</t>
        </is>
      </c>
      <c r="G67" s="25" t="inlineStr">
        <is>
          <t>样本</t>
        </is>
      </c>
    </row>
    <row r="68">
      <c r="B68" s="62" t="str">
        <f>T('参数'!$F$43)</f>
        <v>冰点</v>
      </c>
      <c r="C68" s="44">
        <f>IF(B68="","",COUNTIFS('交易记录'!$X$5:$X$304,"已平仓",'交易记录'!$G$5:$G$304,B68))</f>
        <v>0</v>
      </c>
      <c r="D68" s="47" t="str">
        <f>IF(N(C68)&gt;0,COUNTIFS('交易记录'!$X$5:$X$304,"已平仓",'交易记录'!$G$5:$G$304,B68,'交易记录'!$AB$5:$AB$304,"&gt;0")/C68,"")</f>
        <v/>
      </c>
      <c r="E68" s="45" t="str">
        <f>IF(N(C68)&gt;0,SUMIFS('交易记录'!$AB$5:$AB$304,'交易记录'!$X$5:$X$304,"已平仓",'交易记录'!$G$5:$G$304,B68)/C68,"")</f>
        <v/>
      </c>
      <c r="F68" s="45" t="str">
        <f>IF(N(C68)&gt;0,SUMIFS('交易记录'!$AB$5:$AB$304,'交易记录'!$X$5:$X$304,"已平仓",'交易记录'!$G$5:$G$304,B68),"")</f>
        <v/>
      </c>
      <c r="G68" s="36" t="str">
        <f>IF(N(C68)=0,"",IF(C68&lt;10,"样本太少",""))</f>
        <v/>
      </c>
    </row>
    <row r="69">
      <c r="B69" s="62" t="str">
        <f>T('参数'!$F$44)</f>
        <v>启动</v>
      </c>
      <c r="C69" s="44">
        <f>IF(B69="","",COUNTIFS('交易记录'!$X$5:$X$304,"已平仓",'交易记录'!$G$5:$G$304,B69))</f>
        <v>0</v>
      </c>
      <c r="D69" s="47" t="str">
        <f>IF(N(C69)&gt;0,COUNTIFS('交易记录'!$X$5:$X$304,"已平仓",'交易记录'!$G$5:$G$304,B69,'交易记录'!$AB$5:$AB$304,"&gt;0")/C69,"")</f>
        <v/>
      </c>
      <c r="E69" s="45" t="str">
        <f>IF(N(C69)&gt;0,SUMIFS('交易记录'!$AB$5:$AB$304,'交易记录'!$X$5:$X$304,"已平仓",'交易记录'!$G$5:$G$304,B69)/C69,"")</f>
        <v/>
      </c>
      <c r="F69" s="45" t="str">
        <f>IF(N(C69)&gt;0,SUMIFS('交易记录'!$AB$5:$AB$304,'交易记录'!$X$5:$X$304,"已平仓",'交易记录'!$G$5:$G$304,B69),"")</f>
        <v/>
      </c>
      <c r="G69" s="36" t="str">
        <f>IF(N(C69)=0,"",IF(C69&lt;10,"样本太少",""))</f>
        <v/>
      </c>
    </row>
    <row r="70">
      <c r="B70" s="62" t="str">
        <f>T('参数'!$F$45)</f>
        <v>发酵</v>
      </c>
      <c r="C70" s="44">
        <f>IF(B70="","",COUNTIFS('交易记录'!$X$5:$X$304,"已平仓",'交易记录'!$G$5:$G$304,B70))</f>
        <v>0</v>
      </c>
      <c r="D70" s="47" t="str">
        <f>IF(N(C70)&gt;0,COUNTIFS('交易记录'!$X$5:$X$304,"已平仓",'交易记录'!$G$5:$G$304,B70,'交易记录'!$AB$5:$AB$304,"&gt;0")/C70,"")</f>
        <v/>
      </c>
      <c r="E70" s="45" t="str">
        <f>IF(N(C70)&gt;0,SUMIFS('交易记录'!$AB$5:$AB$304,'交易记录'!$X$5:$X$304,"已平仓",'交易记录'!$G$5:$G$304,B70)/C70,"")</f>
        <v/>
      </c>
      <c r="F70" s="45" t="str">
        <f>IF(N(C70)&gt;0,SUMIFS('交易记录'!$AB$5:$AB$304,'交易记录'!$X$5:$X$304,"已平仓",'交易记录'!$G$5:$G$304,B70),"")</f>
        <v/>
      </c>
      <c r="G70" s="36" t="str">
        <f>IF(N(C70)=0,"",IF(C70&lt;10,"样本太少",""))</f>
        <v/>
      </c>
    </row>
    <row r="71">
      <c r="B71" s="62" t="str">
        <f>T('参数'!$F$46)</f>
        <v>高潮</v>
      </c>
      <c r="C71" s="44">
        <f>IF(B71="","",COUNTIFS('交易记录'!$X$5:$X$304,"已平仓",'交易记录'!$G$5:$G$304,B71))</f>
        <v>0</v>
      </c>
      <c r="D71" s="47" t="str">
        <f>IF(N(C71)&gt;0,COUNTIFS('交易记录'!$X$5:$X$304,"已平仓",'交易记录'!$G$5:$G$304,B71,'交易记录'!$AB$5:$AB$304,"&gt;0")/C71,"")</f>
        <v/>
      </c>
      <c r="E71" s="45" t="str">
        <f>IF(N(C71)&gt;0,SUMIFS('交易记录'!$AB$5:$AB$304,'交易记录'!$X$5:$X$304,"已平仓",'交易记录'!$G$5:$G$304,B71)/C71,"")</f>
        <v/>
      </c>
      <c r="F71" s="45" t="str">
        <f>IF(N(C71)&gt;0,SUMIFS('交易记录'!$AB$5:$AB$304,'交易记录'!$X$5:$X$304,"已平仓",'交易记录'!$G$5:$G$304,B71),"")</f>
        <v/>
      </c>
      <c r="G71" s="36" t="str">
        <f>IF(N(C71)=0,"",IF(C71&lt;10,"样本太少",""))</f>
        <v/>
      </c>
    </row>
    <row r="72">
      <c r="B72" s="62" t="str">
        <f>T('参数'!$F$47)</f>
        <v>分歧</v>
      </c>
      <c r="C72" s="44">
        <f>IF(B72="","",COUNTIFS('交易记录'!$X$5:$X$304,"已平仓",'交易记录'!$G$5:$G$304,B72))</f>
        <v>0</v>
      </c>
      <c r="D72" s="47" t="str">
        <f>IF(N(C72)&gt;0,COUNTIFS('交易记录'!$X$5:$X$304,"已平仓",'交易记录'!$G$5:$G$304,B72,'交易记录'!$AB$5:$AB$304,"&gt;0")/C72,"")</f>
        <v/>
      </c>
      <c r="E72" s="45" t="str">
        <f>IF(N(C72)&gt;0,SUMIFS('交易记录'!$AB$5:$AB$304,'交易记录'!$X$5:$X$304,"已平仓",'交易记录'!$G$5:$G$304,B72)/C72,"")</f>
        <v/>
      </c>
      <c r="F72" s="45" t="str">
        <f>IF(N(C72)&gt;0,SUMIFS('交易记录'!$AB$5:$AB$304,'交易记录'!$X$5:$X$304,"已平仓",'交易记录'!$G$5:$G$304,B72),"")</f>
        <v/>
      </c>
      <c r="G72" s="36" t="str">
        <f>IF(N(C72)=0,"",IF(C72&lt;10,"样本太少",""))</f>
        <v/>
      </c>
    </row>
    <row r="73">
      <c r="B73" s="62" t="str">
        <f>T('参数'!$F$48)</f>
        <v>退潮</v>
      </c>
      <c r="C73" s="44">
        <f>IF(B73="","",COUNTIFS('交易记录'!$X$5:$X$304,"已平仓",'交易记录'!$G$5:$G$304,B73))</f>
        <v>0</v>
      </c>
      <c r="D73" s="47" t="str">
        <f>IF(N(C73)&gt;0,COUNTIFS('交易记录'!$X$5:$X$304,"已平仓",'交易记录'!$G$5:$G$304,B73,'交易记录'!$AB$5:$AB$304,"&gt;0")/C73,"")</f>
        <v/>
      </c>
      <c r="E73" s="45" t="str">
        <f>IF(N(C73)&gt;0,SUMIFS('交易记录'!$AB$5:$AB$304,'交易记录'!$X$5:$X$304,"已平仓",'交易记录'!$G$5:$G$304,B73)/C73,"")</f>
        <v/>
      </c>
      <c r="F73" s="45" t="str">
        <f>IF(N(C73)&gt;0,SUMIFS('交易记录'!$AB$5:$AB$304,'交易记录'!$X$5:$X$304,"已平仓",'交易记录'!$G$5:$G$304,B73),"")</f>
        <v/>
      </c>
      <c r="G73" s="36" t="str">
        <f>IF(N(C73)=0,"",IF(C73&lt;10,"样本太少",""))</f>
        <v/>
      </c>
    </row>
    <row r="74">
      <c r="B74" s="62" t="str">
        <f>T('参数'!$F$49)</f>
        <v>说不清</v>
      </c>
      <c r="C74" s="44">
        <f>IF(B74="","",COUNTIFS('交易记录'!$X$5:$X$304,"已平仓",'交易记录'!$G$5:$G$304,B74))</f>
        <v>0</v>
      </c>
      <c r="D74" s="47" t="str">
        <f>IF(N(C74)&gt;0,COUNTIFS('交易记录'!$X$5:$X$304,"已平仓",'交易记录'!$G$5:$G$304,B74,'交易记录'!$AB$5:$AB$304,"&gt;0")/C74,"")</f>
        <v/>
      </c>
      <c r="E74" s="45" t="str">
        <f>IF(N(C74)&gt;0,SUMIFS('交易记录'!$AB$5:$AB$304,'交易记录'!$X$5:$X$304,"已平仓",'交易记录'!$G$5:$G$304,B74)/C74,"")</f>
        <v/>
      </c>
      <c r="F74" s="45" t="str">
        <f>IF(N(C74)&gt;0,SUMIFS('交易记录'!$AB$5:$AB$304,'交易记录'!$X$5:$X$304,"已平仓",'交易记录'!$G$5:$G$304,B74),"")</f>
        <v/>
      </c>
      <c r="G74" s="36" t="str">
        <f>IF(N(C74)=0,"",IF(C74&lt;10,"样本太少",""))</f>
        <v/>
      </c>
    </row>
    <row r="76">
      <c r="B76" s="15" t="inlineStr">
        <is>
          <t>5. 下周只改一处</t>
        </is>
      </c>
    </row>
    <row r="77" ht="34" customHeight="1">
      <c r="B77" s="58" t="inlineStr">
        <is>
          <t>本区间最多的偏差是什么，发生在什么情况下</t>
        </is>
      </c>
      <c r="C77" s="32" t="n"/>
      <c r="D77" s="32" t="n"/>
      <c r="E77" s="32" t="n"/>
      <c r="F77" s="32" t="n"/>
      <c r="G77" s="32" t="n"/>
      <c r="H77" s="32" t="n"/>
      <c r="I77" s="32" t="n"/>
      <c r="J77" s="32" t="n"/>
    </row>
    <row r="78" ht="34" customHeight="1">
      <c r="B78" s="58" t="inlineStr">
        <is>
          <t>下周只练的一个动作（写成能检查的规则）</t>
        </is>
      </c>
      <c r="C78" s="32" t="n"/>
      <c r="D78" s="32" t="n"/>
      <c r="E78" s="32" t="n"/>
      <c r="F78" s="32" t="n"/>
      <c r="G78" s="32" t="n"/>
      <c r="H78" s="32" t="n"/>
      <c r="I78" s="32" t="n"/>
      <c r="J78" s="32" t="n"/>
    </row>
    <row r="79" ht="34" customHeight="1">
      <c r="B79" s="58" t="inlineStr">
        <is>
          <t>下周不做的情况</t>
        </is>
      </c>
      <c r="C79" s="32" t="n"/>
      <c r="D79" s="32" t="n"/>
      <c r="E79" s="32" t="n"/>
      <c r="F79" s="32" t="n"/>
      <c r="G79" s="32" t="n"/>
      <c r="H79" s="32" t="n"/>
      <c r="I79" s="32" t="n"/>
      <c r="J79" s="32" t="n"/>
    </row>
    <row r="80" ht="34" customHeight="1">
      <c r="B80" s="58" t="inlineStr">
        <is>
          <t>上一次定的那一处，这次做到了吗</t>
        </is>
      </c>
      <c r="C80" s="32" t="n"/>
      <c r="D80" s="32" t="n"/>
      <c r="E80" s="32" t="n"/>
      <c r="F80" s="32" t="n"/>
      <c r="G80" s="32" t="n"/>
      <c r="H80" s="32" t="n"/>
      <c r="I80" s="32" t="n"/>
      <c r="J80" s="32" t="n"/>
    </row>
  </sheetData>
  <mergeCells count="37">
    <mergeCell ref="C78:J78"/>
    <mergeCell ref="E19:J19"/>
    <mergeCell ref="E28:J28"/>
    <mergeCell ref="C77:J77"/>
    <mergeCell ref="E40:J40"/>
    <mergeCell ref="E31:J31"/>
    <mergeCell ref="F4:J4"/>
    <mergeCell ref="E34:J34"/>
    <mergeCell ref="E30:J30"/>
    <mergeCell ref="C79:J79"/>
    <mergeCell ref="E15:J15"/>
    <mergeCell ref="E36:J36"/>
    <mergeCell ref="E27:J27"/>
    <mergeCell ref="E26:J26"/>
    <mergeCell ref="C80:J80"/>
    <mergeCell ref="E25:J25"/>
    <mergeCell ref="E41:J41"/>
    <mergeCell ref="E16:J16"/>
    <mergeCell ref="E35:J35"/>
    <mergeCell ref="A1:G1"/>
    <mergeCell ref="E32:J32"/>
    <mergeCell ref="E22:J22"/>
    <mergeCell ref="E37:J37"/>
    <mergeCell ref="E18:J18"/>
    <mergeCell ref="E43:J43"/>
    <mergeCell ref="E21:J21"/>
    <mergeCell ref="H1:J1"/>
    <mergeCell ref="E33:J33"/>
    <mergeCell ref="E24:J24"/>
    <mergeCell ref="E42:J42"/>
    <mergeCell ref="E17:J17"/>
    <mergeCell ref="E23:J23"/>
    <mergeCell ref="E39:J39"/>
    <mergeCell ref="A2:J2"/>
    <mergeCell ref="E20:J20"/>
    <mergeCell ref="E38:J38"/>
    <mergeCell ref="E29:J29"/>
  </mergeCells>
  <conditionalFormatting sqref="C25:D27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28:D29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C31:D31">
    <cfRule type="cellIs" priority="5" operator="greaterThan" dxfId="0">
      <formula>0</formula>
    </cfRule>
    <cfRule type="cellIs" priority="6" operator="lessThan" dxfId="1">
      <formula>0</formula>
    </cfRule>
  </conditionalFormatting>
  <conditionalFormatting sqref="C39:D40">
    <cfRule type="cellIs" priority="7" operator="greaterThan" dxfId="0">
      <formula>0</formula>
    </cfRule>
    <cfRule type="cellIs" priority="8" operator="lessThan" dxfId="1">
      <formula>0</formula>
    </cfRule>
  </conditionalFormatting>
  <conditionalFormatting sqref="C43:D43">
    <cfRule type="cellIs" priority="9" operator="greaterThan" dxfId="0">
      <formula>0</formula>
    </cfRule>
    <cfRule type="cellIs" priority="10" operator="lessThan" dxfId="1">
      <formula>0</formula>
    </cfRule>
  </conditionalFormatting>
  <conditionalFormatting sqref="C38:D38">
    <cfRule type="cellIs" priority="11" operator="greaterThan" dxfId="8">
      <formula>0</formula>
    </cfRule>
  </conditionalFormatting>
  <conditionalFormatting sqref="F47:F56">
    <cfRule type="cellIs" priority="12" operator="equal" dxfId="8">
      <formula>"本区间最多"</formula>
    </cfRule>
  </conditionalFormatting>
  <conditionalFormatting sqref="E60:F65">
    <cfRule type="cellIs" priority="13" operator="greaterThan" dxfId="0">
      <formula>0</formula>
    </cfRule>
    <cfRule type="cellIs" priority="14" operator="lessThan" dxfId="1">
      <formula>0</formula>
    </cfRule>
  </conditionalFormatting>
  <conditionalFormatting sqref="E68:F74">
    <cfRule type="cellIs" priority="15" operator="greaterThan" dxfId="0">
      <formula>0</formula>
    </cfRule>
    <cfRule type="cellIs" priority="16" operator="lessThan" dxfId="1">
      <formula>0</formula>
    </cfRule>
  </conditionalFormatting>
  <dataValidations count="2">
    <dataValidation sqref="C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E4" showDropDown="0" showInputMessage="0" showErrorMessage="1" allowBlank="1" errorTitle="日期格式" error="请填日期，例如 2030-03-04。" type="date" errorStyle="stop" operator="greaterThan">
      <formula1>36526</formula1>
    </dataValidation>
  </dataValidations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trade1469.com/templates/a-share-review/?src=tpl-ashare&amp;R&amp;"Microsoft YaHei"&amp;8 第 &amp;P 页，共 &amp;N 页</oddFooter>
    <evenHeader/>
    <evenFooter>&amp;L&amp;"Microsoft YaHei"&amp;8 TradeLearn · XtradingTime 交易内训&amp;C&amp;"Microsoft YaHei"&amp;8 trade1469.com/templates/a-share-review/?src=tpl-ashare&amp;R&amp;"Microsoft YaHei"&amp;8 第 &amp;P 页，共 &amp;N 页</evenFooter>
    <firstHeader/>
    <firstFooter/>
  </headerFooter>
  <rowBreaks count="1" manualBreakCount="1">
    <brk id="57" min="0" max="16383" man="1"/>
  </rowBreaks>
</worksheet>
</file>

<file path=xl/worksheets/sheet8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AI2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5" customWidth="1" min="2" max="2"/>
    <col width="7.5" customWidth="1" min="3" max="3"/>
    <col width="7.5" customWidth="1" min="4" max="4"/>
    <col width="7.5" customWidth="1" min="5" max="5"/>
    <col width="8.5" customWidth="1" min="6" max="6"/>
    <col width="8" customWidth="1" min="7" max="7"/>
    <col width="6.5" customWidth="1" min="8" max="8"/>
    <col width="6.5" customWidth="1" min="9" max="9"/>
    <col width="6" customWidth="1" min="10" max="10"/>
    <col width="6" customWidth="1" min="11" max="11"/>
    <col width="6.5" customWidth="1" min="12" max="12"/>
    <col width="6.5" customWidth="1" min="13" max="13"/>
    <col width="7" customWidth="1" min="14" max="14"/>
    <col width="6.5" customWidth="1" min="15" max="15"/>
    <col width="6.5" customWidth="1" min="16" max="16"/>
    <col width="7" customWidth="1" min="17" max="17"/>
    <col width="6" customWidth="1" min="18" max="18"/>
    <col width="8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21" customWidth="1" min="26" max="26"/>
    <col width="8" customWidth="1" min="27" max="27"/>
    <col width="30" customWidth="1" min="28" max="28"/>
    <col hidden="1" outlineLevel="1" width="2" customWidth="1" min="29" max="35"/>
  </cols>
  <sheetData>
    <row r="1" ht="30" customHeight="1">
      <c r="A1" s="13" t="inlineStr">
        <is>
          <t>示例 · A股每日复盘：市场情绪</t>
        </is>
      </c>
      <c r="Z1" s="14" t="inlineStr">
        <is>
          <t>TradeLearn · XtradingTime 交易内训</t>
        </is>
      </c>
    </row>
    <row r="2" ht="20" customHeight="1">
      <c r="A2" s="63" t="inlineStr">
        <is>
          <t>虚构示例，仅演示填法：日期、指数、家数全部虚构，不是真实行情。参数页阈值没填，所以规则建议显示「先填阈值」，判断一栏是示例里自己写的。</t>
        </is>
      </c>
    </row>
    <row r="3" ht="18" customHeight="1">
      <c r="A3" s="33" t="inlineStr">
        <is>
          <t>日期</t>
        </is>
      </c>
      <c r="B3" s="33" t="n"/>
      <c r="C3" s="33" t="inlineStr">
        <is>
          <t>大盘</t>
        </is>
      </c>
      <c r="D3" s="33" t="n"/>
      <c r="E3" s="33" t="n"/>
      <c r="F3" s="33" t="n"/>
      <c r="G3" s="33" t="n"/>
      <c r="H3" s="33" t="inlineStr">
        <is>
          <t>情绪数据（收盘后数）</t>
        </is>
      </c>
      <c r="I3" s="33" t="n"/>
      <c r="J3" s="33" t="n"/>
      <c r="K3" s="33" t="n"/>
      <c r="L3" s="33" t="n"/>
      <c r="M3" s="33" t="n"/>
      <c r="N3" s="33" t="n"/>
      <c r="O3" s="33" t="n"/>
      <c r="P3" s="33" t="n"/>
      <c r="Q3" s="33" t="n"/>
      <c r="R3" s="33" t="n"/>
      <c r="S3" s="33" t="n"/>
      <c r="T3" s="33" t="inlineStr">
        <is>
          <t>六个阶段各命中几条</t>
        </is>
      </c>
      <c r="U3" s="33" t="n"/>
      <c r="V3" s="33" t="n"/>
      <c r="W3" s="33" t="n"/>
      <c r="X3" s="33" t="n"/>
      <c r="Y3" s="33" t="n"/>
      <c r="Z3" s="33" t="inlineStr">
        <is>
          <t>阶段</t>
        </is>
      </c>
      <c r="AA3" s="33" t="n"/>
      <c r="AB3" s="33" t="n"/>
      <c r="AD3" s="34" t="inlineStr">
        <is>
          <t>排序用的辅助列，别改</t>
        </is>
      </c>
    </row>
    <row r="4" ht="41.8" customHeight="1">
      <c r="A4" s="25" t="inlineStr">
        <is>
          <t>日期</t>
        </is>
      </c>
      <c r="B4" s="25" t="inlineStr">
        <is>
          <t>星期</t>
        </is>
      </c>
      <c r="C4" s="25" t="inlineStr">
        <is>
          <t>上证指数涨跌</t>
        </is>
      </c>
      <c r="D4" s="25" t="inlineStr">
        <is>
          <t>深证成指涨跌</t>
        </is>
      </c>
      <c r="E4" s="25" t="inlineStr">
        <is>
          <t>创业板指涨跌</t>
        </is>
      </c>
      <c r="F4" s="25" t="inlineStr">
        <is>
          <t>两市成交额（亿元）</t>
        </is>
      </c>
      <c r="G4" s="25" t="inlineStr">
        <is>
          <t>量能变化</t>
        </is>
      </c>
      <c r="H4" s="25" t="inlineStr">
        <is>
          <t>上涨家数</t>
        </is>
      </c>
      <c r="I4" s="25" t="inlineStr">
        <is>
          <t>下跌家数</t>
        </is>
      </c>
      <c r="J4" s="25" t="inlineStr">
        <is>
          <t>涨停家数</t>
        </is>
      </c>
      <c r="K4" s="25" t="inlineStr">
        <is>
          <t>跌停家数</t>
        </is>
      </c>
      <c r="L4" s="25" t="inlineStr">
        <is>
          <t>触板家数</t>
        </is>
      </c>
      <c r="M4" s="25" t="inlineStr">
        <is>
          <t>炸板家数</t>
        </is>
      </c>
      <c r="N4" s="25" t="inlineStr">
        <is>
          <t>炸板率</t>
        </is>
      </c>
      <c r="O4" s="25" t="inlineStr">
        <is>
          <t>昨日首板家数</t>
        </is>
      </c>
      <c r="P4" s="25" t="inlineStr">
        <is>
          <t>今日 2 板家数</t>
        </is>
      </c>
      <c r="Q4" s="25" t="inlineStr">
        <is>
          <t>晋级率（1进2）</t>
        </is>
      </c>
      <c r="R4" s="25" t="inlineStr">
        <is>
          <t>最高连板</t>
        </is>
      </c>
      <c r="S4" s="25" t="inlineStr">
        <is>
          <t>昨日涨停今日均涨</t>
        </is>
      </c>
      <c r="T4" s="25" t="inlineStr">
        <is>
          <t>冰点</t>
        </is>
      </c>
      <c r="U4" s="25" t="inlineStr">
        <is>
          <t>启动</t>
        </is>
      </c>
      <c r="V4" s="25" t="inlineStr">
        <is>
          <t>发酵</t>
        </is>
      </c>
      <c r="W4" s="25" t="inlineStr">
        <is>
          <t>高潮</t>
        </is>
      </c>
      <c r="X4" s="25" t="inlineStr">
        <is>
          <t>分歧</t>
        </is>
      </c>
      <c r="Y4" s="25" t="inlineStr">
        <is>
          <t>退潮</t>
        </is>
      </c>
      <c r="Z4" s="25" t="inlineStr">
        <is>
          <t>规则建议</t>
        </is>
      </c>
      <c r="AA4" s="25" t="inlineStr">
        <is>
          <t>我的判断</t>
        </is>
      </c>
      <c r="AB4" s="25" t="inlineStr">
        <is>
          <t>判断依据（一句话）</t>
        </is>
      </c>
      <c r="AC4" s="35" t="inlineStr"/>
      <c r="AD4" s="25" t="inlineStr">
        <is>
          <t>排序冰点</t>
        </is>
      </c>
      <c r="AE4" s="25" t="inlineStr">
        <is>
          <t>排序启动</t>
        </is>
      </c>
      <c r="AF4" s="25" t="inlineStr">
        <is>
          <t>排序发酵</t>
        </is>
      </c>
      <c r="AG4" s="25" t="inlineStr">
        <is>
          <t>排序高潮</t>
        </is>
      </c>
      <c r="AH4" s="25" t="inlineStr">
        <is>
          <t>排序分歧</t>
        </is>
      </c>
      <c r="AI4" s="25" t="inlineStr">
        <is>
          <t>排序退潮</t>
        </is>
      </c>
    </row>
    <row r="5" ht="32" customHeight="1">
      <c r="A5" s="31" t="n">
        <v>47546</v>
      </c>
      <c r="B5" s="36" t="str">
        <f>IF(ISNUMBER(A5),"周"&amp;CHOOSE(WEEKDAY(A5,2),"一","二","三","四","五","六","日"),"")</f>
        <v>周一</v>
      </c>
      <c r="C5" s="37" t="n">
        <v>-0.012</v>
      </c>
      <c r="D5" s="37" t="n">
        <v>-0.016</v>
      </c>
      <c r="E5" s="37" t="n">
        <v>-0.021</v>
      </c>
      <c r="F5" s="17" t="n">
        <v>7800</v>
      </c>
      <c r="G5" s="38" t="str">
        <f>IF(AND(ISNUMBER(F5),ISNUMBER(F4)),IF(F4=0,"",F5/F4-1),"")</f>
        <v/>
      </c>
      <c r="H5" s="17" t="n">
        <v>650</v>
      </c>
      <c r="I5" s="17" t="n">
        <v>2450</v>
      </c>
      <c r="J5" s="17" t="n">
        <v>25</v>
      </c>
      <c r="K5" s="17" t="n">
        <v>18</v>
      </c>
      <c r="L5" s="17" t="n">
        <v>45</v>
      </c>
      <c r="M5" s="17" t="n">
        <v>20</v>
      </c>
      <c r="N5" s="39">
        <f>IF(AND(ISNUMBER(L5),ISNUMBER(M5),N(L5)&gt;0),M5/L5,"")</f>
        <v>0.444444444444444</v>
      </c>
      <c r="O5" s="17" t="n">
        <v>30</v>
      </c>
      <c r="P5" s="17" t="n">
        <v>3</v>
      </c>
      <c r="Q5" s="39">
        <f>IF(AND(ISNUMBER(O5),ISNUMBER(P5),N(O5)&gt;0),P5/O5,"")</f>
        <v>0.1</v>
      </c>
      <c r="R5" s="17" t="n">
        <v>3</v>
      </c>
      <c r="S5" s="37" t="n">
        <v>-0.025</v>
      </c>
      <c r="T5" s="40" t="str">
        <f>IF(AND(ISNUMBER(J5),ISNUMBER(K5)),IF(N(ISNUMBER('参数'!$E$31))+N(ISNUMBER('参数'!$G$31))+N(ISNUMBER('参数'!$I$31))+N(ISNUMBER('参数'!$K$31))=0,"",IF(ISNUMBER('参数'!$E$31),J5&lt;='参数'!$E$31,FALSE)+IF(ISNUMBER('参数'!$G$31),K5&gt;='参数'!$G$31,FALSE)+IF(AND(ISNUMBER('参数'!$I$31),ISNUMBER(N5)),N5&gt;='参数'!$I$31,FALSE)+IF(AND(ISNUMBER('参数'!$K$31),ISNUMBER(Q5)),Q5&lt;='参数'!$K$31,FALSE)),"")</f>
        <v/>
      </c>
      <c r="U5" s="40" t="str">
        <f>IF(AND(ISNUMBER(J5),ISNUMBER(K5)),IF(N(ISNUMBER('参数'!$G$32))+N(ISNUMBER('参数'!$I$32))+N(ISNUMBER('参数'!$K$32))=0,"",IF(AND(ISNUMBER(J4),ISNUMBER(J3)),AND(J5&gt;J4,J4&gt;J3),FALSE)+IF(ISNUMBER('参数'!$G$32),J5&lt;'参数'!$G$32,FALSE)+IF(AND(ISNUMBER('参数'!$I$32),ISNUMBER(Q5)),Q5&gt;='参数'!$I$32,FALSE)+IF(AND(ISNUMBER('参数'!$K$32),ISNUMBER(S5)),S5&gt;='参数'!$K$32,FALSE)),"")</f>
        <v/>
      </c>
      <c r="V5" s="40" t="str">
        <f>IF(AND(ISNUMBER(J5),ISNUMBER(K5)),IF(N(ISNUMBER('参数'!$E$33))+N(ISNUMBER('参数'!$G$33))+N(ISNUMBER('参数'!$I$33))+N(ISNUMBER('参数'!$K$33))=0,"",IF(AND(ISNUMBER('参数'!$E$33),ISNUMBER(J4)),AND(J5&gt;='参数'!$E$33,J5&gt;J4),FALSE)+IF(AND(ISNUMBER('参数'!$G$33),ISNUMBER(N5)),N5&lt;='参数'!$G$33,FALSE)+IF(AND(ISNUMBER('参数'!$I$33),ISNUMBER(Q5)),Q5&gt;='参数'!$I$33,FALSE)+IF(AND(ISNUMBER('参数'!$K$33),ISNUMBER(S5)),S5&gt;='参数'!$K$33,FALSE)),"")</f>
        <v/>
      </c>
      <c r="W5" s="40" t="str">
        <f>IF(AND(ISNUMBER(J5),ISNUMBER(K5)),IF(N(ISNUMBER('参数'!$E$34))+N(ISNUMBER('参数'!$G$34))+N(ISNUMBER('参数'!$I$34))+N(ISNUMBER('参数'!$K$34))=0,"",IF(ISNUMBER('参数'!$E$34),J5&gt;='参数'!$E$34,FALSE)+IF(AND(ISNUMBER('参数'!$G$34),ISNUMBER(N5)),N5&lt;='参数'!$G$34,FALSE)+IF(AND(ISNUMBER('参数'!$I$34),ISNUMBER(S5)),S5&gt;='参数'!$I$34,FALSE)+IF(AND(ISNUMBER('参数'!$K$34),ISNUMBER(R5)),R5&gt;='参数'!$K$34,FALSE)),"")</f>
        <v/>
      </c>
      <c r="X5" s="40" t="str">
        <f>IF(AND(ISNUMBER(J5),ISNUMBER(K5)),IF(N(ISNUMBER('参数'!$E$35))+N(ISNUMBER('参数'!$G$35))+N(ISNUMBER('参数'!$I$35))=0,"",IF(AND(ISNUMBER('参数'!$E$35),ISNUMBER(N5),ISNUMBER(N4)),ROUND(N5-N4,6)&gt;='参数'!$E$35,FALSE)+IF(AND(ISNUMBER('参数'!$G$35),ISNUMBER(Q5),ISNUMBER(Q4)),ROUND(Q4-Q5,6)&gt;='参数'!$G$35,FALSE)+IF(AND(ISNUMBER('参数'!$I$35),ISNUMBER(S5),ISNUMBER(S4)),ROUND(S4-S5,6)&gt;='参数'!$I$35,FALSE)+IF(ISNUMBER(J4),J5&lt;J4,FALSE)),"")</f>
        <v/>
      </c>
      <c r="Y5" s="40" t="str">
        <f>IF(AND(ISNUMBER(J5),ISNUMBER(K5)),IF(N(ISNUMBER('参数'!$E$36))+N(ISNUMBER('参数'!$G$36))+N(ISNUMBER('参数'!$I$36))=0,"",IF(AND(ISNUMBER('参数'!$E$36),ISNUMBER(J4)),AND(J5&lt;='参数'!$E$36,J5&lt;J4),FALSE)+IF(ISNUMBER('参数'!$G$36),K5&gt;='参数'!$G$36,FALSE)+IF(AND(ISNUMBER('参数'!$I$36),ISNUMBER(S5)),S5&lt;'参数'!$I$36,FALSE)+IF(AND(ISNUMBER(R5),ISNUMBER(R4)),R5&lt;R4,FALSE)),"")</f>
        <v/>
      </c>
      <c r="Z5" s="41" t="str">
        <f>IF(NOT(AND(ISNUMBER(J5),ISNUMBER(K5))),"",IF(COUNT(T5:Y5)=0,"先填阈值",IF(MAX(AD5:AI5)=0,"不写",INDEX($T$4:$Y$4,MATCH(MAX(AD5:AI5),AD5:AI5,0))&amp;"·"&amp;IF(MAX(AD5:AI5)&gt;=200,"高","中")&amp;IF(LARGE(AD5:AI5,2)&gt;0,"（也像"&amp;INDEX($T$4:$Y$4,MATCH(LARGE(AD5:AI5,2),AD5:AI5,0))&amp;"·"&amp;IF(LARGE(AD5:AI5,2)&gt;=200,"高","中")&amp;"）",""))))</f>
        <v>先填阈值</v>
      </c>
      <c r="AA5" s="27" t="inlineStr">
        <is>
          <t>冰点</t>
        </is>
      </c>
      <c r="AB5" s="32" t="inlineStr">
        <is>
          <t>涨停 25 家、跌停 18 家，晋级率只有一成</t>
        </is>
      </c>
      <c r="AC5" s="16" t="n"/>
      <c r="AD5" s="40">
        <f>IF(N(T5)&gt;=3,IF(T5=4,2,1)*100+T5*10+6,0)</f>
        <v>0</v>
      </c>
      <c r="AE5" s="40">
        <f>IF(N(U5)&gt;=3,1*100+U5*10+1,0)</f>
        <v>0</v>
      </c>
      <c r="AF5" s="40">
        <f>IF(N(V5)&gt;=3,IF(V5=4,2,1)*100+V5*10+2,0)</f>
        <v>0</v>
      </c>
      <c r="AG5" s="40">
        <f>IF(N(W5)&gt;=3,1*100+W5*10+3,0)</f>
        <v>0</v>
      </c>
      <c r="AH5" s="40">
        <f>IF(N(X5)&gt;=3,1*100+X5*10+4,0)</f>
        <v>0</v>
      </c>
      <c r="AI5" s="40">
        <f>IF(N(Y5)&gt;=3,IF(AND(N(T5)&gt;=3,OR(N(T5)=4,N(Y5)&lt;=N(T5))),0,IF(Y5=4,2,1)*100+Y5*10+5),0)</f>
        <v>0</v>
      </c>
    </row>
    <row r="6" ht="32" customHeight="1">
      <c r="A6" s="31" t="n">
        <v>47547</v>
      </c>
      <c r="B6" s="36" t="str">
        <f>IF(ISNUMBER(A6),"周"&amp;CHOOSE(WEEKDAY(A6,2),"一","二","三","四","五","六","日"),"")</f>
        <v>周二</v>
      </c>
      <c r="C6" s="37" t="n">
        <v>0.003</v>
      </c>
      <c r="D6" s="37" t="n">
        <v>0.005</v>
      </c>
      <c r="E6" s="37" t="n">
        <v>0.008</v>
      </c>
      <c r="F6" s="17" t="n">
        <v>7400</v>
      </c>
      <c r="G6" s="38">
        <f>IF(AND(ISNUMBER(F6),ISNUMBER(F5)),IF(F5=0,"",F6/F5-1),"")</f>
        <v>-0.0512820512820513</v>
      </c>
      <c r="H6" s="17" t="n">
        <v>1700</v>
      </c>
      <c r="I6" s="17" t="n">
        <v>1400</v>
      </c>
      <c r="J6" s="17" t="n">
        <v>32</v>
      </c>
      <c r="K6" s="17" t="n">
        <v>6</v>
      </c>
      <c r="L6" s="17" t="n">
        <v>50</v>
      </c>
      <c r="M6" s="17" t="n">
        <v>17</v>
      </c>
      <c r="N6" s="39">
        <f>IF(AND(ISNUMBER(L6),ISNUMBER(M6),N(L6)&gt;0),M6/L6,"")</f>
        <v>0.34</v>
      </c>
      <c r="O6" s="17" t="n">
        <v>20</v>
      </c>
      <c r="P6" s="17" t="n">
        <v>5</v>
      </c>
      <c r="Q6" s="39">
        <f>IF(AND(ISNUMBER(O6),ISNUMBER(P6),N(O6)&gt;0),P6/O6,"")</f>
        <v>0.25</v>
      </c>
      <c r="R6" s="17" t="n">
        <v>2</v>
      </c>
      <c r="S6" s="37" t="n">
        <v>0.008</v>
      </c>
      <c r="T6" s="40" t="str">
        <f>IF(AND(ISNUMBER(J6),ISNUMBER(K6)),IF(N(ISNUMBER('参数'!$E$31))+N(ISNUMBER('参数'!$G$31))+N(ISNUMBER('参数'!$I$31))+N(ISNUMBER('参数'!$K$31))=0,"",IF(ISNUMBER('参数'!$E$31),J6&lt;='参数'!$E$31,FALSE)+IF(ISNUMBER('参数'!$G$31),K6&gt;='参数'!$G$31,FALSE)+IF(AND(ISNUMBER('参数'!$I$31),ISNUMBER(N6)),N6&gt;='参数'!$I$31,FALSE)+IF(AND(ISNUMBER('参数'!$K$31),ISNUMBER(Q6)),Q6&lt;='参数'!$K$31,FALSE)),"")</f>
        <v/>
      </c>
      <c r="U6" s="40" t="str">
        <f>IF(AND(ISNUMBER(J6),ISNUMBER(K6)),IF(N(ISNUMBER('参数'!$G$32))+N(ISNUMBER('参数'!$I$32))+N(ISNUMBER('参数'!$K$32))=0,"",IF(AND(ISNUMBER(J5),ISNUMBER(J4)),AND(J6&gt;J5,J5&gt;J4),FALSE)+IF(ISNUMBER('参数'!$G$32),J6&lt;'参数'!$G$32,FALSE)+IF(AND(ISNUMBER('参数'!$I$32),ISNUMBER(Q6)),Q6&gt;='参数'!$I$32,FALSE)+IF(AND(ISNUMBER('参数'!$K$32),ISNUMBER(S6)),S6&gt;='参数'!$K$32,FALSE)),"")</f>
        <v/>
      </c>
      <c r="V6" s="40" t="str">
        <f>IF(AND(ISNUMBER(J6),ISNUMBER(K6)),IF(N(ISNUMBER('参数'!$E$33))+N(ISNUMBER('参数'!$G$33))+N(ISNUMBER('参数'!$I$33))+N(ISNUMBER('参数'!$K$33))=0,"",IF(AND(ISNUMBER('参数'!$E$33),ISNUMBER(J5)),AND(J6&gt;='参数'!$E$33,J6&gt;J5),FALSE)+IF(AND(ISNUMBER('参数'!$G$33),ISNUMBER(N6)),N6&lt;='参数'!$G$33,FALSE)+IF(AND(ISNUMBER('参数'!$I$33),ISNUMBER(Q6)),Q6&gt;='参数'!$I$33,FALSE)+IF(AND(ISNUMBER('参数'!$K$33),ISNUMBER(S6)),S6&gt;='参数'!$K$33,FALSE)),"")</f>
        <v/>
      </c>
      <c r="W6" s="40" t="str">
        <f>IF(AND(ISNUMBER(J6),ISNUMBER(K6)),IF(N(ISNUMBER('参数'!$E$34))+N(ISNUMBER('参数'!$G$34))+N(ISNUMBER('参数'!$I$34))+N(ISNUMBER('参数'!$K$34))=0,"",IF(ISNUMBER('参数'!$E$34),J6&gt;='参数'!$E$34,FALSE)+IF(AND(ISNUMBER('参数'!$G$34),ISNUMBER(N6)),N6&lt;='参数'!$G$34,FALSE)+IF(AND(ISNUMBER('参数'!$I$34),ISNUMBER(S6)),S6&gt;='参数'!$I$34,FALSE)+IF(AND(ISNUMBER('参数'!$K$34),ISNUMBER(R6)),R6&gt;='参数'!$K$34,FALSE)),"")</f>
        <v/>
      </c>
      <c r="X6" s="40" t="str">
        <f>IF(AND(ISNUMBER(J6),ISNUMBER(K6)),IF(N(ISNUMBER('参数'!$E$35))+N(ISNUMBER('参数'!$G$35))+N(ISNUMBER('参数'!$I$35))=0,"",IF(AND(ISNUMBER('参数'!$E$35),ISNUMBER(N6),ISNUMBER(N5)),ROUND(N6-N5,6)&gt;='参数'!$E$35,FALSE)+IF(AND(ISNUMBER('参数'!$G$35),ISNUMBER(Q6),ISNUMBER(Q5)),ROUND(Q5-Q6,6)&gt;='参数'!$G$35,FALSE)+IF(AND(ISNUMBER('参数'!$I$35),ISNUMBER(S6),ISNUMBER(S5)),ROUND(S5-S6,6)&gt;='参数'!$I$35,FALSE)+IF(ISNUMBER(J5),J6&lt;J5,FALSE)),"")</f>
        <v/>
      </c>
      <c r="Y6" s="40" t="str">
        <f>IF(AND(ISNUMBER(J6),ISNUMBER(K6)),IF(N(ISNUMBER('参数'!$E$36))+N(ISNUMBER('参数'!$G$36))+N(ISNUMBER('参数'!$I$36))=0,"",IF(AND(ISNUMBER('参数'!$E$36),ISNUMBER(J5)),AND(J6&lt;='参数'!$E$36,J6&lt;J5),FALSE)+IF(ISNUMBER('参数'!$G$36),K6&gt;='参数'!$G$36,FALSE)+IF(AND(ISNUMBER('参数'!$I$36),ISNUMBER(S6)),S6&lt;'参数'!$I$36,FALSE)+IF(AND(ISNUMBER(R6),ISNUMBER(R5)),R6&lt;R5,FALSE)),"")</f>
        <v/>
      </c>
      <c r="Z6" s="41" t="str">
        <f>IF(NOT(AND(ISNUMBER(J6),ISNUMBER(K6))),"",IF(COUNT(T6:Y6)=0,"先填阈值",IF(MAX(AD6:AI6)=0,"不写",INDEX($T$4:$Y$4,MATCH(MAX(AD6:AI6),AD6:AI6,0))&amp;"·"&amp;IF(MAX(AD6:AI6)&gt;=200,"高","中")&amp;IF(LARGE(AD6:AI6,2)&gt;0,"（也像"&amp;INDEX($T$4:$Y$4,MATCH(LARGE(AD6:AI6,2),AD6:AI6,0))&amp;"·"&amp;IF(LARGE(AD6:AI6,2)&gt;=200,"高","中")&amp;"）",""))))</f>
        <v>先填阈值</v>
      </c>
      <c r="AA6" s="27" t="inlineStr">
        <is>
          <t>说不清</t>
        </is>
      </c>
      <c r="AB6" s="32" t="inlineStr">
        <is>
          <t>涨停 32 家比昨天多，但昨日涨停今天只涨 0.8%，修复不够</t>
        </is>
      </c>
      <c r="AC6" s="16" t="n"/>
      <c r="AD6" s="40">
        <f>IF(N(T6)&gt;=3,IF(T6=4,2,1)*100+T6*10+6,0)</f>
        <v>0</v>
      </c>
      <c r="AE6" s="40">
        <f>IF(N(U6)&gt;=3,1*100+U6*10+1,0)</f>
        <v>0</v>
      </c>
      <c r="AF6" s="40">
        <f>IF(N(V6)&gt;=3,IF(V6=4,2,1)*100+V6*10+2,0)</f>
        <v>0</v>
      </c>
      <c r="AG6" s="40">
        <f>IF(N(W6)&gt;=3,1*100+W6*10+3,0)</f>
        <v>0</v>
      </c>
      <c r="AH6" s="40">
        <f>IF(N(X6)&gt;=3,1*100+X6*10+4,0)</f>
        <v>0</v>
      </c>
      <c r="AI6" s="40">
        <f>IF(N(Y6)&gt;=3,IF(AND(N(T6)&gt;=3,OR(N(T6)=4,N(Y6)&lt;=N(T6))),0,IF(Y6=4,2,1)*100+Y6*10+5),0)</f>
        <v>0</v>
      </c>
    </row>
    <row r="7" ht="18" customHeight="1">
      <c r="A7" s="31" t="n">
        <v>47548</v>
      </c>
      <c r="B7" s="36" t="str">
        <f>IF(ISNUMBER(A7),"周"&amp;CHOOSE(WEEKDAY(A7,2),"一","二","三","四","五","六","日"),"")</f>
        <v>周三</v>
      </c>
      <c r="C7" s="37" t="n">
        <v>0.008999999999999999</v>
      </c>
      <c r="D7" s="37" t="n">
        <v>0.012</v>
      </c>
      <c r="E7" s="37" t="n">
        <v>0.015</v>
      </c>
      <c r="F7" s="17" t="n">
        <v>8300</v>
      </c>
      <c r="G7" s="38">
        <f>IF(AND(ISNUMBER(F7),ISNUMBER(F6)),IF(F6=0,"",F7/F6-1),"")</f>
        <v>0.121621621621622</v>
      </c>
      <c r="H7" s="17" t="n">
        <v>2200</v>
      </c>
      <c r="I7" s="17" t="n">
        <v>900</v>
      </c>
      <c r="J7" s="17" t="n">
        <v>41</v>
      </c>
      <c r="K7" s="17" t="n">
        <v>3</v>
      </c>
      <c r="L7" s="17" t="n">
        <v>60</v>
      </c>
      <c r="M7" s="17" t="n">
        <v>15</v>
      </c>
      <c r="N7" s="39">
        <f>IF(AND(ISNUMBER(L7),ISNUMBER(M7),N(L7)&gt;0),M7/L7,"")</f>
        <v>0.25</v>
      </c>
      <c r="O7" s="17" t="n">
        <v>25</v>
      </c>
      <c r="P7" s="17" t="n">
        <v>7</v>
      </c>
      <c r="Q7" s="39">
        <f>IF(AND(ISNUMBER(O7),ISNUMBER(P7),N(O7)&gt;0),P7/O7,"")</f>
        <v>0.28</v>
      </c>
      <c r="R7" s="17" t="n">
        <v>3</v>
      </c>
      <c r="S7" s="37" t="n">
        <v>0.016</v>
      </c>
      <c r="T7" s="40" t="str">
        <f>IF(AND(ISNUMBER(J7),ISNUMBER(K7)),IF(N(ISNUMBER('参数'!$E$31))+N(ISNUMBER('参数'!$G$31))+N(ISNUMBER('参数'!$I$31))+N(ISNUMBER('参数'!$K$31))=0,"",IF(ISNUMBER('参数'!$E$31),J7&lt;='参数'!$E$31,FALSE)+IF(ISNUMBER('参数'!$G$31),K7&gt;='参数'!$G$31,FALSE)+IF(AND(ISNUMBER('参数'!$I$31),ISNUMBER(N7)),N7&gt;='参数'!$I$31,FALSE)+IF(AND(ISNUMBER('参数'!$K$31),ISNUMBER(Q7)),Q7&lt;='参数'!$K$31,FALSE)),"")</f>
        <v/>
      </c>
      <c r="U7" s="40" t="str">
        <f>IF(AND(ISNUMBER(J7),ISNUMBER(K7)),IF(N(ISNUMBER('参数'!$G$32))+N(ISNUMBER('参数'!$I$32))+N(ISNUMBER('参数'!$K$32))=0,"",IF(AND(ISNUMBER(J6),ISNUMBER(J5)),AND(J7&gt;J6,J6&gt;J5),FALSE)+IF(ISNUMBER('参数'!$G$32),J7&lt;'参数'!$G$32,FALSE)+IF(AND(ISNUMBER('参数'!$I$32),ISNUMBER(Q7)),Q7&gt;='参数'!$I$32,FALSE)+IF(AND(ISNUMBER('参数'!$K$32),ISNUMBER(S7)),S7&gt;='参数'!$K$32,FALSE)),"")</f>
        <v/>
      </c>
      <c r="V7" s="40" t="str">
        <f>IF(AND(ISNUMBER(J7),ISNUMBER(K7)),IF(N(ISNUMBER('参数'!$E$33))+N(ISNUMBER('参数'!$G$33))+N(ISNUMBER('参数'!$I$33))+N(ISNUMBER('参数'!$K$33))=0,"",IF(AND(ISNUMBER('参数'!$E$33),ISNUMBER(J6)),AND(J7&gt;='参数'!$E$33,J7&gt;J6),FALSE)+IF(AND(ISNUMBER('参数'!$G$33),ISNUMBER(N7)),N7&lt;='参数'!$G$33,FALSE)+IF(AND(ISNUMBER('参数'!$I$33),ISNUMBER(Q7)),Q7&gt;='参数'!$I$33,FALSE)+IF(AND(ISNUMBER('参数'!$K$33),ISNUMBER(S7)),S7&gt;='参数'!$K$33,FALSE)),"")</f>
        <v/>
      </c>
      <c r="W7" s="40" t="str">
        <f>IF(AND(ISNUMBER(J7),ISNUMBER(K7)),IF(N(ISNUMBER('参数'!$E$34))+N(ISNUMBER('参数'!$G$34))+N(ISNUMBER('参数'!$I$34))+N(ISNUMBER('参数'!$K$34))=0,"",IF(ISNUMBER('参数'!$E$34),J7&gt;='参数'!$E$34,FALSE)+IF(AND(ISNUMBER('参数'!$G$34),ISNUMBER(N7)),N7&lt;='参数'!$G$34,FALSE)+IF(AND(ISNUMBER('参数'!$I$34),ISNUMBER(S7)),S7&gt;='参数'!$I$34,FALSE)+IF(AND(ISNUMBER('参数'!$K$34),ISNUMBER(R7)),R7&gt;='参数'!$K$34,FALSE)),"")</f>
        <v/>
      </c>
      <c r="X7" s="40" t="str">
        <f>IF(AND(ISNUMBER(J7),ISNUMBER(K7)),IF(N(ISNUMBER('参数'!$E$35))+N(ISNUMBER('参数'!$G$35))+N(ISNUMBER('参数'!$I$35))=0,"",IF(AND(ISNUMBER('参数'!$E$35),ISNUMBER(N7),ISNUMBER(N6)),ROUND(N7-N6,6)&gt;='参数'!$E$35,FALSE)+IF(AND(ISNUMBER('参数'!$G$35),ISNUMBER(Q7),ISNUMBER(Q6)),ROUND(Q6-Q7,6)&gt;='参数'!$G$35,FALSE)+IF(AND(ISNUMBER('参数'!$I$35),ISNUMBER(S7),ISNUMBER(S6)),ROUND(S6-S7,6)&gt;='参数'!$I$35,FALSE)+IF(ISNUMBER(J6),J7&lt;J6,FALSE)),"")</f>
        <v/>
      </c>
      <c r="Y7" s="40" t="str">
        <f>IF(AND(ISNUMBER(J7),ISNUMBER(K7)),IF(N(ISNUMBER('参数'!$E$36))+N(ISNUMBER('参数'!$G$36))+N(ISNUMBER('参数'!$I$36))=0,"",IF(AND(ISNUMBER('参数'!$E$36),ISNUMBER(J6)),AND(J7&lt;='参数'!$E$36,J7&lt;J6),FALSE)+IF(ISNUMBER('参数'!$G$36),K7&gt;='参数'!$G$36,FALSE)+IF(AND(ISNUMBER('参数'!$I$36),ISNUMBER(S7)),S7&lt;'参数'!$I$36,FALSE)+IF(AND(ISNUMBER(R7),ISNUMBER(R6)),R7&lt;R6,FALSE)),"")</f>
        <v/>
      </c>
      <c r="Z7" s="41" t="str">
        <f>IF(NOT(AND(ISNUMBER(J7),ISNUMBER(K7))),"",IF(COUNT(T7:Y7)=0,"先填阈值",IF(MAX(AD7:AI7)=0,"不写",INDEX($T$4:$Y$4,MATCH(MAX(AD7:AI7),AD7:AI7,0))&amp;"·"&amp;IF(MAX(AD7:AI7)&gt;=200,"高","中")&amp;IF(LARGE(AD7:AI7,2)&gt;0,"（也像"&amp;INDEX($T$4:$Y$4,MATCH(LARGE(AD7:AI7,2),AD7:AI7,0))&amp;"·"&amp;IF(LARGE(AD7:AI7,2)&gt;=200,"高","中")&amp;"）",""))))</f>
        <v>先填阈值</v>
      </c>
      <c r="AA7" s="27" t="inlineStr">
        <is>
          <t>启动</t>
        </is>
      </c>
      <c r="AB7" s="32" t="inlineStr">
        <is>
          <t>涨停连续两天增加，晋级率 28%</t>
        </is>
      </c>
      <c r="AC7" s="16" t="n"/>
      <c r="AD7" s="40">
        <f>IF(N(T7)&gt;=3,IF(T7=4,2,1)*100+T7*10+6,0)</f>
        <v>0</v>
      </c>
      <c r="AE7" s="40">
        <f>IF(N(U7)&gt;=3,1*100+U7*10+1,0)</f>
        <v>0</v>
      </c>
      <c r="AF7" s="40">
        <f>IF(N(V7)&gt;=3,IF(V7=4,2,1)*100+V7*10+2,0)</f>
        <v>0</v>
      </c>
      <c r="AG7" s="40">
        <f>IF(N(W7)&gt;=3,1*100+W7*10+3,0)</f>
        <v>0</v>
      </c>
      <c r="AH7" s="40">
        <f>IF(N(X7)&gt;=3,1*100+X7*10+4,0)</f>
        <v>0</v>
      </c>
      <c r="AI7" s="40">
        <f>IF(N(Y7)&gt;=3,IF(AND(N(T7)&gt;=3,OR(N(T7)=4,N(Y7)&lt;=N(T7))),0,IF(Y7=4,2,1)*100+Y7*10+5),0)</f>
        <v>0</v>
      </c>
    </row>
    <row r="8" ht="32" customHeight="1">
      <c r="A8" s="31" t="n">
        <v>47549</v>
      </c>
      <c r="B8" s="36" t="str">
        <f>IF(ISNUMBER(A8),"周"&amp;CHOOSE(WEEKDAY(A8,2),"一","二","三","四","五","六","日"),"")</f>
        <v>周四</v>
      </c>
      <c r="C8" s="37" t="n">
        <v>0.006</v>
      </c>
      <c r="D8" s="37" t="n">
        <v>0.01</v>
      </c>
      <c r="E8" s="37" t="n">
        <v>0.014</v>
      </c>
      <c r="F8" s="17" t="n">
        <v>9100</v>
      </c>
      <c r="G8" s="38">
        <f>IF(AND(ISNUMBER(F8),ISNUMBER(F7)),IF(F7=0,"",F8/F7-1),"")</f>
        <v>0.0963855421686748</v>
      </c>
      <c r="H8" s="17" t="n">
        <v>2000</v>
      </c>
      <c r="I8" s="17" t="n">
        <v>1100</v>
      </c>
      <c r="J8" s="17" t="n">
        <v>58</v>
      </c>
      <c r="K8" s="17" t="n">
        <v>2</v>
      </c>
      <c r="L8" s="17" t="n">
        <v>78</v>
      </c>
      <c r="M8" s="17" t="n">
        <v>18</v>
      </c>
      <c r="N8" s="39">
        <f>IF(AND(ISNUMBER(L8),ISNUMBER(M8),N(L8)&gt;0),M8/L8,"")</f>
        <v>0.230769230769231</v>
      </c>
      <c r="O8" s="17" t="n">
        <v>30</v>
      </c>
      <c r="P8" s="17" t="n">
        <v>9</v>
      </c>
      <c r="Q8" s="39">
        <f>IF(AND(ISNUMBER(O8),ISNUMBER(P8),N(O8)&gt;0),P8/O8,"")</f>
        <v>0.3</v>
      </c>
      <c r="R8" s="17" t="n">
        <v>4</v>
      </c>
      <c r="S8" s="37" t="n">
        <v>0.024</v>
      </c>
      <c r="T8" s="40" t="str">
        <f>IF(AND(ISNUMBER(J8),ISNUMBER(K8)),IF(N(ISNUMBER('参数'!$E$31))+N(ISNUMBER('参数'!$G$31))+N(ISNUMBER('参数'!$I$31))+N(ISNUMBER('参数'!$K$31))=0,"",IF(ISNUMBER('参数'!$E$31),J8&lt;='参数'!$E$31,FALSE)+IF(ISNUMBER('参数'!$G$31),K8&gt;='参数'!$G$31,FALSE)+IF(AND(ISNUMBER('参数'!$I$31),ISNUMBER(N8)),N8&gt;='参数'!$I$31,FALSE)+IF(AND(ISNUMBER('参数'!$K$31),ISNUMBER(Q8)),Q8&lt;='参数'!$K$31,FALSE)),"")</f>
        <v/>
      </c>
      <c r="U8" s="40" t="str">
        <f>IF(AND(ISNUMBER(J8),ISNUMBER(K8)),IF(N(ISNUMBER('参数'!$G$32))+N(ISNUMBER('参数'!$I$32))+N(ISNUMBER('参数'!$K$32))=0,"",IF(AND(ISNUMBER(J7),ISNUMBER(J6)),AND(J8&gt;J7,J7&gt;J6),FALSE)+IF(ISNUMBER('参数'!$G$32),J8&lt;'参数'!$G$32,FALSE)+IF(AND(ISNUMBER('参数'!$I$32),ISNUMBER(Q8)),Q8&gt;='参数'!$I$32,FALSE)+IF(AND(ISNUMBER('参数'!$K$32),ISNUMBER(S8)),S8&gt;='参数'!$K$32,FALSE)),"")</f>
        <v/>
      </c>
      <c r="V8" s="40" t="str">
        <f>IF(AND(ISNUMBER(J8),ISNUMBER(K8)),IF(N(ISNUMBER('参数'!$E$33))+N(ISNUMBER('参数'!$G$33))+N(ISNUMBER('参数'!$I$33))+N(ISNUMBER('参数'!$K$33))=0,"",IF(AND(ISNUMBER('参数'!$E$33),ISNUMBER(J7)),AND(J8&gt;='参数'!$E$33,J8&gt;J7),FALSE)+IF(AND(ISNUMBER('参数'!$G$33),ISNUMBER(N8)),N8&lt;='参数'!$G$33,FALSE)+IF(AND(ISNUMBER('参数'!$I$33),ISNUMBER(Q8)),Q8&gt;='参数'!$I$33,FALSE)+IF(AND(ISNUMBER('参数'!$K$33),ISNUMBER(S8)),S8&gt;='参数'!$K$33,FALSE)),"")</f>
        <v/>
      </c>
      <c r="W8" s="40" t="str">
        <f>IF(AND(ISNUMBER(J8),ISNUMBER(K8)),IF(N(ISNUMBER('参数'!$E$34))+N(ISNUMBER('参数'!$G$34))+N(ISNUMBER('参数'!$I$34))+N(ISNUMBER('参数'!$K$34))=0,"",IF(ISNUMBER('参数'!$E$34),J8&gt;='参数'!$E$34,FALSE)+IF(AND(ISNUMBER('参数'!$G$34),ISNUMBER(N8)),N8&lt;='参数'!$G$34,FALSE)+IF(AND(ISNUMBER('参数'!$I$34),ISNUMBER(S8)),S8&gt;='参数'!$I$34,FALSE)+IF(AND(ISNUMBER('参数'!$K$34),ISNUMBER(R8)),R8&gt;='参数'!$K$34,FALSE)),"")</f>
        <v/>
      </c>
      <c r="X8" s="40" t="str">
        <f>IF(AND(ISNUMBER(J8),ISNUMBER(K8)),IF(N(ISNUMBER('参数'!$E$35))+N(ISNUMBER('参数'!$G$35))+N(ISNUMBER('参数'!$I$35))=0,"",IF(AND(ISNUMBER('参数'!$E$35),ISNUMBER(N8),ISNUMBER(N7)),ROUND(N8-N7,6)&gt;='参数'!$E$35,FALSE)+IF(AND(ISNUMBER('参数'!$G$35),ISNUMBER(Q8),ISNUMBER(Q7)),ROUND(Q7-Q8,6)&gt;='参数'!$G$35,FALSE)+IF(AND(ISNUMBER('参数'!$I$35),ISNUMBER(S8),ISNUMBER(S7)),ROUND(S7-S8,6)&gt;='参数'!$I$35,FALSE)+IF(ISNUMBER(J7),J8&lt;J7,FALSE)),"")</f>
        <v/>
      </c>
      <c r="Y8" s="40" t="str">
        <f>IF(AND(ISNUMBER(J8),ISNUMBER(K8)),IF(N(ISNUMBER('参数'!$E$36))+N(ISNUMBER('参数'!$G$36))+N(ISNUMBER('参数'!$I$36))=0,"",IF(AND(ISNUMBER('参数'!$E$36),ISNUMBER(J7)),AND(J8&lt;='参数'!$E$36,J8&lt;J7),FALSE)+IF(ISNUMBER('参数'!$G$36),K8&gt;='参数'!$G$36,FALSE)+IF(AND(ISNUMBER('参数'!$I$36),ISNUMBER(S8)),S8&lt;'参数'!$I$36,FALSE)+IF(AND(ISNUMBER(R8),ISNUMBER(R7)),R8&lt;R7,FALSE)),"")</f>
        <v/>
      </c>
      <c r="Z8" s="41" t="str">
        <f>IF(NOT(AND(ISNUMBER(J8),ISNUMBER(K8))),"",IF(COUNT(T8:Y8)=0,"先填阈值",IF(MAX(AD8:AI8)=0,"不写",INDEX($T$4:$Y$4,MATCH(MAX(AD8:AI8),AD8:AI8,0))&amp;"·"&amp;IF(MAX(AD8:AI8)&gt;=200,"高","中")&amp;IF(LARGE(AD8:AI8,2)&gt;0,"（也像"&amp;INDEX($T$4:$Y$4,MATCH(LARGE(AD8:AI8,2),AD8:AI8,0))&amp;"·"&amp;IF(LARGE(AD8:AI8,2)&gt;=200,"高","中")&amp;"）",""))))</f>
        <v>先填阈值</v>
      </c>
      <c r="AA8" s="27" t="inlineStr">
        <is>
          <t>启动</t>
        </is>
      </c>
      <c r="AB8" s="32" t="inlineStr">
        <is>
          <t>涨停 58 家，比昨天又多一截，但还没扩散到后排，按启动看</t>
        </is>
      </c>
      <c r="AC8" s="16" t="n"/>
      <c r="AD8" s="40">
        <f>IF(N(T8)&gt;=3,IF(T8=4,2,1)*100+T8*10+6,0)</f>
        <v>0</v>
      </c>
      <c r="AE8" s="40">
        <f>IF(N(U8)&gt;=3,1*100+U8*10+1,0)</f>
        <v>0</v>
      </c>
      <c r="AF8" s="40">
        <f>IF(N(V8)&gt;=3,IF(V8=4,2,1)*100+V8*10+2,0)</f>
        <v>0</v>
      </c>
      <c r="AG8" s="40">
        <f>IF(N(W8)&gt;=3,1*100+W8*10+3,0)</f>
        <v>0</v>
      </c>
      <c r="AH8" s="40">
        <f>IF(N(X8)&gt;=3,1*100+X8*10+4,0)</f>
        <v>0</v>
      </c>
      <c r="AI8" s="40">
        <f>IF(N(Y8)&gt;=3,IF(AND(N(T8)&gt;=3,OR(N(T8)=4,N(Y8)&lt;=N(T8))),0,IF(Y8=4,2,1)*100+Y8*10+5),0)</f>
        <v>0</v>
      </c>
    </row>
    <row r="9" ht="18" customHeight="1">
      <c r="A9" s="31" t="n">
        <v>47550</v>
      </c>
      <c r="B9" s="36" t="str">
        <f>IF(ISNUMBER(A9),"周"&amp;CHOOSE(WEEKDAY(A9,2),"一","二","三","四","五","六","日"),"")</f>
        <v>周五</v>
      </c>
      <c r="C9" s="37" t="n">
        <v>0.011</v>
      </c>
      <c r="D9" s="37" t="n">
        <v>0.015</v>
      </c>
      <c r="E9" s="37" t="n">
        <v>0.022</v>
      </c>
      <c r="F9" s="17" t="n">
        <v>10600</v>
      </c>
      <c r="G9" s="38">
        <f>IF(AND(ISNUMBER(F9),ISNUMBER(F8)),IF(F8=0,"",F9/F8-1),"")</f>
        <v>0.164835164835165</v>
      </c>
      <c r="H9" s="17" t="n">
        <v>2400</v>
      </c>
      <c r="I9" s="17" t="n">
        <v>720</v>
      </c>
      <c r="J9" s="17" t="n">
        <v>76</v>
      </c>
      <c r="K9" s="17" t="n">
        <v>1</v>
      </c>
      <c r="L9" s="17" t="n">
        <v>98</v>
      </c>
      <c r="M9" s="17" t="n">
        <v>22</v>
      </c>
      <c r="N9" s="39">
        <f>IF(AND(ISNUMBER(L9),ISNUMBER(M9),N(L9)&gt;0),M9/L9,"")</f>
        <v>0.224489795918367</v>
      </c>
      <c r="O9" s="17" t="n">
        <v>42</v>
      </c>
      <c r="P9" s="17" t="n">
        <v>13</v>
      </c>
      <c r="Q9" s="39">
        <f>IF(AND(ISNUMBER(O9),ISNUMBER(P9),N(O9)&gt;0),P9/O9,"")</f>
        <v>0.30952380952381</v>
      </c>
      <c r="R9" s="17" t="n">
        <v>5</v>
      </c>
      <c r="S9" s="37" t="n">
        <v>0.031</v>
      </c>
      <c r="T9" s="40" t="str">
        <f>IF(AND(ISNUMBER(J9),ISNUMBER(K9)),IF(N(ISNUMBER('参数'!$E$31))+N(ISNUMBER('参数'!$G$31))+N(ISNUMBER('参数'!$I$31))+N(ISNUMBER('参数'!$K$31))=0,"",IF(ISNUMBER('参数'!$E$31),J9&lt;='参数'!$E$31,FALSE)+IF(ISNUMBER('参数'!$G$31),K9&gt;='参数'!$G$31,FALSE)+IF(AND(ISNUMBER('参数'!$I$31),ISNUMBER(N9)),N9&gt;='参数'!$I$31,FALSE)+IF(AND(ISNUMBER('参数'!$K$31),ISNUMBER(Q9)),Q9&lt;='参数'!$K$31,FALSE)),"")</f>
        <v/>
      </c>
      <c r="U9" s="40" t="str">
        <f>IF(AND(ISNUMBER(J9),ISNUMBER(K9)),IF(N(ISNUMBER('参数'!$G$32))+N(ISNUMBER('参数'!$I$32))+N(ISNUMBER('参数'!$K$32))=0,"",IF(AND(ISNUMBER(J8),ISNUMBER(J7)),AND(J9&gt;J8,J8&gt;J7),FALSE)+IF(ISNUMBER('参数'!$G$32),J9&lt;'参数'!$G$32,FALSE)+IF(AND(ISNUMBER('参数'!$I$32),ISNUMBER(Q9)),Q9&gt;='参数'!$I$32,FALSE)+IF(AND(ISNUMBER('参数'!$K$32),ISNUMBER(S9)),S9&gt;='参数'!$K$32,FALSE)),"")</f>
        <v/>
      </c>
      <c r="V9" s="40" t="str">
        <f>IF(AND(ISNUMBER(J9),ISNUMBER(K9)),IF(N(ISNUMBER('参数'!$E$33))+N(ISNUMBER('参数'!$G$33))+N(ISNUMBER('参数'!$I$33))+N(ISNUMBER('参数'!$K$33))=0,"",IF(AND(ISNUMBER('参数'!$E$33),ISNUMBER(J8)),AND(J9&gt;='参数'!$E$33,J9&gt;J8),FALSE)+IF(AND(ISNUMBER('参数'!$G$33),ISNUMBER(N9)),N9&lt;='参数'!$G$33,FALSE)+IF(AND(ISNUMBER('参数'!$I$33),ISNUMBER(Q9)),Q9&gt;='参数'!$I$33,FALSE)+IF(AND(ISNUMBER('参数'!$K$33),ISNUMBER(S9)),S9&gt;='参数'!$K$33,FALSE)),"")</f>
        <v/>
      </c>
      <c r="W9" s="40" t="str">
        <f>IF(AND(ISNUMBER(J9),ISNUMBER(K9)),IF(N(ISNUMBER('参数'!$E$34))+N(ISNUMBER('参数'!$G$34))+N(ISNUMBER('参数'!$I$34))+N(ISNUMBER('参数'!$K$34))=0,"",IF(ISNUMBER('参数'!$E$34),J9&gt;='参数'!$E$34,FALSE)+IF(AND(ISNUMBER('参数'!$G$34),ISNUMBER(N9)),N9&lt;='参数'!$G$34,FALSE)+IF(AND(ISNUMBER('参数'!$I$34),ISNUMBER(S9)),S9&gt;='参数'!$I$34,FALSE)+IF(AND(ISNUMBER('参数'!$K$34),ISNUMBER(R9)),R9&gt;='参数'!$K$34,FALSE)),"")</f>
        <v/>
      </c>
      <c r="X9" s="40" t="str">
        <f>IF(AND(ISNUMBER(J9),ISNUMBER(K9)),IF(N(ISNUMBER('参数'!$E$35))+N(ISNUMBER('参数'!$G$35))+N(ISNUMBER('参数'!$I$35))=0,"",IF(AND(ISNUMBER('参数'!$E$35),ISNUMBER(N9),ISNUMBER(N8)),ROUND(N9-N8,6)&gt;='参数'!$E$35,FALSE)+IF(AND(ISNUMBER('参数'!$G$35),ISNUMBER(Q9),ISNUMBER(Q8)),ROUND(Q8-Q9,6)&gt;='参数'!$G$35,FALSE)+IF(AND(ISNUMBER('参数'!$I$35),ISNUMBER(S9),ISNUMBER(S8)),ROUND(S8-S9,6)&gt;='参数'!$I$35,FALSE)+IF(ISNUMBER(J8),J9&lt;J8,FALSE)),"")</f>
        <v/>
      </c>
      <c r="Y9" s="40" t="str">
        <f>IF(AND(ISNUMBER(J9),ISNUMBER(K9)),IF(N(ISNUMBER('参数'!$E$36))+N(ISNUMBER('参数'!$G$36))+N(ISNUMBER('参数'!$I$36))=0,"",IF(AND(ISNUMBER('参数'!$E$36),ISNUMBER(J8)),AND(J9&lt;='参数'!$E$36,J9&lt;J8),FALSE)+IF(ISNUMBER('参数'!$G$36),K9&gt;='参数'!$G$36,FALSE)+IF(AND(ISNUMBER('参数'!$I$36),ISNUMBER(S9)),S9&lt;'参数'!$I$36,FALSE)+IF(AND(ISNUMBER(R9),ISNUMBER(R8)),R9&lt;R8,FALSE)),"")</f>
        <v/>
      </c>
      <c r="Z9" s="41" t="str">
        <f>IF(NOT(AND(ISNUMBER(J9),ISNUMBER(K9))),"",IF(COUNT(T9:Y9)=0,"先填阈值",IF(MAX(AD9:AI9)=0,"不写",INDEX($T$4:$Y$4,MATCH(MAX(AD9:AI9),AD9:AI9,0))&amp;"·"&amp;IF(MAX(AD9:AI9)&gt;=200,"高","中")&amp;IF(LARGE(AD9:AI9,2)&gt;0,"（也像"&amp;INDEX($T$4:$Y$4,MATCH(LARGE(AD9:AI9,2),AD9:AI9,0))&amp;"·"&amp;IF(LARGE(AD9:AI9,2)&gt;=200,"高","中")&amp;"）",""))))</f>
        <v>先填阈值</v>
      </c>
      <c r="AA9" s="27" t="inlineStr">
        <is>
          <t>发酵</t>
        </is>
      </c>
      <c r="AB9" s="32" t="inlineStr">
        <is>
          <t>涨停 76 家，炸板率 22%</t>
        </is>
      </c>
      <c r="AC9" s="16" t="n"/>
      <c r="AD9" s="40">
        <f>IF(N(T9)&gt;=3,IF(T9=4,2,1)*100+T9*10+6,0)</f>
        <v>0</v>
      </c>
      <c r="AE9" s="40">
        <f>IF(N(U9)&gt;=3,1*100+U9*10+1,0)</f>
        <v>0</v>
      </c>
      <c r="AF9" s="40">
        <f>IF(N(V9)&gt;=3,IF(V9=4,2,1)*100+V9*10+2,0)</f>
        <v>0</v>
      </c>
      <c r="AG9" s="40">
        <f>IF(N(W9)&gt;=3,1*100+W9*10+3,0)</f>
        <v>0</v>
      </c>
      <c r="AH9" s="40">
        <f>IF(N(X9)&gt;=3,1*100+X9*10+4,0)</f>
        <v>0</v>
      </c>
      <c r="AI9" s="40">
        <f>IF(N(Y9)&gt;=3,IF(AND(N(T9)&gt;=3,OR(N(T9)=4,N(Y9)&lt;=N(T9))),0,IF(Y9=4,2,1)*100+Y9*10+5),0)</f>
        <v>0</v>
      </c>
    </row>
    <row r="10" ht="32" customHeight="1">
      <c r="A10" s="31" t="n">
        <v>47553</v>
      </c>
      <c r="B10" s="36" t="str">
        <f>IF(ISNUMBER(A10),"周"&amp;CHOOSE(WEEKDAY(A10,2),"一","二","三","四","五","六","日"),"")</f>
        <v>周一</v>
      </c>
      <c r="C10" s="37" t="n">
        <v>0.004</v>
      </c>
      <c r="D10" s="37" t="n">
        <v>0.008999999999999999</v>
      </c>
      <c r="E10" s="37" t="n">
        <v>0.013</v>
      </c>
      <c r="F10" s="17" t="n">
        <v>11800</v>
      </c>
      <c r="G10" s="38">
        <f>IF(AND(ISNUMBER(F10),ISNUMBER(F9)),IF(F9=0,"",F10/F9-1),"")</f>
        <v>0.113207547169811</v>
      </c>
      <c r="H10" s="17" t="n">
        <v>1900</v>
      </c>
      <c r="I10" s="17" t="n">
        <v>1200</v>
      </c>
      <c r="J10" s="17" t="n">
        <v>92</v>
      </c>
      <c r="K10" s="17" t="n">
        <v>2</v>
      </c>
      <c r="L10" s="17" t="n">
        <v>120</v>
      </c>
      <c r="M10" s="17" t="n">
        <v>28</v>
      </c>
      <c r="N10" s="39">
        <f>IF(AND(ISNUMBER(L10),ISNUMBER(M10),N(L10)&gt;0),M10/L10,"")</f>
        <v>0.233333333333333</v>
      </c>
      <c r="O10" s="17" t="n">
        <v>55</v>
      </c>
      <c r="P10" s="17" t="n">
        <v>16</v>
      </c>
      <c r="Q10" s="39">
        <f>IF(AND(ISNUMBER(O10),ISNUMBER(P10),N(O10)&gt;0),P10/O10,"")</f>
        <v>0.290909090909091</v>
      </c>
      <c r="R10" s="17" t="n">
        <v>6</v>
      </c>
      <c r="S10" s="37" t="n">
        <v>0.036</v>
      </c>
      <c r="T10" s="40" t="str">
        <f>IF(AND(ISNUMBER(J10),ISNUMBER(K10)),IF(N(ISNUMBER('参数'!$E$31))+N(ISNUMBER('参数'!$G$31))+N(ISNUMBER('参数'!$I$31))+N(ISNUMBER('参数'!$K$31))=0,"",IF(ISNUMBER('参数'!$E$31),J10&lt;='参数'!$E$31,FALSE)+IF(ISNUMBER('参数'!$G$31),K10&gt;='参数'!$G$31,FALSE)+IF(AND(ISNUMBER('参数'!$I$31),ISNUMBER(N10)),N10&gt;='参数'!$I$31,FALSE)+IF(AND(ISNUMBER('参数'!$K$31),ISNUMBER(Q10)),Q10&lt;='参数'!$K$31,FALSE)),"")</f>
        <v/>
      </c>
      <c r="U10" s="40" t="str">
        <f>IF(AND(ISNUMBER(J10),ISNUMBER(K10)),IF(N(ISNUMBER('参数'!$G$32))+N(ISNUMBER('参数'!$I$32))+N(ISNUMBER('参数'!$K$32))=0,"",IF(AND(ISNUMBER(J9),ISNUMBER(J8)),AND(J10&gt;J9,J9&gt;J8),FALSE)+IF(ISNUMBER('参数'!$G$32),J10&lt;'参数'!$G$32,FALSE)+IF(AND(ISNUMBER('参数'!$I$32),ISNUMBER(Q10)),Q10&gt;='参数'!$I$32,FALSE)+IF(AND(ISNUMBER('参数'!$K$32),ISNUMBER(S10)),S10&gt;='参数'!$K$32,FALSE)),"")</f>
        <v/>
      </c>
      <c r="V10" s="40" t="str">
        <f>IF(AND(ISNUMBER(J10),ISNUMBER(K10)),IF(N(ISNUMBER('参数'!$E$33))+N(ISNUMBER('参数'!$G$33))+N(ISNUMBER('参数'!$I$33))+N(ISNUMBER('参数'!$K$33))=0,"",IF(AND(ISNUMBER('参数'!$E$33),ISNUMBER(J9)),AND(J10&gt;='参数'!$E$33,J10&gt;J9),FALSE)+IF(AND(ISNUMBER('参数'!$G$33),ISNUMBER(N10)),N10&lt;='参数'!$G$33,FALSE)+IF(AND(ISNUMBER('参数'!$I$33),ISNUMBER(Q10)),Q10&gt;='参数'!$I$33,FALSE)+IF(AND(ISNUMBER('参数'!$K$33),ISNUMBER(S10)),S10&gt;='参数'!$K$33,FALSE)),"")</f>
        <v/>
      </c>
      <c r="W10" s="40" t="str">
        <f>IF(AND(ISNUMBER(J10),ISNUMBER(K10)),IF(N(ISNUMBER('参数'!$E$34))+N(ISNUMBER('参数'!$G$34))+N(ISNUMBER('参数'!$I$34))+N(ISNUMBER('参数'!$K$34))=0,"",IF(ISNUMBER('参数'!$E$34),J10&gt;='参数'!$E$34,FALSE)+IF(AND(ISNUMBER('参数'!$G$34),ISNUMBER(N10)),N10&lt;='参数'!$G$34,FALSE)+IF(AND(ISNUMBER('参数'!$I$34),ISNUMBER(S10)),S10&gt;='参数'!$I$34,FALSE)+IF(AND(ISNUMBER('参数'!$K$34),ISNUMBER(R10)),R10&gt;='参数'!$K$34,FALSE)),"")</f>
        <v/>
      </c>
      <c r="X10" s="40" t="str">
        <f>IF(AND(ISNUMBER(J10),ISNUMBER(K10)),IF(N(ISNUMBER('参数'!$E$35))+N(ISNUMBER('参数'!$G$35))+N(ISNUMBER('参数'!$I$35))=0,"",IF(AND(ISNUMBER('参数'!$E$35),ISNUMBER(N10),ISNUMBER(N9)),ROUND(N10-N9,6)&gt;='参数'!$E$35,FALSE)+IF(AND(ISNUMBER('参数'!$G$35),ISNUMBER(Q10),ISNUMBER(Q9)),ROUND(Q9-Q10,6)&gt;='参数'!$G$35,FALSE)+IF(AND(ISNUMBER('参数'!$I$35),ISNUMBER(S10),ISNUMBER(S9)),ROUND(S9-S10,6)&gt;='参数'!$I$35,FALSE)+IF(ISNUMBER(J9),J10&lt;J9,FALSE)),"")</f>
        <v/>
      </c>
      <c r="Y10" s="40" t="str">
        <f>IF(AND(ISNUMBER(J10),ISNUMBER(K10)),IF(N(ISNUMBER('参数'!$E$36))+N(ISNUMBER('参数'!$G$36))+N(ISNUMBER('参数'!$I$36))=0,"",IF(AND(ISNUMBER('参数'!$E$36),ISNUMBER(J9)),AND(J10&lt;='参数'!$E$36,J10&lt;J9),FALSE)+IF(ISNUMBER('参数'!$G$36),K10&gt;='参数'!$G$36,FALSE)+IF(AND(ISNUMBER('参数'!$I$36),ISNUMBER(S10)),S10&lt;'参数'!$I$36,FALSE)+IF(AND(ISNUMBER(R10),ISNUMBER(R9)),R10&lt;R9,FALSE)),"")</f>
        <v/>
      </c>
      <c r="Z10" s="41" t="str">
        <f>IF(NOT(AND(ISNUMBER(J10),ISNUMBER(K10))),"",IF(COUNT(T10:Y10)=0,"先填阈值",IF(MAX(AD10:AI10)=0,"不写",INDEX($T$4:$Y$4,MATCH(MAX(AD10:AI10),AD10:AI10,0))&amp;"·"&amp;IF(MAX(AD10:AI10)&gt;=200,"高","中")&amp;IF(LARGE(AD10:AI10,2)&gt;0,"（也像"&amp;INDEX($T$4:$Y$4,MATCH(LARGE(AD10:AI10,2),AD10:AI10,0))&amp;"·"&amp;IF(LARGE(AD10:AI10,2)&gt;=200,"高","中")&amp;"）",""))))</f>
        <v>先填阈值</v>
      </c>
      <c r="AA10" s="27" t="inlineStr">
        <is>
          <t>发酵</t>
        </is>
      </c>
      <c r="AB10" s="32" t="inlineStr">
        <is>
          <t>涨停 92 家又比昨天多，主线扩散到后排</t>
        </is>
      </c>
      <c r="AC10" s="16" t="n"/>
      <c r="AD10" s="40">
        <f>IF(N(T10)&gt;=3,IF(T10=4,2,1)*100+T10*10+6,0)</f>
        <v>0</v>
      </c>
      <c r="AE10" s="40">
        <f>IF(N(U10)&gt;=3,1*100+U10*10+1,0)</f>
        <v>0</v>
      </c>
      <c r="AF10" s="40">
        <f>IF(N(V10)&gt;=3,IF(V10=4,2,1)*100+V10*10+2,0)</f>
        <v>0</v>
      </c>
      <c r="AG10" s="40">
        <f>IF(N(W10)&gt;=3,1*100+W10*10+3,0)</f>
        <v>0</v>
      </c>
      <c r="AH10" s="40">
        <f>IF(N(X10)&gt;=3,1*100+X10*10+4,0)</f>
        <v>0</v>
      </c>
      <c r="AI10" s="40">
        <f>IF(N(Y10)&gt;=3,IF(AND(N(T10)&gt;=3,OR(N(T10)=4,N(Y10)&lt;=N(T10))),0,IF(Y10=4,2,1)*100+Y10*10+5),0)</f>
        <v>0</v>
      </c>
    </row>
    <row r="11" ht="46" customHeight="1">
      <c r="A11" s="31" t="n">
        <v>47554</v>
      </c>
      <c r="B11" s="36" t="str">
        <f>IF(ISNUMBER(A11),"周"&amp;CHOOSE(WEEKDAY(A11,2),"一","二","三","四","五","六","日"),"")</f>
        <v>周二</v>
      </c>
      <c r="C11" s="37" t="n">
        <v>0.008</v>
      </c>
      <c r="D11" s="37" t="n">
        <v>0.013</v>
      </c>
      <c r="E11" s="37" t="n">
        <v>0.019</v>
      </c>
      <c r="F11" s="17" t="n">
        <v>13200</v>
      </c>
      <c r="G11" s="38">
        <f>IF(AND(ISNUMBER(F11),ISNUMBER(F10)),IF(F10=0,"",F11/F10-1),"")</f>
        <v>0.11864406779661</v>
      </c>
      <c r="H11" s="17" t="n">
        <v>2150</v>
      </c>
      <c r="I11" s="17" t="n">
        <v>980</v>
      </c>
      <c r="J11" s="17" t="n">
        <v>118</v>
      </c>
      <c r="K11" s="17" t="n">
        <v>1</v>
      </c>
      <c r="L11" s="17" t="n">
        <v>150</v>
      </c>
      <c r="M11" s="17" t="n">
        <v>33</v>
      </c>
      <c r="N11" s="39">
        <f>IF(AND(ISNUMBER(L11),ISNUMBER(M11),N(L11)&gt;0),M11/L11,"")</f>
        <v>0.22</v>
      </c>
      <c r="O11" s="17" t="n">
        <v>66</v>
      </c>
      <c r="P11" s="17" t="n">
        <v>18</v>
      </c>
      <c r="Q11" s="39">
        <f>IF(AND(ISNUMBER(O11),ISNUMBER(P11),N(O11)&gt;0),P11/O11,"")</f>
        <v>0.272727272727273</v>
      </c>
      <c r="R11" s="17" t="n">
        <v>7</v>
      </c>
      <c r="S11" s="37" t="n">
        <v>0.048</v>
      </c>
      <c r="T11" s="40" t="str">
        <f>IF(AND(ISNUMBER(J11),ISNUMBER(K11)),IF(N(ISNUMBER('参数'!$E$31))+N(ISNUMBER('参数'!$G$31))+N(ISNUMBER('参数'!$I$31))+N(ISNUMBER('参数'!$K$31))=0,"",IF(ISNUMBER('参数'!$E$31),J11&lt;='参数'!$E$31,FALSE)+IF(ISNUMBER('参数'!$G$31),K11&gt;='参数'!$G$31,FALSE)+IF(AND(ISNUMBER('参数'!$I$31),ISNUMBER(N11)),N11&gt;='参数'!$I$31,FALSE)+IF(AND(ISNUMBER('参数'!$K$31),ISNUMBER(Q11)),Q11&lt;='参数'!$K$31,FALSE)),"")</f>
        <v/>
      </c>
      <c r="U11" s="40" t="str">
        <f>IF(AND(ISNUMBER(J11),ISNUMBER(K11)),IF(N(ISNUMBER('参数'!$G$32))+N(ISNUMBER('参数'!$I$32))+N(ISNUMBER('参数'!$K$32))=0,"",IF(AND(ISNUMBER(J10),ISNUMBER(J9)),AND(J11&gt;J10,J10&gt;J9),FALSE)+IF(ISNUMBER('参数'!$G$32),J11&lt;'参数'!$G$32,FALSE)+IF(AND(ISNUMBER('参数'!$I$32),ISNUMBER(Q11)),Q11&gt;='参数'!$I$32,FALSE)+IF(AND(ISNUMBER('参数'!$K$32),ISNUMBER(S11)),S11&gt;='参数'!$K$32,FALSE)),"")</f>
        <v/>
      </c>
      <c r="V11" s="40" t="str">
        <f>IF(AND(ISNUMBER(J11),ISNUMBER(K11)),IF(N(ISNUMBER('参数'!$E$33))+N(ISNUMBER('参数'!$G$33))+N(ISNUMBER('参数'!$I$33))+N(ISNUMBER('参数'!$K$33))=0,"",IF(AND(ISNUMBER('参数'!$E$33),ISNUMBER(J10)),AND(J11&gt;='参数'!$E$33,J11&gt;J10),FALSE)+IF(AND(ISNUMBER('参数'!$G$33),ISNUMBER(N11)),N11&lt;='参数'!$G$33,FALSE)+IF(AND(ISNUMBER('参数'!$I$33),ISNUMBER(Q11)),Q11&gt;='参数'!$I$33,FALSE)+IF(AND(ISNUMBER('参数'!$K$33),ISNUMBER(S11)),S11&gt;='参数'!$K$33,FALSE)),"")</f>
        <v/>
      </c>
      <c r="W11" s="40" t="str">
        <f>IF(AND(ISNUMBER(J11),ISNUMBER(K11)),IF(N(ISNUMBER('参数'!$E$34))+N(ISNUMBER('参数'!$G$34))+N(ISNUMBER('参数'!$I$34))+N(ISNUMBER('参数'!$K$34))=0,"",IF(ISNUMBER('参数'!$E$34),J11&gt;='参数'!$E$34,FALSE)+IF(AND(ISNUMBER('参数'!$G$34),ISNUMBER(N11)),N11&lt;='参数'!$G$34,FALSE)+IF(AND(ISNUMBER('参数'!$I$34),ISNUMBER(S11)),S11&gt;='参数'!$I$34,FALSE)+IF(AND(ISNUMBER('参数'!$K$34),ISNUMBER(R11)),R11&gt;='参数'!$K$34,FALSE)),"")</f>
        <v/>
      </c>
      <c r="X11" s="40" t="str">
        <f>IF(AND(ISNUMBER(J11),ISNUMBER(K11)),IF(N(ISNUMBER('参数'!$E$35))+N(ISNUMBER('参数'!$G$35))+N(ISNUMBER('参数'!$I$35))=0,"",IF(AND(ISNUMBER('参数'!$E$35),ISNUMBER(N11),ISNUMBER(N10)),ROUND(N11-N10,6)&gt;='参数'!$E$35,FALSE)+IF(AND(ISNUMBER('参数'!$G$35),ISNUMBER(Q11),ISNUMBER(Q10)),ROUND(Q10-Q11,6)&gt;='参数'!$G$35,FALSE)+IF(AND(ISNUMBER('参数'!$I$35),ISNUMBER(S11),ISNUMBER(S10)),ROUND(S10-S11,6)&gt;='参数'!$I$35,FALSE)+IF(ISNUMBER(J10),J11&lt;J10,FALSE)),"")</f>
        <v/>
      </c>
      <c r="Y11" s="40" t="str">
        <f>IF(AND(ISNUMBER(J11),ISNUMBER(K11)),IF(N(ISNUMBER('参数'!$E$36))+N(ISNUMBER('参数'!$G$36))+N(ISNUMBER('参数'!$I$36))=0,"",IF(AND(ISNUMBER('参数'!$E$36),ISNUMBER(J10)),AND(J11&lt;='参数'!$E$36,J11&lt;J10),FALSE)+IF(ISNUMBER('参数'!$G$36),K11&gt;='参数'!$G$36,FALSE)+IF(AND(ISNUMBER('参数'!$I$36),ISNUMBER(S11)),S11&lt;'参数'!$I$36,FALSE)+IF(AND(ISNUMBER(R11),ISNUMBER(R10)),R11&lt;R10,FALSE)),"")</f>
        <v/>
      </c>
      <c r="Z11" s="41" t="str">
        <f>IF(NOT(AND(ISNUMBER(J11),ISNUMBER(K11))),"",IF(COUNT(T11:Y11)=0,"先填阈值",IF(MAX(AD11:AI11)=0,"不写",INDEX($T$4:$Y$4,MATCH(MAX(AD11:AI11),AD11:AI11,0))&amp;"·"&amp;IF(MAX(AD11:AI11)&gt;=200,"高","中")&amp;IF(LARGE(AD11:AI11,2)&gt;0,"（也像"&amp;INDEX($T$4:$Y$4,MATCH(LARGE(AD11:AI11,2),AD11:AI11,0))&amp;"·"&amp;IF(LARGE(AD11:AI11,2)&gt;=200,"高","中")&amp;"）",""))))</f>
        <v>先填阈值</v>
      </c>
      <c r="AA11" s="27" t="inlineStr">
        <is>
          <t>高潮</t>
        </is>
      </c>
      <c r="AB11" s="32" t="inlineStr">
        <is>
          <t>涨停 118 家、最高 7 板，昨日涨停平均涨近 5%，接力最赚钱的一天，我按高潮处理</t>
        </is>
      </c>
      <c r="AC11" s="16" t="n"/>
      <c r="AD11" s="40">
        <f>IF(N(T11)&gt;=3,IF(T11=4,2,1)*100+T11*10+6,0)</f>
        <v>0</v>
      </c>
      <c r="AE11" s="40">
        <f>IF(N(U11)&gt;=3,1*100+U11*10+1,0)</f>
        <v>0</v>
      </c>
      <c r="AF11" s="40">
        <f>IF(N(V11)&gt;=3,IF(V11=4,2,1)*100+V11*10+2,0)</f>
        <v>0</v>
      </c>
      <c r="AG11" s="40">
        <f>IF(N(W11)&gt;=3,1*100+W11*10+3,0)</f>
        <v>0</v>
      </c>
      <c r="AH11" s="40">
        <f>IF(N(X11)&gt;=3,1*100+X11*10+4,0)</f>
        <v>0</v>
      </c>
      <c r="AI11" s="40">
        <f>IF(N(Y11)&gt;=3,IF(AND(N(T11)&gt;=3,OR(N(T11)=4,N(Y11)&lt;=N(T11))),0,IF(Y11=4,2,1)*100+Y11*10+5),0)</f>
        <v>0</v>
      </c>
    </row>
    <row r="12" ht="32" customHeight="1">
      <c r="A12" s="31" t="n">
        <v>47555</v>
      </c>
      <c r="B12" s="36" t="str">
        <f>IF(ISNUMBER(A12),"周"&amp;CHOOSE(WEEKDAY(A12,2),"一","二","三","四","五","六","日"),"")</f>
        <v>周三</v>
      </c>
      <c r="C12" s="37" t="n">
        <v>-0.005</v>
      </c>
      <c r="D12" s="37" t="n">
        <v>-0.008999999999999999</v>
      </c>
      <c r="E12" s="37" t="n">
        <v>-0.012</v>
      </c>
      <c r="F12" s="17" t="n">
        <v>12900</v>
      </c>
      <c r="G12" s="38">
        <f>IF(AND(ISNUMBER(F12),ISNUMBER(F11)),IF(F11=0,"",F12/F11-1),"")</f>
        <v>-0.0227272727272727</v>
      </c>
      <c r="H12" s="17" t="n">
        <v>1150</v>
      </c>
      <c r="I12" s="17" t="n">
        <v>2000</v>
      </c>
      <c r="J12" s="17" t="n">
        <v>84</v>
      </c>
      <c r="K12" s="17" t="n">
        <v>4</v>
      </c>
      <c r="L12" s="17" t="n">
        <v>135</v>
      </c>
      <c r="M12" s="17" t="n">
        <v>51</v>
      </c>
      <c r="N12" s="39">
        <f>IF(AND(ISNUMBER(L12),ISNUMBER(M12),N(L12)&gt;0),M12/L12,"")</f>
        <v>0.377777777777778</v>
      </c>
      <c r="O12" s="17" t="n">
        <v>78</v>
      </c>
      <c r="P12" s="17" t="n">
        <v>14</v>
      </c>
      <c r="Q12" s="39">
        <f>IF(AND(ISNUMBER(O12),ISNUMBER(P12),N(O12)&gt;0),P12/O12,"")</f>
        <v>0.17948717948718</v>
      </c>
      <c r="R12" s="17" t="n">
        <v>8</v>
      </c>
      <c r="S12" s="37" t="n">
        <v>0.019</v>
      </c>
      <c r="T12" s="40" t="str">
        <f>IF(AND(ISNUMBER(J12),ISNUMBER(K12)),IF(N(ISNUMBER('参数'!$E$31))+N(ISNUMBER('参数'!$G$31))+N(ISNUMBER('参数'!$I$31))+N(ISNUMBER('参数'!$K$31))=0,"",IF(ISNUMBER('参数'!$E$31),J12&lt;='参数'!$E$31,FALSE)+IF(ISNUMBER('参数'!$G$31),K12&gt;='参数'!$G$31,FALSE)+IF(AND(ISNUMBER('参数'!$I$31),ISNUMBER(N12)),N12&gt;='参数'!$I$31,FALSE)+IF(AND(ISNUMBER('参数'!$K$31),ISNUMBER(Q12)),Q12&lt;='参数'!$K$31,FALSE)),"")</f>
        <v/>
      </c>
      <c r="U12" s="40" t="str">
        <f>IF(AND(ISNUMBER(J12),ISNUMBER(K12)),IF(N(ISNUMBER('参数'!$G$32))+N(ISNUMBER('参数'!$I$32))+N(ISNUMBER('参数'!$K$32))=0,"",IF(AND(ISNUMBER(J11),ISNUMBER(J10)),AND(J12&gt;J11,J11&gt;J10),FALSE)+IF(ISNUMBER('参数'!$G$32),J12&lt;'参数'!$G$32,FALSE)+IF(AND(ISNUMBER('参数'!$I$32),ISNUMBER(Q12)),Q12&gt;='参数'!$I$32,FALSE)+IF(AND(ISNUMBER('参数'!$K$32),ISNUMBER(S12)),S12&gt;='参数'!$K$32,FALSE)),"")</f>
        <v/>
      </c>
      <c r="V12" s="40" t="str">
        <f>IF(AND(ISNUMBER(J12),ISNUMBER(K12)),IF(N(ISNUMBER('参数'!$E$33))+N(ISNUMBER('参数'!$G$33))+N(ISNUMBER('参数'!$I$33))+N(ISNUMBER('参数'!$K$33))=0,"",IF(AND(ISNUMBER('参数'!$E$33),ISNUMBER(J11)),AND(J12&gt;='参数'!$E$33,J12&gt;J11),FALSE)+IF(AND(ISNUMBER('参数'!$G$33),ISNUMBER(N12)),N12&lt;='参数'!$G$33,FALSE)+IF(AND(ISNUMBER('参数'!$I$33),ISNUMBER(Q12)),Q12&gt;='参数'!$I$33,FALSE)+IF(AND(ISNUMBER('参数'!$K$33),ISNUMBER(S12)),S12&gt;='参数'!$K$33,FALSE)),"")</f>
        <v/>
      </c>
      <c r="W12" s="40" t="str">
        <f>IF(AND(ISNUMBER(J12),ISNUMBER(K12)),IF(N(ISNUMBER('参数'!$E$34))+N(ISNUMBER('参数'!$G$34))+N(ISNUMBER('参数'!$I$34))+N(ISNUMBER('参数'!$K$34))=0,"",IF(ISNUMBER('参数'!$E$34),J12&gt;='参数'!$E$34,FALSE)+IF(AND(ISNUMBER('参数'!$G$34),ISNUMBER(N12)),N12&lt;='参数'!$G$34,FALSE)+IF(AND(ISNUMBER('参数'!$I$34),ISNUMBER(S12)),S12&gt;='参数'!$I$34,FALSE)+IF(AND(ISNUMBER('参数'!$K$34),ISNUMBER(R12)),R12&gt;='参数'!$K$34,FALSE)),"")</f>
        <v/>
      </c>
      <c r="X12" s="40" t="str">
        <f>IF(AND(ISNUMBER(J12),ISNUMBER(K12)),IF(N(ISNUMBER('参数'!$E$35))+N(ISNUMBER('参数'!$G$35))+N(ISNUMBER('参数'!$I$35))=0,"",IF(AND(ISNUMBER('参数'!$E$35),ISNUMBER(N12),ISNUMBER(N11)),ROUND(N12-N11,6)&gt;='参数'!$E$35,FALSE)+IF(AND(ISNUMBER('参数'!$G$35),ISNUMBER(Q12),ISNUMBER(Q11)),ROUND(Q11-Q12,6)&gt;='参数'!$G$35,FALSE)+IF(AND(ISNUMBER('参数'!$I$35),ISNUMBER(S12),ISNUMBER(S11)),ROUND(S11-S12,6)&gt;='参数'!$I$35,FALSE)+IF(ISNUMBER(J11),J12&lt;J11,FALSE)),"")</f>
        <v/>
      </c>
      <c r="Y12" s="40" t="str">
        <f>IF(AND(ISNUMBER(J12),ISNUMBER(K12)),IF(N(ISNUMBER('参数'!$E$36))+N(ISNUMBER('参数'!$G$36))+N(ISNUMBER('参数'!$I$36))=0,"",IF(AND(ISNUMBER('参数'!$E$36),ISNUMBER(J11)),AND(J12&lt;='参数'!$E$36,J12&lt;J11),FALSE)+IF(ISNUMBER('参数'!$G$36),K12&gt;='参数'!$G$36,FALSE)+IF(AND(ISNUMBER('参数'!$I$36),ISNUMBER(S12)),S12&lt;'参数'!$I$36,FALSE)+IF(AND(ISNUMBER(R12),ISNUMBER(R11)),R12&lt;R11,FALSE)),"")</f>
        <v/>
      </c>
      <c r="Z12" s="41" t="str">
        <f>IF(NOT(AND(ISNUMBER(J12),ISNUMBER(K12))),"",IF(COUNT(T12:Y12)=0,"先填阈值",IF(MAX(AD12:AI12)=0,"不写",INDEX($T$4:$Y$4,MATCH(MAX(AD12:AI12),AD12:AI12,0))&amp;"·"&amp;IF(MAX(AD12:AI12)&gt;=200,"高","中")&amp;IF(LARGE(AD12:AI12,2)&gt;0,"（也像"&amp;INDEX($T$4:$Y$4,MATCH(LARGE(AD12:AI12,2),AD12:AI12,0))&amp;"·"&amp;IF(LARGE(AD12:AI12,2)&gt;=200,"高","中")&amp;"）",""))))</f>
        <v>先填阈值</v>
      </c>
      <c r="AA12" s="27" t="inlineStr">
        <is>
          <t>分歧</t>
        </is>
      </c>
      <c r="AB12" s="32" t="inlineStr">
        <is>
          <t>炸板率升了近 16 个点，晋级率掉了 9 个点</t>
        </is>
      </c>
      <c r="AC12" s="16" t="n"/>
      <c r="AD12" s="40">
        <f>IF(N(T12)&gt;=3,IF(T12=4,2,1)*100+T12*10+6,0)</f>
        <v>0</v>
      </c>
      <c r="AE12" s="40">
        <f>IF(N(U12)&gt;=3,1*100+U12*10+1,0)</f>
        <v>0</v>
      </c>
      <c r="AF12" s="40">
        <f>IF(N(V12)&gt;=3,IF(V12=4,2,1)*100+V12*10+2,0)</f>
        <v>0</v>
      </c>
      <c r="AG12" s="40">
        <f>IF(N(W12)&gt;=3,1*100+W12*10+3,0)</f>
        <v>0</v>
      </c>
      <c r="AH12" s="40">
        <f>IF(N(X12)&gt;=3,1*100+X12*10+4,0)</f>
        <v>0</v>
      </c>
      <c r="AI12" s="40">
        <f>IF(N(Y12)&gt;=3,IF(AND(N(T12)&gt;=3,OR(N(T12)=4,N(Y12)&lt;=N(T12))),0,IF(Y12=4,2,1)*100+Y12*10+5),0)</f>
        <v>0</v>
      </c>
    </row>
    <row r="13" ht="32" customHeight="1">
      <c r="A13" s="31" t="n">
        <v>47556</v>
      </c>
      <c r="B13" s="36" t="str">
        <f>IF(ISNUMBER(A13),"周"&amp;CHOOSE(WEEKDAY(A13,2),"一","二","三","四","五","六","日"),"")</f>
        <v>周四</v>
      </c>
      <c r="C13" s="37" t="n">
        <v>-0.014</v>
      </c>
      <c r="D13" s="37" t="n">
        <v>-0.019</v>
      </c>
      <c r="E13" s="37" t="n">
        <v>-0.026</v>
      </c>
      <c r="F13" s="17" t="n">
        <v>11000</v>
      </c>
      <c r="G13" s="38">
        <f>IF(AND(ISNUMBER(F13),ISNUMBER(F12)),IF(F12=0,"",F13/F12-1),"")</f>
        <v>-0.147286821705426</v>
      </c>
      <c r="H13" s="17" t="n">
        <v>520</v>
      </c>
      <c r="I13" s="17" t="n">
        <v>2620</v>
      </c>
      <c r="J13" s="17" t="n">
        <v>46</v>
      </c>
      <c r="K13" s="17" t="n">
        <v>14</v>
      </c>
      <c r="L13" s="17" t="n">
        <v>85</v>
      </c>
      <c r="M13" s="17" t="n">
        <v>39</v>
      </c>
      <c r="N13" s="39">
        <f>IF(AND(ISNUMBER(L13),ISNUMBER(M13),N(L13)&gt;0),M13/L13,"")</f>
        <v>0.458823529411765</v>
      </c>
      <c r="O13" s="17" t="n">
        <v>52</v>
      </c>
      <c r="P13" s="17" t="n">
        <v>6</v>
      </c>
      <c r="Q13" s="39">
        <f>IF(AND(ISNUMBER(O13),ISNUMBER(P13),N(O13)&gt;0),P13/O13,"")</f>
        <v>0.115384615384615</v>
      </c>
      <c r="R13" s="17" t="n">
        <v>5</v>
      </c>
      <c r="S13" s="37" t="n">
        <v>-0.018</v>
      </c>
      <c r="T13" s="40" t="str">
        <f>IF(AND(ISNUMBER(J13),ISNUMBER(K13)),IF(N(ISNUMBER('参数'!$E$31))+N(ISNUMBER('参数'!$G$31))+N(ISNUMBER('参数'!$I$31))+N(ISNUMBER('参数'!$K$31))=0,"",IF(ISNUMBER('参数'!$E$31),J13&lt;='参数'!$E$31,FALSE)+IF(ISNUMBER('参数'!$G$31),K13&gt;='参数'!$G$31,FALSE)+IF(AND(ISNUMBER('参数'!$I$31),ISNUMBER(N13)),N13&gt;='参数'!$I$31,FALSE)+IF(AND(ISNUMBER('参数'!$K$31),ISNUMBER(Q13)),Q13&lt;='参数'!$K$31,FALSE)),"")</f>
        <v/>
      </c>
      <c r="U13" s="40" t="str">
        <f>IF(AND(ISNUMBER(J13),ISNUMBER(K13)),IF(N(ISNUMBER('参数'!$G$32))+N(ISNUMBER('参数'!$I$32))+N(ISNUMBER('参数'!$K$32))=0,"",IF(AND(ISNUMBER(J12),ISNUMBER(J11)),AND(J13&gt;J12,J12&gt;J11),FALSE)+IF(ISNUMBER('参数'!$G$32),J13&lt;'参数'!$G$32,FALSE)+IF(AND(ISNUMBER('参数'!$I$32),ISNUMBER(Q13)),Q13&gt;='参数'!$I$32,FALSE)+IF(AND(ISNUMBER('参数'!$K$32),ISNUMBER(S13)),S13&gt;='参数'!$K$32,FALSE)),"")</f>
        <v/>
      </c>
      <c r="V13" s="40" t="str">
        <f>IF(AND(ISNUMBER(J13),ISNUMBER(K13)),IF(N(ISNUMBER('参数'!$E$33))+N(ISNUMBER('参数'!$G$33))+N(ISNUMBER('参数'!$I$33))+N(ISNUMBER('参数'!$K$33))=0,"",IF(AND(ISNUMBER('参数'!$E$33),ISNUMBER(J12)),AND(J13&gt;='参数'!$E$33,J13&gt;J12),FALSE)+IF(AND(ISNUMBER('参数'!$G$33),ISNUMBER(N13)),N13&lt;='参数'!$G$33,FALSE)+IF(AND(ISNUMBER('参数'!$I$33),ISNUMBER(Q13)),Q13&gt;='参数'!$I$33,FALSE)+IF(AND(ISNUMBER('参数'!$K$33),ISNUMBER(S13)),S13&gt;='参数'!$K$33,FALSE)),"")</f>
        <v/>
      </c>
      <c r="W13" s="40" t="str">
        <f>IF(AND(ISNUMBER(J13),ISNUMBER(K13)),IF(N(ISNUMBER('参数'!$E$34))+N(ISNUMBER('参数'!$G$34))+N(ISNUMBER('参数'!$I$34))+N(ISNUMBER('参数'!$K$34))=0,"",IF(ISNUMBER('参数'!$E$34),J13&gt;='参数'!$E$34,FALSE)+IF(AND(ISNUMBER('参数'!$G$34),ISNUMBER(N13)),N13&lt;='参数'!$G$34,FALSE)+IF(AND(ISNUMBER('参数'!$I$34),ISNUMBER(S13)),S13&gt;='参数'!$I$34,FALSE)+IF(AND(ISNUMBER('参数'!$K$34),ISNUMBER(R13)),R13&gt;='参数'!$K$34,FALSE)),"")</f>
        <v/>
      </c>
      <c r="X13" s="40" t="str">
        <f>IF(AND(ISNUMBER(J13),ISNUMBER(K13)),IF(N(ISNUMBER('参数'!$E$35))+N(ISNUMBER('参数'!$G$35))+N(ISNUMBER('参数'!$I$35))=0,"",IF(AND(ISNUMBER('参数'!$E$35),ISNUMBER(N13),ISNUMBER(N12)),ROUND(N13-N12,6)&gt;='参数'!$E$35,FALSE)+IF(AND(ISNUMBER('参数'!$G$35),ISNUMBER(Q13),ISNUMBER(Q12)),ROUND(Q12-Q13,6)&gt;='参数'!$G$35,FALSE)+IF(AND(ISNUMBER('参数'!$I$35),ISNUMBER(S13),ISNUMBER(S12)),ROUND(S12-S13,6)&gt;='参数'!$I$35,FALSE)+IF(ISNUMBER(J12),J13&lt;J12,FALSE)),"")</f>
        <v/>
      </c>
      <c r="Y13" s="40" t="str">
        <f>IF(AND(ISNUMBER(J13),ISNUMBER(K13)),IF(N(ISNUMBER('参数'!$E$36))+N(ISNUMBER('参数'!$G$36))+N(ISNUMBER('参数'!$I$36))=0,"",IF(AND(ISNUMBER('参数'!$E$36),ISNUMBER(J12)),AND(J13&lt;='参数'!$E$36,J13&lt;J12),FALSE)+IF(ISNUMBER('参数'!$G$36),K13&gt;='参数'!$G$36,FALSE)+IF(AND(ISNUMBER('参数'!$I$36),ISNUMBER(S13)),S13&lt;'参数'!$I$36,FALSE)+IF(AND(ISNUMBER(R13),ISNUMBER(R12)),R13&lt;R12,FALSE)),"")</f>
        <v/>
      </c>
      <c r="Z13" s="41" t="str">
        <f>IF(NOT(AND(ISNUMBER(J13),ISNUMBER(K13))),"",IF(COUNT(T13:Y13)=0,"先填阈值",IF(MAX(AD13:AI13)=0,"不写",INDEX($T$4:$Y$4,MATCH(MAX(AD13:AI13),AD13:AI13,0))&amp;"·"&amp;IF(MAX(AD13:AI13)&gt;=200,"高","中")&amp;IF(LARGE(AD13:AI13,2)&gt;0,"（也像"&amp;INDEX($T$4:$Y$4,MATCH(LARGE(AD13:AI13,2),AD13:AI13,0))&amp;"·"&amp;IF(LARGE(AD13:AI13,2)&gt;=200,"高","中")&amp;"）",""))))</f>
        <v>先填阈值</v>
      </c>
      <c r="AA13" s="27" t="inlineStr">
        <is>
          <t>退潮</t>
        </is>
      </c>
      <c r="AB13" s="32" t="inlineStr">
        <is>
          <t>龙头断板，跌停 14 家，昨日涨停今天平均跌 1.8%</t>
        </is>
      </c>
      <c r="AC13" s="16" t="n"/>
      <c r="AD13" s="40">
        <f>IF(N(T13)&gt;=3,IF(T13=4,2,1)*100+T13*10+6,0)</f>
        <v>0</v>
      </c>
      <c r="AE13" s="40">
        <f>IF(N(U13)&gt;=3,1*100+U13*10+1,0)</f>
        <v>0</v>
      </c>
      <c r="AF13" s="40">
        <f>IF(N(V13)&gt;=3,IF(V13=4,2,1)*100+V13*10+2,0)</f>
        <v>0</v>
      </c>
      <c r="AG13" s="40">
        <f>IF(N(W13)&gt;=3,1*100+W13*10+3,0)</f>
        <v>0</v>
      </c>
      <c r="AH13" s="40">
        <f>IF(N(X13)&gt;=3,1*100+X13*10+4,0)</f>
        <v>0</v>
      </c>
      <c r="AI13" s="40">
        <f>IF(N(Y13)&gt;=3,IF(AND(N(T13)&gt;=3,OR(N(T13)=4,N(Y13)&lt;=N(T13))),0,IF(Y13=4,2,1)*100+Y13*10+5),0)</f>
        <v>0</v>
      </c>
    </row>
    <row r="14" ht="18" customHeight="1">
      <c r="A14" s="31" t="n">
        <v>47557</v>
      </c>
      <c r="B14" s="36" t="str">
        <f>IF(ISNUMBER(A14),"周"&amp;CHOOSE(WEEKDAY(A14,2),"一","二","三","四","五","六","日"),"")</f>
        <v>周五</v>
      </c>
      <c r="C14" s="37" t="n">
        <v>-0.007</v>
      </c>
      <c r="D14" s="37" t="n">
        <v>-0.011</v>
      </c>
      <c r="E14" s="37" t="n">
        <v>-0.015</v>
      </c>
      <c r="F14" s="17" t="n">
        <v>8600</v>
      </c>
      <c r="G14" s="38">
        <f>IF(AND(ISNUMBER(F14),ISNUMBER(F13)),IF(F13=0,"",F14/F13-1),"")</f>
        <v>-0.218181818181818</v>
      </c>
      <c r="H14" s="17" t="n">
        <v>900</v>
      </c>
      <c r="I14" s="17" t="n">
        <v>2250</v>
      </c>
      <c r="J14" s="17" t="n">
        <v>22</v>
      </c>
      <c r="K14" s="17" t="n">
        <v>21</v>
      </c>
      <c r="L14" s="17" t="n">
        <v>48</v>
      </c>
      <c r="M14" s="17" t="n">
        <v>26</v>
      </c>
      <c r="N14" s="39">
        <f>IF(AND(ISNUMBER(L14),ISNUMBER(M14),N(L14)&gt;0),M14/L14,"")</f>
        <v>0.541666666666667</v>
      </c>
      <c r="O14" s="17" t="n">
        <v>30</v>
      </c>
      <c r="P14" s="17" t="n">
        <v>2</v>
      </c>
      <c r="Q14" s="39">
        <f>IF(AND(ISNUMBER(O14),ISNUMBER(P14),N(O14)&gt;0),P14/O14,"")</f>
        <v>0.0666666666666667</v>
      </c>
      <c r="R14" s="17" t="n">
        <v>3</v>
      </c>
      <c r="S14" s="37" t="n">
        <v>-0.032</v>
      </c>
      <c r="T14" s="40" t="str">
        <f>IF(AND(ISNUMBER(J14),ISNUMBER(K14)),IF(N(ISNUMBER('参数'!$E$31))+N(ISNUMBER('参数'!$G$31))+N(ISNUMBER('参数'!$I$31))+N(ISNUMBER('参数'!$K$31))=0,"",IF(ISNUMBER('参数'!$E$31),J14&lt;='参数'!$E$31,FALSE)+IF(ISNUMBER('参数'!$G$31),K14&gt;='参数'!$G$31,FALSE)+IF(AND(ISNUMBER('参数'!$I$31),ISNUMBER(N14)),N14&gt;='参数'!$I$31,FALSE)+IF(AND(ISNUMBER('参数'!$K$31),ISNUMBER(Q14)),Q14&lt;='参数'!$K$31,FALSE)),"")</f>
        <v/>
      </c>
      <c r="U14" s="40" t="str">
        <f>IF(AND(ISNUMBER(J14),ISNUMBER(K14)),IF(N(ISNUMBER('参数'!$G$32))+N(ISNUMBER('参数'!$I$32))+N(ISNUMBER('参数'!$K$32))=0,"",IF(AND(ISNUMBER(J13),ISNUMBER(J12)),AND(J14&gt;J13,J13&gt;J12),FALSE)+IF(ISNUMBER('参数'!$G$32),J14&lt;'参数'!$G$32,FALSE)+IF(AND(ISNUMBER('参数'!$I$32),ISNUMBER(Q14)),Q14&gt;='参数'!$I$32,FALSE)+IF(AND(ISNUMBER('参数'!$K$32),ISNUMBER(S14)),S14&gt;='参数'!$K$32,FALSE)),"")</f>
        <v/>
      </c>
      <c r="V14" s="40" t="str">
        <f>IF(AND(ISNUMBER(J14),ISNUMBER(K14)),IF(N(ISNUMBER('参数'!$E$33))+N(ISNUMBER('参数'!$G$33))+N(ISNUMBER('参数'!$I$33))+N(ISNUMBER('参数'!$K$33))=0,"",IF(AND(ISNUMBER('参数'!$E$33),ISNUMBER(J13)),AND(J14&gt;='参数'!$E$33,J14&gt;J13),FALSE)+IF(AND(ISNUMBER('参数'!$G$33),ISNUMBER(N14)),N14&lt;='参数'!$G$33,FALSE)+IF(AND(ISNUMBER('参数'!$I$33),ISNUMBER(Q14)),Q14&gt;='参数'!$I$33,FALSE)+IF(AND(ISNUMBER('参数'!$K$33),ISNUMBER(S14)),S14&gt;='参数'!$K$33,FALSE)),"")</f>
        <v/>
      </c>
      <c r="W14" s="40" t="str">
        <f>IF(AND(ISNUMBER(J14),ISNUMBER(K14)),IF(N(ISNUMBER('参数'!$E$34))+N(ISNUMBER('参数'!$G$34))+N(ISNUMBER('参数'!$I$34))+N(ISNUMBER('参数'!$K$34))=0,"",IF(ISNUMBER('参数'!$E$34),J14&gt;='参数'!$E$34,FALSE)+IF(AND(ISNUMBER('参数'!$G$34),ISNUMBER(N14)),N14&lt;='参数'!$G$34,FALSE)+IF(AND(ISNUMBER('参数'!$I$34),ISNUMBER(S14)),S14&gt;='参数'!$I$34,FALSE)+IF(AND(ISNUMBER('参数'!$K$34),ISNUMBER(R14)),R14&gt;='参数'!$K$34,FALSE)),"")</f>
        <v/>
      </c>
      <c r="X14" s="40" t="str">
        <f>IF(AND(ISNUMBER(J14),ISNUMBER(K14)),IF(N(ISNUMBER('参数'!$E$35))+N(ISNUMBER('参数'!$G$35))+N(ISNUMBER('参数'!$I$35))=0,"",IF(AND(ISNUMBER('参数'!$E$35),ISNUMBER(N14),ISNUMBER(N13)),ROUND(N14-N13,6)&gt;='参数'!$E$35,FALSE)+IF(AND(ISNUMBER('参数'!$G$35),ISNUMBER(Q14),ISNUMBER(Q13)),ROUND(Q13-Q14,6)&gt;='参数'!$G$35,FALSE)+IF(AND(ISNUMBER('参数'!$I$35),ISNUMBER(S14),ISNUMBER(S13)),ROUND(S13-S14,6)&gt;='参数'!$I$35,FALSE)+IF(ISNUMBER(J13),J14&lt;J13,FALSE)),"")</f>
        <v/>
      </c>
      <c r="Y14" s="40" t="str">
        <f>IF(AND(ISNUMBER(J14),ISNUMBER(K14)),IF(N(ISNUMBER('参数'!$E$36))+N(ISNUMBER('参数'!$G$36))+N(ISNUMBER('参数'!$I$36))=0,"",IF(AND(ISNUMBER('参数'!$E$36),ISNUMBER(J13)),AND(J14&lt;='参数'!$E$36,J14&lt;J13),FALSE)+IF(ISNUMBER('参数'!$G$36),K14&gt;='参数'!$G$36,FALSE)+IF(AND(ISNUMBER('参数'!$I$36),ISNUMBER(S14)),S14&lt;'参数'!$I$36,FALSE)+IF(AND(ISNUMBER(R14),ISNUMBER(R13)),R14&lt;R13,FALSE)),"")</f>
        <v/>
      </c>
      <c r="Z14" s="41" t="str">
        <f>IF(NOT(AND(ISNUMBER(J14),ISNUMBER(K14))),"",IF(COUNT(T14:Y14)=0,"先填阈值",IF(MAX(AD14:AI14)=0,"不写",INDEX($T$4:$Y$4,MATCH(MAX(AD14:AI14),AD14:AI14,0))&amp;"·"&amp;IF(MAX(AD14:AI14)&gt;=200,"高","中")&amp;IF(LARGE(AD14:AI14,2)&gt;0,"（也像"&amp;INDEX($T$4:$Y$4,MATCH(LARGE(AD14:AI14,2),AD14:AI14,0))&amp;"·"&amp;IF(LARGE(AD14:AI14,2)&gt;=200,"高","中")&amp;"）",""))))</f>
        <v>先填阈值</v>
      </c>
      <c r="AA14" s="27" t="inlineStr">
        <is>
          <t>冰点</t>
        </is>
      </c>
      <c r="AB14" s="32" t="inlineStr">
        <is>
          <t>涨停只剩 22 家，跌停 21 家</t>
        </is>
      </c>
      <c r="AC14" s="16" t="n"/>
      <c r="AD14" s="40">
        <f>IF(N(T14)&gt;=3,IF(T14=4,2,1)*100+T14*10+6,0)</f>
        <v>0</v>
      </c>
      <c r="AE14" s="40">
        <f>IF(N(U14)&gt;=3,1*100+U14*10+1,0)</f>
        <v>0</v>
      </c>
      <c r="AF14" s="40">
        <f>IF(N(V14)&gt;=3,IF(V14=4,2,1)*100+V14*10+2,0)</f>
        <v>0</v>
      </c>
      <c r="AG14" s="40">
        <f>IF(N(W14)&gt;=3,1*100+W14*10+3,0)</f>
        <v>0</v>
      </c>
      <c r="AH14" s="40">
        <f>IF(N(X14)&gt;=3,1*100+X14*10+4,0)</f>
        <v>0</v>
      </c>
      <c r="AI14" s="40">
        <f>IF(N(Y14)&gt;=3,IF(AND(N(T14)&gt;=3,OR(N(T14)=4,N(Y14)&lt;=N(T14))),0,IF(Y14=4,2,1)*100+Y14*10+5),0)</f>
        <v>0</v>
      </c>
    </row>
    <row r="15">
      <c r="A15" s="31" t="n"/>
      <c r="B15" s="36" t="str">
        <f>IF(ISNUMBER(A15),"周"&amp;CHOOSE(WEEKDAY(A15,2),"一","二","三","四","五","六","日"),"")</f>
        <v/>
      </c>
      <c r="C15" s="37" t="n"/>
      <c r="D15" s="37" t="n"/>
      <c r="E15" s="37" t="n"/>
      <c r="F15" s="17" t="n"/>
      <c r="G15" s="38" t="str">
        <f>IF(AND(ISNUMBER(F15),ISNUMBER(F14)),IF(F14=0,"",F15/F14-1),"")</f>
        <v/>
      </c>
      <c r="H15" s="17" t="n"/>
      <c r="I15" s="17" t="n"/>
      <c r="J15" s="17" t="n"/>
      <c r="K15" s="17" t="n"/>
      <c r="L15" s="17" t="n"/>
      <c r="M15" s="17" t="n"/>
      <c r="N15" s="39" t="str">
        <f>IF(AND(ISNUMBER(L15),ISNUMBER(M15),N(L15)&gt;0),M15/L15,"")</f>
        <v/>
      </c>
      <c r="O15" s="17" t="n"/>
      <c r="P15" s="17" t="n"/>
      <c r="Q15" s="39" t="str">
        <f>IF(AND(ISNUMBER(O15),ISNUMBER(P15),N(O15)&gt;0),P15/O15,"")</f>
        <v/>
      </c>
      <c r="R15" s="17" t="n"/>
      <c r="S15" s="37" t="n"/>
      <c r="T15" s="40" t="str">
        <f>IF(AND(ISNUMBER(J15),ISNUMBER(K15)),IF(N(ISNUMBER('参数'!$E$31))+N(ISNUMBER('参数'!$G$31))+N(ISNUMBER('参数'!$I$31))+N(ISNUMBER('参数'!$K$31))=0,"",IF(ISNUMBER('参数'!$E$31),J15&lt;='参数'!$E$31,FALSE)+IF(ISNUMBER('参数'!$G$31),K15&gt;='参数'!$G$31,FALSE)+IF(AND(ISNUMBER('参数'!$I$31),ISNUMBER(N15)),N15&gt;='参数'!$I$31,FALSE)+IF(AND(ISNUMBER('参数'!$K$31),ISNUMBER(Q15)),Q15&lt;='参数'!$K$31,FALSE)),"")</f>
        <v/>
      </c>
      <c r="U15" s="40" t="str">
        <f>IF(AND(ISNUMBER(J15),ISNUMBER(K15)),IF(N(ISNUMBER('参数'!$G$32))+N(ISNUMBER('参数'!$I$32))+N(ISNUMBER('参数'!$K$32))=0,"",IF(AND(ISNUMBER(J14),ISNUMBER(J13)),AND(J15&gt;J14,J14&gt;J13),FALSE)+IF(ISNUMBER('参数'!$G$32),J15&lt;'参数'!$G$32,FALSE)+IF(AND(ISNUMBER('参数'!$I$32),ISNUMBER(Q15)),Q15&gt;='参数'!$I$32,FALSE)+IF(AND(ISNUMBER('参数'!$K$32),ISNUMBER(S15)),S15&gt;='参数'!$K$32,FALSE)),"")</f>
        <v/>
      </c>
      <c r="V15" s="40" t="str">
        <f>IF(AND(ISNUMBER(J15),ISNUMBER(K15)),IF(N(ISNUMBER('参数'!$E$33))+N(ISNUMBER('参数'!$G$33))+N(ISNUMBER('参数'!$I$33))+N(ISNUMBER('参数'!$K$33))=0,"",IF(AND(ISNUMBER('参数'!$E$33),ISNUMBER(J14)),AND(J15&gt;='参数'!$E$33,J15&gt;J14),FALSE)+IF(AND(ISNUMBER('参数'!$G$33),ISNUMBER(N15)),N15&lt;='参数'!$G$33,FALSE)+IF(AND(ISNUMBER('参数'!$I$33),ISNUMBER(Q15)),Q15&gt;='参数'!$I$33,FALSE)+IF(AND(ISNUMBER('参数'!$K$33),ISNUMBER(S15)),S15&gt;='参数'!$K$33,FALSE)),"")</f>
        <v/>
      </c>
      <c r="W15" s="40" t="str">
        <f>IF(AND(ISNUMBER(J15),ISNUMBER(K15)),IF(N(ISNUMBER('参数'!$E$34))+N(ISNUMBER('参数'!$G$34))+N(ISNUMBER('参数'!$I$34))+N(ISNUMBER('参数'!$K$34))=0,"",IF(ISNUMBER('参数'!$E$34),J15&gt;='参数'!$E$34,FALSE)+IF(AND(ISNUMBER('参数'!$G$34),ISNUMBER(N15)),N15&lt;='参数'!$G$34,FALSE)+IF(AND(ISNUMBER('参数'!$I$34),ISNUMBER(S15)),S15&gt;='参数'!$I$34,FALSE)+IF(AND(ISNUMBER('参数'!$K$34),ISNUMBER(R15)),R15&gt;='参数'!$K$34,FALSE)),"")</f>
        <v/>
      </c>
      <c r="X15" s="40" t="str">
        <f>IF(AND(ISNUMBER(J15),ISNUMBER(K15)),IF(N(ISNUMBER('参数'!$E$35))+N(ISNUMBER('参数'!$G$35))+N(ISNUMBER('参数'!$I$35))=0,"",IF(AND(ISNUMBER('参数'!$E$35),ISNUMBER(N15),ISNUMBER(N14)),ROUND(N15-N14,6)&gt;='参数'!$E$35,FALSE)+IF(AND(ISNUMBER('参数'!$G$35),ISNUMBER(Q15),ISNUMBER(Q14)),ROUND(Q14-Q15,6)&gt;='参数'!$G$35,FALSE)+IF(AND(ISNUMBER('参数'!$I$35),ISNUMBER(S15),ISNUMBER(S14)),ROUND(S14-S15,6)&gt;='参数'!$I$35,FALSE)+IF(ISNUMBER(J14),J15&lt;J14,FALSE)),"")</f>
        <v/>
      </c>
      <c r="Y15" s="40" t="str">
        <f>IF(AND(ISNUMBER(J15),ISNUMBER(K15)),IF(N(ISNUMBER('参数'!$E$36))+N(ISNUMBER('参数'!$G$36))+N(ISNUMBER('参数'!$I$36))=0,"",IF(AND(ISNUMBER('参数'!$E$36),ISNUMBER(J14)),AND(J15&lt;='参数'!$E$36,J15&lt;J14),FALSE)+IF(ISNUMBER('参数'!$G$36),K15&gt;='参数'!$G$36,FALSE)+IF(AND(ISNUMBER('参数'!$I$36),ISNUMBER(S15)),S15&lt;'参数'!$I$36,FALSE)+IF(AND(ISNUMBER(R15),ISNUMBER(R14)),R15&lt;R14,FALSE)),"")</f>
        <v/>
      </c>
      <c r="Z15" s="41" t="str">
        <f>IF(NOT(AND(ISNUMBER(J15),ISNUMBER(K15))),"",IF(COUNT(T15:Y15)=0,"先填阈值",IF(MAX(AD15:AI15)=0,"不写",INDEX($T$4:$Y$4,MATCH(MAX(AD15:AI15),AD15:AI15,0))&amp;"·"&amp;IF(MAX(AD15:AI15)&gt;=200,"高","中")&amp;IF(LARGE(AD15:AI15,2)&gt;0,"（也像"&amp;INDEX($T$4:$Y$4,MATCH(LARGE(AD15:AI15,2),AD15:AI15,0))&amp;"·"&amp;IF(LARGE(AD15:AI15,2)&gt;=200,"高","中")&amp;"）",""))))</f>
        <v/>
      </c>
      <c r="AA15" s="27" t="n"/>
      <c r="AB15" s="32" t="n"/>
      <c r="AC15" s="16" t="n"/>
      <c r="AD15" s="40">
        <f>IF(N(T15)&gt;=3,IF(T15=4,2,1)*100+T15*10+6,0)</f>
        <v>0</v>
      </c>
      <c r="AE15" s="40">
        <f>IF(N(U15)&gt;=3,1*100+U15*10+1,0)</f>
        <v>0</v>
      </c>
      <c r="AF15" s="40">
        <f>IF(N(V15)&gt;=3,IF(V15=4,2,1)*100+V15*10+2,0)</f>
        <v>0</v>
      </c>
      <c r="AG15" s="40">
        <f>IF(N(W15)&gt;=3,1*100+W15*10+3,0)</f>
        <v>0</v>
      </c>
      <c r="AH15" s="40">
        <f>IF(N(X15)&gt;=3,1*100+X15*10+4,0)</f>
        <v>0</v>
      </c>
      <c r="AI15" s="40">
        <f>IF(N(Y15)&gt;=3,IF(AND(N(T15)&gt;=3,OR(N(T15)=4,N(Y15)&lt;=N(T15))),0,IF(Y15=4,2,1)*100+Y15*10+5),0)</f>
        <v>0</v>
      </c>
    </row>
    <row r="16">
      <c r="A16" s="31" t="n"/>
      <c r="B16" s="36" t="str">
        <f>IF(ISNUMBER(A16),"周"&amp;CHOOSE(WEEKDAY(A16,2),"一","二","三","四","五","六","日"),"")</f>
        <v/>
      </c>
      <c r="C16" s="37" t="n"/>
      <c r="D16" s="37" t="n"/>
      <c r="E16" s="37" t="n"/>
      <c r="F16" s="17" t="n"/>
      <c r="G16" s="38" t="str">
        <f>IF(AND(ISNUMBER(F16),ISNUMBER(F15)),IF(F15=0,"",F16/F15-1),"")</f>
        <v/>
      </c>
      <c r="H16" s="17" t="n"/>
      <c r="I16" s="17" t="n"/>
      <c r="J16" s="17" t="n"/>
      <c r="K16" s="17" t="n"/>
      <c r="L16" s="17" t="n"/>
      <c r="M16" s="17" t="n"/>
      <c r="N16" s="39" t="str">
        <f>IF(AND(ISNUMBER(L16),ISNUMBER(M16),N(L16)&gt;0),M16/L16,"")</f>
        <v/>
      </c>
      <c r="O16" s="17" t="n"/>
      <c r="P16" s="17" t="n"/>
      <c r="Q16" s="39" t="str">
        <f>IF(AND(ISNUMBER(O16),ISNUMBER(P16),N(O16)&gt;0),P16/O16,"")</f>
        <v/>
      </c>
      <c r="R16" s="17" t="n"/>
      <c r="S16" s="37" t="n"/>
      <c r="T16" s="40" t="str">
        <f>IF(AND(ISNUMBER(J16),ISNUMBER(K16)),IF(N(ISNUMBER('参数'!$E$31))+N(ISNUMBER('参数'!$G$31))+N(ISNUMBER('参数'!$I$31))+N(ISNUMBER('参数'!$K$31))=0,"",IF(ISNUMBER('参数'!$E$31),J16&lt;='参数'!$E$31,FALSE)+IF(ISNUMBER('参数'!$G$31),K16&gt;='参数'!$G$31,FALSE)+IF(AND(ISNUMBER('参数'!$I$31),ISNUMBER(N16)),N16&gt;='参数'!$I$31,FALSE)+IF(AND(ISNUMBER('参数'!$K$31),ISNUMBER(Q16)),Q16&lt;='参数'!$K$31,FALSE)),"")</f>
        <v/>
      </c>
      <c r="U16" s="40" t="str">
        <f>IF(AND(ISNUMBER(J16),ISNUMBER(K16)),IF(N(ISNUMBER('参数'!$G$32))+N(ISNUMBER('参数'!$I$32))+N(ISNUMBER('参数'!$K$32))=0,"",IF(AND(ISNUMBER(J15),ISNUMBER(J14)),AND(J16&gt;J15,J15&gt;J14),FALSE)+IF(ISNUMBER('参数'!$G$32),J16&lt;'参数'!$G$32,FALSE)+IF(AND(ISNUMBER('参数'!$I$32),ISNUMBER(Q16)),Q16&gt;='参数'!$I$32,FALSE)+IF(AND(ISNUMBER('参数'!$K$32),ISNUMBER(S16)),S16&gt;='参数'!$K$32,FALSE)),"")</f>
        <v/>
      </c>
      <c r="V16" s="40" t="str">
        <f>IF(AND(ISNUMBER(J16),ISNUMBER(K16)),IF(N(ISNUMBER('参数'!$E$33))+N(ISNUMBER('参数'!$G$33))+N(ISNUMBER('参数'!$I$33))+N(ISNUMBER('参数'!$K$33))=0,"",IF(AND(ISNUMBER('参数'!$E$33),ISNUMBER(J15)),AND(J16&gt;='参数'!$E$33,J16&gt;J15),FALSE)+IF(AND(ISNUMBER('参数'!$G$33),ISNUMBER(N16)),N16&lt;='参数'!$G$33,FALSE)+IF(AND(ISNUMBER('参数'!$I$33),ISNUMBER(Q16)),Q16&gt;='参数'!$I$33,FALSE)+IF(AND(ISNUMBER('参数'!$K$33),ISNUMBER(S16)),S16&gt;='参数'!$K$33,FALSE)),"")</f>
        <v/>
      </c>
      <c r="W16" s="40" t="str">
        <f>IF(AND(ISNUMBER(J16),ISNUMBER(K16)),IF(N(ISNUMBER('参数'!$E$34))+N(ISNUMBER('参数'!$G$34))+N(ISNUMBER('参数'!$I$34))+N(ISNUMBER('参数'!$K$34))=0,"",IF(ISNUMBER('参数'!$E$34),J16&gt;='参数'!$E$34,FALSE)+IF(AND(ISNUMBER('参数'!$G$34),ISNUMBER(N16)),N16&lt;='参数'!$G$34,FALSE)+IF(AND(ISNUMBER('参数'!$I$34),ISNUMBER(S16)),S16&gt;='参数'!$I$34,FALSE)+IF(AND(ISNUMBER('参数'!$K$34),ISNUMBER(R16)),R16&gt;='参数'!$K$34,FALSE)),"")</f>
        <v/>
      </c>
      <c r="X16" s="40" t="str">
        <f>IF(AND(ISNUMBER(J16),ISNUMBER(K16)),IF(N(ISNUMBER('参数'!$E$35))+N(ISNUMBER('参数'!$G$35))+N(ISNUMBER('参数'!$I$35))=0,"",IF(AND(ISNUMBER('参数'!$E$35),ISNUMBER(N16),ISNUMBER(N15)),ROUND(N16-N15,6)&gt;='参数'!$E$35,FALSE)+IF(AND(ISNUMBER('参数'!$G$35),ISNUMBER(Q16),ISNUMBER(Q15)),ROUND(Q15-Q16,6)&gt;='参数'!$G$35,FALSE)+IF(AND(ISNUMBER('参数'!$I$35),ISNUMBER(S16),ISNUMBER(S15)),ROUND(S15-S16,6)&gt;='参数'!$I$35,FALSE)+IF(ISNUMBER(J15),J16&lt;J15,FALSE)),"")</f>
        <v/>
      </c>
      <c r="Y16" s="40" t="str">
        <f>IF(AND(ISNUMBER(J16),ISNUMBER(K16)),IF(N(ISNUMBER('参数'!$E$36))+N(ISNUMBER('参数'!$G$36))+N(ISNUMBER('参数'!$I$36))=0,"",IF(AND(ISNUMBER('参数'!$E$36),ISNUMBER(J15)),AND(J16&lt;='参数'!$E$36,J16&lt;J15),FALSE)+IF(ISNUMBER('参数'!$G$36),K16&gt;='参数'!$G$36,FALSE)+IF(AND(ISNUMBER('参数'!$I$36),ISNUMBER(S16)),S16&lt;'参数'!$I$36,FALSE)+IF(AND(ISNUMBER(R16),ISNUMBER(R15)),R16&lt;R15,FALSE)),"")</f>
        <v/>
      </c>
      <c r="Z16" s="41" t="str">
        <f>IF(NOT(AND(ISNUMBER(J16),ISNUMBER(K16))),"",IF(COUNT(T16:Y16)=0,"先填阈值",IF(MAX(AD16:AI16)=0,"不写",INDEX($T$4:$Y$4,MATCH(MAX(AD16:AI16),AD16:AI16,0))&amp;"·"&amp;IF(MAX(AD16:AI16)&gt;=200,"高","中")&amp;IF(LARGE(AD16:AI16,2)&gt;0,"（也像"&amp;INDEX($T$4:$Y$4,MATCH(LARGE(AD16:AI16,2),AD16:AI16,0))&amp;"·"&amp;IF(LARGE(AD16:AI16,2)&gt;=200,"高","中")&amp;"）",""))))</f>
        <v/>
      </c>
      <c r="AA16" s="27" t="n"/>
      <c r="AB16" s="32" t="n"/>
      <c r="AC16" s="16" t="n"/>
      <c r="AD16" s="40">
        <f>IF(N(T16)&gt;=3,IF(T16=4,2,1)*100+T16*10+6,0)</f>
        <v>0</v>
      </c>
      <c r="AE16" s="40">
        <f>IF(N(U16)&gt;=3,1*100+U16*10+1,0)</f>
        <v>0</v>
      </c>
      <c r="AF16" s="40">
        <f>IF(N(V16)&gt;=3,IF(V16=4,2,1)*100+V16*10+2,0)</f>
        <v>0</v>
      </c>
      <c r="AG16" s="40">
        <f>IF(N(W16)&gt;=3,1*100+W16*10+3,0)</f>
        <v>0</v>
      </c>
      <c r="AH16" s="40">
        <f>IF(N(X16)&gt;=3,1*100+X16*10+4,0)</f>
        <v>0</v>
      </c>
      <c r="AI16" s="40">
        <f>IF(N(Y16)&gt;=3,IF(AND(N(T16)&gt;=3,OR(N(T16)=4,N(Y16)&lt;=N(T16))),0,IF(Y16=4,2,1)*100+Y16*10+5),0)</f>
        <v>0</v>
      </c>
    </row>
    <row r="17">
      <c r="A17" s="31" t="n"/>
      <c r="B17" s="36" t="str">
        <f>IF(ISNUMBER(A17),"周"&amp;CHOOSE(WEEKDAY(A17,2),"一","二","三","四","五","六","日"),"")</f>
        <v/>
      </c>
      <c r="C17" s="37" t="n"/>
      <c r="D17" s="37" t="n"/>
      <c r="E17" s="37" t="n"/>
      <c r="F17" s="17" t="n"/>
      <c r="G17" s="38" t="str">
        <f>IF(AND(ISNUMBER(F17),ISNUMBER(F16)),IF(F16=0,"",F17/F16-1),"")</f>
        <v/>
      </c>
      <c r="H17" s="17" t="n"/>
      <c r="I17" s="17" t="n"/>
      <c r="J17" s="17" t="n"/>
      <c r="K17" s="17" t="n"/>
      <c r="L17" s="17" t="n"/>
      <c r="M17" s="17" t="n"/>
      <c r="N17" s="39" t="str">
        <f>IF(AND(ISNUMBER(L17),ISNUMBER(M17),N(L17)&gt;0),M17/L17,"")</f>
        <v/>
      </c>
      <c r="O17" s="17" t="n"/>
      <c r="P17" s="17" t="n"/>
      <c r="Q17" s="39" t="str">
        <f>IF(AND(ISNUMBER(O17),ISNUMBER(P17),N(O17)&gt;0),P17/O17,"")</f>
        <v/>
      </c>
      <c r="R17" s="17" t="n"/>
      <c r="S17" s="37" t="n"/>
      <c r="T17" s="40" t="str">
        <f>IF(AND(ISNUMBER(J17),ISNUMBER(K17)),IF(N(ISNUMBER('参数'!$E$31))+N(ISNUMBER('参数'!$G$31))+N(ISNUMBER('参数'!$I$31))+N(ISNUMBER('参数'!$K$31))=0,"",IF(ISNUMBER('参数'!$E$31),J17&lt;='参数'!$E$31,FALSE)+IF(ISNUMBER('参数'!$G$31),K17&gt;='参数'!$G$31,FALSE)+IF(AND(ISNUMBER('参数'!$I$31),ISNUMBER(N17)),N17&gt;='参数'!$I$31,FALSE)+IF(AND(ISNUMBER('参数'!$K$31),ISNUMBER(Q17)),Q17&lt;='参数'!$K$31,FALSE)),"")</f>
        <v/>
      </c>
      <c r="U17" s="40" t="str">
        <f>IF(AND(ISNUMBER(J17),ISNUMBER(K17)),IF(N(ISNUMBER('参数'!$G$32))+N(ISNUMBER('参数'!$I$32))+N(ISNUMBER('参数'!$K$32))=0,"",IF(AND(ISNUMBER(J16),ISNUMBER(J15)),AND(J17&gt;J16,J16&gt;J15),FALSE)+IF(ISNUMBER('参数'!$G$32),J17&lt;'参数'!$G$32,FALSE)+IF(AND(ISNUMBER('参数'!$I$32),ISNUMBER(Q17)),Q17&gt;='参数'!$I$32,FALSE)+IF(AND(ISNUMBER('参数'!$K$32),ISNUMBER(S17)),S17&gt;='参数'!$K$32,FALSE)),"")</f>
        <v/>
      </c>
      <c r="V17" s="40" t="str">
        <f>IF(AND(ISNUMBER(J17),ISNUMBER(K17)),IF(N(ISNUMBER('参数'!$E$33))+N(ISNUMBER('参数'!$G$33))+N(ISNUMBER('参数'!$I$33))+N(ISNUMBER('参数'!$K$33))=0,"",IF(AND(ISNUMBER('参数'!$E$33),ISNUMBER(J16)),AND(J17&gt;='参数'!$E$33,J17&gt;J16),FALSE)+IF(AND(ISNUMBER('参数'!$G$33),ISNUMBER(N17)),N17&lt;='参数'!$G$33,FALSE)+IF(AND(ISNUMBER('参数'!$I$33),ISNUMBER(Q17)),Q17&gt;='参数'!$I$33,FALSE)+IF(AND(ISNUMBER('参数'!$K$33),ISNUMBER(S17)),S17&gt;='参数'!$K$33,FALSE)),"")</f>
        <v/>
      </c>
      <c r="W17" s="40" t="str">
        <f>IF(AND(ISNUMBER(J17),ISNUMBER(K17)),IF(N(ISNUMBER('参数'!$E$34))+N(ISNUMBER('参数'!$G$34))+N(ISNUMBER('参数'!$I$34))+N(ISNUMBER('参数'!$K$34))=0,"",IF(ISNUMBER('参数'!$E$34),J17&gt;='参数'!$E$34,FALSE)+IF(AND(ISNUMBER('参数'!$G$34),ISNUMBER(N17)),N17&lt;='参数'!$G$34,FALSE)+IF(AND(ISNUMBER('参数'!$I$34),ISNUMBER(S17)),S17&gt;='参数'!$I$34,FALSE)+IF(AND(ISNUMBER('参数'!$K$34),ISNUMBER(R17)),R17&gt;='参数'!$K$34,FALSE)),"")</f>
        <v/>
      </c>
      <c r="X17" s="40" t="str">
        <f>IF(AND(ISNUMBER(J17),ISNUMBER(K17)),IF(N(ISNUMBER('参数'!$E$35))+N(ISNUMBER('参数'!$G$35))+N(ISNUMBER('参数'!$I$35))=0,"",IF(AND(ISNUMBER('参数'!$E$35),ISNUMBER(N17),ISNUMBER(N16)),ROUND(N17-N16,6)&gt;='参数'!$E$35,FALSE)+IF(AND(ISNUMBER('参数'!$G$35),ISNUMBER(Q17),ISNUMBER(Q16)),ROUND(Q16-Q17,6)&gt;='参数'!$G$35,FALSE)+IF(AND(ISNUMBER('参数'!$I$35),ISNUMBER(S17),ISNUMBER(S16)),ROUND(S16-S17,6)&gt;='参数'!$I$35,FALSE)+IF(ISNUMBER(J16),J17&lt;J16,FALSE)),"")</f>
        <v/>
      </c>
      <c r="Y17" s="40" t="str">
        <f>IF(AND(ISNUMBER(J17),ISNUMBER(K17)),IF(N(ISNUMBER('参数'!$E$36))+N(ISNUMBER('参数'!$G$36))+N(ISNUMBER('参数'!$I$36))=0,"",IF(AND(ISNUMBER('参数'!$E$36),ISNUMBER(J16)),AND(J17&lt;='参数'!$E$36,J17&lt;J16),FALSE)+IF(ISNUMBER('参数'!$G$36),K17&gt;='参数'!$G$36,FALSE)+IF(AND(ISNUMBER('参数'!$I$36),ISNUMBER(S17)),S17&lt;'参数'!$I$36,FALSE)+IF(AND(ISNUMBER(R17),ISNUMBER(R16)),R17&lt;R16,FALSE)),"")</f>
        <v/>
      </c>
      <c r="Z17" s="41" t="str">
        <f>IF(NOT(AND(ISNUMBER(J17),ISNUMBER(K17))),"",IF(COUNT(T17:Y17)=0,"先填阈值",IF(MAX(AD17:AI17)=0,"不写",INDEX($T$4:$Y$4,MATCH(MAX(AD17:AI17),AD17:AI17,0))&amp;"·"&amp;IF(MAX(AD17:AI17)&gt;=200,"高","中")&amp;IF(LARGE(AD17:AI17,2)&gt;0,"（也像"&amp;INDEX($T$4:$Y$4,MATCH(LARGE(AD17:AI17,2),AD17:AI17,0))&amp;"·"&amp;IF(LARGE(AD17:AI17,2)&gt;=200,"高","中")&amp;"）",""))))</f>
        <v/>
      </c>
      <c r="AA17" s="27" t="n"/>
      <c r="AB17" s="32" t="n"/>
      <c r="AC17" s="16" t="n"/>
      <c r="AD17" s="40">
        <f>IF(N(T17)&gt;=3,IF(T17=4,2,1)*100+T17*10+6,0)</f>
        <v>0</v>
      </c>
      <c r="AE17" s="40">
        <f>IF(N(U17)&gt;=3,1*100+U17*10+1,0)</f>
        <v>0</v>
      </c>
      <c r="AF17" s="40">
        <f>IF(N(V17)&gt;=3,IF(V17=4,2,1)*100+V17*10+2,0)</f>
        <v>0</v>
      </c>
      <c r="AG17" s="40">
        <f>IF(N(W17)&gt;=3,1*100+W17*10+3,0)</f>
        <v>0</v>
      </c>
      <c r="AH17" s="40">
        <f>IF(N(X17)&gt;=3,1*100+X17*10+4,0)</f>
        <v>0</v>
      </c>
      <c r="AI17" s="40">
        <f>IF(N(Y17)&gt;=3,IF(AND(N(T17)&gt;=3,OR(N(T17)=4,N(Y17)&lt;=N(T17))),0,IF(Y17=4,2,1)*100+Y17*10+5),0)</f>
        <v>0</v>
      </c>
    </row>
    <row r="18">
      <c r="A18" s="31" t="n"/>
      <c r="B18" s="36" t="str">
        <f>IF(ISNUMBER(A18),"周"&amp;CHOOSE(WEEKDAY(A18,2),"一","二","三","四","五","六","日"),"")</f>
        <v/>
      </c>
      <c r="C18" s="37" t="n"/>
      <c r="D18" s="37" t="n"/>
      <c r="E18" s="37" t="n"/>
      <c r="F18" s="17" t="n"/>
      <c r="G18" s="38" t="str">
        <f>IF(AND(ISNUMBER(F18),ISNUMBER(F17)),IF(F17=0,"",F18/F17-1),"")</f>
        <v/>
      </c>
      <c r="H18" s="17" t="n"/>
      <c r="I18" s="17" t="n"/>
      <c r="J18" s="17" t="n"/>
      <c r="K18" s="17" t="n"/>
      <c r="L18" s="17" t="n"/>
      <c r="M18" s="17" t="n"/>
      <c r="N18" s="39" t="str">
        <f>IF(AND(ISNUMBER(L18),ISNUMBER(M18),N(L18)&gt;0),M18/L18,"")</f>
        <v/>
      </c>
      <c r="O18" s="17" t="n"/>
      <c r="P18" s="17" t="n"/>
      <c r="Q18" s="39" t="str">
        <f>IF(AND(ISNUMBER(O18),ISNUMBER(P18),N(O18)&gt;0),P18/O18,"")</f>
        <v/>
      </c>
      <c r="R18" s="17" t="n"/>
      <c r="S18" s="37" t="n"/>
      <c r="T18" s="40" t="str">
        <f>IF(AND(ISNUMBER(J18),ISNUMBER(K18)),IF(N(ISNUMBER('参数'!$E$31))+N(ISNUMBER('参数'!$G$31))+N(ISNUMBER('参数'!$I$31))+N(ISNUMBER('参数'!$K$31))=0,"",IF(ISNUMBER('参数'!$E$31),J18&lt;='参数'!$E$31,FALSE)+IF(ISNUMBER('参数'!$G$31),K18&gt;='参数'!$G$31,FALSE)+IF(AND(ISNUMBER('参数'!$I$31),ISNUMBER(N18)),N18&gt;='参数'!$I$31,FALSE)+IF(AND(ISNUMBER('参数'!$K$31),ISNUMBER(Q18)),Q18&lt;='参数'!$K$31,FALSE)),"")</f>
        <v/>
      </c>
      <c r="U18" s="40" t="str">
        <f>IF(AND(ISNUMBER(J18),ISNUMBER(K18)),IF(N(ISNUMBER('参数'!$G$32))+N(ISNUMBER('参数'!$I$32))+N(ISNUMBER('参数'!$K$32))=0,"",IF(AND(ISNUMBER(J17),ISNUMBER(J16)),AND(J18&gt;J17,J17&gt;J16),FALSE)+IF(ISNUMBER('参数'!$G$32),J18&lt;'参数'!$G$32,FALSE)+IF(AND(ISNUMBER('参数'!$I$32),ISNUMBER(Q18)),Q18&gt;='参数'!$I$32,FALSE)+IF(AND(ISNUMBER('参数'!$K$32),ISNUMBER(S18)),S18&gt;='参数'!$K$32,FALSE)),"")</f>
        <v/>
      </c>
      <c r="V18" s="40" t="str">
        <f>IF(AND(ISNUMBER(J18),ISNUMBER(K18)),IF(N(ISNUMBER('参数'!$E$33))+N(ISNUMBER('参数'!$G$33))+N(ISNUMBER('参数'!$I$33))+N(ISNUMBER('参数'!$K$33))=0,"",IF(AND(ISNUMBER('参数'!$E$33),ISNUMBER(J17)),AND(J18&gt;='参数'!$E$33,J18&gt;J17),FALSE)+IF(AND(ISNUMBER('参数'!$G$33),ISNUMBER(N18)),N18&lt;='参数'!$G$33,FALSE)+IF(AND(ISNUMBER('参数'!$I$33),ISNUMBER(Q18)),Q18&gt;='参数'!$I$33,FALSE)+IF(AND(ISNUMBER('参数'!$K$33),ISNUMBER(S18)),S18&gt;='参数'!$K$33,FALSE)),"")</f>
        <v/>
      </c>
      <c r="W18" s="40" t="str">
        <f>IF(AND(ISNUMBER(J18),ISNUMBER(K18)),IF(N(ISNUMBER('参数'!$E$34))+N(ISNUMBER('参数'!$G$34))+N(ISNUMBER('参数'!$I$34))+N(ISNUMBER('参数'!$K$34))=0,"",IF(ISNUMBER('参数'!$E$34),J18&gt;='参数'!$E$34,FALSE)+IF(AND(ISNUMBER('参数'!$G$34),ISNUMBER(N18)),N18&lt;='参数'!$G$34,FALSE)+IF(AND(ISNUMBER('参数'!$I$34),ISNUMBER(S18)),S18&gt;='参数'!$I$34,FALSE)+IF(AND(ISNUMBER('参数'!$K$34),ISNUMBER(R18)),R18&gt;='参数'!$K$34,FALSE)),"")</f>
        <v/>
      </c>
      <c r="X18" s="40" t="str">
        <f>IF(AND(ISNUMBER(J18),ISNUMBER(K18)),IF(N(ISNUMBER('参数'!$E$35))+N(ISNUMBER('参数'!$G$35))+N(ISNUMBER('参数'!$I$35))=0,"",IF(AND(ISNUMBER('参数'!$E$35),ISNUMBER(N18),ISNUMBER(N17)),ROUND(N18-N17,6)&gt;='参数'!$E$35,FALSE)+IF(AND(ISNUMBER('参数'!$G$35),ISNUMBER(Q18),ISNUMBER(Q17)),ROUND(Q17-Q18,6)&gt;='参数'!$G$35,FALSE)+IF(AND(ISNUMBER('参数'!$I$35),ISNUMBER(S18),ISNUMBER(S17)),ROUND(S17-S18,6)&gt;='参数'!$I$35,FALSE)+IF(ISNUMBER(J17),J18&lt;J17,FALSE)),"")</f>
        <v/>
      </c>
      <c r="Y18" s="40" t="str">
        <f>IF(AND(ISNUMBER(J18),ISNUMBER(K18)),IF(N(ISNUMBER('参数'!$E$36))+N(ISNUMBER('参数'!$G$36))+N(ISNUMBER('参数'!$I$36))=0,"",IF(AND(ISNUMBER('参数'!$E$36),ISNUMBER(J17)),AND(J18&lt;='参数'!$E$36,J18&lt;J17),FALSE)+IF(ISNUMBER('参数'!$G$36),K18&gt;='参数'!$G$36,FALSE)+IF(AND(ISNUMBER('参数'!$I$36),ISNUMBER(S18)),S18&lt;'参数'!$I$36,FALSE)+IF(AND(ISNUMBER(R18),ISNUMBER(R17)),R18&lt;R17,FALSE)),"")</f>
        <v/>
      </c>
      <c r="Z18" s="41" t="str">
        <f>IF(NOT(AND(ISNUMBER(J18),ISNUMBER(K18))),"",IF(COUNT(T18:Y18)=0,"先填阈值",IF(MAX(AD18:AI18)=0,"不写",INDEX($T$4:$Y$4,MATCH(MAX(AD18:AI18),AD18:AI18,0))&amp;"·"&amp;IF(MAX(AD18:AI18)&gt;=200,"高","中")&amp;IF(LARGE(AD18:AI18,2)&gt;0,"（也像"&amp;INDEX($T$4:$Y$4,MATCH(LARGE(AD18:AI18,2),AD18:AI18,0))&amp;"·"&amp;IF(LARGE(AD18:AI18,2)&gt;=200,"高","中")&amp;"）",""))))</f>
        <v/>
      </c>
      <c r="AA18" s="27" t="n"/>
      <c r="AB18" s="32" t="n"/>
      <c r="AC18" s="16" t="n"/>
      <c r="AD18" s="40">
        <f>IF(N(T18)&gt;=3,IF(T18=4,2,1)*100+T18*10+6,0)</f>
        <v>0</v>
      </c>
      <c r="AE18" s="40">
        <f>IF(N(U18)&gt;=3,1*100+U18*10+1,0)</f>
        <v>0</v>
      </c>
      <c r="AF18" s="40">
        <f>IF(N(V18)&gt;=3,IF(V18=4,2,1)*100+V18*10+2,0)</f>
        <v>0</v>
      </c>
      <c r="AG18" s="40">
        <f>IF(N(W18)&gt;=3,1*100+W18*10+3,0)</f>
        <v>0</v>
      </c>
      <c r="AH18" s="40">
        <f>IF(N(X18)&gt;=3,1*100+X18*10+4,0)</f>
        <v>0</v>
      </c>
      <c r="AI18" s="40">
        <f>IF(N(Y18)&gt;=3,IF(AND(N(T18)&gt;=3,OR(N(T18)=4,N(Y18)&lt;=N(T18))),0,IF(Y18=4,2,1)*100+Y18*10+5),0)</f>
        <v>0</v>
      </c>
    </row>
    <row r="19">
      <c r="A19" s="31" t="n"/>
      <c r="B19" s="36" t="str">
        <f>IF(ISNUMBER(A19),"周"&amp;CHOOSE(WEEKDAY(A19,2),"一","二","三","四","五","六","日"),"")</f>
        <v/>
      </c>
      <c r="C19" s="37" t="n"/>
      <c r="D19" s="37" t="n"/>
      <c r="E19" s="37" t="n"/>
      <c r="F19" s="17" t="n"/>
      <c r="G19" s="38" t="str">
        <f>IF(AND(ISNUMBER(F19),ISNUMBER(F18)),IF(F18=0,"",F19/F18-1),"")</f>
        <v/>
      </c>
      <c r="H19" s="17" t="n"/>
      <c r="I19" s="17" t="n"/>
      <c r="J19" s="17" t="n"/>
      <c r="K19" s="17" t="n"/>
      <c r="L19" s="17" t="n"/>
      <c r="M19" s="17" t="n"/>
      <c r="N19" s="39" t="str">
        <f>IF(AND(ISNUMBER(L19),ISNUMBER(M19),N(L19)&gt;0),M19/L19,"")</f>
        <v/>
      </c>
      <c r="O19" s="17" t="n"/>
      <c r="P19" s="17" t="n"/>
      <c r="Q19" s="39" t="str">
        <f>IF(AND(ISNUMBER(O19),ISNUMBER(P19),N(O19)&gt;0),P19/O19,"")</f>
        <v/>
      </c>
      <c r="R19" s="17" t="n"/>
      <c r="S19" s="37" t="n"/>
      <c r="T19" s="40" t="str">
        <f>IF(AND(ISNUMBER(J19),ISNUMBER(K19)),IF(N(ISNUMBER('参数'!$E$31))+N(ISNUMBER('参数'!$G$31))+N(ISNUMBER('参数'!$I$31))+N(ISNUMBER('参数'!$K$31))=0,"",IF(ISNUMBER('参数'!$E$31),J19&lt;='参数'!$E$31,FALSE)+IF(ISNUMBER('参数'!$G$31),K19&gt;='参数'!$G$31,FALSE)+IF(AND(ISNUMBER('参数'!$I$31),ISNUMBER(N19)),N19&gt;='参数'!$I$31,FALSE)+IF(AND(ISNUMBER('参数'!$K$31),ISNUMBER(Q19)),Q19&lt;='参数'!$K$31,FALSE)),"")</f>
        <v/>
      </c>
      <c r="U19" s="40" t="str">
        <f>IF(AND(ISNUMBER(J19),ISNUMBER(K19)),IF(N(ISNUMBER('参数'!$G$32))+N(ISNUMBER('参数'!$I$32))+N(ISNUMBER('参数'!$K$32))=0,"",IF(AND(ISNUMBER(J18),ISNUMBER(J17)),AND(J19&gt;J18,J18&gt;J17),FALSE)+IF(ISNUMBER('参数'!$G$32),J19&lt;'参数'!$G$32,FALSE)+IF(AND(ISNUMBER('参数'!$I$32),ISNUMBER(Q19)),Q19&gt;='参数'!$I$32,FALSE)+IF(AND(ISNUMBER('参数'!$K$32),ISNUMBER(S19)),S19&gt;='参数'!$K$32,FALSE)),"")</f>
        <v/>
      </c>
      <c r="V19" s="40" t="str">
        <f>IF(AND(ISNUMBER(J19),ISNUMBER(K19)),IF(N(ISNUMBER('参数'!$E$33))+N(ISNUMBER('参数'!$G$33))+N(ISNUMBER('参数'!$I$33))+N(ISNUMBER('参数'!$K$33))=0,"",IF(AND(ISNUMBER('参数'!$E$33),ISNUMBER(J18)),AND(J19&gt;='参数'!$E$33,J19&gt;J18),FALSE)+IF(AND(ISNUMBER('参数'!$G$33),ISNUMBER(N19)),N19&lt;='参数'!$G$33,FALSE)+IF(AND(ISNUMBER('参数'!$I$33),ISNUMBER(Q19)),Q19&gt;='参数'!$I$33,FALSE)+IF(AND(ISNUMBER('参数'!$K$33),ISNUMBER(S19)),S19&gt;='参数'!$K$33,FALSE)),"")</f>
        <v/>
      </c>
      <c r="W19" s="40" t="str">
        <f>IF(AND(ISNUMBER(J19),ISNUMBER(K19)),IF(N(ISNUMBER('参数'!$E$34))+N(ISNUMBER('参数'!$G$34))+N(ISNUMBER('参数'!$I$34))+N(ISNUMBER('参数'!$K$34))=0,"",IF(ISNUMBER('参数'!$E$34),J19&gt;='参数'!$E$34,FALSE)+IF(AND(ISNUMBER('参数'!$G$34),ISNUMBER(N19)),N19&lt;='参数'!$G$34,FALSE)+IF(AND(ISNUMBER('参数'!$I$34),ISNUMBER(S19)),S19&gt;='参数'!$I$34,FALSE)+IF(AND(ISNUMBER('参数'!$K$34),ISNUMBER(R19)),R19&gt;='参数'!$K$34,FALSE)),"")</f>
        <v/>
      </c>
      <c r="X19" s="40" t="str">
        <f>IF(AND(ISNUMBER(J19),ISNUMBER(K19)),IF(N(ISNUMBER('参数'!$E$35))+N(ISNUMBER('参数'!$G$35))+N(ISNUMBER('参数'!$I$35))=0,"",IF(AND(ISNUMBER('参数'!$E$35),ISNUMBER(N19),ISNUMBER(N18)),ROUND(N19-N18,6)&gt;='参数'!$E$35,FALSE)+IF(AND(ISNUMBER('参数'!$G$35),ISNUMBER(Q19),ISNUMBER(Q18)),ROUND(Q18-Q19,6)&gt;='参数'!$G$35,FALSE)+IF(AND(ISNUMBER('参数'!$I$35),ISNUMBER(S19),ISNUMBER(S18)),ROUND(S18-S19,6)&gt;='参数'!$I$35,FALSE)+IF(ISNUMBER(J18),J19&lt;J18,FALSE)),"")</f>
        <v/>
      </c>
      <c r="Y19" s="40" t="str">
        <f>IF(AND(ISNUMBER(J19),ISNUMBER(K19)),IF(N(ISNUMBER('参数'!$E$36))+N(ISNUMBER('参数'!$G$36))+N(ISNUMBER('参数'!$I$36))=0,"",IF(AND(ISNUMBER('参数'!$E$36),ISNUMBER(J18)),AND(J19&lt;='参数'!$E$36,J19&lt;J18),FALSE)+IF(ISNUMBER('参数'!$G$36),K19&gt;='参数'!$G$36,FALSE)+IF(AND(ISNUMBER('参数'!$I$36),ISNUMBER(S19)),S19&lt;'参数'!$I$36,FALSE)+IF(AND(ISNUMBER(R19),ISNUMBER(R18)),R19&lt;R18,FALSE)),"")</f>
        <v/>
      </c>
      <c r="Z19" s="41" t="str">
        <f>IF(NOT(AND(ISNUMBER(J19),ISNUMBER(K19))),"",IF(COUNT(T19:Y19)=0,"先填阈值",IF(MAX(AD19:AI19)=0,"不写",INDEX($T$4:$Y$4,MATCH(MAX(AD19:AI19),AD19:AI19,0))&amp;"·"&amp;IF(MAX(AD19:AI19)&gt;=200,"高","中")&amp;IF(LARGE(AD19:AI19,2)&gt;0,"（也像"&amp;INDEX($T$4:$Y$4,MATCH(LARGE(AD19:AI19,2),AD19:AI19,0))&amp;"·"&amp;IF(LARGE(AD19:AI19,2)&gt;=200,"高","中")&amp;"）",""))))</f>
        <v/>
      </c>
      <c r="AA19" s="27" t="n"/>
      <c r="AB19" s="32" t="n"/>
      <c r="AC19" s="16" t="n"/>
      <c r="AD19" s="40">
        <f>IF(N(T19)&gt;=3,IF(T19=4,2,1)*100+T19*10+6,0)</f>
        <v>0</v>
      </c>
      <c r="AE19" s="40">
        <f>IF(N(U19)&gt;=3,1*100+U19*10+1,0)</f>
        <v>0</v>
      </c>
      <c r="AF19" s="40">
        <f>IF(N(V19)&gt;=3,IF(V19=4,2,1)*100+V19*10+2,0)</f>
        <v>0</v>
      </c>
      <c r="AG19" s="40">
        <f>IF(N(W19)&gt;=3,1*100+W19*10+3,0)</f>
        <v>0</v>
      </c>
      <c r="AH19" s="40">
        <f>IF(N(X19)&gt;=3,1*100+X19*10+4,0)</f>
        <v>0</v>
      </c>
      <c r="AI19" s="40">
        <f>IF(N(Y19)&gt;=3,IF(AND(N(T19)&gt;=3,OR(N(T19)=4,N(Y19)&lt;=N(T19))),0,IF(Y19=4,2,1)*100+Y19*10+5),0)</f>
        <v>0</v>
      </c>
    </row>
    <row r="20">
      <c r="A20" s="31" t="n"/>
      <c r="B20" s="36" t="str">
        <f>IF(ISNUMBER(A20),"周"&amp;CHOOSE(WEEKDAY(A20,2),"一","二","三","四","五","六","日"),"")</f>
        <v/>
      </c>
      <c r="C20" s="37" t="n"/>
      <c r="D20" s="37" t="n"/>
      <c r="E20" s="37" t="n"/>
      <c r="F20" s="17" t="n"/>
      <c r="G20" s="38" t="str">
        <f>IF(AND(ISNUMBER(F20),ISNUMBER(F19)),IF(F19=0,"",F20/F19-1),"")</f>
        <v/>
      </c>
      <c r="H20" s="17" t="n"/>
      <c r="I20" s="17" t="n"/>
      <c r="J20" s="17" t="n"/>
      <c r="K20" s="17" t="n"/>
      <c r="L20" s="17" t="n"/>
      <c r="M20" s="17" t="n"/>
      <c r="N20" s="39" t="str">
        <f>IF(AND(ISNUMBER(L20),ISNUMBER(M20),N(L20)&gt;0),M20/L20,"")</f>
        <v/>
      </c>
      <c r="O20" s="17" t="n"/>
      <c r="P20" s="17" t="n"/>
      <c r="Q20" s="39" t="str">
        <f>IF(AND(ISNUMBER(O20),ISNUMBER(P20),N(O20)&gt;0),P20/O20,"")</f>
        <v/>
      </c>
      <c r="R20" s="17" t="n"/>
      <c r="S20" s="37" t="n"/>
      <c r="T20" s="40" t="str">
        <f>IF(AND(ISNUMBER(J20),ISNUMBER(K20)),IF(N(ISNUMBER('参数'!$E$31))+N(ISNUMBER('参数'!$G$31))+N(ISNUMBER('参数'!$I$31))+N(ISNUMBER('参数'!$K$31))=0,"",IF(ISNUMBER('参数'!$E$31),J20&lt;='参数'!$E$31,FALSE)+IF(ISNUMBER('参数'!$G$31),K20&gt;='参数'!$G$31,FALSE)+IF(AND(ISNUMBER('参数'!$I$31),ISNUMBER(N20)),N20&gt;='参数'!$I$31,FALSE)+IF(AND(ISNUMBER('参数'!$K$31),ISNUMBER(Q20)),Q20&lt;='参数'!$K$31,FALSE)),"")</f>
        <v/>
      </c>
      <c r="U20" s="40" t="str">
        <f>IF(AND(ISNUMBER(J20),ISNUMBER(K20)),IF(N(ISNUMBER('参数'!$G$32))+N(ISNUMBER('参数'!$I$32))+N(ISNUMBER('参数'!$K$32))=0,"",IF(AND(ISNUMBER(J19),ISNUMBER(J18)),AND(J20&gt;J19,J19&gt;J18),FALSE)+IF(ISNUMBER('参数'!$G$32),J20&lt;'参数'!$G$32,FALSE)+IF(AND(ISNUMBER('参数'!$I$32),ISNUMBER(Q20)),Q20&gt;='参数'!$I$32,FALSE)+IF(AND(ISNUMBER('参数'!$K$32),ISNUMBER(S20)),S20&gt;='参数'!$K$32,FALSE)),"")</f>
        <v/>
      </c>
      <c r="V20" s="40" t="str">
        <f>IF(AND(ISNUMBER(J20),ISNUMBER(K20)),IF(N(ISNUMBER('参数'!$E$33))+N(ISNUMBER('参数'!$G$33))+N(ISNUMBER('参数'!$I$33))+N(ISNUMBER('参数'!$K$33))=0,"",IF(AND(ISNUMBER('参数'!$E$33),ISNUMBER(J19)),AND(J20&gt;='参数'!$E$33,J20&gt;J19),FALSE)+IF(AND(ISNUMBER('参数'!$G$33),ISNUMBER(N20)),N20&lt;='参数'!$G$33,FALSE)+IF(AND(ISNUMBER('参数'!$I$33),ISNUMBER(Q20)),Q20&gt;='参数'!$I$33,FALSE)+IF(AND(ISNUMBER('参数'!$K$33),ISNUMBER(S20)),S20&gt;='参数'!$K$33,FALSE)),"")</f>
        <v/>
      </c>
      <c r="W20" s="40" t="str">
        <f>IF(AND(ISNUMBER(J20),ISNUMBER(K20)),IF(N(ISNUMBER('参数'!$E$34))+N(ISNUMBER('参数'!$G$34))+N(ISNUMBER('参数'!$I$34))+N(ISNUMBER('参数'!$K$34))=0,"",IF(ISNUMBER('参数'!$E$34),J20&gt;='参数'!$E$34,FALSE)+IF(AND(ISNUMBER('参数'!$G$34),ISNUMBER(N20)),N20&lt;='参数'!$G$34,FALSE)+IF(AND(ISNUMBER('参数'!$I$34),ISNUMBER(S20)),S20&gt;='参数'!$I$34,FALSE)+IF(AND(ISNUMBER('参数'!$K$34),ISNUMBER(R20)),R20&gt;='参数'!$K$34,FALSE)),"")</f>
        <v/>
      </c>
      <c r="X20" s="40" t="str">
        <f>IF(AND(ISNUMBER(J20),ISNUMBER(K20)),IF(N(ISNUMBER('参数'!$E$35))+N(ISNUMBER('参数'!$G$35))+N(ISNUMBER('参数'!$I$35))=0,"",IF(AND(ISNUMBER('参数'!$E$35),ISNUMBER(N20),ISNUMBER(N19)),ROUND(N20-N19,6)&gt;='参数'!$E$35,FALSE)+IF(AND(ISNUMBER('参数'!$G$35),ISNUMBER(Q20),ISNUMBER(Q19)),ROUND(Q19-Q20,6)&gt;='参数'!$G$35,FALSE)+IF(AND(ISNUMBER('参数'!$I$35),ISNUMBER(S20),ISNUMBER(S19)),ROUND(S19-S20,6)&gt;='参数'!$I$35,FALSE)+IF(ISNUMBER(J19),J20&lt;J19,FALSE)),"")</f>
        <v/>
      </c>
      <c r="Y20" s="40" t="str">
        <f>IF(AND(ISNUMBER(J20),ISNUMBER(K20)),IF(N(ISNUMBER('参数'!$E$36))+N(ISNUMBER('参数'!$G$36))+N(ISNUMBER('参数'!$I$36))=0,"",IF(AND(ISNUMBER('参数'!$E$36),ISNUMBER(J19)),AND(J20&lt;='参数'!$E$36,J20&lt;J19),FALSE)+IF(ISNUMBER('参数'!$G$36),K20&gt;='参数'!$G$36,FALSE)+IF(AND(ISNUMBER('参数'!$I$36),ISNUMBER(S20)),S20&lt;'参数'!$I$36,FALSE)+IF(AND(ISNUMBER(R20),ISNUMBER(R19)),R20&lt;R19,FALSE)),"")</f>
        <v/>
      </c>
      <c r="Z20" s="41" t="str">
        <f>IF(NOT(AND(ISNUMBER(J20),ISNUMBER(K20))),"",IF(COUNT(T20:Y20)=0,"先填阈值",IF(MAX(AD20:AI20)=0,"不写",INDEX($T$4:$Y$4,MATCH(MAX(AD20:AI20),AD20:AI20,0))&amp;"·"&amp;IF(MAX(AD20:AI20)&gt;=200,"高","中")&amp;IF(LARGE(AD20:AI20,2)&gt;0,"（也像"&amp;INDEX($T$4:$Y$4,MATCH(LARGE(AD20:AI20,2),AD20:AI20,0))&amp;"·"&amp;IF(LARGE(AD20:AI20,2)&gt;=200,"高","中")&amp;"）",""))))</f>
        <v/>
      </c>
      <c r="AA20" s="27" t="n"/>
      <c r="AB20" s="32" t="n"/>
      <c r="AC20" s="16" t="n"/>
      <c r="AD20" s="40">
        <f>IF(N(T20)&gt;=3,IF(T20=4,2,1)*100+T20*10+6,0)</f>
        <v>0</v>
      </c>
      <c r="AE20" s="40">
        <f>IF(N(U20)&gt;=3,1*100+U20*10+1,0)</f>
        <v>0</v>
      </c>
      <c r="AF20" s="40">
        <f>IF(N(V20)&gt;=3,IF(V20=4,2,1)*100+V20*10+2,0)</f>
        <v>0</v>
      </c>
      <c r="AG20" s="40">
        <f>IF(N(W20)&gt;=3,1*100+W20*10+3,0)</f>
        <v>0</v>
      </c>
      <c r="AH20" s="40">
        <f>IF(N(X20)&gt;=3,1*100+X20*10+4,0)</f>
        <v>0</v>
      </c>
      <c r="AI20" s="40">
        <f>IF(N(Y20)&gt;=3,IF(AND(N(T20)&gt;=3,OR(N(T20)=4,N(Y20)&lt;=N(T20))),0,IF(Y20=4,2,1)*100+Y20*10+5),0)</f>
        <v>0</v>
      </c>
    </row>
    <row r="21">
      <c r="A21" s="31" t="n"/>
      <c r="B21" s="36" t="str">
        <f>IF(ISNUMBER(A21),"周"&amp;CHOOSE(WEEKDAY(A21,2),"一","二","三","四","五","六","日"),"")</f>
        <v/>
      </c>
      <c r="C21" s="37" t="n"/>
      <c r="D21" s="37" t="n"/>
      <c r="E21" s="37" t="n"/>
      <c r="F21" s="17" t="n"/>
      <c r="G21" s="38" t="str">
        <f>IF(AND(ISNUMBER(F21),ISNUMBER(F20)),IF(F20=0,"",F21/F20-1),"")</f>
        <v/>
      </c>
      <c r="H21" s="17" t="n"/>
      <c r="I21" s="17" t="n"/>
      <c r="J21" s="17" t="n"/>
      <c r="K21" s="17" t="n"/>
      <c r="L21" s="17" t="n"/>
      <c r="M21" s="17" t="n"/>
      <c r="N21" s="39" t="str">
        <f>IF(AND(ISNUMBER(L21),ISNUMBER(M21),N(L21)&gt;0),M21/L21,"")</f>
        <v/>
      </c>
      <c r="O21" s="17" t="n"/>
      <c r="P21" s="17" t="n"/>
      <c r="Q21" s="39" t="str">
        <f>IF(AND(ISNUMBER(O21),ISNUMBER(P21),N(O21)&gt;0),P21/O21,"")</f>
        <v/>
      </c>
      <c r="R21" s="17" t="n"/>
      <c r="S21" s="37" t="n"/>
      <c r="T21" s="40" t="str">
        <f>IF(AND(ISNUMBER(J21),ISNUMBER(K21)),IF(N(ISNUMBER('参数'!$E$31))+N(ISNUMBER('参数'!$G$31))+N(ISNUMBER('参数'!$I$31))+N(ISNUMBER('参数'!$K$31))=0,"",IF(ISNUMBER('参数'!$E$31),J21&lt;='参数'!$E$31,FALSE)+IF(ISNUMBER('参数'!$G$31),K21&gt;='参数'!$G$31,FALSE)+IF(AND(ISNUMBER('参数'!$I$31),ISNUMBER(N21)),N21&gt;='参数'!$I$31,FALSE)+IF(AND(ISNUMBER('参数'!$K$31),ISNUMBER(Q21)),Q21&lt;='参数'!$K$31,FALSE)),"")</f>
        <v/>
      </c>
      <c r="U21" s="40" t="str">
        <f>IF(AND(ISNUMBER(J21),ISNUMBER(K21)),IF(N(ISNUMBER('参数'!$G$32))+N(ISNUMBER('参数'!$I$32))+N(ISNUMBER('参数'!$K$32))=0,"",IF(AND(ISNUMBER(J20),ISNUMBER(J19)),AND(J21&gt;J20,J20&gt;J19),FALSE)+IF(ISNUMBER('参数'!$G$32),J21&lt;'参数'!$G$32,FALSE)+IF(AND(ISNUMBER('参数'!$I$32),ISNUMBER(Q21)),Q21&gt;='参数'!$I$32,FALSE)+IF(AND(ISNUMBER('参数'!$K$32),ISNUMBER(S21)),S21&gt;='参数'!$K$32,FALSE)),"")</f>
        <v/>
      </c>
      <c r="V21" s="40" t="str">
        <f>IF(AND(ISNUMBER(J21),ISNUMBER(K21)),IF(N(ISNUMBER('参数'!$E$33))+N(ISNUMBER('参数'!$G$33))+N(ISNUMBER('参数'!$I$33))+N(ISNUMBER('参数'!$K$33))=0,"",IF(AND(ISNUMBER('参数'!$E$33),ISNUMBER(J20)),AND(J21&gt;='参数'!$E$33,J21&gt;J20),FALSE)+IF(AND(ISNUMBER('参数'!$G$33),ISNUMBER(N21)),N21&lt;='参数'!$G$33,FALSE)+IF(AND(ISNUMBER('参数'!$I$33),ISNUMBER(Q21)),Q21&gt;='参数'!$I$33,FALSE)+IF(AND(ISNUMBER('参数'!$K$33),ISNUMBER(S21)),S21&gt;='参数'!$K$33,FALSE)),"")</f>
        <v/>
      </c>
      <c r="W21" s="40" t="str">
        <f>IF(AND(ISNUMBER(J21),ISNUMBER(K21)),IF(N(ISNUMBER('参数'!$E$34))+N(ISNUMBER('参数'!$G$34))+N(ISNUMBER('参数'!$I$34))+N(ISNUMBER('参数'!$K$34))=0,"",IF(ISNUMBER('参数'!$E$34),J21&gt;='参数'!$E$34,FALSE)+IF(AND(ISNUMBER('参数'!$G$34),ISNUMBER(N21)),N21&lt;='参数'!$G$34,FALSE)+IF(AND(ISNUMBER('参数'!$I$34),ISNUMBER(S21)),S21&gt;='参数'!$I$34,FALSE)+IF(AND(ISNUMBER('参数'!$K$34),ISNUMBER(R21)),R21&gt;='参数'!$K$34,FALSE)),"")</f>
        <v/>
      </c>
      <c r="X21" s="40" t="str">
        <f>IF(AND(ISNUMBER(J21),ISNUMBER(K21)),IF(N(ISNUMBER('参数'!$E$35))+N(ISNUMBER('参数'!$G$35))+N(ISNUMBER('参数'!$I$35))=0,"",IF(AND(ISNUMBER('参数'!$E$35),ISNUMBER(N21),ISNUMBER(N20)),ROUND(N21-N20,6)&gt;='参数'!$E$35,FALSE)+IF(AND(ISNUMBER('参数'!$G$35),ISNUMBER(Q21),ISNUMBER(Q20)),ROUND(Q20-Q21,6)&gt;='参数'!$G$35,FALSE)+IF(AND(ISNUMBER('参数'!$I$35),ISNUMBER(S21),ISNUMBER(S20)),ROUND(S20-S21,6)&gt;='参数'!$I$35,FALSE)+IF(ISNUMBER(J20),J21&lt;J20,FALSE)),"")</f>
        <v/>
      </c>
      <c r="Y21" s="40" t="str">
        <f>IF(AND(ISNUMBER(J21),ISNUMBER(K21)),IF(N(ISNUMBER('参数'!$E$36))+N(ISNUMBER('参数'!$G$36))+N(ISNUMBER('参数'!$I$36))=0,"",IF(AND(ISNUMBER('参数'!$E$36),ISNUMBER(J20)),AND(J21&lt;='参数'!$E$36,J21&lt;J20),FALSE)+IF(ISNUMBER('参数'!$G$36),K21&gt;='参数'!$G$36,FALSE)+IF(AND(ISNUMBER('参数'!$I$36),ISNUMBER(S21)),S21&lt;'参数'!$I$36,FALSE)+IF(AND(ISNUMBER(R21),ISNUMBER(R20)),R21&lt;R20,FALSE)),"")</f>
        <v/>
      </c>
      <c r="Z21" s="41" t="str">
        <f>IF(NOT(AND(ISNUMBER(J21),ISNUMBER(K21))),"",IF(COUNT(T21:Y21)=0,"先填阈值",IF(MAX(AD21:AI21)=0,"不写",INDEX($T$4:$Y$4,MATCH(MAX(AD21:AI21),AD21:AI21,0))&amp;"·"&amp;IF(MAX(AD21:AI21)&gt;=200,"高","中")&amp;IF(LARGE(AD21:AI21,2)&gt;0,"（也像"&amp;INDEX($T$4:$Y$4,MATCH(LARGE(AD21:AI21,2),AD21:AI21,0))&amp;"·"&amp;IF(LARGE(AD21:AI21,2)&gt;=200,"高","中")&amp;"）",""))))</f>
        <v/>
      </c>
      <c r="AA21" s="27" t="n"/>
      <c r="AB21" s="32" t="n"/>
      <c r="AC21" s="16" t="n"/>
      <c r="AD21" s="40">
        <f>IF(N(T21)&gt;=3,IF(T21=4,2,1)*100+T21*10+6,0)</f>
        <v>0</v>
      </c>
      <c r="AE21" s="40">
        <f>IF(N(U21)&gt;=3,1*100+U21*10+1,0)</f>
        <v>0</v>
      </c>
      <c r="AF21" s="40">
        <f>IF(N(V21)&gt;=3,IF(V21=4,2,1)*100+V21*10+2,0)</f>
        <v>0</v>
      </c>
      <c r="AG21" s="40">
        <f>IF(N(W21)&gt;=3,1*100+W21*10+3,0)</f>
        <v>0</v>
      </c>
      <c r="AH21" s="40">
        <f>IF(N(X21)&gt;=3,1*100+X21*10+4,0)</f>
        <v>0</v>
      </c>
      <c r="AI21" s="40">
        <f>IF(N(Y21)&gt;=3,IF(AND(N(T21)&gt;=3,OR(N(T21)=4,N(Y21)&lt;=N(T21))),0,IF(Y21=4,2,1)*100+Y21*10+5),0)</f>
        <v>0</v>
      </c>
    </row>
    <row r="22">
      <c r="A22" s="31" t="n"/>
      <c r="B22" s="36" t="str">
        <f>IF(ISNUMBER(A22),"周"&amp;CHOOSE(WEEKDAY(A22,2),"一","二","三","四","五","六","日"),"")</f>
        <v/>
      </c>
      <c r="C22" s="37" t="n"/>
      <c r="D22" s="37" t="n"/>
      <c r="E22" s="37" t="n"/>
      <c r="F22" s="17" t="n"/>
      <c r="G22" s="38" t="str">
        <f>IF(AND(ISNUMBER(F22),ISNUMBER(F21)),IF(F21=0,"",F22/F21-1),"")</f>
        <v/>
      </c>
      <c r="H22" s="17" t="n"/>
      <c r="I22" s="17" t="n"/>
      <c r="J22" s="17" t="n"/>
      <c r="K22" s="17" t="n"/>
      <c r="L22" s="17" t="n"/>
      <c r="M22" s="17" t="n"/>
      <c r="N22" s="39" t="str">
        <f>IF(AND(ISNUMBER(L22),ISNUMBER(M22),N(L22)&gt;0),M22/L22,"")</f>
        <v/>
      </c>
      <c r="O22" s="17" t="n"/>
      <c r="P22" s="17" t="n"/>
      <c r="Q22" s="39" t="str">
        <f>IF(AND(ISNUMBER(O22),ISNUMBER(P22),N(O22)&gt;0),P22/O22,"")</f>
        <v/>
      </c>
      <c r="R22" s="17" t="n"/>
      <c r="S22" s="37" t="n"/>
      <c r="T22" s="40" t="str">
        <f>IF(AND(ISNUMBER(J22),ISNUMBER(K22)),IF(N(ISNUMBER('参数'!$E$31))+N(ISNUMBER('参数'!$G$31))+N(ISNUMBER('参数'!$I$31))+N(ISNUMBER('参数'!$K$31))=0,"",IF(ISNUMBER('参数'!$E$31),J22&lt;='参数'!$E$31,FALSE)+IF(ISNUMBER('参数'!$G$31),K22&gt;='参数'!$G$31,FALSE)+IF(AND(ISNUMBER('参数'!$I$31),ISNUMBER(N22)),N22&gt;='参数'!$I$31,FALSE)+IF(AND(ISNUMBER('参数'!$K$31),ISNUMBER(Q22)),Q22&lt;='参数'!$K$31,FALSE)),"")</f>
        <v/>
      </c>
      <c r="U22" s="40" t="str">
        <f>IF(AND(ISNUMBER(J22),ISNUMBER(K22)),IF(N(ISNUMBER('参数'!$G$32))+N(ISNUMBER('参数'!$I$32))+N(ISNUMBER('参数'!$K$32))=0,"",IF(AND(ISNUMBER(J21),ISNUMBER(J20)),AND(J22&gt;J21,J21&gt;J20),FALSE)+IF(ISNUMBER('参数'!$G$32),J22&lt;'参数'!$G$32,FALSE)+IF(AND(ISNUMBER('参数'!$I$32),ISNUMBER(Q22)),Q22&gt;='参数'!$I$32,FALSE)+IF(AND(ISNUMBER('参数'!$K$32),ISNUMBER(S22)),S22&gt;='参数'!$K$32,FALSE)),"")</f>
        <v/>
      </c>
      <c r="V22" s="40" t="str">
        <f>IF(AND(ISNUMBER(J22),ISNUMBER(K22)),IF(N(ISNUMBER('参数'!$E$33))+N(ISNUMBER('参数'!$G$33))+N(ISNUMBER('参数'!$I$33))+N(ISNUMBER('参数'!$K$33))=0,"",IF(AND(ISNUMBER('参数'!$E$33),ISNUMBER(J21)),AND(J22&gt;='参数'!$E$33,J22&gt;J21),FALSE)+IF(AND(ISNUMBER('参数'!$G$33),ISNUMBER(N22)),N22&lt;='参数'!$G$33,FALSE)+IF(AND(ISNUMBER('参数'!$I$33),ISNUMBER(Q22)),Q22&gt;='参数'!$I$33,FALSE)+IF(AND(ISNUMBER('参数'!$K$33),ISNUMBER(S22)),S22&gt;='参数'!$K$33,FALSE)),"")</f>
        <v/>
      </c>
      <c r="W22" s="40" t="str">
        <f>IF(AND(ISNUMBER(J22),ISNUMBER(K22)),IF(N(ISNUMBER('参数'!$E$34))+N(ISNUMBER('参数'!$G$34))+N(ISNUMBER('参数'!$I$34))+N(ISNUMBER('参数'!$K$34))=0,"",IF(ISNUMBER('参数'!$E$34),J22&gt;='参数'!$E$34,FALSE)+IF(AND(ISNUMBER('参数'!$G$34),ISNUMBER(N22)),N22&lt;='参数'!$G$34,FALSE)+IF(AND(ISNUMBER('参数'!$I$34),ISNUMBER(S22)),S22&gt;='参数'!$I$34,FALSE)+IF(AND(ISNUMBER('参数'!$K$34),ISNUMBER(R22)),R22&gt;='参数'!$K$34,FALSE)),"")</f>
        <v/>
      </c>
      <c r="X22" s="40" t="str">
        <f>IF(AND(ISNUMBER(J22),ISNUMBER(K22)),IF(N(ISNUMBER('参数'!$E$35))+N(ISNUMBER('参数'!$G$35))+N(ISNUMBER('参数'!$I$35))=0,"",IF(AND(ISNUMBER('参数'!$E$35),ISNUMBER(N22),ISNUMBER(N21)),ROUND(N22-N21,6)&gt;='参数'!$E$35,FALSE)+IF(AND(ISNUMBER('参数'!$G$35),ISNUMBER(Q22),ISNUMBER(Q21)),ROUND(Q21-Q22,6)&gt;='参数'!$G$35,FALSE)+IF(AND(ISNUMBER('参数'!$I$35),ISNUMBER(S22),ISNUMBER(S21)),ROUND(S21-S22,6)&gt;='参数'!$I$35,FALSE)+IF(ISNUMBER(J21),J22&lt;J21,FALSE)),"")</f>
        <v/>
      </c>
      <c r="Y22" s="40" t="str">
        <f>IF(AND(ISNUMBER(J22),ISNUMBER(K22)),IF(N(ISNUMBER('参数'!$E$36))+N(ISNUMBER('参数'!$G$36))+N(ISNUMBER('参数'!$I$36))=0,"",IF(AND(ISNUMBER('参数'!$E$36),ISNUMBER(J21)),AND(J22&lt;='参数'!$E$36,J22&lt;J21),FALSE)+IF(ISNUMBER('参数'!$G$36),K22&gt;='参数'!$G$36,FALSE)+IF(AND(ISNUMBER('参数'!$I$36),ISNUMBER(S22)),S22&lt;'参数'!$I$36,FALSE)+IF(AND(ISNUMBER(R22),ISNUMBER(R21)),R22&lt;R21,FALSE)),"")</f>
        <v/>
      </c>
      <c r="Z22" s="41" t="str">
        <f>IF(NOT(AND(ISNUMBER(J22),ISNUMBER(K22))),"",IF(COUNT(T22:Y22)=0,"先填阈值",IF(MAX(AD22:AI22)=0,"不写",INDEX($T$4:$Y$4,MATCH(MAX(AD22:AI22),AD22:AI22,0))&amp;"·"&amp;IF(MAX(AD22:AI22)&gt;=200,"高","中")&amp;IF(LARGE(AD22:AI22,2)&gt;0,"（也像"&amp;INDEX($T$4:$Y$4,MATCH(LARGE(AD22:AI22,2),AD22:AI22,0))&amp;"·"&amp;IF(LARGE(AD22:AI22,2)&gt;=200,"高","中")&amp;"）",""))))</f>
        <v/>
      </c>
      <c r="AA22" s="27" t="n"/>
      <c r="AB22" s="32" t="n"/>
      <c r="AC22" s="16" t="n"/>
      <c r="AD22" s="40">
        <f>IF(N(T22)&gt;=3,IF(T22=4,2,1)*100+T22*10+6,0)</f>
        <v>0</v>
      </c>
      <c r="AE22" s="40">
        <f>IF(N(U22)&gt;=3,1*100+U22*10+1,0)</f>
        <v>0</v>
      </c>
      <c r="AF22" s="40">
        <f>IF(N(V22)&gt;=3,IF(V22=4,2,1)*100+V22*10+2,0)</f>
        <v>0</v>
      </c>
      <c r="AG22" s="40">
        <f>IF(N(W22)&gt;=3,1*100+W22*10+3,0)</f>
        <v>0</v>
      </c>
      <c r="AH22" s="40">
        <f>IF(N(X22)&gt;=3,1*100+X22*10+4,0)</f>
        <v>0</v>
      </c>
      <c r="AI22" s="40">
        <f>IF(N(Y22)&gt;=3,IF(AND(N(T22)&gt;=3,OR(N(T22)=4,N(Y22)&lt;=N(T22))),0,IF(Y22=4,2,1)*100+Y22*10+5),0)</f>
        <v>0</v>
      </c>
    </row>
    <row r="23">
      <c r="A23" s="31" t="n"/>
      <c r="B23" s="36" t="str">
        <f>IF(ISNUMBER(A23),"周"&amp;CHOOSE(WEEKDAY(A23,2),"一","二","三","四","五","六","日"),"")</f>
        <v/>
      </c>
      <c r="C23" s="37" t="n"/>
      <c r="D23" s="37" t="n"/>
      <c r="E23" s="37" t="n"/>
      <c r="F23" s="17" t="n"/>
      <c r="G23" s="38" t="str">
        <f>IF(AND(ISNUMBER(F23),ISNUMBER(F22)),IF(F22=0,"",F23/F22-1),"")</f>
        <v/>
      </c>
      <c r="H23" s="17" t="n"/>
      <c r="I23" s="17" t="n"/>
      <c r="J23" s="17" t="n"/>
      <c r="K23" s="17" t="n"/>
      <c r="L23" s="17" t="n"/>
      <c r="M23" s="17" t="n"/>
      <c r="N23" s="39" t="str">
        <f>IF(AND(ISNUMBER(L23),ISNUMBER(M23),N(L23)&gt;0),M23/L23,"")</f>
        <v/>
      </c>
      <c r="O23" s="17" t="n"/>
      <c r="P23" s="17" t="n"/>
      <c r="Q23" s="39" t="str">
        <f>IF(AND(ISNUMBER(O23),ISNUMBER(P23),N(O23)&gt;0),P23/O23,"")</f>
        <v/>
      </c>
      <c r="R23" s="17" t="n"/>
      <c r="S23" s="37" t="n"/>
      <c r="T23" s="40" t="str">
        <f>IF(AND(ISNUMBER(J23),ISNUMBER(K23)),IF(N(ISNUMBER('参数'!$E$31))+N(ISNUMBER('参数'!$G$31))+N(ISNUMBER('参数'!$I$31))+N(ISNUMBER('参数'!$K$31))=0,"",IF(ISNUMBER('参数'!$E$31),J23&lt;='参数'!$E$31,FALSE)+IF(ISNUMBER('参数'!$G$31),K23&gt;='参数'!$G$31,FALSE)+IF(AND(ISNUMBER('参数'!$I$31),ISNUMBER(N23)),N23&gt;='参数'!$I$31,FALSE)+IF(AND(ISNUMBER('参数'!$K$31),ISNUMBER(Q23)),Q23&lt;='参数'!$K$31,FALSE)),"")</f>
        <v/>
      </c>
      <c r="U23" s="40" t="str">
        <f>IF(AND(ISNUMBER(J23),ISNUMBER(K23)),IF(N(ISNUMBER('参数'!$G$32))+N(ISNUMBER('参数'!$I$32))+N(ISNUMBER('参数'!$K$32))=0,"",IF(AND(ISNUMBER(J22),ISNUMBER(J21)),AND(J23&gt;J22,J22&gt;J21),FALSE)+IF(ISNUMBER('参数'!$G$32),J23&lt;'参数'!$G$32,FALSE)+IF(AND(ISNUMBER('参数'!$I$32),ISNUMBER(Q23)),Q23&gt;='参数'!$I$32,FALSE)+IF(AND(ISNUMBER('参数'!$K$32),ISNUMBER(S23)),S23&gt;='参数'!$K$32,FALSE)),"")</f>
        <v/>
      </c>
      <c r="V23" s="40" t="str">
        <f>IF(AND(ISNUMBER(J23),ISNUMBER(K23)),IF(N(ISNUMBER('参数'!$E$33))+N(ISNUMBER('参数'!$G$33))+N(ISNUMBER('参数'!$I$33))+N(ISNUMBER('参数'!$K$33))=0,"",IF(AND(ISNUMBER('参数'!$E$33),ISNUMBER(J22)),AND(J23&gt;='参数'!$E$33,J23&gt;J22),FALSE)+IF(AND(ISNUMBER('参数'!$G$33),ISNUMBER(N23)),N23&lt;='参数'!$G$33,FALSE)+IF(AND(ISNUMBER('参数'!$I$33),ISNUMBER(Q23)),Q23&gt;='参数'!$I$33,FALSE)+IF(AND(ISNUMBER('参数'!$K$33),ISNUMBER(S23)),S23&gt;='参数'!$K$33,FALSE)),"")</f>
        <v/>
      </c>
      <c r="W23" s="40" t="str">
        <f>IF(AND(ISNUMBER(J23),ISNUMBER(K23)),IF(N(ISNUMBER('参数'!$E$34))+N(ISNUMBER('参数'!$G$34))+N(ISNUMBER('参数'!$I$34))+N(ISNUMBER('参数'!$K$34))=0,"",IF(ISNUMBER('参数'!$E$34),J23&gt;='参数'!$E$34,FALSE)+IF(AND(ISNUMBER('参数'!$G$34),ISNUMBER(N23)),N23&lt;='参数'!$G$34,FALSE)+IF(AND(ISNUMBER('参数'!$I$34),ISNUMBER(S23)),S23&gt;='参数'!$I$34,FALSE)+IF(AND(ISNUMBER('参数'!$K$34),ISNUMBER(R23)),R23&gt;='参数'!$K$34,FALSE)),"")</f>
        <v/>
      </c>
      <c r="X23" s="40" t="str">
        <f>IF(AND(ISNUMBER(J23),ISNUMBER(K23)),IF(N(ISNUMBER('参数'!$E$35))+N(ISNUMBER('参数'!$G$35))+N(ISNUMBER('参数'!$I$35))=0,"",IF(AND(ISNUMBER('参数'!$E$35),ISNUMBER(N23),ISNUMBER(N22)),ROUND(N23-N22,6)&gt;='参数'!$E$35,FALSE)+IF(AND(ISNUMBER('参数'!$G$35),ISNUMBER(Q23),ISNUMBER(Q22)),ROUND(Q22-Q23,6)&gt;='参数'!$G$35,FALSE)+IF(AND(ISNUMBER('参数'!$I$35),ISNUMBER(S23),ISNUMBER(S22)),ROUND(S22-S23,6)&gt;='参数'!$I$35,FALSE)+IF(ISNUMBER(J22),J23&lt;J22,FALSE)),"")</f>
        <v/>
      </c>
      <c r="Y23" s="40" t="str">
        <f>IF(AND(ISNUMBER(J23),ISNUMBER(K23)),IF(N(ISNUMBER('参数'!$E$36))+N(ISNUMBER('参数'!$G$36))+N(ISNUMBER('参数'!$I$36))=0,"",IF(AND(ISNUMBER('参数'!$E$36),ISNUMBER(J22)),AND(J23&lt;='参数'!$E$36,J23&lt;J22),FALSE)+IF(ISNUMBER('参数'!$G$36),K23&gt;='参数'!$G$36,FALSE)+IF(AND(ISNUMBER('参数'!$I$36),ISNUMBER(S23)),S23&lt;'参数'!$I$36,FALSE)+IF(AND(ISNUMBER(R23),ISNUMBER(R22)),R23&lt;R22,FALSE)),"")</f>
        <v/>
      </c>
      <c r="Z23" s="41" t="str">
        <f>IF(NOT(AND(ISNUMBER(J23),ISNUMBER(K23))),"",IF(COUNT(T23:Y23)=0,"先填阈值",IF(MAX(AD23:AI23)=0,"不写",INDEX($T$4:$Y$4,MATCH(MAX(AD23:AI23),AD23:AI23,0))&amp;"·"&amp;IF(MAX(AD23:AI23)&gt;=200,"高","中")&amp;IF(LARGE(AD23:AI23,2)&gt;0,"（也像"&amp;INDEX($T$4:$Y$4,MATCH(LARGE(AD23:AI23,2),AD23:AI23,0))&amp;"·"&amp;IF(LARGE(AD23:AI23,2)&gt;=200,"高","中")&amp;"）",""))))</f>
        <v/>
      </c>
      <c r="AA23" s="27" t="n"/>
      <c r="AB23" s="32" t="n"/>
      <c r="AC23" s="16" t="n"/>
      <c r="AD23" s="40">
        <f>IF(N(T23)&gt;=3,IF(T23=4,2,1)*100+T23*10+6,0)</f>
        <v>0</v>
      </c>
      <c r="AE23" s="40">
        <f>IF(N(U23)&gt;=3,1*100+U23*10+1,0)</f>
        <v>0</v>
      </c>
      <c r="AF23" s="40">
        <f>IF(N(V23)&gt;=3,IF(V23=4,2,1)*100+V23*10+2,0)</f>
        <v>0</v>
      </c>
      <c r="AG23" s="40">
        <f>IF(N(W23)&gt;=3,1*100+W23*10+3,0)</f>
        <v>0</v>
      </c>
      <c r="AH23" s="40">
        <f>IF(N(X23)&gt;=3,1*100+X23*10+4,0)</f>
        <v>0</v>
      </c>
      <c r="AI23" s="40">
        <f>IF(N(Y23)&gt;=3,IF(AND(N(T23)&gt;=3,OR(N(T23)=4,N(Y23)&lt;=N(T23))),0,IF(Y23=4,2,1)*100+Y23*10+5),0)</f>
        <v>0</v>
      </c>
    </row>
    <row r="24">
      <c r="A24" s="31" t="n"/>
      <c r="B24" s="36" t="str">
        <f>IF(ISNUMBER(A24),"周"&amp;CHOOSE(WEEKDAY(A24,2),"一","二","三","四","五","六","日"),"")</f>
        <v/>
      </c>
      <c r="C24" s="37" t="n"/>
      <c r="D24" s="37" t="n"/>
      <c r="E24" s="37" t="n"/>
      <c r="F24" s="17" t="n"/>
      <c r="G24" s="38" t="str">
        <f>IF(AND(ISNUMBER(F24),ISNUMBER(F23)),IF(F23=0,"",F24/F23-1),"")</f>
        <v/>
      </c>
      <c r="H24" s="17" t="n"/>
      <c r="I24" s="17" t="n"/>
      <c r="J24" s="17" t="n"/>
      <c r="K24" s="17" t="n"/>
      <c r="L24" s="17" t="n"/>
      <c r="M24" s="17" t="n"/>
      <c r="N24" s="39" t="str">
        <f>IF(AND(ISNUMBER(L24),ISNUMBER(M24),N(L24)&gt;0),M24/L24,"")</f>
        <v/>
      </c>
      <c r="O24" s="17" t="n"/>
      <c r="P24" s="17" t="n"/>
      <c r="Q24" s="39" t="str">
        <f>IF(AND(ISNUMBER(O24),ISNUMBER(P24),N(O24)&gt;0),P24/O24,"")</f>
        <v/>
      </c>
      <c r="R24" s="17" t="n"/>
      <c r="S24" s="37" t="n"/>
      <c r="T24" s="40" t="str">
        <f>IF(AND(ISNUMBER(J24),ISNUMBER(K24)),IF(N(ISNUMBER('参数'!$E$31))+N(ISNUMBER('参数'!$G$31))+N(ISNUMBER('参数'!$I$31))+N(ISNUMBER('参数'!$K$31))=0,"",IF(ISNUMBER('参数'!$E$31),J24&lt;='参数'!$E$31,FALSE)+IF(ISNUMBER('参数'!$G$31),K24&gt;='参数'!$G$31,FALSE)+IF(AND(ISNUMBER('参数'!$I$31),ISNUMBER(N24)),N24&gt;='参数'!$I$31,FALSE)+IF(AND(ISNUMBER('参数'!$K$31),ISNUMBER(Q24)),Q24&lt;='参数'!$K$31,FALSE)),"")</f>
        <v/>
      </c>
      <c r="U24" s="40" t="str">
        <f>IF(AND(ISNUMBER(J24),ISNUMBER(K24)),IF(N(ISNUMBER('参数'!$G$32))+N(ISNUMBER('参数'!$I$32))+N(ISNUMBER('参数'!$K$32))=0,"",IF(AND(ISNUMBER(J23),ISNUMBER(J22)),AND(J24&gt;J23,J23&gt;J22),FALSE)+IF(ISNUMBER('参数'!$G$32),J24&lt;'参数'!$G$32,FALSE)+IF(AND(ISNUMBER('参数'!$I$32),ISNUMBER(Q24)),Q24&gt;='参数'!$I$32,FALSE)+IF(AND(ISNUMBER('参数'!$K$32),ISNUMBER(S24)),S24&gt;='参数'!$K$32,FALSE)),"")</f>
        <v/>
      </c>
      <c r="V24" s="40" t="str">
        <f>IF(AND(ISNUMBER(J24),ISNUMBER(K24)),IF(N(ISNUMBER('参数'!$E$33))+N(ISNUMBER('参数'!$G$33))+N(ISNUMBER('参数'!$I$33))+N(ISNUMBER('参数'!$K$33))=0,"",IF(AND(ISNUMBER('参数'!$E$33),ISNUMBER(J23)),AND(J24&gt;='参数'!$E$33,J24&gt;J23),FALSE)+IF(AND(ISNUMBER('参数'!$G$33),ISNUMBER(N24)),N24&lt;='参数'!$G$33,FALSE)+IF(AND(ISNUMBER('参数'!$I$33),ISNUMBER(Q24)),Q24&gt;='参数'!$I$33,FALSE)+IF(AND(ISNUMBER('参数'!$K$33),ISNUMBER(S24)),S24&gt;='参数'!$K$33,FALSE)),"")</f>
        <v/>
      </c>
      <c r="W24" s="40" t="str">
        <f>IF(AND(ISNUMBER(J24),ISNUMBER(K24)),IF(N(ISNUMBER('参数'!$E$34))+N(ISNUMBER('参数'!$G$34))+N(ISNUMBER('参数'!$I$34))+N(ISNUMBER('参数'!$K$34))=0,"",IF(ISNUMBER('参数'!$E$34),J24&gt;='参数'!$E$34,FALSE)+IF(AND(ISNUMBER('参数'!$G$34),ISNUMBER(N24)),N24&lt;='参数'!$G$34,FALSE)+IF(AND(ISNUMBER('参数'!$I$34),ISNUMBER(S24)),S24&gt;='参数'!$I$34,FALSE)+IF(AND(ISNUMBER('参数'!$K$34),ISNUMBER(R24)),R24&gt;='参数'!$K$34,FALSE)),"")</f>
        <v/>
      </c>
      <c r="X24" s="40" t="str">
        <f>IF(AND(ISNUMBER(J24),ISNUMBER(K24)),IF(N(ISNUMBER('参数'!$E$35))+N(ISNUMBER('参数'!$G$35))+N(ISNUMBER('参数'!$I$35))=0,"",IF(AND(ISNUMBER('参数'!$E$35),ISNUMBER(N24),ISNUMBER(N23)),ROUND(N24-N23,6)&gt;='参数'!$E$35,FALSE)+IF(AND(ISNUMBER('参数'!$G$35),ISNUMBER(Q24),ISNUMBER(Q23)),ROUND(Q23-Q24,6)&gt;='参数'!$G$35,FALSE)+IF(AND(ISNUMBER('参数'!$I$35),ISNUMBER(S24),ISNUMBER(S23)),ROUND(S23-S24,6)&gt;='参数'!$I$35,FALSE)+IF(ISNUMBER(J23),J24&lt;J23,FALSE)),"")</f>
        <v/>
      </c>
      <c r="Y24" s="40" t="str">
        <f>IF(AND(ISNUMBER(J24),ISNUMBER(K24)),IF(N(ISNUMBER('参数'!$E$36))+N(ISNUMBER('参数'!$G$36))+N(ISNUMBER('参数'!$I$36))=0,"",IF(AND(ISNUMBER('参数'!$E$36),ISNUMBER(J23)),AND(J24&lt;='参数'!$E$36,J24&lt;J23),FALSE)+IF(ISNUMBER('参数'!$G$36),K24&gt;='参数'!$G$36,FALSE)+IF(AND(ISNUMBER('参数'!$I$36),ISNUMBER(S24)),S24&lt;'参数'!$I$36,FALSE)+IF(AND(ISNUMBER(R24),ISNUMBER(R23)),R24&lt;R23,FALSE)),"")</f>
        <v/>
      </c>
      <c r="Z24" s="41" t="str">
        <f>IF(NOT(AND(ISNUMBER(J24),ISNUMBER(K24))),"",IF(COUNT(T24:Y24)=0,"先填阈值",IF(MAX(AD24:AI24)=0,"不写",INDEX($T$4:$Y$4,MATCH(MAX(AD24:AI24),AD24:AI24,0))&amp;"·"&amp;IF(MAX(AD24:AI24)&gt;=200,"高","中")&amp;IF(LARGE(AD24:AI24,2)&gt;0,"（也像"&amp;INDEX($T$4:$Y$4,MATCH(LARGE(AD24:AI24,2),AD24:AI24,0))&amp;"·"&amp;IF(LARGE(AD24:AI24,2)&gt;=200,"高","中")&amp;"）",""))))</f>
        <v/>
      </c>
      <c r="AA24" s="27" t="n"/>
      <c r="AB24" s="32" t="n"/>
      <c r="AC24" s="16" t="n"/>
      <c r="AD24" s="40">
        <f>IF(N(T24)&gt;=3,IF(T24=4,2,1)*100+T24*10+6,0)</f>
        <v>0</v>
      </c>
      <c r="AE24" s="40">
        <f>IF(N(U24)&gt;=3,1*100+U24*10+1,0)</f>
        <v>0</v>
      </c>
      <c r="AF24" s="40">
        <f>IF(N(V24)&gt;=3,IF(V24=4,2,1)*100+V24*10+2,0)</f>
        <v>0</v>
      </c>
      <c r="AG24" s="40">
        <f>IF(N(W24)&gt;=3,1*100+W24*10+3,0)</f>
        <v>0</v>
      </c>
      <c r="AH24" s="40">
        <f>IF(N(X24)&gt;=3,1*100+X24*10+4,0)</f>
        <v>0</v>
      </c>
      <c r="AI24" s="40">
        <f>IF(N(Y24)&gt;=3,IF(AND(N(T24)&gt;=3,OR(N(T24)=4,N(Y24)&lt;=N(T24))),0,IF(Y24=4,2,1)*100+Y24*10+5),0)</f>
        <v>0</v>
      </c>
    </row>
    <row r="25">
      <c r="A25" s="31" t="n"/>
      <c r="B25" s="36" t="str">
        <f>IF(ISNUMBER(A25),"周"&amp;CHOOSE(WEEKDAY(A25,2),"一","二","三","四","五","六","日"),"")</f>
        <v/>
      </c>
      <c r="C25" s="37" t="n"/>
      <c r="D25" s="37" t="n"/>
      <c r="E25" s="37" t="n"/>
      <c r="F25" s="17" t="n"/>
      <c r="G25" s="38" t="str">
        <f>IF(AND(ISNUMBER(F25),ISNUMBER(F24)),IF(F24=0,"",F25/F24-1),"")</f>
        <v/>
      </c>
      <c r="H25" s="17" t="n"/>
      <c r="I25" s="17" t="n"/>
      <c r="J25" s="17" t="n"/>
      <c r="K25" s="17" t="n"/>
      <c r="L25" s="17" t="n"/>
      <c r="M25" s="17" t="n"/>
      <c r="N25" s="39" t="str">
        <f>IF(AND(ISNUMBER(L25),ISNUMBER(M25),N(L25)&gt;0),M25/L25,"")</f>
        <v/>
      </c>
      <c r="O25" s="17" t="n"/>
      <c r="P25" s="17" t="n"/>
      <c r="Q25" s="39" t="str">
        <f>IF(AND(ISNUMBER(O25),ISNUMBER(P25),N(O25)&gt;0),P25/O25,"")</f>
        <v/>
      </c>
      <c r="R25" s="17" t="n"/>
      <c r="S25" s="37" t="n"/>
      <c r="T25" s="40" t="str">
        <f>IF(AND(ISNUMBER(J25),ISNUMBER(K25)),IF(N(ISNUMBER('参数'!$E$31))+N(ISNUMBER('参数'!$G$31))+N(ISNUMBER('参数'!$I$31))+N(ISNUMBER('参数'!$K$31))=0,"",IF(ISNUMBER('参数'!$E$31),J25&lt;='参数'!$E$31,FALSE)+IF(ISNUMBER('参数'!$G$31),K25&gt;='参数'!$G$31,FALSE)+IF(AND(ISNUMBER('参数'!$I$31),ISNUMBER(N25)),N25&gt;='参数'!$I$31,FALSE)+IF(AND(ISNUMBER('参数'!$K$31),ISNUMBER(Q25)),Q25&lt;='参数'!$K$31,FALSE)),"")</f>
        <v/>
      </c>
      <c r="U25" s="40" t="str">
        <f>IF(AND(ISNUMBER(J25),ISNUMBER(K25)),IF(N(ISNUMBER('参数'!$G$32))+N(ISNUMBER('参数'!$I$32))+N(ISNUMBER('参数'!$K$32))=0,"",IF(AND(ISNUMBER(J24),ISNUMBER(J23)),AND(J25&gt;J24,J24&gt;J23),FALSE)+IF(ISNUMBER('参数'!$G$32),J25&lt;'参数'!$G$32,FALSE)+IF(AND(ISNUMBER('参数'!$I$32),ISNUMBER(Q25)),Q25&gt;='参数'!$I$32,FALSE)+IF(AND(ISNUMBER('参数'!$K$32),ISNUMBER(S25)),S25&gt;='参数'!$K$32,FALSE)),"")</f>
        <v/>
      </c>
      <c r="V25" s="40" t="str">
        <f>IF(AND(ISNUMBER(J25),ISNUMBER(K25)),IF(N(ISNUMBER('参数'!$E$33))+N(ISNUMBER('参数'!$G$33))+N(ISNUMBER('参数'!$I$33))+N(ISNUMBER('参数'!$K$33))=0,"",IF(AND(ISNUMBER('参数'!$E$33),ISNUMBER(J24)),AND(J25&gt;='参数'!$E$33,J25&gt;J24),FALSE)+IF(AND(ISNUMBER('参数'!$G$33),ISNUMBER(N25)),N25&lt;='参数'!$G$33,FALSE)+IF(AND(ISNUMBER('参数'!$I$33),ISNUMBER(Q25)),Q25&gt;='参数'!$I$33,FALSE)+IF(AND(ISNUMBER('参数'!$K$33),ISNUMBER(S25)),S25&gt;='参数'!$K$33,FALSE)),"")</f>
        <v/>
      </c>
      <c r="W25" s="40" t="str">
        <f>IF(AND(ISNUMBER(J25),ISNUMBER(K25)),IF(N(ISNUMBER('参数'!$E$34))+N(ISNUMBER('参数'!$G$34))+N(ISNUMBER('参数'!$I$34))+N(ISNUMBER('参数'!$K$34))=0,"",IF(ISNUMBER('参数'!$E$34),J25&gt;='参数'!$E$34,FALSE)+IF(AND(ISNUMBER('参数'!$G$34),ISNUMBER(N25)),N25&lt;='参数'!$G$34,FALSE)+IF(AND(ISNUMBER('参数'!$I$34),ISNUMBER(S25)),S25&gt;='参数'!$I$34,FALSE)+IF(AND(ISNUMBER('参数'!$K$34),ISNUMBER(R25)),R25&gt;='参数'!$K$34,FALSE)),"")</f>
        <v/>
      </c>
      <c r="X25" s="40" t="str">
        <f>IF(AND(ISNUMBER(J25),ISNUMBER(K25)),IF(N(ISNUMBER('参数'!$E$35))+N(ISNUMBER('参数'!$G$35))+N(ISNUMBER('参数'!$I$35))=0,"",IF(AND(ISNUMBER('参数'!$E$35),ISNUMBER(N25),ISNUMBER(N24)),ROUND(N25-N24,6)&gt;='参数'!$E$35,FALSE)+IF(AND(ISNUMBER('参数'!$G$35),ISNUMBER(Q25),ISNUMBER(Q24)),ROUND(Q24-Q25,6)&gt;='参数'!$G$35,FALSE)+IF(AND(ISNUMBER('参数'!$I$35),ISNUMBER(S25),ISNUMBER(S24)),ROUND(S24-S25,6)&gt;='参数'!$I$35,FALSE)+IF(ISNUMBER(J24),J25&lt;J24,FALSE)),"")</f>
        <v/>
      </c>
      <c r="Y25" s="40" t="str">
        <f>IF(AND(ISNUMBER(J25),ISNUMBER(K25)),IF(N(ISNUMBER('参数'!$E$36))+N(ISNUMBER('参数'!$G$36))+N(ISNUMBER('参数'!$I$36))=0,"",IF(AND(ISNUMBER('参数'!$E$36),ISNUMBER(J24)),AND(J25&lt;='参数'!$E$36,J25&lt;J24),FALSE)+IF(ISNUMBER('参数'!$G$36),K25&gt;='参数'!$G$36,FALSE)+IF(AND(ISNUMBER('参数'!$I$36),ISNUMBER(S25)),S25&lt;'参数'!$I$36,FALSE)+IF(AND(ISNUMBER(R25),ISNUMBER(R24)),R25&lt;R24,FALSE)),"")</f>
        <v/>
      </c>
      <c r="Z25" s="41" t="str">
        <f>IF(NOT(AND(ISNUMBER(J25),ISNUMBER(K25))),"",IF(COUNT(T25:Y25)=0,"先填阈值",IF(MAX(AD25:AI25)=0,"不写",INDEX($T$4:$Y$4,MATCH(MAX(AD25:AI25),AD25:AI25,0))&amp;"·"&amp;IF(MAX(AD25:AI25)&gt;=200,"高","中")&amp;IF(LARGE(AD25:AI25,2)&gt;0,"（也像"&amp;INDEX($T$4:$Y$4,MATCH(LARGE(AD25:AI25,2),AD25:AI25,0))&amp;"·"&amp;IF(LARGE(AD25:AI25,2)&gt;=200,"高","中")&amp;"）",""))))</f>
        <v/>
      </c>
      <c r="AA25" s="27" t="n"/>
      <c r="AB25" s="32" t="n"/>
      <c r="AC25" s="16" t="n"/>
      <c r="AD25" s="40">
        <f>IF(N(T25)&gt;=3,IF(T25=4,2,1)*100+T25*10+6,0)</f>
        <v>0</v>
      </c>
      <c r="AE25" s="40">
        <f>IF(N(U25)&gt;=3,1*100+U25*10+1,0)</f>
        <v>0</v>
      </c>
      <c r="AF25" s="40">
        <f>IF(N(V25)&gt;=3,IF(V25=4,2,1)*100+V25*10+2,0)</f>
        <v>0</v>
      </c>
      <c r="AG25" s="40">
        <f>IF(N(W25)&gt;=3,1*100+W25*10+3,0)</f>
        <v>0</v>
      </c>
      <c r="AH25" s="40">
        <f>IF(N(X25)&gt;=3,1*100+X25*10+4,0)</f>
        <v>0</v>
      </c>
      <c r="AI25" s="40">
        <f>IF(N(Y25)&gt;=3,IF(AND(N(T25)&gt;=3,OR(N(T25)=4,N(Y25)&lt;=N(T25))),0,IF(Y25=4,2,1)*100+Y25*10+5),0)</f>
        <v>0</v>
      </c>
    </row>
    <row r="26">
      <c r="A26" s="31" t="n"/>
      <c r="B26" s="36" t="str">
        <f>IF(ISNUMBER(A26),"周"&amp;CHOOSE(WEEKDAY(A26,2),"一","二","三","四","五","六","日"),"")</f>
        <v/>
      </c>
      <c r="C26" s="37" t="n"/>
      <c r="D26" s="37" t="n"/>
      <c r="E26" s="37" t="n"/>
      <c r="F26" s="17" t="n"/>
      <c r="G26" s="38" t="str">
        <f>IF(AND(ISNUMBER(F26),ISNUMBER(F25)),IF(F25=0,"",F26/F25-1),"")</f>
        <v/>
      </c>
      <c r="H26" s="17" t="n"/>
      <c r="I26" s="17" t="n"/>
      <c r="J26" s="17" t="n"/>
      <c r="K26" s="17" t="n"/>
      <c r="L26" s="17" t="n"/>
      <c r="M26" s="17" t="n"/>
      <c r="N26" s="39" t="str">
        <f>IF(AND(ISNUMBER(L26),ISNUMBER(M26),N(L26)&gt;0),M26/L26,"")</f>
        <v/>
      </c>
      <c r="O26" s="17" t="n"/>
      <c r="P26" s="17" t="n"/>
      <c r="Q26" s="39" t="str">
        <f>IF(AND(ISNUMBER(O26),ISNUMBER(P26),N(O26)&gt;0),P26/O26,"")</f>
        <v/>
      </c>
      <c r="R26" s="17" t="n"/>
      <c r="S26" s="37" t="n"/>
      <c r="T26" s="40" t="str">
        <f>IF(AND(ISNUMBER(J26),ISNUMBER(K26)),IF(N(ISNUMBER('参数'!$E$31))+N(ISNUMBER('参数'!$G$31))+N(ISNUMBER('参数'!$I$31))+N(ISNUMBER('参数'!$K$31))=0,"",IF(ISNUMBER('参数'!$E$31),J26&lt;='参数'!$E$31,FALSE)+IF(ISNUMBER('参数'!$G$31),K26&gt;='参数'!$G$31,FALSE)+IF(AND(ISNUMBER('参数'!$I$31),ISNUMBER(N26)),N26&gt;='参数'!$I$31,FALSE)+IF(AND(ISNUMBER('参数'!$K$31),ISNUMBER(Q26)),Q26&lt;='参数'!$K$31,FALSE)),"")</f>
        <v/>
      </c>
      <c r="U26" s="40" t="str">
        <f>IF(AND(ISNUMBER(J26),ISNUMBER(K26)),IF(N(ISNUMBER('参数'!$G$32))+N(ISNUMBER('参数'!$I$32))+N(ISNUMBER('参数'!$K$32))=0,"",IF(AND(ISNUMBER(J25),ISNUMBER(J24)),AND(J26&gt;J25,J25&gt;J24),FALSE)+IF(ISNUMBER('参数'!$G$32),J26&lt;'参数'!$G$32,FALSE)+IF(AND(ISNUMBER('参数'!$I$32),ISNUMBER(Q26)),Q26&gt;='参数'!$I$32,FALSE)+IF(AND(ISNUMBER('参数'!$K$32),ISNUMBER(S26)),S26&gt;='参数'!$K$32,FALSE)),"")</f>
        <v/>
      </c>
      <c r="V26" s="40" t="str">
        <f>IF(AND(ISNUMBER(J26),ISNUMBER(K26)),IF(N(ISNUMBER('参数'!$E$33))+N(ISNUMBER('参数'!$G$33))+N(ISNUMBER('参数'!$I$33))+N(ISNUMBER('参数'!$K$33))=0,"",IF(AND(ISNUMBER('参数'!$E$33),ISNUMBER(J25)),AND(J26&gt;='参数'!$E$33,J26&gt;J25),FALSE)+IF(AND(ISNUMBER('参数'!$G$33),ISNUMBER(N26)),N26&lt;='参数'!$G$33,FALSE)+IF(AND(ISNUMBER('参数'!$I$33),ISNUMBER(Q26)),Q26&gt;='参数'!$I$33,FALSE)+IF(AND(ISNUMBER('参数'!$K$33),ISNUMBER(S26)),S26&gt;='参数'!$K$33,FALSE)),"")</f>
        <v/>
      </c>
      <c r="W26" s="40" t="str">
        <f>IF(AND(ISNUMBER(J26),ISNUMBER(K26)),IF(N(ISNUMBER('参数'!$E$34))+N(ISNUMBER('参数'!$G$34))+N(ISNUMBER('参数'!$I$34))+N(ISNUMBER('参数'!$K$34))=0,"",IF(ISNUMBER('参数'!$E$34),J26&gt;='参数'!$E$34,FALSE)+IF(AND(ISNUMBER('参数'!$G$34),ISNUMBER(N26)),N26&lt;='参数'!$G$34,FALSE)+IF(AND(ISNUMBER('参数'!$I$34),ISNUMBER(S26)),S26&gt;='参数'!$I$34,FALSE)+IF(AND(ISNUMBER('参数'!$K$34),ISNUMBER(R26)),R26&gt;='参数'!$K$34,FALSE)),"")</f>
        <v/>
      </c>
      <c r="X26" s="40" t="str">
        <f>IF(AND(ISNUMBER(J26),ISNUMBER(K26)),IF(N(ISNUMBER('参数'!$E$35))+N(ISNUMBER('参数'!$G$35))+N(ISNUMBER('参数'!$I$35))=0,"",IF(AND(ISNUMBER('参数'!$E$35),ISNUMBER(N26),ISNUMBER(N25)),ROUND(N26-N25,6)&gt;='参数'!$E$35,FALSE)+IF(AND(ISNUMBER('参数'!$G$35),ISNUMBER(Q26),ISNUMBER(Q25)),ROUND(Q25-Q26,6)&gt;='参数'!$G$35,FALSE)+IF(AND(ISNUMBER('参数'!$I$35),ISNUMBER(S26),ISNUMBER(S25)),ROUND(S25-S26,6)&gt;='参数'!$I$35,FALSE)+IF(ISNUMBER(J25),J26&lt;J25,FALSE)),"")</f>
        <v/>
      </c>
      <c r="Y26" s="40" t="str">
        <f>IF(AND(ISNUMBER(J26),ISNUMBER(K26)),IF(N(ISNUMBER('参数'!$E$36))+N(ISNUMBER('参数'!$G$36))+N(ISNUMBER('参数'!$I$36))=0,"",IF(AND(ISNUMBER('参数'!$E$36),ISNUMBER(J25)),AND(J26&lt;='参数'!$E$36,J26&lt;J25),FALSE)+IF(ISNUMBER('参数'!$G$36),K26&gt;='参数'!$G$36,FALSE)+IF(AND(ISNUMBER('参数'!$I$36),ISNUMBER(S26)),S26&lt;'参数'!$I$36,FALSE)+IF(AND(ISNUMBER(R26),ISNUMBER(R25)),R26&lt;R25,FALSE)),"")</f>
        <v/>
      </c>
      <c r="Z26" s="41" t="str">
        <f>IF(NOT(AND(ISNUMBER(J26),ISNUMBER(K26))),"",IF(COUNT(T26:Y26)=0,"先填阈值",IF(MAX(AD26:AI26)=0,"不写",INDEX($T$4:$Y$4,MATCH(MAX(AD26:AI26),AD26:AI26,0))&amp;"·"&amp;IF(MAX(AD26:AI26)&gt;=200,"高","中")&amp;IF(LARGE(AD26:AI26,2)&gt;0,"（也像"&amp;INDEX($T$4:$Y$4,MATCH(LARGE(AD26:AI26,2),AD26:AI26,0))&amp;"·"&amp;IF(LARGE(AD26:AI26,2)&gt;=200,"高","中")&amp;"）",""))))</f>
        <v/>
      </c>
      <c r="AA26" s="27" t="n"/>
      <c r="AB26" s="32" t="n"/>
      <c r="AC26" s="16" t="n"/>
      <c r="AD26" s="40">
        <f>IF(N(T26)&gt;=3,IF(T26=4,2,1)*100+T26*10+6,0)</f>
        <v>0</v>
      </c>
      <c r="AE26" s="40">
        <f>IF(N(U26)&gt;=3,1*100+U26*10+1,0)</f>
        <v>0</v>
      </c>
      <c r="AF26" s="40">
        <f>IF(N(V26)&gt;=3,IF(V26=4,2,1)*100+V26*10+2,0)</f>
        <v>0</v>
      </c>
      <c r="AG26" s="40">
        <f>IF(N(W26)&gt;=3,1*100+W26*10+3,0)</f>
        <v>0</v>
      </c>
      <c r="AH26" s="40">
        <f>IF(N(X26)&gt;=3,1*100+X26*10+4,0)</f>
        <v>0</v>
      </c>
      <c r="AI26" s="40">
        <f>IF(N(Y26)&gt;=3,IF(AND(N(T26)&gt;=3,OR(N(T26)=4,N(Y26)&lt;=N(T26))),0,IF(Y26=4,2,1)*100+Y26*10+5),0)</f>
        <v>0</v>
      </c>
    </row>
    <row r="27">
      <c r="A27" s="31" t="n"/>
      <c r="B27" s="36" t="str">
        <f>IF(ISNUMBER(A27),"周"&amp;CHOOSE(WEEKDAY(A27,2),"一","二","三","四","五","六","日"),"")</f>
        <v/>
      </c>
      <c r="C27" s="37" t="n"/>
      <c r="D27" s="37" t="n"/>
      <c r="E27" s="37" t="n"/>
      <c r="F27" s="17" t="n"/>
      <c r="G27" s="38" t="str">
        <f>IF(AND(ISNUMBER(F27),ISNUMBER(F26)),IF(F26=0,"",F27/F26-1),"")</f>
        <v/>
      </c>
      <c r="H27" s="17" t="n"/>
      <c r="I27" s="17" t="n"/>
      <c r="J27" s="17" t="n"/>
      <c r="K27" s="17" t="n"/>
      <c r="L27" s="17" t="n"/>
      <c r="M27" s="17" t="n"/>
      <c r="N27" s="39" t="str">
        <f>IF(AND(ISNUMBER(L27),ISNUMBER(M27),N(L27)&gt;0),M27/L27,"")</f>
        <v/>
      </c>
      <c r="O27" s="17" t="n"/>
      <c r="P27" s="17" t="n"/>
      <c r="Q27" s="39" t="str">
        <f>IF(AND(ISNUMBER(O27),ISNUMBER(P27),N(O27)&gt;0),P27/O27,"")</f>
        <v/>
      </c>
      <c r="R27" s="17" t="n"/>
      <c r="S27" s="37" t="n"/>
      <c r="T27" s="40" t="str">
        <f>IF(AND(ISNUMBER(J27),ISNUMBER(K27)),IF(N(ISNUMBER('参数'!$E$31))+N(ISNUMBER('参数'!$G$31))+N(ISNUMBER('参数'!$I$31))+N(ISNUMBER('参数'!$K$31))=0,"",IF(ISNUMBER('参数'!$E$31),J27&lt;='参数'!$E$31,FALSE)+IF(ISNUMBER('参数'!$G$31),K27&gt;='参数'!$G$31,FALSE)+IF(AND(ISNUMBER('参数'!$I$31),ISNUMBER(N27)),N27&gt;='参数'!$I$31,FALSE)+IF(AND(ISNUMBER('参数'!$K$31),ISNUMBER(Q27)),Q27&lt;='参数'!$K$31,FALSE)),"")</f>
        <v/>
      </c>
      <c r="U27" s="40" t="str">
        <f>IF(AND(ISNUMBER(J27),ISNUMBER(K27)),IF(N(ISNUMBER('参数'!$G$32))+N(ISNUMBER('参数'!$I$32))+N(ISNUMBER('参数'!$K$32))=0,"",IF(AND(ISNUMBER(J26),ISNUMBER(J25)),AND(J27&gt;J26,J26&gt;J25),FALSE)+IF(ISNUMBER('参数'!$G$32),J27&lt;'参数'!$G$32,FALSE)+IF(AND(ISNUMBER('参数'!$I$32),ISNUMBER(Q27)),Q27&gt;='参数'!$I$32,FALSE)+IF(AND(ISNUMBER('参数'!$K$32),ISNUMBER(S27)),S27&gt;='参数'!$K$32,FALSE)),"")</f>
        <v/>
      </c>
      <c r="V27" s="40" t="str">
        <f>IF(AND(ISNUMBER(J27),ISNUMBER(K27)),IF(N(ISNUMBER('参数'!$E$33))+N(ISNUMBER('参数'!$G$33))+N(ISNUMBER('参数'!$I$33))+N(ISNUMBER('参数'!$K$33))=0,"",IF(AND(ISNUMBER('参数'!$E$33),ISNUMBER(J26)),AND(J27&gt;='参数'!$E$33,J27&gt;J26),FALSE)+IF(AND(ISNUMBER('参数'!$G$33),ISNUMBER(N27)),N27&lt;='参数'!$G$33,FALSE)+IF(AND(ISNUMBER('参数'!$I$33),ISNUMBER(Q27)),Q27&gt;='参数'!$I$33,FALSE)+IF(AND(ISNUMBER('参数'!$K$33),ISNUMBER(S27)),S27&gt;='参数'!$K$33,FALSE)),"")</f>
        <v/>
      </c>
      <c r="W27" s="40" t="str">
        <f>IF(AND(ISNUMBER(J27),ISNUMBER(K27)),IF(N(ISNUMBER('参数'!$E$34))+N(ISNUMBER('参数'!$G$34))+N(ISNUMBER('参数'!$I$34))+N(ISNUMBER('参数'!$K$34))=0,"",IF(ISNUMBER('参数'!$E$34),J27&gt;='参数'!$E$34,FALSE)+IF(AND(ISNUMBER('参数'!$G$34),ISNUMBER(N27)),N27&lt;='参数'!$G$34,FALSE)+IF(AND(ISNUMBER('参数'!$I$34),ISNUMBER(S27)),S27&gt;='参数'!$I$34,FALSE)+IF(AND(ISNUMBER('参数'!$K$34),ISNUMBER(R27)),R27&gt;='参数'!$K$34,FALSE)),"")</f>
        <v/>
      </c>
      <c r="X27" s="40" t="str">
        <f>IF(AND(ISNUMBER(J27),ISNUMBER(K27)),IF(N(ISNUMBER('参数'!$E$35))+N(ISNUMBER('参数'!$G$35))+N(ISNUMBER('参数'!$I$35))=0,"",IF(AND(ISNUMBER('参数'!$E$35),ISNUMBER(N27),ISNUMBER(N26)),ROUND(N27-N26,6)&gt;='参数'!$E$35,FALSE)+IF(AND(ISNUMBER('参数'!$G$35),ISNUMBER(Q27),ISNUMBER(Q26)),ROUND(Q26-Q27,6)&gt;='参数'!$G$35,FALSE)+IF(AND(ISNUMBER('参数'!$I$35),ISNUMBER(S27),ISNUMBER(S26)),ROUND(S26-S27,6)&gt;='参数'!$I$35,FALSE)+IF(ISNUMBER(J26),J27&lt;J26,FALSE)),"")</f>
        <v/>
      </c>
      <c r="Y27" s="40" t="str">
        <f>IF(AND(ISNUMBER(J27),ISNUMBER(K27)),IF(N(ISNUMBER('参数'!$E$36))+N(ISNUMBER('参数'!$G$36))+N(ISNUMBER('参数'!$I$36))=0,"",IF(AND(ISNUMBER('参数'!$E$36),ISNUMBER(J26)),AND(J27&lt;='参数'!$E$36,J27&lt;J26),FALSE)+IF(ISNUMBER('参数'!$G$36),K27&gt;='参数'!$G$36,FALSE)+IF(AND(ISNUMBER('参数'!$I$36),ISNUMBER(S27)),S27&lt;'参数'!$I$36,FALSE)+IF(AND(ISNUMBER(R27),ISNUMBER(R26)),R27&lt;R26,FALSE)),"")</f>
        <v/>
      </c>
      <c r="Z27" s="41" t="str">
        <f>IF(NOT(AND(ISNUMBER(J27),ISNUMBER(K27))),"",IF(COUNT(T27:Y27)=0,"先填阈值",IF(MAX(AD27:AI27)=0,"不写",INDEX($T$4:$Y$4,MATCH(MAX(AD27:AI27),AD27:AI27,0))&amp;"·"&amp;IF(MAX(AD27:AI27)&gt;=200,"高","中")&amp;IF(LARGE(AD27:AI27,2)&gt;0,"（也像"&amp;INDEX($T$4:$Y$4,MATCH(LARGE(AD27:AI27,2),AD27:AI27,0))&amp;"·"&amp;IF(LARGE(AD27:AI27,2)&gt;=200,"高","中")&amp;"）",""))))</f>
        <v/>
      </c>
      <c r="AA27" s="27" t="n"/>
      <c r="AB27" s="32" t="n"/>
      <c r="AC27" s="16" t="n"/>
      <c r="AD27" s="40">
        <f>IF(N(T27)&gt;=3,IF(T27=4,2,1)*100+T27*10+6,0)</f>
        <v>0</v>
      </c>
      <c r="AE27" s="40">
        <f>IF(N(U27)&gt;=3,1*100+U27*10+1,0)</f>
        <v>0</v>
      </c>
      <c r="AF27" s="40">
        <f>IF(N(V27)&gt;=3,IF(V27=4,2,1)*100+V27*10+2,0)</f>
        <v>0</v>
      </c>
      <c r="AG27" s="40">
        <f>IF(N(W27)&gt;=3,1*100+W27*10+3,0)</f>
        <v>0</v>
      </c>
      <c r="AH27" s="40">
        <f>IF(N(X27)&gt;=3,1*100+X27*10+4,0)</f>
        <v>0</v>
      </c>
      <c r="AI27" s="40">
        <f>IF(N(Y27)&gt;=3,IF(AND(N(T27)&gt;=3,OR(N(T27)=4,N(Y27)&lt;=N(T27))),0,IF(Y27=4,2,1)*100+Y27*10+5),0)</f>
        <v>0</v>
      </c>
    </row>
    <row r="28">
      <c r="A28" s="31" t="n"/>
      <c r="B28" s="36" t="str">
        <f>IF(ISNUMBER(A28),"周"&amp;CHOOSE(WEEKDAY(A28,2),"一","二","三","四","五","六","日"),"")</f>
        <v/>
      </c>
      <c r="C28" s="37" t="n"/>
      <c r="D28" s="37" t="n"/>
      <c r="E28" s="37" t="n"/>
      <c r="F28" s="17" t="n"/>
      <c r="G28" s="38" t="str">
        <f>IF(AND(ISNUMBER(F28),ISNUMBER(F27)),IF(F27=0,"",F28/F27-1),"")</f>
        <v/>
      </c>
      <c r="H28" s="17" t="n"/>
      <c r="I28" s="17" t="n"/>
      <c r="J28" s="17" t="n"/>
      <c r="K28" s="17" t="n"/>
      <c r="L28" s="17" t="n"/>
      <c r="M28" s="17" t="n"/>
      <c r="N28" s="39" t="str">
        <f>IF(AND(ISNUMBER(L28),ISNUMBER(M28),N(L28)&gt;0),M28/L28,"")</f>
        <v/>
      </c>
      <c r="O28" s="17" t="n"/>
      <c r="P28" s="17" t="n"/>
      <c r="Q28" s="39" t="str">
        <f>IF(AND(ISNUMBER(O28),ISNUMBER(P28),N(O28)&gt;0),P28/O28,"")</f>
        <v/>
      </c>
      <c r="R28" s="17" t="n"/>
      <c r="S28" s="37" t="n"/>
      <c r="T28" s="40" t="str">
        <f>IF(AND(ISNUMBER(J28),ISNUMBER(K28)),IF(N(ISNUMBER('参数'!$E$31))+N(ISNUMBER('参数'!$G$31))+N(ISNUMBER('参数'!$I$31))+N(ISNUMBER('参数'!$K$31))=0,"",IF(ISNUMBER('参数'!$E$31),J28&lt;='参数'!$E$31,FALSE)+IF(ISNUMBER('参数'!$G$31),K28&gt;='参数'!$G$31,FALSE)+IF(AND(ISNUMBER('参数'!$I$31),ISNUMBER(N28)),N28&gt;='参数'!$I$31,FALSE)+IF(AND(ISNUMBER('参数'!$K$31),ISNUMBER(Q28)),Q28&lt;='参数'!$K$31,FALSE)),"")</f>
        <v/>
      </c>
      <c r="U28" s="40" t="str">
        <f>IF(AND(ISNUMBER(J28),ISNUMBER(K28)),IF(N(ISNUMBER('参数'!$G$32))+N(ISNUMBER('参数'!$I$32))+N(ISNUMBER('参数'!$K$32))=0,"",IF(AND(ISNUMBER(J27),ISNUMBER(J26)),AND(J28&gt;J27,J27&gt;J26),FALSE)+IF(ISNUMBER('参数'!$G$32),J28&lt;'参数'!$G$32,FALSE)+IF(AND(ISNUMBER('参数'!$I$32),ISNUMBER(Q28)),Q28&gt;='参数'!$I$32,FALSE)+IF(AND(ISNUMBER('参数'!$K$32),ISNUMBER(S28)),S28&gt;='参数'!$K$32,FALSE)),"")</f>
        <v/>
      </c>
      <c r="V28" s="40" t="str">
        <f>IF(AND(ISNUMBER(J28),ISNUMBER(K28)),IF(N(ISNUMBER('参数'!$E$33))+N(ISNUMBER('参数'!$G$33))+N(ISNUMBER('参数'!$I$33))+N(ISNUMBER('参数'!$K$33))=0,"",IF(AND(ISNUMBER('参数'!$E$33),ISNUMBER(J27)),AND(J28&gt;='参数'!$E$33,J28&gt;J27),FALSE)+IF(AND(ISNUMBER('参数'!$G$33),ISNUMBER(N28)),N28&lt;='参数'!$G$33,FALSE)+IF(AND(ISNUMBER('参数'!$I$33),ISNUMBER(Q28)),Q28&gt;='参数'!$I$33,FALSE)+IF(AND(ISNUMBER('参数'!$K$33),ISNUMBER(S28)),S28&gt;='参数'!$K$33,FALSE)),"")</f>
        <v/>
      </c>
      <c r="W28" s="40" t="str">
        <f>IF(AND(ISNUMBER(J28),ISNUMBER(K28)),IF(N(ISNUMBER('参数'!$E$34))+N(ISNUMBER('参数'!$G$34))+N(ISNUMBER('参数'!$I$34))+N(ISNUMBER('参数'!$K$34))=0,"",IF(ISNUMBER('参数'!$E$34),J28&gt;='参数'!$E$34,FALSE)+IF(AND(ISNUMBER('参数'!$G$34),ISNUMBER(N28)),N28&lt;='参数'!$G$34,FALSE)+IF(AND(ISNUMBER('参数'!$I$34),ISNUMBER(S28)),S28&gt;='参数'!$I$34,FALSE)+IF(AND(ISNUMBER('参数'!$K$34),ISNUMBER(R28)),R28&gt;='参数'!$K$34,FALSE)),"")</f>
        <v/>
      </c>
      <c r="X28" s="40" t="str">
        <f>IF(AND(ISNUMBER(J28),ISNUMBER(K28)),IF(N(ISNUMBER('参数'!$E$35))+N(ISNUMBER('参数'!$G$35))+N(ISNUMBER('参数'!$I$35))=0,"",IF(AND(ISNUMBER('参数'!$E$35),ISNUMBER(N28),ISNUMBER(N27)),ROUND(N28-N27,6)&gt;='参数'!$E$35,FALSE)+IF(AND(ISNUMBER('参数'!$G$35),ISNUMBER(Q28),ISNUMBER(Q27)),ROUND(Q27-Q28,6)&gt;='参数'!$G$35,FALSE)+IF(AND(ISNUMBER('参数'!$I$35),ISNUMBER(S28),ISNUMBER(S27)),ROUND(S27-S28,6)&gt;='参数'!$I$35,FALSE)+IF(ISNUMBER(J27),J28&lt;J27,FALSE)),"")</f>
        <v/>
      </c>
      <c r="Y28" s="40" t="str">
        <f>IF(AND(ISNUMBER(J28),ISNUMBER(K28)),IF(N(ISNUMBER('参数'!$E$36))+N(ISNUMBER('参数'!$G$36))+N(ISNUMBER('参数'!$I$36))=0,"",IF(AND(ISNUMBER('参数'!$E$36),ISNUMBER(J27)),AND(J28&lt;='参数'!$E$36,J28&lt;J27),FALSE)+IF(ISNUMBER('参数'!$G$36),K28&gt;='参数'!$G$36,FALSE)+IF(AND(ISNUMBER('参数'!$I$36),ISNUMBER(S28)),S28&lt;'参数'!$I$36,FALSE)+IF(AND(ISNUMBER(R28),ISNUMBER(R27)),R28&lt;R27,FALSE)),"")</f>
        <v/>
      </c>
      <c r="Z28" s="41" t="str">
        <f>IF(NOT(AND(ISNUMBER(J28),ISNUMBER(K28))),"",IF(COUNT(T28:Y28)=0,"先填阈值",IF(MAX(AD28:AI28)=0,"不写",INDEX($T$4:$Y$4,MATCH(MAX(AD28:AI28),AD28:AI28,0))&amp;"·"&amp;IF(MAX(AD28:AI28)&gt;=200,"高","中")&amp;IF(LARGE(AD28:AI28,2)&gt;0,"（也像"&amp;INDEX($T$4:$Y$4,MATCH(LARGE(AD28:AI28,2),AD28:AI28,0))&amp;"·"&amp;IF(LARGE(AD28:AI28,2)&gt;=200,"高","中")&amp;"）",""))))</f>
        <v/>
      </c>
      <c r="AA28" s="27" t="n"/>
      <c r="AB28" s="32" t="n"/>
      <c r="AC28" s="16" t="n"/>
      <c r="AD28" s="40">
        <f>IF(N(T28)&gt;=3,IF(T28=4,2,1)*100+T28*10+6,0)</f>
        <v>0</v>
      </c>
      <c r="AE28" s="40">
        <f>IF(N(U28)&gt;=3,1*100+U28*10+1,0)</f>
        <v>0</v>
      </c>
      <c r="AF28" s="40">
        <f>IF(N(V28)&gt;=3,IF(V28=4,2,1)*100+V28*10+2,0)</f>
        <v>0</v>
      </c>
      <c r="AG28" s="40">
        <f>IF(N(W28)&gt;=3,1*100+W28*10+3,0)</f>
        <v>0</v>
      </c>
      <c r="AH28" s="40">
        <f>IF(N(X28)&gt;=3,1*100+X28*10+4,0)</f>
        <v>0</v>
      </c>
      <c r="AI28" s="40">
        <f>IF(N(Y28)&gt;=3,IF(AND(N(T28)&gt;=3,OR(N(T28)=4,N(Y28)&lt;=N(T28))),0,IF(Y28=4,2,1)*100+Y28*10+5),0)</f>
        <v>0</v>
      </c>
    </row>
    <row r="29">
      <c r="A29" s="31" t="n"/>
      <c r="B29" s="36" t="str">
        <f>IF(ISNUMBER(A29),"周"&amp;CHOOSE(WEEKDAY(A29,2),"一","二","三","四","五","六","日"),"")</f>
        <v/>
      </c>
      <c r="C29" s="37" t="n"/>
      <c r="D29" s="37" t="n"/>
      <c r="E29" s="37" t="n"/>
      <c r="F29" s="17" t="n"/>
      <c r="G29" s="38" t="str">
        <f>IF(AND(ISNUMBER(F29),ISNUMBER(F28)),IF(F28=0,"",F29/F28-1),"")</f>
        <v/>
      </c>
      <c r="H29" s="17" t="n"/>
      <c r="I29" s="17" t="n"/>
      <c r="J29" s="17" t="n"/>
      <c r="K29" s="17" t="n"/>
      <c r="L29" s="17" t="n"/>
      <c r="M29" s="17" t="n"/>
      <c r="N29" s="39" t="str">
        <f>IF(AND(ISNUMBER(L29),ISNUMBER(M29),N(L29)&gt;0),M29/L29,"")</f>
        <v/>
      </c>
      <c r="O29" s="17" t="n"/>
      <c r="P29" s="17" t="n"/>
      <c r="Q29" s="39" t="str">
        <f>IF(AND(ISNUMBER(O29),ISNUMBER(P29),N(O29)&gt;0),P29/O29,"")</f>
        <v/>
      </c>
      <c r="R29" s="17" t="n"/>
      <c r="S29" s="37" t="n"/>
      <c r="T29" s="40" t="str">
        <f>IF(AND(ISNUMBER(J29),ISNUMBER(K29)),IF(N(ISNUMBER('参数'!$E$31))+N(ISNUMBER('参数'!$G$31))+N(ISNUMBER('参数'!$I$31))+N(ISNUMBER('参数'!$K$31))=0,"",IF(ISNUMBER('参数'!$E$31),J29&lt;='参数'!$E$31,FALSE)+IF(ISNUMBER('参数'!$G$31),K29&gt;='参数'!$G$31,FALSE)+IF(AND(ISNUMBER('参数'!$I$31),ISNUMBER(N29)),N29&gt;='参数'!$I$31,FALSE)+IF(AND(ISNUMBER('参数'!$K$31),ISNUMBER(Q29)),Q29&lt;='参数'!$K$31,FALSE)),"")</f>
        <v/>
      </c>
      <c r="U29" s="40" t="str">
        <f>IF(AND(ISNUMBER(J29),ISNUMBER(K29)),IF(N(ISNUMBER('参数'!$G$32))+N(ISNUMBER('参数'!$I$32))+N(ISNUMBER('参数'!$K$32))=0,"",IF(AND(ISNUMBER(J28),ISNUMBER(J27)),AND(J29&gt;J28,J28&gt;J27),FALSE)+IF(ISNUMBER('参数'!$G$32),J29&lt;'参数'!$G$32,FALSE)+IF(AND(ISNUMBER('参数'!$I$32),ISNUMBER(Q29)),Q29&gt;='参数'!$I$32,FALSE)+IF(AND(ISNUMBER('参数'!$K$32),ISNUMBER(S29)),S29&gt;='参数'!$K$32,FALSE)),"")</f>
        <v/>
      </c>
      <c r="V29" s="40" t="str">
        <f>IF(AND(ISNUMBER(J29),ISNUMBER(K29)),IF(N(ISNUMBER('参数'!$E$33))+N(ISNUMBER('参数'!$G$33))+N(ISNUMBER('参数'!$I$33))+N(ISNUMBER('参数'!$K$33))=0,"",IF(AND(ISNUMBER('参数'!$E$33),ISNUMBER(J28)),AND(J29&gt;='参数'!$E$33,J29&gt;J28),FALSE)+IF(AND(ISNUMBER('参数'!$G$33),ISNUMBER(N29)),N29&lt;='参数'!$G$33,FALSE)+IF(AND(ISNUMBER('参数'!$I$33),ISNUMBER(Q29)),Q29&gt;='参数'!$I$33,FALSE)+IF(AND(ISNUMBER('参数'!$K$33),ISNUMBER(S29)),S29&gt;='参数'!$K$33,FALSE)),"")</f>
        <v/>
      </c>
      <c r="W29" s="40" t="str">
        <f>IF(AND(ISNUMBER(J29),ISNUMBER(K29)),IF(N(ISNUMBER('参数'!$E$34))+N(ISNUMBER('参数'!$G$34))+N(ISNUMBER('参数'!$I$34))+N(ISNUMBER('参数'!$K$34))=0,"",IF(ISNUMBER('参数'!$E$34),J29&gt;='参数'!$E$34,FALSE)+IF(AND(ISNUMBER('参数'!$G$34),ISNUMBER(N29)),N29&lt;='参数'!$G$34,FALSE)+IF(AND(ISNUMBER('参数'!$I$34),ISNUMBER(S29)),S29&gt;='参数'!$I$34,FALSE)+IF(AND(ISNUMBER('参数'!$K$34),ISNUMBER(R29)),R29&gt;='参数'!$K$34,FALSE)),"")</f>
        <v/>
      </c>
      <c r="X29" s="40" t="str">
        <f>IF(AND(ISNUMBER(J29),ISNUMBER(K29)),IF(N(ISNUMBER('参数'!$E$35))+N(ISNUMBER('参数'!$G$35))+N(ISNUMBER('参数'!$I$35))=0,"",IF(AND(ISNUMBER('参数'!$E$35),ISNUMBER(N29),ISNUMBER(N28)),ROUND(N29-N28,6)&gt;='参数'!$E$35,FALSE)+IF(AND(ISNUMBER('参数'!$G$35),ISNUMBER(Q29),ISNUMBER(Q28)),ROUND(Q28-Q29,6)&gt;='参数'!$G$35,FALSE)+IF(AND(ISNUMBER('参数'!$I$35),ISNUMBER(S29),ISNUMBER(S28)),ROUND(S28-S29,6)&gt;='参数'!$I$35,FALSE)+IF(ISNUMBER(J28),J29&lt;J28,FALSE)),"")</f>
        <v/>
      </c>
      <c r="Y29" s="40" t="str">
        <f>IF(AND(ISNUMBER(J29),ISNUMBER(K29)),IF(N(ISNUMBER('参数'!$E$36))+N(ISNUMBER('参数'!$G$36))+N(ISNUMBER('参数'!$I$36))=0,"",IF(AND(ISNUMBER('参数'!$E$36),ISNUMBER(J28)),AND(J29&lt;='参数'!$E$36,J29&lt;J28),FALSE)+IF(ISNUMBER('参数'!$G$36),K29&gt;='参数'!$G$36,FALSE)+IF(AND(ISNUMBER('参数'!$I$36),ISNUMBER(S29)),S29&lt;'参数'!$I$36,FALSE)+IF(AND(ISNUMBER(R29),ISNUMBER(R28)),R29&lt;R28,FALSE)),"")</f>
        <v/>
      </c>
      <c r="Z29" s="41" t="str">
        <f>IF(NOT(AND(ISNUMBER(J29),ISNUMBER(K29))),"",IF(COUNT(T29:Y29)=0,"先填阈值",IF(MAX(AD29:AI29)=0,"不写",INDEX($T$4:$Y$4,MATCH(MAX(AD29:AI29),AD29:AI29,0))&amp;"·"&amp;IF(MAX(AD29:AI29)&gt;=200,"高","中")&amp;IF(LARGE(AD29:AI29,2)&gt;0,"（也像"&amp;INDEX($T$4:$Y$4,MATCH(LARGE(AD29:AI29,2),AD29:AI29,0))&amp;"·"&amp;IF(LARGE(AD29:AI29,2)&gt;=200,"高","中")&amp;"）",""))))</f>
        <v/>
      </c>
      <c r="AA29" s="27" t="n"/>
      <c r="AB29" s="32" t="n"/>
      <c r="AC29" s="16" t="n"/>
      <c r="AD29" s="40">
        <f>IF(N(T29)&gt;=3,IF(T29=4,2,1)*100+T29*10+6,0)</f>
        <v>0</v>
      </c>
      <c r="AE29" s="40">
        <f>IF(N(U29)&gt;=3,1*100+U29*10+1,0)</f>
        <v>0</v>
      </c>
      <c r="AF29" s="40">
        <f>IF(N(V29)&gt;=3,IF(V29=4,2,1)*100+V29*10+2,0)</f>
        <v>0</v>
      </c>
      <c r="AG29" s="40">
        <f>IF(N(W29)&gt;=3,1*100+W29*10+3,0)</f>
        <v>0</v>
      </c>
      <c r="AH29" s="40">
        <f>IF(N(X29)&gt;=3,1*100+X29*10+4,0)</f>
        <v>0</v>
      </c>
      <c r="AI29" s="40">
        <f>IF(N(Y29)&gt;=3,IF(AND(N(T29)&gt;=3,OR(N(T29)=4,N(Y29)&lt;=N(T29))),0,IF(Y29=4,2,1)*100+Y29*10+5),0)</f>
        <v>0</v>
      </c>
    </row>
  </sheetData>
  <mergeCells count="8">
    <mergeCell ref="Z1:AB1"/>
    <mergeCell ref="A2:AB2"/>
    <mergeCell ref="A1:Y1"/>
    <mergeCell ref="T3:Y3"/>
    <mergeCell ref="Z3:AB3"/>
    <mergeCell ref="A3:B3"/>
    <mergeCell ref="H3:S3"/>
    <mergeCell ref="C3:G3"/>
  </mergeCells>
  <conditionalFormatting sqref="C5:C29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D5:D29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E5:E29">
    <cfRule type="cellIs" priority="5" operator="greaterThan" dxfId="0">
      <formula>0</formula>
    </cfRule>
    <cfRule type="cellIs" priority="6" operator="lessThan" dxfId="1">
      <formula>0</formula>
    </cfRule>
  </conditionalFormatting>
  <conditionalFormatting sqref="G5:G29">
    <cfRule type="cellIs" priority="7" operator="greaterThan" dxfId="0">
      <formula>0</formula>
    </cfRule>
    <cfRule type="cellIs" priority="8" operator="lessThan" dxfId="1">
      <formula>0</formula>
    </cfRule>
  </conditionalFormatting>
  <conditionalFormatting sqref="S5:S29">
    <cfRule type="cellIs" priority="9" operator="greaterThan" dxfId="0">
      <formula>0</formula>
    </cfRule>
    <cfRule type="cellIs" priority="10" operator="lessThan" dxfId="1">
      <formula>0</formula>
    </cfRule>
  </conditionalFormatting>
  <conditionalFormatting sqref="T5:Y29">
    <cfRule type="cellIs" priority="11" operator="equal" dxfId="2">
      <formula>4</formula>
    </cfRule>
    <cfRule type="cellIs" priority="12" operator="equal" dxfId="3">
      <formula>3</formula>
    </cfRule>
  </conditionalFormatting>
  <conditionalFormatting sqref="AA5:AB29">
    <cfRule type="expression" priority="13" dxfId="4">
      <formula>AND($AA5&lt;&gt;"",$Z5&lt;&gt;"",$Z5&lt;&gt;"先填阈值",LEFT($Z5,LEN($AA5))&lt;&gt;$AA5)</formula>
    </cfRule>
  </conditionalFormatting>
  <dataValidations count="2">
    <dataValidation sqref="A5:A29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AA5:AA29" showDropDown="0" showInputMessage="1" showErrorMessage="1" allowBlank="1" errorTitle="不在选项里" error="请从下拉里选；要加新选项，先去参数页的下拉选项里加。" promptTitle="怎么填" prompt="写你自己的判断；和规则建议不一样时，右边写依据。" type="list" errorStyle="warning">
      <formula1>'参数'!$F$43:$F$54</formula1>
    </dataValidation>
  </dataValidation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trade1469.com/templates/a-share-review/?src=tpl-ashare&amp;R&amp;"Microsoft YaHei"&amp;8 第 &amp;P 页，共 &amp;N 页</oddFooter>
    <evenHeader/>
    <evenFooter>&amp;L&amp;"Microsoft YaHei"&amp;8 TradeLearn · XtradingTime 交易内训&amp;C&amp;"Microsoft YaHei"&amp;8 trade1469.com/templates/a-share-review/?src=tpl-ashare&amp;R&amp;"Microsoft YaHei"&amp;8 第 &amp;P 页，共 &amp;N 页</evenFooter>
    <firstHeader/>
    <firstFooter/>
  </headerFooter>
</worksheet>
</file>

<file path=xl/worksheets/sheet9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S29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7" customWidth="1" min="2" max="2"/>
    <col width="11" customWidth="1" min="3" max="3"/>
    <col width="11" customWidth="1" min="4" max="4"/>
    <col width="10" customWidth="1" min="5" max="5"/>
    <col width="10" customWidth="1" min="6" max="6"/>
    <col width="6" customWidth="1" min="7" max="7"/>
    <col width="5" customWidth="1" min="8" max="8"/>
    <col width="5" customWidth="1" min="9" max="9"/>
    <col width="5" customWidth="1" min="10" max="10"/>
    <col width="6" customWidth="1" min="11" max="11"/>
    <col width="6" customWidth="1" min="12" max="12"/>
    <col width="7" customWidth="1" min="13" max="13"/>
    <col width="10" customWidth="1" min="14" max="14"/>
    <col width="8" customWidth="1" min="15" max="15"/>
    <col width="9" customWidth="1" min="16" max="16"/>
    <col width="22" customWidth="1" min="17" max="17"/>
    <col width="26" customWidth="1" min="18" max="18"/>
    <col width="22" customWidth="1" min="19" max="19"/>
  </cols>
  <sheetData>
    <row r="1" ht="30" customHeight="1">
      <c r="A1" s="13" t="inlineStr">
        <is>
          <t>示例 · A股每日复盘：主线、梯队与明日计划</t>
        </is>
      </c>
      <c r="Q1" s="14" t="inlineStr">
        <is>
          <t>TradeLearn · XtradingTime 交易内训</t>
        </is>
      </c>
    </row>
    <row r="2" ht="20" customHeight="1">
      <c r="A2" s="63" t="inlineStr">
        <is>
          <t>虚构示例，仅演示填法：板块、股票、家数全部虚构，不是真实行情。</t>
        </is>
      </c>
    </row>
    <row r="3" ht="18" customHeight="1">
      <c r="A3" s="33" t="inlineStr">
        <is>
          <t>日期</t>
        </is>
      </c>
      <c r="B3" s="33" t="n"/>
      <c r="C3" s="33" t="inlineStr">
        <is>
          <t>主线与龙头</t>
        </is>
      </c>
      <c r="D3" s="33" t="n"/>
      <c r="E3" s="33" t="n"/>
      <c r="F3" s="33" t="n"/>
      <c r="G3" s="33" t="inlineStr">
        <is>
          <t>连板梯队（没有的层填 0）</t>
        </is>
      </c>
      <c r="H3" s="33" t="n"/>
      <c r="I3" s="33" t="n"/>
      <c r="J3" s="33" t="n"/>
      <c r="K3" s="33" t="n"/>
      <c r="L3" s="33" t="n"/>
      <c r="M3" s="33" t="n"/>
      <c r="N3" s="33" t="inlineStr">
        <is>
          <t>我自己</t>
        </is>
      </c>
      <c r="O3" s="33" t="n"/>
      <c r="P3" s="33" t="n"/>
      <c r="Q3" s="33" t="inlineStr">
        <is>
          <t>明天</t>
        </is>
      </c>
      <c r="R3" s="33" t="n"/>
      <c r="S3" s="33" t="n"/>
    </row>
    <row r="4" ht="41.8" customHeight="1">
      <c r="A4" s="25" t="inlineStr">
        <is>
          <t>日期</t>
        </is>
      </c>
      <c r="B4" s="25" t="inlineStr">
        <is>
          <t>我的判断</t>
        </is>
      </c>
      <c r="C4" s="25" t="inlineStr">
        <is>
          <t>主线板块</t>
        </is>
      </c>
      <c r="D4" s="25" t="inlineStr">
        <is>
          <t>主线龙头（最高标）</t>
        </is>
      </c>
      <c r="E4" s="25" t="inlineStr">
        <is>
          <t>次主线</t>
        </is>
      </c>
      <c r="F4" s="25" t="inlineStr">
        <is>
          <t>次主线龙头</t>
        </is>
      </c>
      <c r="G4" s="25" t="inlineStr">
        <is>
          <t>今日首板</t>
        </is>
      </c>
      <c r="H4" s="25" t="inlineStr">
        <is>
          <t>2 板</t>
        </is>
      </c>
      <c r="I4" s="25" t="inlineStr">
        <is>
          <t>3 板</t>
        </is>
      </c>
      <c r="J4" s="25" t="inlineStr">
        <is>
          <t>4 板</t>
        </is>
      </c>
      <c r="K4" s="25" t="inlineStr">
        <is>
          <t>5 板及以上</t>
        </is>
      </c>
      <c r="L4" s="25" t="inlineStr">
        <is>
          <t>最高连板</t>
        </is>
      </c>
      <c r="M4" s="25" t="inlineStr">
        <is>
          <t>梯队</t>
        </is>
      </c>
      <c r="N4" s="25" t="inlineStr">
        <is>
          <t>今天做了什么</t>
        </is>
      </c>
      <c r="O4" s="25" t="inlineStr">
        <is>
          <t>当日平仓净R</t>
        </is>
      </c>
      <c r="P4" s="25" t="inlineStr">
        <is>
          <t>停手线</t>
        </is>
      </c>
      <c r="Q4" s="25" t="inlineStr">
        <is>
          <t>赚钱效应在哪（一句话）</t>
        </is>
      </c>
      <c r="R4" s="25" t="inlineStr">
        <is>
          <t>明日只做（写成能检查的条件）</t>
        </is>
      </c>
      <c r="S4" s="25" t="inlineStr">
        <is>
          <t>明日不做的情况</t>
        </is>
      </c>
    </row>
    <row r="5" ht="32" customHeight="1">
      <c r="A5" s="42">
        <f>IF('例-每日复盘'!A5="","",'例-每日复盘'!A5)</f>
        <v>47546.0</v>
      </c>
      <c r="B5" s="43" t="str">
        <f>IF('例-每日复盘'!AA5="","",'例-每日复盘'!AA5)</f>
        <v>冰点</v>
      </c>
      <c r="C5" s="32" t="inlineStr">
        <is>
          <t>板块A（初现）</t>
        </is>
      </c>
      <c r="D5" s="32" t="inlineStr">
        <is>
          <t>示例股K（3板断）</t>
        </is>
      </c>
      <c r="E5" s="32" t="inlineStr"/>
      <c r="F5" s="32" t="inlineStr"/>
      <c r="G5" s="17" t="n">
        <v>20</v>
      </c>
      <c r="H5" s="44">
        <f>IF('例-每日复盘'!P5="","",'例-每日复盘'!P5)</f>
        <v>3</v>
      </c>
      <c r="I5" s="17" t="n">
        <v>1</v>
      </c>
      <c r="J5" s="17" t="n">
        <v>0</v>
      </c>
      <c r="K5" s="17" t="n">
        <v>0</v>
      </c>
      <c r="L5" s="44">
        <f>IF('例-每日复盘'!R5="","",'例-每日复盘'!R5)</f>
        <v>3</v>
      </c>
      <c r="M5" s="36" t="str">
        <f>IF(OR(NOT(ISNUMBER(L5)),COUNT(H5:J5)&lt;3),"",IF(OR(AND(L5&gt;=3,H5=0),AND(L5&gt;=4,I5=0),AND(L5&gt;=5,J5=0)),"有断层","连续"))</f>
        <v>连续</v>
      </c>
      <c r="N5" s="27" t="inlineStr">
        <is>
          <t>按计划空仓</t>
        </is>
      </c>
      <c r="O5" s="45" t="str">
        <f>IF(NOT(ISNUMBER(A5)),"",IF(COUNTIFS('例-交易记录'!$S$5:$S$304,A5,'例-交易记录'!$X$5:$X$304,"已平仓")=0,"",SUMIFS('例-交易记录'!$AB$5:$AB$304,'例-交易记录'!$S$5:$S$304,A5,'例-交易记录'!$X$5:$X$304,"已平仓")))</f>
        <v/>
      </c>
      <c r="P5" s="36" t="str">
        <f>IF(NOT(ISNUMBER(O5)),"",IF(O5&lt;=-'参数'!$C$9,"触及停手线",""))</f>
        <v/>
      </c>
      <c r="Q5" s="32" t="inlineStr">
        <is>
          <t>只有少数低位首板，高位全线低开</t>
        </is>
      </c>
      <c r="R5" s="32" t="inlineStr">
        <is>
          <t>不开新仓，只看板块A 首板数是否连续两天增加</t>
        </is>
      </c>
      <c r="S5" s="32" t="inlineStr">
        <is>
          <t>冰点当天不抄底；不接高位断板股</t>
        </is>
      </c>
    </row>
    <row r="6" ht="32" customHeight="1">
      <c r="A6" s="42">
        <f>IF('例-每日复盘'!A6="","",'例-每日复盘'!A6)</f>
        <v>47547.0</v>
      </c>
      <c r="B6" s="43" t="str">
        <f>IF('例-每日复盘'!AA6="","",'例-每日复盘'!AA6)</f>
        <v>说不清</v>
      </c>
      <c r="C6" s="32" t="inlineStr">
        <is>
          <t>板块A</t>
        </is>
      </c>
      <c r="D6" s="32" t="inlineStr">
        <is>
          <t>示例股A（2板）</t>
        </is>
      </c>
      <c r="E6" s="32" t="inlineStr"/>
      <c r="F6" s="32" t="inlineStr"/>
      <c r="G6" s="17" t="n">
        <v>25</v>
      </c>
      <c r="H6" s="44">
        <f>IF('例-每日复盘'!P6="","",'例-每日复盘'!P6)</f>
        <v>5</v>
      </c>
      <c r="I6" s="17" t="n">
        <v>0</v>
      </c>
      <c r="J6" s="17" t="n">
        <v>0</v>
      </c>
      <c r="K6" s="17" t="n">
        <v>0</v>
      </c>
      <c r="L6" s="44">
        <f>IF('例-每日复盘'!R6="","",'例-每日复盘'!R6)</f>
        <v>2</v>
      </c>
      <c r="M6" s="36" t="str">
        <f>IF(OR(NOT(ISNUMBER(L6)),COUNT(H6:J6)&lt;3),"",IF(OR(AND(L6&gt;=3,H6=0),AND(L6&gt;=4,I6=0),AND(L6&gt;=5,J6=0)),"有断层","连续"))</f>
        <v>连续</v>
      </c>
      <c r="N6" s="27" t="inlineStr">
        <is>
          <t>没等到条件</t>
        </is>
      </c>
      <c r="O6" s="45" t="str">
        <f>IF(NOT(ISNUMBER(A6)),"",IF(COUNTIFS('例-交易记录'!$S$5:$S$304,A6,'例-交易记录'!$X$5:$X$304,"已平仓")=0,"",SUMIFS('例-交易记录'!$AB$5:$AB$304,'例-交易记录'!$S$5:$S$304,A6,'例-交易记录'!$X$5:$X$304,"已平仓")))</f>
        <v/>
      </c>
      <c r="P6" s="36" t="str">
        <f>IF(NOT(ISNUMBER(O6)),"",IF(O6&lt;=-'参数'!$C$9,"触及停手线",""))</f>
        <v/>
      </c>
      <c r="Q6" s="32" t="inlineStr">
        <is>
          <t>板块A 出了 5 个首板，其他题材一日游</t>
        </is>
      </c>
      <c r="R6" s="32" t="inlineStr">
        <is>
          <t>板块A 出现 3 家以上首板，才看后排低吸</t>
        </is>
      </c>
      <c r="S6" s="32" t="inlineStr">
        <is>
          <t>晋级率比昨天低就不打板</t>
        </is>
      </c>
    </row>
    <row r="7" ht="32" customHeight="1">
      <c r="A7" s="42">
        <f>IF('例-每日复盘'!A7="","",'例-每日复盘'!A7)</f>
        <v>47548.0</v>
      </c>
      <c r="B7" s="43" t="str">
        <f>IF('例-每日复盘'!AA7="","",'例-每日复盘'!AA7)</f>
        <v>启动</v>
      </c>
      <c r="C7" s="32" t="inlineStr">
        <is>
          <t>板块A</t>
        </is>
      </c>
      <c r="D7" s="32" t="inlineStr">
        <is>
          <t>示例股A（3板）</t>
        </is>
      </c>
      <c r="E7" s="32" t="inlineStr"/>
      <c r="F7" s="32" t="inlineStr"/>
      <c r="G7" s="17" t="n">
        <v>30</v>
      </c>
      <c r="H7" s="44">
        <f>IF('例-每日复盘'!P7="","",'例-每日复盘'!P7)</f>
        <v>7</v>
      </c>
      <c r="I7" s="17" t="n">
        <v>1</v>
      </c>
      <c r="J7" s="17" t="n">
        <v>0</v>
      </c>
      <c r="K7" s="17" t="n">
        <v>0</v>
      </c>
      <c r="L7" s="44">
        <f>IF('例-每日复盘'!R7="","",'例-每日复盘'!R7)</f>
        <v>3</v>
      </c>
      <c r="M7" s="36" t="str">
        <f>IF(OR(NOT(ISNUMBER(L7)),COUNT(H7:J7)&lt;3),"",IF(OR(AND(L7&gt;=3,H7=0),AND(L7&gt;=4,I7=0),AND(L7&gt;=5,J7=0)),"有断层","连续"))</f>
        <v>连续</v>
      </c>
      <c r="N7" s="27" t="inlineStr">
        <is>
          <t>没等到条件</t>
        </is>
      </c>
      <c r="O7" s="45" t="str">
        <f>IF(NOT(ISNUMBER(A7)),"",IF(COUNTIFS('例-交易记录'!$S$5:$S$304,A7,'例-交易记录'!$X$5:$X$304,"已平仓")=0,"",SUMIFS('例-交易记录'!$AB$5:$AB$304,'例-交易记录'!$S$5:$S$304,A7,'例-交易记录'!$X$5:$X$304,"已平仓")))</f>
        <v/>
      </c>
      <c r="P7" s="36" t="str">
        <f>IF(NOT(ISNUMBER(O7)),"",IF(O7&lt;=-'参数'!$C$9,"触及停手线",""))</f>
        <v/>
      </c>
      <c r="Q7" s="32" t="inlineStr">
        <is>
          <t>板块A 前排连板，后排跟涨</t>
        </is>
      </c>
      <c r="R7" s="32" t="inlineStr">
        <is>
          <t>板块A 后排回踩 5 日线低吸，单笔 1R</t>
        </is>
      </c>
      <c r="S7" s="32" t="inlineStr">
        <is>
          <t>开盘 30 分钟内不追</t>
        </is>
      </c>
    </row>
    <row r="8" ht="32" customHeight="1">
      <c r="A8" s="42">
        <f>IF('例-每日复盘'!A8="","",'例-每日复盘'!A8)</f>
        <v>47549.0</v>
      </c>
      <c r="B8" s="43" t="str">
        <f>IF('例-每日复盘'!AA8="","",'例-每日复盘'!AA8)</f>
        <v>启动</v>
      </c>
      <c r="C8" s="32" t="inlineStr">
        <is>
          <t>板块A</t>
        </is>
      </c>
      <c r="D8" s="32" t="inlineStr">
        <is>
          <t>示例股A（4板）</t>
        </is>
      </c>
      <c r="E8" s="32" t="inlineStr">
        <is>
          <t>板块B</t>
        </is>
      </c>
      <c r="F8" s="32" t="inlineStr">
        <is>
          <t>示例股M</t>
        </is>
      </c>
      <c r="G8" s="17" t="n">
        <v>42</v>
      </c>
      <c r="H8" s="44">
        <f>IF('例-每日复盘'!P8="","",'例-每日复盘'!P8)</f>
        <v>9</v>
      </c>
      <c r="I8" s="17" t="n">
        <v>2</v>
      </c>
      <c r="J8" s="17" t="n">
        <v>1</v>
      </c>
      <c r="K8" s="17" t="n">
        <v>0</v>
      </c>
      <c r="L8" s="44">
        <f>IF('例-每日复盘'!R8="","",'例-每日复盘'!R8)</f>
        <v>4</v>
      </c>
      <c r="M8" s="36" t="str">
        <f>IF(OR(NOT(ISNUMBER(L8)),COUNT(H8:J8)&lt;3),"",IF(OR(AND(L8&gt;=3,H8=0),AND(L8&gt;=4,I8=0),AND(L8&gt;=5,J8=0)),"有断层","连续"))</f>
        <v>连续</v>
      </c>
      <c r="N8" s="27" t="inlineStr">
        <is>
          <t>有成交</t>
        </is>
      </c>
      <c r="O8" s="45" t="str">
        <f>IF(NOT(ISNUMBER(A8)),"",IF(COUNTIFS('例-交易记录'!$S$5:$S$304,A8,'例-交易记录'!$X$5:$X$304,"已平仓")=0,"",SUMIFS('例-交易记录'!$AB$5:$AB$304,'例-交易记录'!$S$5:$S$304,A8,'例-交易记录'!$X$5:$X$304,"已平仓")))</f>
        <v/>
      </c>
      <c r="P8" s="36" t="str">
        <f>IF(NOT(ISNUMBER(O8)),"",IF(O8&lt;=-'参数'!$C$9,"触及停手线",""))</f>
        <v/>
      </c>
      <c r="Q8" s="32" t="inlineStr">
        <is>
          <t>板块A 全线走强，晋级率回到三成</t>
        </is>
      </c>
      <c r="R8" s="32" t="inlineStr">
        <is>
          <t>龙头 5 板打板，封单够才排</t>
        </is>
      </c>
      <c r="S8" s="32" t="inlineStr">
        <is>
          <t>不做非主线</t>
        </is>
      </c>
    </row>
    <row r="9" ht="32" customHeight="1">
      <c r="A9" s="42">
        <f>IF('例-每日复盘'!A9="","",'例-每日复盘'!A9)</f>
        <v>47550.0</v>
      </c>
      <c r="B9" s="43" t="str">
        <f>IF('例-每日复盘'!AA9="","",'例-每日复盘'!AA9)</f>
        <v>发酵</v>
      </c>
      <c r="C9" s="32" t="inlineStr">
        <is>
          <t>板块A</t>
        </is>
      </c>
      <c r="D9" s="32" t="inlineStr">
        <is>
          <t>示例股A（5板）</t>
        </is>
      </c>
      <c r="E9" s="32" t="inlineStr">
        <is>
          <t>板块B</t>
        </is>
      </c>
      <c r="F9" s="32" t="inlineStr">
        <is>
          <t>示例股M</t>
        </is>
      </c>
      <c r="G9" s="17" t="n">
        <v>55</v>
      </c>
      <c r="H9" s="44">
        <f>IF('例-每日复盘'!P9="","",'例-每日复盘'!P9)</f>
        <v>13</v>
      </c>
      <c r="I9" s="17" t="n">
        <v>3</v>
      </c>
      <c r="J9" s="17" t="n">
        <v>1</v>
      </c>
      <c r="K9" s="17" t="n">
        <v>1</v>
      </c>
      <c r="L9" s="44">
        <f>IF('例-每日复盘'!R9="","",'例-每日复盘'!R9)</f>
        <v>5</v>
      </c>
      <c r="M9" s="36" t="str">
        <f>IF(OR(NOT(ISNUMBER(L9)),COUNT(H9:J9)&lt;3),"",IF(OR(AND(L9&gt;=3,H9=0),AND(L9&gt;=4,I9=0),AND(L9&gt;=5,J9=0)),"有断层","连续"))</f>
        <v>连续</v>
      </c>
      <c r="N9" s="27" t="inlineStr">
        <is>
          <t>挂单没成交</t>
        </is>
      </c>
      <c r="O9" s="45" t="str">
        <f>IF(NOT(ISNUMBER(A9)),"",IF(COUNTIFS('例-交易记录'!$S$5:$S$304,A9,'例-交易记录'!$X$5:$X$304,"已平仓")=0,"",SUMIFS('例-交易记录'!$AB$5:$AB$304,'例-交易记录'!$S$5:$S$304,A9,'例-交易记录'!$X$5:$X$304,"已平仓")))</f>
        <v/>
      </c>
      <c r="P9" s="36" t="str">
        <f>IF(NOT(ISNUMBER(O9)),"",IF(O9&lt;=-'参数'!$C$9,"触及停手线",""))</f>
        <v/>
      </c>
      <c r="Q9" s="32" t="inlineStr">
        <is>
          <t>主线扩散到后排，最高 5 板</t>
        </is>
      </c>
      <c r="R9" s="32" t="inlineStr">
        <is>
          <t>发酵延续，半路做板块A 前排突破</t>
        </is>
      </c>
      <c r="S9" s="32" t="inlineStr">
        <is>
          <t>追价超过计划 1% 不买</t>
        </is>
      </c>
    </row>
    <row r="10" ht="32" customHeight="1">
      <c r="A10" s="42">
        <f>IF('例-每日复盘'!A10="","",'例-每日复盘'!A10)</f>
        <v>47553.0</v>
      </c>
      <c r="B10" s="43" t="str">
        <f>IF('例-每日复盘'!AA10="","",'例-每日复盘'!AA10)</f>
        <v>发酵</v>
      </c>
      <c r="C10" s="32" t="inlineStr">
        <is>
          <t>板块A</t>
        </is>
      </c>
      <c r="D10" s="32" t="inlineStr">
        <is>
          <t>示例股A（6板）</t>
        </is>
      </c>
      <c r="E10" s="32" t="inlineStr">
        <is>
          <t>板块B</t>
        </is>
      </c>
      <c r="F10" s="32" t="inlineStr">
        <is>
          <t>示例股B</t>
        </is>
      </c>
      <c r="G10" s="17" t="n">
        <v>66</v>
      </c>
      <c r="H10" s="44">
        <f>IF('例-每日复盘'!P10="","",'例-每日复盘'!P10)</f>
        <v>16</v>
      </c>
      <c r="I10" s="17" t="n">
        <v>4</v>
      </c>
      <c r="J10" s="17" t="n">
        <v>2</v>
      </c>
      <c r="K10" s="17" t="n">
        <v>1</v>
      </c>
      <c r="L10" s="44">
        <f>IF('例-每日复盘'!R10="","",'例-每日复盘'!R10)</f>
        <v>6</v>
      </c>
      <c r="M10" s="36" t="str">
        <f>IF(OR(NOT(ISNUMBER(L10)),COUNT(H10:J10)&lt;3),"",IF(OR(AND(L10&gt;=3,H10=0),AND(L10&gt;=4,I10=0),AND(L10&gt;=5,J10=0)),"有断层","连续"))</f>
        <v>连续</v>
      </c>
      <c r="N10" s="27" t="inlineStr">
        <is>
          <t>有成交</t>
        </is>
      </c>
      <c r="O10" s="45" t="str">
        <f>IF(NOT(ISNUMBER(A10)),"",IF(COUNTIFS('例-交易记录'!$S$5:$S$304,A10,'例-交易记录'!$X$5:$X$304,"已平仓")=0,"",SUMIFS('例-交易记录'!$AB$5:$AB$304,'例-交易记录'!$S$5:$S$304,A10,'例-交易记录'!$X$5:$X$304,"已平仓")))</f>
        <v/>
      </c>
      <c r="P10" s="36" t="str">
        <f>IF(NOT(ISNUMBER(O10)),"",IF(O10&lt;=-'参数'!$C$9,"触及停手线",""))</f>
        <v/>
      </c>
      <c r="Q10" s="32" t="inlineStr">
        <is>
          <t>板块A 和板块B 共振，昨日涨停均涨 3.6%</t>
        </is>
      </c>
      <c r="R10" s="32" t="inlineStr">
        <is>
          <t>高位只卖不买；新仓只做首板次日的半路</t>
        </is>
      </c>
      <c r="S10" s="32" t="inlineStr">
        <is>
          <t>炸板率比昨天升就不开新仓</t>
        </is>
      </c>
    </row>
    <row r="11" ht="32" customHeight="1">
      <c r="A11" s="42">
        <f>IF('例-每日复盘'!A11="","",'例-每日复盘'!A11)</f>
        <v>47554.0</v>
      </c>
      <c r="B11" s="43" t="str">
        <f>IF('例-每日复盘'!AA11="","",'例-每日复盘'!AA11)</f>
        <v>高潮</v>
      </c>
      <c r="C11" s="32" t="inlineStr">
        <is>
          <t>板块A</t>
        </is>
      </c>
      <c r="D11" s="32" t="inlineStr">
        <is>
          <t>示例股A（7板）</t>
        </is>
      </c>
      <c r="E11" s="32" t="inlineStr">
        <is>
          <t>板块B</t>
        </is>
      </c>
      <c r="F11" s="32" t="inlineStr">
        <is>
          <t>示例股B</t>
        </is>
      </c>
      <c r="G11" s="17" t="n">
        <v>78</v>
      </c>
      <c r="H11" s="44">
        <f>IF('例-每日复盘'!P11="","",'例-每日复盘'!P11)</f>
        <v>18</v>
      </c>
      <c r="I11" s="17" t="n">
        <v>5</v>
      </c>
      <c r="J11" s="17" t="n">
        <v>2</v>
      </c>
      <c r="K11" s="17" t="n">
        <v>2</v>
      </c>
      <c r="L11" s="44">
        <f>IF('例-每日复盘'!R11="","",'例-每日复盘'!R11)</f>
        <v>7</v>
      </c>
      <c r="M11" s="36" t="str">
        <f>IF(OR(NOT(ISNUMBER(L11)),COUNT(H11:J11)&lt;3),"",IF(OR(AND(L11&gt;=3,H11=0),AND(L11&gt;=4,I11=0),AND(L11&gt;=5,J11=0)),"有断层","连续"))</f>
        <v>连续</v>
      </c>
      <c r="N11" s="27" t="inlineStr">
        <is>
          <t>有成交</t>
        </is>
      </c>
      <c r="O11" s="45">
        <f>IF(NOT(ISNUMBER(A11)),"",IF(COUNTIFS('例-交易记录'!$S$5:$S$304,A11,'例-交易记录'!$X$5:$X$304,"已平仓")=0,"",SUMIFS('例-交易记录'!$AB$5:$AB$304,'例-交易记录'!$S$5:$S$304,A11,'例-交易记录'!$X$5:$X$304,"已平仓")))</f>
        <v>-1.16525</v>
      </c>
      <c r="P11" s="36" t="str">
        <f>IF(NOT(ISNUMBER(O11)),"",IF(O11&lt;=-'参数'!$C$9,"触及停手线",""))</f>
        <v/>
      </c>
      <c r="Q11" s="32" t="inlineStr">
        <is>
          <t>涨停 118 家，最高 7 板，接力资金最赚钱</t>
        </is>
      </c>
      <c r="R11" s="32" t="inlineStr">
        <is>
          <t>分歧就卖剩下的一半，不开新仓</t>
        </is>
      </c>
      <c r="S11" s="32" t="inlineStr">
        <is>
          <t>分歧日不开新仓</t>
        </is>
      </c>
    </row>
    <row r="12" ht="32" customHeight="1">
      <c r="A12" s="42">
        <f>IF('例-每日复盘'!A12="","",'例-每日复盘'!A12)</f>
        <v>47555.0</v>
      </c>
      <c r="B12" s="43" t="str">
        <f>IF('例-每日复盘'!AA12="","",'例-每日复盘'!AA12)</f>
        <v>分歧</v>
      </c>
      <c r="C12" s="32" t="inlineStr">
        <is>
          <t>板块A</t>
        </is>
      </c>
      <c r="D12" s="32" t="inlineStr">
        <is>
          <t>示例股A（8板）</t>
        </is>
      </c>
      <c r="E12" s="32" t="inlineStr">
        <is>
          <t>板块B</t>
        </is>
      </c>
      <c r="F12" s="32" t="inlineStr">
        <is>
          <t>示例股B（4板）</t>
        </is>
      </c>
      <c r="G12" s="17" t="n">
        <v>52</v>
      </c>
      <c r="H12" s="44">
        <f>IF('例-每日复盘'!P12="","",'例-每日复盘'!P12)</f>
        <v>14</v>
      </c>
      <c r="I12" s="17" t="n">
        <v>4</v>
      </c>
      <c r="J12" s="17" t="n">
        <v>1</v>
      </c>
      <c r="K12" s="17" t="n">
        <v>2</v>
      </c>
      <c r="L12" s="44">
        <f>IF('例-每日复盘'!R12="","",'例-每日复盘'!R12)</f>
        <v>8</v>
      </c>
      <c r="M12" s="36" t="str">
        <f>IF(OR(NOT(ISNUMBER(L12)),COUNT(H12:J12)&lt;3),"",IF(OR(AND(L12&gt;=3,H12=0),AND(L12&gt;=4,I12=0),AND(L12&gt;=5,J12=0)),"有断层","连续"))</f>
        <v>连续</v>
      </c>
      <c r="N12" s="27" t="inlineStr">
        <is>
          <t>有成交</t>
        </is>
      </c>
      <c r="O12" s="45">
        <f>IF(NOT(ISNUMBER(A12)),"",IF(COUNTIFS('例-交易记录'!$S$5:$S$304,A12,'例-交易记录'!$X$5:$X$304,"已平仓")=0,"",SUMIFS('例-交易记录'!$AB$5:$AB$304,'例-交易记录'!$S$5:$S$304,A12,'例-交易记录'!$X$5:$X$304,"已平仓")))</f>
        <v>2.93012896825397</v>
      </c>
      <c r="P12" s="36" t="str">
        <f>IF(NOT(ISNUMBER(O12)),"",IF(O12&lt;=-'参数'!$C$9,"触及停手线",""))</f>
        <v/>
      </c>
      <c r="Q12" s="32" t="inlineStr">
        <is>
          <t>炸板率升到 38%，高位股开始分化</t>
        </is>
      </c>
      <c r="R12" s="32" t="inlineStr">
        <is>
          <t>持仓破止损的，开盘就卖</t>
        </is>
      </c>
      <c r="S12" s="32" t="inlineStr">
        <is>
          <t>不抄底退潮股</t>
        </is>
      </c>
    </row>
    <row r="13" ht="32" customHeight="1">
      <c r="A13" s="42">
        <f>IF('例-每日复盘'!A13="","",'例-每日复盘'!A13)</f>
        <v>47556.0</v>
      </c>
      <c r="B13" s="43" t="str">
        <f>IF('例-每日复盘'!AA13="","",'例-每日复盘'!AA13)</f>
        <v>退潮</v>
      </c>
      <c r="C13" s="32" t="inlineStr">
        <is>
          <t>板块C（防御）</t>
        </is>
      </c>
      <c r="D13" s="32" t="inlineStr">
        <is>
          <t>示例股B（5板）</t>
        </is>
      </c>
      <c r="E13" s="32" t="inlineStr"/>
      <c r="F13" s="32" t="inlineStr"/>
      <c r="G13" s="17" t="n">
        <v>30</v>
      </c>
      <c r="H13" s="44">
        <f>IF('例-每日复盘'!P13="","",'例-每日复盘'!P13)</f>
        <v>6</v>
      </c>
      <c r="I13" s="17" t="n">
        <v>2</v>
      </c>
      <c r="J13" s="17" t="n">
        <v>0</v>
      </c>
      <c r="K13" s="17" t="n">
        <v>1</v>
      </c>
      <c r="L13" s="44">
        <f>IF('例-每日复盘'!R13="","",'例-每日复盘'!R13)</f>
        <v>5</v>
      </c>
      <c r="M13" s="36" t="str">
        <f>IF(OR(NOT(ISNUMBER(L13)),COUNT(H13:J13)&lt;3),"",IF(OR(AND(L13&gt;=3,H13=0),AND(L13&gt;=4,I13=0),AND(L13&gt;=5,J13=0)),"有断层","连续"))</f>
        <v>有断层</v>
      </c>
      <c r="N13" s="27" t="inlineStr">
        <is>
          <t>挂单没成交</t>
        </is>
      </c>
      <c r="O13" s="45" t="str">
        <f>IF(NOT(ISNUMBER(A13)),"",IF(COUNTIFS('例-交易记录'!$S$5:$S$304,A13,'例-交易记录'!$X$5:$X$304,"已平仓")=0,"",SUMIFS('例-交易记录'!$AB$5:$AB$304,'例-交易记录'!$S$5:$S$304,A13,'例-交易记录'!$X$5:$X$304,"已平仓")))</f>
        <v/>
      </c>
      <c r="P13" s="36" t="str">
        <f>IF(NOT(ISNUMBER(O13)),"",IF(O13&lt;=-'参数'!$C$9,"触及停手线",""))</f>
        <v/>
      </c>
      <c r="Q13" s="32" t="inlineStr">
        <is>
          <t>板块A 退潮，龙头断板，跌停 14 家</t>
        </is>
      </c>
      <c r="R13" s="32" t="inlineStr">
        <is>
          <t>跌停打开就卖示例股J</t>
        </is>
      </c>
      <c r="S13" s="32" t="inlineStr">
        <is>
          <t>退潮期不开新仓</t>
        </is>
      </c>
    </row>
    <row r="14" ht="32" customHeight="1">
      <c r="A14" s="42">
        <f>IF('例-每日复盘'!A14="","",'例-每日复盘'!A14)</f>
        <v>47557.0</v>
      </c>
      <c r="B14" s="43" t="str">
        <f>IF('例-每日复盘'!AA14="","",'例-每日复盘'!AA14)</f>
        <v>冰点</v>
      </c>
      <c r="C14" s="32" t="inlineStr">
        <is>
          <t>板块C（防御）</t>
        </is>
      </c>
      <c r="D14" s="32" t="inlineStr">
        <is>
          <t>示例股C（3板）</t>
        </is>
      </c>
      <c r="E14" s="32" t="inlineStr"/>
      <c r="F14" s="32" t="inlineStr"/>
      <c r="G14" s="17" t="n">
        <v>15</v>
      </c>
      <c r="H14" s="44">
        <f>IF('例-每日复盘'!P14="","",'例-每日复盘'!P14)</f>
        <v>2</v>
      </c>
      <c r="I14" s="17" t="n">
        <v>1</v>
      </c>
      <c r="J14" s="17" t="n">
        <v>0</v>
      </c>
      <c r="K14" s="17" t="n">
        <v>0</v>
      </c>
      <c r="L14" s="44">
        <f>IF('例-每日复盘'!R14="","",'例-每日复盘'!R14)</f>
        <v>3</v>
      </c>
      <c r="M14" s="36" t="str">
        <f>IF(OR(NOT(ISNUMBER(L14)),COUNT(H14:J14)&lt;3),"",IF(OR(AND(L14&gt;=3,H14=0),AND(L14&gt;=4,I14=0),AND(L14&gt;=5,J14=0)),"有断层","连续"))</f>
        <v>连续</v>
      </c>
      <c r="N14" s="27" t="inlineStr">
        <is>
          <t>有成交</t>
        </is>
      </c>
      <c r="O14" s="45">
        <f>IF(NOT(ISNUMBER(A14)),"",IF(COUNTIFS('例-交易记录'!$S$5:$S$304,A14,'例-交易记录'!$X$5:$X$304,"已平仓")=0,"",SUMIFS('例-交易记录'!$AB$5:$AB$304,'例-交易记录'!$S$5:$S$304,A14,'例-交易记录'!$X$5:$X$304,"已平仓")))</f>
        <v>-3.11186666666666</v>
      </c>
      <c r="P14" s="36" t="str">
        <f>IF(NOT(ISNUMBER(O14)),"",IF(O14&lt;=-'参数'!$C$9,"触及停手线",""))</f>
        <v>触及停手线</v>
      </c>
      <c r="Q14" s="32" t="inlineStr">
        <is>
          <t>只有防御的板块C 抗跌，接力全亏</t>
        </is>
      </c>
      <c r="R14" s="32" t="inlineStr">
        <is>
          <t>周末复盘，下周先空仓观察</t>
        </is>
      </c>
      <c r="S14" s="32" t="inlineStr">
        <is>
          <t>冰点当天不抄底</t>
        </is>
      </c>
    </row>
    <row r="15">
      <c r="A15" s="42" t="str">
        <f>IF('例-每日复盘'!A15="","",'例-每日复盘'!A15)</f>
        <v/>
      </c>
      <c r="B15" s="43" t="str">
        <f>IF('例-每日复盘'!AA15="","",'例-每日复盘'!AA15)</f>
        <v/>
      </c>
      <c r="C15" s="32" t="n"/>
      <c r="D15" s="32" t="n"/>
      <c r="E15" s="32" t="n"/>
      <c r="F15" s="32" t="n"/>
      <c r="G15" s="17" t="n"/>
      <c r="H15" s="44" t="str">
        <f>IF('例-每日复盘'!P15="","",'例-每日复盘'!P15)</f>
        <v/>
      </c>
      <c r="I15" s="17" t="n"/>
      <c r="J15" s="17" t="n"/>
      <c r="K15" s="17" t="n"/>
      <c r="L15" s="44" t="str">
        <f>IF('例-每日复盘'!R15="","",'例-每日复盘'!R15)</f>
        <v/>
      </c>
      <c r="M15" s="36" t="str">
        <f>IF(OR(NOT(ISNUMBER(L15)),COUNT(H15:J15)&lt;3),"",IF(OR(AND(L15&gt;=3,H15=0),AND(L15&gt;=4,I15=0),AND(L15&gt;=5,J15=0)),"有断层","连续"))</f>
        <v/>
      </c>
      <c r="N15" s="27" t="n"/>
      <c r="O15" s="45" t="str">
        <f>IF(NOT(ISNUMBER(A15)),"",IF(COUNTIFS('例-交易记录'!$S$5:$S$304,A15,'例-交易记录'!$X$5:$X$304,"已平仓")=0,"",SUMIFS('例-交易记录'!$AB$5:$AB$304,'例-交易记录'!$S$5:$S$304,A15,'例-交易记录'!$X$5:$X$304,"已平仓")))</f>
        <v/>
      </c>
      <c r="P15" s="36" t="str">
        <f>IF(NOT(ISNUMBER(O15)),"",IF(O15&lt;=-'参数'!$C$9,"触及停手线",""))</f>
        <v/>
      </c>
      <c r="Q15" s="32" t="n"/>
      <c r="R15" s="32" t="n"/>
      <c r="S15" s="32" t="n"/>
    </row>
    <row r="16">
      <c r="A16" s="42" t="str">
        <f>IF('例-每日复盘'!A16="","",'例-每日复盘'!A16)</f>
        <v/>
      </c>
      <c r="B16" s="43" t="str">
        <f>IF('例-每日复盘'!AA16="","",'例-每日复盘'!AA16)</f>
        <v/>
      </c>
      <c r="C16" s="32" t="n"/>
      <c r="D16" s="32" t="n"/>
      <c r="E16" s="32" t="n"/>
      <c r="F16" s="32" t="n"/>
      <c r="G16" s="17" t="n"/>
      <c r="H16" s="44" t="str">
        <f>IF('例-每日复盘'!P16="","",'例-每日复盘'!P16)</f>
        <v/>
      </c>
      <c r="I16" s="17" t="n"/>
      <c r="J16" s="17" t="n"/>
      <c r="K16" s="17" t="n"/>
      <c r="L16" s="44" t="str">
        <f>IF('例-每日复盘'!R16="","",'例-每日复盘'!R16)</f>
        <v/>
      </c>
      <c r="M16" s="36" t="str">
        <f>IF(OR(NOT(ISNUMBER(L16)),COUNT(H16:J16)&lt;3),"",IF(OR(AND(L16&gt;=3,H16=0),AND(L16&gt;=4,I16=0),AND(L16&gt;=5,J16=0)),"有断层","连续"))</f>
        <v/>
      </c>
      <c r="N16" s="27" t="n"/>
      <c r="O16" s="45" t="str">
        <f>IF(NOT(ISNUMBER(A16)),"",IF(COUNTIFS('例-交易记录'!$S$5:$S$304,A16,'例-交易记录'!$X$5:$X$304,"已平仓")=0,"",SUMIFS('例-交易记录'!$AB$5:$AB$304,'例-交易记录'!$S$5:$S$304,A16,'例-交易记录'!$X$5:$X$304,"已平仓")))</f>
        <v/>
      </c>
      <c r="P16" s="36" t="str">
        <f>IF(NOT(ISNUMBER(O16)),"",IF(O16&lt;=-'参数'!$C$9,"触及停手线",""))</f>
        <v/>
      </c>
      <c r="Q16" s="32" t="n"/>
      <c r="R16" s="32" t="n"/>
      <c r="S16" s="32" t="n"/>
    </row>
    <row r="17">
      <c r="A17" s="42" t="str">
        <f>IF('例-每日复盘'!A17="","",'例-每日复盘'!A17)</f>
        <v/>
      </c>
      <c r="B17" s="43" t="str">
        <f>IF('例-每日复盘'!AA17="","",'例-每日复盘'!AA17)</f>
        <v/>
      </c>
      <c r="C17" s="32" t="n"/>
      <c r="D17" s="32" t="n"/>
      <c r="E17" s="32" t="n"/>
      <c r="F17" s="32" t="n"/>
      <c r="G17" s="17" t="n"/>
      <c r="H17" s="44" t="str">
        <f>IF('例-每日复盘'!P17="","",'例-每日复盘'!P17)</f>
        <v/>
      </c>
      <c r="I17" s="17" t="n"/>
      <c r="J17" s="17" t="n"/>
      <c r="K17" s="17" t="n"/>
      <c r="L17" s="44" t="str">
        <f>IF('例-每日复盘'!R17="","",'例-每日复盘'!R17)</f>
        <v/>
      </c>
      <c r="M17" s="36" t="str">
        <f>IF(OR(NOT(ISNUMBER(L17)),COUNT(H17:J17)&lt;3),"",IF(OR(AND(L17&gt;=3,H17=0),AND(L17&gt;=4,I17=0),AND(L17&gt;=5,J17=0)),"有断层","连续"))</f>
        <v/>
      </c>
      <c r="N17" s="27" t="n"/>
      <c r="O17" s="45" t="str">
        <f>IF(NOT(ISNUMBER(A17)),"",IF(COUNTIFS('例-交易记录'!$S$5:$S$304,A17,'例-交易记录'!$X$5:$X$304,"已平仓")=0,"",SUMIFS('例-交易记录'!$AB$5:$AB$304,'例-交易记录'!$S$5:$S$304,A17,'例-交易记录'!$X$5:$X$304,"已平仓")))</f>
        <v/>
      </c>
      <c r="P17" s="36" t="str">
        <f>IF(NOT(ISNUMBER(O17)),"",IF(O17&lt;=-'参数'!$C$9,"触及停手线",""))</f>
        <v/>
      </c>
      <c r="Q17" s="32" t="n"/>
      <c r="R17" s="32" t="n"/>
      <c r="S17" s="32" t="n"/>
    </row>
    <row r="18">
      <c r="A18" s="42" t="str">
        <f>IF('例-每日复盘'!A18="","",'例-每日复盘'!A18)</f>
        <v/>
      </c>
      <c r="B18" s="43" t="str">
        <f>IF('例-每日复盘'!AA18="","",'例-每日复盘'!AA18)</f>
        <v/>
      </c>
      <c r="C18" s="32" t="n"/>
      <c r="D18" s="32" t="n"/>
      <c r="E18" s="32" t="n"/>
      <c r="F18" s="32" t="n"/>
      <c r="G18" s="17" t="n"/>
      <c r="H18" s="44" t="str">
        <f>IF('例-每日复盘'!P18="","",'例-每日复盘'!P18)</f>
        <v/>
      </c>
      <c r="I18" s="17" t="n"/>
      <c r="J18" s="17" t="n"/>
      <c r="K18" s="17" t="n"/>
      <c r="L18" s="44" t="str">
        <f>IF('例-每日复盘'!R18="","",'例-每日复盘'!R18)</f>
        <v/>
      </c>
      <c r="M18" s="36" t="str">
        <f>IF(OR(NOT(ISNUMBER(L18)),COUNT(H18:J18)&lt;3),"",IF(OR(AND(L18&gt;=3,H18=0),AND(L18&gt;=4,I18=0),AND(L18&gt;=5,J18=0)),"有断层","连续"))</f>
        <v/>
      </c>
      <c r="N18" s="27" t="n"/>
      <c r="O18" s="45" t="str">
        <f>IF(NOT(ISNUMBER(A18)),"",IF(COUNTIFS('例-交易记录'!$S$5:$S$304,A18,'例-交易记录'!$X$5:$X$304,"已平仓")=0,"",SUMIFS('例-交易记录'!$AB$5:$AB$304,'例-交易记录'!$S$5:$S$304,A18,'例-交易记录'!$X$5:$X$304,"已平仓")))</f>
        <v/>
      </c>
      <c r="P18" s="36" t="str">
        <f>IF(NOT(ISNUMBER(O18)),"",IF(O18&lt;=-'参数'!$C$9,"触及停手线",""))</f>
        <v/>
      </c>
      <c r="Q18" s="32" t="n"/>
      <c r="R18" s="32" t="n"/>
      <c r="S18" s="32" t="n"/>
    </row>
    <row r="19">
      <c r="A19" s="42" t="str">
        <f>IF('例-每日复盘'!A19="","",'例-每日复盘'!A19)</f>
        <v/>
      </c>
      <c r="B19" s="43" t="str">
        <f>IF('例-每日复盘'!AA19="","",'例-每日复盘'!AA19)</f>
        <v/>
      </c>
      <c r="C19" s="32" t="n"/>
      <c r="D19" s="32" t="n"/>
      <c r="E19" s="32" t="n"/>
      <c r="F19" s="32" t="n"/>
      <c r="G19" s="17" t="n"/>
      <c r="H19" s="44" t="str">
        <f>IF('例-每日复盘'!P19="","",'例-每日复盘'!P19)</f>
        <v/>
      </c>
      <c r="I19" s="17" t="n"/>
      <c r="J19" s="17" t="n"/>
      <c r="K19" s="17" t="n"/>
      <c r="L19" s="44" t="str">
        <f>IF('例-每日复盘'!R19="","",'例-每日复盘'!R19)</f>
        <v/>
      </c>
      <c r="M19" s="36" t="str">
        <f>IF(OR(NOT(ISNUMBER(L19)),COUNT(H19:J19)&lt;3),"",IF(OR(AND(L19&gt;=3,H19=0),AND(L19&gt;=4,I19=0),AND(L19&gt;=5,J19=0)),"有断层","连续"))</f>
        <v/>
      </c>
      <c r="N19" s="27" t="n"/>
      <c r="O19" s="45" t="str">
        <f>IF(NOT(ISNUMBER(A19)),"",IF(COUNTIFS('例-交易记录'!$S$5:$S$304,A19,'例-交易记录'!$X$5:$X$304,"已平仓")=0,"",SUMIFS('例-交易记录'!$AB$5:$AB$304,'例-交易记录'!$S$5:$S$304,A19,'例-交易记录'!$X$5:$X$304,"已平仓")))</f>
        <v/>
      </c>
      <c r="P19" s="36" t="str">
        <f>IF(NOT(ISNUMBER(O19)),"",IF(O19&lt;=-'参数'!$C$9,"触及停手线",""))</f>
        <v/>
      </c>
      <c r="Q19" s="32" t="n"/>
      <c r="R19" s="32" t="n"/>
      <c r="S19" s="32" t="n"/>
    </row>
    <row r="20">
      <c r="A20" s="42" t="str">
        <f>IF('例-每日复盘'!A20="","",'例-每日复盘'!A20)</f>
        <v/>
      </c>
      <c r="B20" s="43" t="str">
        <f>IF('例-每日复盘'!AA20="","",'例-每日复盘'!AA20)</f>
        <v/>
      </c>
      <c r="C20" s="32" t="n"/>
      <c r="D20" s="32" t="n"/>
      <c r="E20" s="32" t="n"/>
      <c r="F20" s="32" t="n"/>
      <c r="G20" s="17" t="n"/>
      <c r="H20" s="44" t="str">
        <f>IF('例-每日复盘'!P20="","",'例-每日复盘'!P20)</f>
        <v/>
      </c>
      <c r="I20" s="17" t="n"/>
      <c r="J20" s="17" t="n"/>
      <c r="K20" s="17" t="n"/>
      <c r="L20" s="44" t="str">
        <f>IF('例-每日复盘'!R20="","",'例-每日复盘'!R20)</f>
        <v/>
      </c>
      <c r="M20" s="36" t="str">
        <f>IF(OR(NOT(ISNUMBER(L20)),COUNT(H20:J20)&lt;3),"",IF(OR(AND(L20&gt;=3,H20=0),AND(L20&gt;=4,I20=0),AND(L20&gt;=5,J20=0)),"有断层","连续"))</f>
        <v/>
      </c>
      <c r="N20" s="27" t="n"/>
      <c r="O20" s="45" t="str">
        <f>IF(NOT(ISNUMBER(A20)),"",IF(COUNTIFS('例-交易记录'!$S$5:$S$304,A20,'例-交易记录'!$X$5:$X$304,"已平仓")=0,"",SUMIFS('例-交易记录'!$AB$5:$AB$304,'例-交易记录'!$S$5:$S$304,A20,'例-交易记录'!$X$5:$X$304,"已平仓")))</f>
        <v/>
      </c>
      <c r="P20" s="36" t="str">
        <f>IF(NOT(ISNUMBER(O20)),"",IF(O20&lt;=-'参数'!$C$9,"触及停手线",""))</f>
        <v/>
      </c>
      <c r="Q20" s="32" t="n"/>
      <c r="R20" s="32" t="n"/>
      <c r="S20" s="32" t="n"/>
    </row>
    <row r="21">
      <c r="A21" s="42" t="str">
        <f>IF('例-每日复盘'!A21="","",'例-每日复盘'!A21)</f>
        <v/>
      </c>
      <c r="B21" s="43" t="str">
        <f>IF('例-每日复盘'!AA21="","",'例-每日复盘'!AA21)</f>
        <v/>
      </c>
      <c r="C21" s="32" t="n"/>
      <c r="D21" s="32" t="n"/>
      <c r="E21" s="32" t="n"/>
      <c r="F21" s="32" t="n"/>
      <c r="G21" s="17" t="n"/>
      <c r="H21" s="44" t="str">
        <f>IF('例-每日复盘'!P21="","",'例-每日复盘'!P21)</f>
        <v/>
      </c>
      <c r="I21" s="17" t="n"/>
      <c r="J21" s="17" t="n"/>
      <c r="K21" s="17" t="n"/>
      <c r="L21" s="44" t="str">
        <f>IF('例-每日复盘'!R21="","",'例-每日复盘'!R21)</f>
        <v/>
      </c>
      <c r="M21" s="36" t="str">
        <f>IF(OR(NOT(ISNUMBER(L21)),COUNT(H21:J21)&lt;3),"",IF(OR(AND(L21&gt;=3,H21=0),AND(L21&gt;=4,I21=0),AND(L21&gt;=5,J21=0)),"有断层","连续"))</f>
        <v/>
      </c>
      <c r="N21" s="27" t="n"/>
      <c r="O21" s="45" t="str">
        <f>IF(NOT(ISNUMBER(A21)),"",IF(COUNTIFS('例-交易记录'!$S$5:$S$304,A21,'例-交易记录'!$X$5:$X$304,"已平仓")=0,"",SUMIFS('例-交易记录'!$AB$5:$AB$304,'例-交易记录'!$S$5:$S$304,A21,'例-交易记录'!$X$5:$X$304,"已平仓")))</f>
        <v/>
      </c>
      <c r="P21" s="36" t="str">
        <f>IF(NOT(ISNUMBER(O21)),"",IF(O21&lt;=-'参数'!$C$9,"触及停手线",""))</f>
        <v/>
      </c>
      <c r="Q21" s="32" t="n"/>
      <c r="R21" s="32" t="n"/>
      <c r="S21" s="32" t="n"/>
    </row>
    <row r="22">
      <c r="A22" s="42" t="str">
        <f>IF('例-每日复盘'!A22="","",'例-每日复盘'!A22)</f>
        <v/>
      </c>
      <c r="B22" s="43" t="str">
        <f>IF('例-每日复盘'!AA22="","",'例-每日复盘'!AA22)</f>
        <v/>
      </c>
      <c r="C22" s="32" t="n"/>
      <c r="D22" s="32" t="n"/>
      <c r="E22" s="32" t="n"/>
      <c r="F22" s="32" t="n"/>
      <c r="G22" s="17" t="n"/>
      <c r="H22" s="44" t="str">
        <f>IF('例-每日复盘'!P22="","",'例-每日复盘'!P22)</f>
        <v/>
      </c>
      <c r="I22" s="17" t="n"/>
      <c r="J22" s="17" t="n"/>
      <c r="K22" s="17" t="n"/>
      <c r="L22" s="44" t="str">
        <f>IF('例-每日复盘'!R22="","",'例-每日复盘'!R22)</f>
        <v/>
      </c>
      <c r="M22" s="36" t="str">
        <f>IF(OR(NOT(ISNUMBER(L22)),COUNT(H22:J22)&lt;3),"",IF(OR(AND(L22&gt;=3,H22=0),AND(L22&gt;=4,I22=0),AND(L22&gt;=5,J22=0)),"有断层","连续"))</f>
        <v/>
      </c>
      <c r="N22" s="27" t="n"/>
      <c r="O22" s="45" t="str">
        <f>IF(NOT(ISNUMBER(A22)),"",IF(COUNTIFS('例-交易记录'!$S$5:$S$304,A22,'例-交易记录'!$X$5:$X$304,"已平仓")=0,"",SUMIFS('例-交易记录'!$AB$5:$AB$304,'例-交易记录'!$S$5:$S$304,A22,'例-交易记录'!$X$5:$X$304,"已平仓")))</f>
        <v/>
      </c>
      <c r="P22" s="36" t="str">
        <f>IF(NOT(ISNUMBER(O22)),"",IF(O22&lt;=-'参数'!$C$9,"触及停手线",""))</f>
        <v/>
      </c>
      <c r="Q22" s="32" t="n"/>
      <c r="R22" s="32" t="n"/>
      <c r="S22" s="32" t="n"/>
    </row>
    <row r="23">
      <c r="A23" s="42" t="str">
        <f>IF('例-每日复盘'!A23="","",'例-每日复盘'!A23)</f>
        <v/>
      </c>
      <c r="B23" s="43" t="str">
        <f>IF('例-每日复盘'!AA23="","",'例-每日复盘'!AA23)</f>
        <v/>
      </c>
      <c r="C23" s="32" t="n"/>
      <c r="D23" s="32" t="n"/>
      <c r="E23" s="32" t="n"/>
      <c r="F23" s="32" t="n"/>
      <c r="G23" s="17" t="n"/>
      <c r="H23" s="44" t="str">
        <f>IF('例-每日复盘'!P23="","",'例-每日复盘'!P23)</f>
        <v/>
      </c>
      <c r="I23" s="17" t="n"/>
      <c r="J23" s="17" t="n"/>
      <c r="K23" s="17" t="n"/>
      <c r="L23" s="44" t="str">
        <f>IF('例-每日复盘'!R23="","",'例-每日复盘'!R23)</f>
        <v/>
      </c>
      <c r="M23" s="36" t="str">
        <f>IF(OR(NOT(ISNUMBER(L23)),COUNT(H23:J23)&lt;3),"",IF(OR(AND(L23&gt;=3,H23=0),AND(L23&gt;=4,I23=0),AND(L23&gt;=5,J23=0)),"有断层","连续"))</f>
        <v/>
      </c>
      <c r="N23" s="27" t="n"/>
      <c r="O23" s="45" t="str">
        <f>IF(NOT(ISNUMBER(A23)),"",IF(COUNTIFS('例-交易记录'!$S$5:$S$304,A23,'例-交易记录'!$X$5:$X$304,"已平仓")=0,"",SUMIFS('例-交易记录'!$AB$5:$AB$304,'例-交易记录'!$S$5:$S$304,A23,'例-交易记录'!$X$5:$X$304,"已平仓")))</f>
        <v/>
      </c>
      <c r="P23" s="36" t="str">
        <f>IF(NOT(ISNUMBER(O23)),"",IF(O23&lt;=-'参数'!$C$9,"触及停手线",""))</f>
        <v/>
      </c>
      <c r="Q23" s="32" t="n"/>
      <c r="R23" s="32" t="n"/>
      <c r="S23" s="32" t="n"/>
    </row>
    <row r="24">
      <c r="A24" s="42" t="str">
        <f>IF('例-每日复盘'!A24="","",'例-每日复盘'!A24)</f>
        <v/>
      </c>
      <c r="B24" s="43" t="str">
        <f>IF('例-每日复盘'!AA24="","",'例-每日复盘'!AA24)</f>
        <v/>
      </c>
      <c r="C24" s="32" t="n"/>
      <c r="D24" s="32" t="n"/>
      <c r="E24" s="32" t="n"/>
      <c r="F24" s="32" t="n"/>
      <c r="G24" s="17" t="n"/>
      <c r="H24" s="44" t="str">
        <f>IF('例-每日复盘'!P24="","",'例-每日复盘'!P24)</f>
        <v/>
      </c>
      <c r="I24" s="17" t="n"/>
      <c r="J24" s="17" t="n"/>
      <c r="K24" s="17" t="n"/>
      <c r="L24" s="44" t="str">
        <f>IF('例-每日复盘'!R24="","",'例-每日复盘'!R24)</f>
        <v/>
      </c>
      <c r="M24" s="36" t="str">
        <f>IF(OR(NOT(ISNUMBER(L24)),COUNT(H24:J24)&lt;3),"",IF(OR(AND(L24&gt;=3,H24=0),AND(L24&gt;=4,I24=0),AND(L24&gt;=5,J24=0)),"有断层","连续"))</f>
        <v/>
      </c>
      <c r="N24" s="27" t="n"/>
      <c r="O24" s="45" t="str">
        <f>IF(NOT(ISNUMBER(A24)),"",IF(COUNTIFS('例-交易记录'!$S$5:$S$304,A24,'例-交易记录'!$X$5:$X$304,"已平仓")=0,"",SUMIFS('例-交易记录'!$AB$5:$AB$304,'例-交易记录'!$S$5:$S$304,A24,'例-交易记录'!$X$5:$X$304,"已平仓")))</f>
        <v/>
      </c>
      <c r="P24" s="36" t="str">
        <f>IF(NOT(ISNUMBER(O24)),"",IF(O24&lt;=-'参数'!$C$9,"触及停手线",""))</f>
        <v/>
      </c>
      <c r="Q24" s="32" t="n"/>
      <c r="R24" s="32" t="n"/>
      <c r="S24" s="32" t="n"/>
    </row>
    <row r="25">
      <c r="A25" s="42" t="str">
        <f>IF('例-每日复盘'!A25="","",'例-每日复盘'!A25)</f>
        <v/>
      </c>
      <c r="B25" s="43" t="str">
        <f>IF('例-每日复盘'!AA25="","",'例-每日复盘'!AA25)</f>
        <v/>
      </c>
      <c r="C25" s="32" t="n"/>
      <c r="D25" s="32" t="n"/>
      <c r="E25" s="32" t="n"/>
      <c r="F25" s="32" t="n"/>
      <c r="G25" s="17" t="n"/>
      <c r="H25" s="44" t="str">
        <f>IF('例-每日复盘'!P25="","",'例-每日复盘'!P25)</f>
        <v/>
      </c>
      <c r="I25" s="17" t="n"/>
      <c r="J25" s="17" t="n"/>
      <c r="K25" s="17" t="n"/>
      <c r="L25" s="44" t="str">
        <f>IF('例-每日复盘'!R25="","",'例-每日复盘'!R25)</f>
        <v/>
      </c>
      <c r="M25" s="36" t="str">
        <f>IF(OR(NOT(ISNUMBER(L25)),COUNT(H25:J25)&lt;3),"",IF(OR(AND(L25&gt;=3,H25=0),AND(L25&gt;=4,I25=0),AND(L25&gt;=5,J25=0)),"有断层","连续"))</f>
        <v/>
      </c>
      <c r="N25" s="27" t="n"/>
      <c r="O25" s="45" t="str">
        <f>IF(NOT(ISNUMBER(A25)),"",IF(COUNTIFS('例-交易记录'!$S$5:$S$304,A25,'例-交易记录'!$X$5:$X$304,"已平仓")=0,"",SUMIFS('例-交易记录'!$AB$5:$AB$304,'例-交易记录'!$S$5:$S$304,A25,'例-交易记录'!$X$5:$X$304,"已平仓")))</f>
        <v/>
      </c>
      <c r="P25" s="36" t="str">
        <f>IF(NOT(ISNUMBER(O25)),"",IF(O25&lt;=-'参数'!$C$9,"触及停手线",""))</f>
        <v/>
      </c>
      <c r="Q25" s="32" t="n"/>
      <c r="R25" s="32" t="n"/>
      <c r="S25" s="32" t="n"/>
    </row>
    <row r="26">
      <c r="A26" s="42" t="str">
        <f>IF('例-每日复盘'!A26="","",'例-每日复盘'!A26)</f>
        <v/>
      </c>
      <c r="B26" s="43" t="str">
        <f>IF('例-每日复盘'!AA26="","",'例-每日复盘'!AA26)</f>
        <v/>
      </c>
      <c r="C26" s="32" t="n"/>
      <c r="D26" s="32" t="n"/>
      <c r="E26" s="32" t="n"/>
      <c r="F26" s="32" t="n"/>
      <c r="G26" s="17" t="n"/>
      <c r="H26" s="44" t="str">
        <f>IF('例-每日复盘'!P26="","",'例-每日复盘'!P26)</f>
        <v/>
      </c>
      <c r="I26" s="17" t="n"/>
      <c r="J26" s="17" t="n"/>
      <c r="K26" s="17" t="n"/>
      <c r="L26" s="44" t="str">
        <f>IF('例-每日复盘'!R26="","",'例-每日复盘'!R26)</f>
        <v/>
      </c>
      <c r="M26" s="36" t="str">
        <f>IF(OR(NOT(ISNUMBER(L26)),COUNT(H26:J26)&lt;3),"",IF(OR(AND(L26&gt;=3,H26=0),AND(L26&gt;=4,I26=0),AND(L26&gt;=5,J26=0)),"有断层","连续"))</f>
        <v/>
      </c>
      <c r="N26" s="27" t="n"/>
      <c r="O26" s="45" t="str">
        <f>IF(NOT(ISNUMBER(A26)),"",IF(COUNTIFS('例-交易记录'!$S$5:$S$304,A26,'例-交易记录'!$X$5:$X$304,"已平仓")=0,"",SUMIFS('例-交易记录'!$AB$5:$AB$304,'例-交易记录'!$S$5:$S$304,A26,'例-交易记录'!$X$5:$X$304,"已平仓")))</f>
        <v/>
      </c>
      <c r="P26" s="36" t="str">
        <f>IF(NOT(ISNUMBER(O26)),"",IF(O26&lt;=-'参数'!$C$9,"触及停手线",""))</f>
        <v/>
      </c>
      <c r="Q26" s="32" t="n"/>
      <c r="R26" s="32" t="n"/>
      <c r="S26" s="32" t="n"/>
    </row>
    <row r="27">
      <c r="A27" s="42" t="str">
        <f>IF('例-每日复盘'!A27="","",'例-每日复盘'!A27)</f>
        <v/>
      </c>
      <c r="B27" s="43" t="str">
        <f>IF('例-每日复盘'!AA27="","",'例-每日复盘'!AA27)</f>
        <v/>
      </c>
      <c r="C27" s="32" t="n"/>
      <c r="D27" s="32" t="n"/>
      <c r="E27" s="32" t="n"/>
      <c r="F27" s="32" t="n"/>
      <c r="G27" s="17" t="n"/>
      <c r="H27" s="44" t="str">
        <f>IF('例-每日复盘'!P27="","",'例-每日复盘'!P27)</f>
        <v/>
      </c>
      <c r="I27" s="17" t="n"/>
      <c r="J27" s="17" t="n"/>
      <c r="K27" s="17" t="n"/>
      <c r="L27" s="44" t="str">
        <f>IF('例-每日复盘'!R27="","",'例-每日复盘'!R27)</f>
        <v/>
      </c>
      <c r="M27" s="36" t="str">
        <f>IF(OR(NOT(ISNUMBER(L27)),COUNT(H27:J27)&lt;3),"",IF(OR(AND(L27&gt;=3,H27=0),AND(L27&gt;=4,I27=0),AND(L27&gt;=5,J27=0)),"有断层","连续"))</f>
        <v/>
      </c>
      <c r="N27" s="27" t="n"/>
      <c r="O27" s="45" t="str">
        <f>IF(NOT(ISNUMBER(A27)),"",IF(COUNTIFS('例-交易记录'!$S$5:$S$304,A27,'例-交易记录'!$X$5:$X$304,"已平仓")=0,"",SUMIFS('例-交易记录'!$AB$5:$AB$304,'例-交易记录'!$S$5:$S$304,A27,'例-交易记录'!$X$5:$X$304,"已平仓")))</f>
        <v/>
      </c>
      <c r="P27" s="36" t="str">
        <f>IF(NOT(ISNUMBER(O27)),"",IF(O27&lt;=-'参数'!$C$9,"触及停手线",""))</f>
        <v/>
      </c>
      <c r="Q27" s="32" t="n"/>
      <c r="R27" s="32" t="n"/>
      <c r="S27" s="32" t="n"/>
    </row>
    <row r="28">
      <c r="A28" s="42" t="str">
        <f>IF('例-每日复盘'!A28="","",'例-每日复盘'!A28)</f>
        <v/>
      </c>
      <c r="B28" s="43" t="str">
        <f>IF('例-每日复盘'!AA28="","",'例-每日复盘'!AA28)</f>
        <v/>
      </c>
      <c r="C28" s="32" t="n"/>
      <c r="D28" s="32" t="n"/>
      <c r="E28" s="32" t="n"/>
      <c r="F28" s="32" t="n"/>
      <c r="G28" s="17" t="n"/>
      <c r="H28" s="44" t="str">
        <f>IF('例-每日复盘'!P28="","",'例-每日复盘'!P28)</f>
        <v/>
      </c>
      <c r="I28" s="17" t="n"/>
      <c r="J28" s="17" t="n"/>
      <c r="K28" s="17" t="n"/>
      <c r="L28" s="44" t="str">
        <f>IF('例-每日复盘'!R28="","",'例-每日复盘'!R28)</f>
        <v/>
      </c>
      <c r="M28" s="36" t="str">
        <f>IF(OR(NOT(ISNUMBER(L28)),COUNT(H28:J28)&lt;3),"",IF(OR(AND(L28&gt;=3,H28=0),AND(L28&gt;=4,I28=0),AND(L28&gt;=5,J28=0)),"有断层","连续"))</f>
        <v/>
      </c>
      <c r="N28" s="27" t="n"/>
      <c r="O28" s="45" t="str">
        <f>IF(NOT(ISNUMBER(A28)),"",IF(COUNTIFS('例-交易记录'!$S$5:$S$304,A28,'例-交易记录'!$X$5:$X$304,"已平仓")=0,"",SUMIFS('例-交易记录'!$AB$5:$AB$304,'例-交易记录'!$S$5:$S$304,A28,'例-交易记录'!$X$5:$X$304,"已平仓")))</f>
        <v/>
      </c>
      <c r="P28" s="36" t="str">
        <f>IF(NOT(ISNUMBER(O28)),"",IF(O28&lt;=-'参数'!$C$9,"触及停手线",""))</f>
        <v/>
      </c>
      <c r="Q28" s="32" t="n"/>
      <c r="R28" s="32" t="n"/>
      <c r="S28" s="32" t="n"/>
    </row>
    <row r="29">
      <c r="A29" s="42" t="str">
        <f>IF('例-每日复盘'!A29="","",'例-每日复盘'!A29)</f>
        <v/>
      </c>
      <c r="B29" s="43" t="str">
        <f>IF('例-每日复盘'!AA29="","",'例-每日复盘'!AA29)</f>
        <v/>
      </c>
      <c r="C29" s="32" t="n"/>
      <c r="D29" s="32" t="n"/>
      <c r="E29" s="32" t="n"/>
      <c r="F29" s="32" t="n"/>
      <c r="G29" s="17" t="n"/>
      <c r="H29" s="44" t="str">
        <f>IF('例-每日复盘'!P29="","",'例-每日复盘'!P29)</f>
        <v/>
      </c>
      <c r="I29" s="17" t="n"/>
      <c r="J29" s="17" t="n"/>
      <c r="K29" s="17" t="n"/>
      <c r="L29" s="44" t="str">
        <f>IF('例-每日复盘'!R29="","",'例-每日复盘'!R29)</f>
        <v/>
      </c>
      <c r="M29" s="36" t="str">
        <f>IF(OR(NOT(ISNUMBER(L29)),COUNT(H29:J29)&lt;3),"",IF(OR(AND(L29&gt;=3,H29=0),AND(L29&gt;=4,I29=0),AND(L29&gt;=5,J29=0)),"有断层","连续"))</f>
        <v/>
      </c>
      <c r="N29" s="27" t="n"/>
      <c r="O29" s="45" t="str">
        <f>IF(NOT(ISNUMBER(A29)),"",IF(COUNTIFS('例-交易记录'!$S$5:$S$304,A29,'例-交易记录'!$X$5:$X$304,"已平仓")=0,"",SUMIFS('例-交易记录'!$AB$5:$AB$304,'例-交易记录'!$S$5:$S$304,A29,'例-交易记录'!$X$5:$X$304,"已平仓")))</f>
        <v/>
      </c>
      <c r="P29" s="36" t="str">
        <f>IF(NOT(ISNUMBER(O29)),"",IF(O29&lt;=-'参数'!$C$9,"触及停手线",""))</f>
        <v/>
      </c>
      <c r="Q29" s="32" t="n"/>
      <c r="R29" s="32" t="n"/>
      <c r="S29" s="32" t="n"/>
    </row>
  </sheetData>
  <mergeCells count="8">
    <mergeCell ref="C3:F3"/>
    <mergeCell ref="A1:P1"/>
    <mergeCell ref="G3:M3"/>
    <mergeCell ref="Q1:S1"/>
    <mergeCell ref="A3:B3"/>
    <mergeCell ref="A2:S2"/>
    <mergeCell ref="N3:P3"/>
    <mergeCell ref="Q3:S3"/>
  </mergeCells>
  <conditionalFormatting sqref="M5:M29">
    <cfRule type="cellIs" priority="1" operator="equal" dxfId="4">
      <formula>"有断层"</formula>
    </cfRule>
  </conditionalFormatting>
  <conditionalFormatting sqref="P5:P29">
    <cfRule type="cellIs" priority="2" operator="equal" dxfId="5">
      <formula>"触及停手线"</formula>
    </cfRule>
  </conditionalFormatting>
  <conditionalFormatting sqref="O5:O29">
    <cfRule type="cellIs" priority="3" operator="greaterThan" dxfId="0">
      <formula>0</formula>
    </cfRule>
    <cfRule type="cellIs" priority="4" operator="lessThan" dxfId="1">
      <formula>0</formula>
    </cfRule>
  </conditionalFormatting>
  <dataValidations count="1">
    <dataValidation sqref="N5:N29" showDropDown="0" showInputMessage="0" showErrorMessage="1" allowBlank="1" errorTitle="不在选项里" error="请从下拉里选；要加新选项，先去参数页的下拉选项里加。" type="list" errorStyle="warning">
      <formula1>'参数'!$G$43:$G$54</formula1>
    </dataValidation>
  </dataValidation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trade1469.com/templates/a-share-review/?src=tpl-ashare&amp;R&amp;"Microsoft YaHei"&amp;8 第 &amp;P 页，共 &amp;N 页</oddFooter>
    <evenHeader/>
    <evenFooter>&amp;L&amp;"Microsoft YaHei"&amp;8 TradeLearn · XtradingTime 交易内训&amp;C&amp;"Microsoft YaHei"&amp;8 trade1469.com/templates/a-share-review/?src=tpl-ashare&amp;R&amp;"Microsoft YaHei"&amp;8 第 &amp;P 页，共 &amp;N 页</evenFooter>
    <firstHeader/>
    <firstFooter/>
  </headerFooter>
</worksheet>
</file>

<file path=xl/worksheets/sheet10.xml><?xml version="1.0" encoding="utf-8"?>
<worksheet xmlns="http://schemas.openxmlformats.org/spreadsheetml/2006/main">
  <sheetPr>
    <tabColor rgb="00F0A35E"/>
    <outlinePr summaryBelow="1" summaryRight="1"/>
    <pageSetUpPr fitToPage="0"/>
  </sheetPr>
  <dimension ref="A1:AH24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0.5" customWidth="1" min="2" max="2"/>
    <col width="10" customWidth="1" min="3" max="3"/>
    <col width="8" customWidth="1" min="4" max="4"/>
    <col width="6" customWidth="1" min="5" max="5"/>
    <col width="7" customWidth="1" min="6" max="6"/>
    <col width="7" customWidth="1" min="7" max="7"/>
    <col width="7.5" customWidth="1" min="8" max="8"/>
    <col width="7" customWidth="1" min="9" max="9"/>
    <col width="7" customWidth="1" min="10" max="10"/>
    <col width="6.5" customWidth="1" min="11" max="11"/>
    <col width="7.5" customWidth="1" min="12" max="12"/>
    <col width="7.5" customWidth="1" min="13" max="13"/>
    <col width="8" customWidth="1" min="14" max="14"/>
    <col width="8.5" customWidth="1" min="15" max="15"/>
    <col width="18" customWidth="1" min="16" max="16"/>
    <col width="7.5" customWidth="1" min="17" max="17"/>
    <col width="10.5" customWidth="1" min="18" max="18"/>
    <col width="10.5" customWidth="1" min="19" max="19"/>
    <col width="7.5" customWidth="1" min="20" max="20"/>
    <col width="7.5" customWidth="1" min="21" max="21"/>
    <col width="7.5" customWidth="1" min="22" max="22"/>
    <col width="7.5" customWidth="1" min="23" max="23"/>
    <col width="7.5" customWidth="1" min="24" max="24"/>
    <col width="8.5" customWidth="1" min="25" max="25"/>
    <col width="9.5" customWidth="1" min="26" max="26"/>
    <col width="6.5" customWidth="1" min="27" max="27"/>
    <col width="6.5" customWidth="1" min="28" max="28"/>
    <col width="7.5" customWidth="1" min="29" max="29"/>
    <col width="6" customWidth="1" min="30" max="30"/>
    <col width="8" customWidth="1" min="31" max="31"/>
    <col width="30" customWidth="1" min="32" max="32"/>
    <col width="7" customWidth="1" min="33" max="33"/>
    <col width="7" customWidth="1" min="34" max="34"/>
  </cols>
  <sheetData>
    <row r="1" ht="30" customHeight="1">
      <c r="A1" s="13" t="inlineStr">
        <is>
          <t>示例 · A股交易记录</t>
        </is>
      </c>
      <c r="AF1" s="14" t="inlineStr">
        <is>
          <t>TradeLearn · XtradingTime 交易内训</t>
        </is>
      </c>
    </row>
    <row r="2" ht="20" customHeight="1">
      <c r="A2" s="63" t="inlineStr">
        <is>
          <t>虚构示例，仅演示填法：股票、价格和成交全部虚构，不是真实行情，也不构成任何买卖建议。</t>
        </is>
      </c>
    </row>
    <row r="3" ht="18" customHeight="1">
      <c r="A3" s="33" t="inlineStr">
        <is>
          <t>计划（下单前写，平仓后不改）</t>
        </is>
      </c>
      <c r="B3" s="33" t="n"/>
      <c r="C3" s="33" t="n"/>
      <c r="D3" s="33" t="n"/>
      <c r="E3" s="33" t="n"/>
      <c r="F3" s="33" t="n"/>
      <c r="G3" s="33" t="n"/>
      <c r="H3" s="33" t="inlineStr">
        <is>
          <t>价格、股数与风险</t>
        </is>
      </c>
      <c r="I3" s="33" t="n"/>
      <c r="J3" s="33" t="n"/>
      <c r="K3" s="33" t="n"/>
      <c r="L3" s="33" t="n"/>
      <c r="M3" s="33" t="n"/>
      <c r="N3" s="33" t="n"/>
      <c r="O3" s="33" t="n"/>
      <c r="P3" s="33" t="n"/>
      <c r="Q3" s="33" t="inlineStr">
        <is>
          <t>实际成交（从成交明细自动汇总）</t>
        </is>
      </c>
      <c r="R3" s="33" t="n"/>
      <c r="S3" s="33" t="n"/>
      <c r="T3" s="33" t="n"/>
      <c r="U3" s="33" t="n"/>
      <c r="V3" s="33" t="n"/>
      <c r="W3" s="33" t="n"/>
      <c r="X3" s="33" t="n"/>
      <c r="Y3" s="33" t="inlineStr">
        <is>
          <t>结果（费后）</t>
        </is>
      </c>
      <c r="Z3" s="33" t="n"/>
      <c r="AA3" s="33" t="n"/>
      <c r="AB3" s="33" t="n"/>
      <c r="AC3" s="33" t="n"/>
      <c r="AD3" s="33" t="inlineStr">
        <is>
          <t>过程</t>
        </is>
      </c>
      <c r="AE3" s="33" t="n"/>
      <c r="AF3" s="33" t="n"/>
      <c r="AG3" s="33" t="inlineStr">
        <is>
          <t>曲线</t>
        </is>
      </c>
      <c r="AH3" s="33" t="n"/>
    </row>
    <row r="4" ht="41.8" customHeight="1">
      <c r="A4" s="25" t="inlineStr">
        <is>
          <t>编号</t>
        </is>
      </c>
      <c r="B4" s="25" t="inlineStr">
        <is>
          <t>计划日期</t>
        </is>
      </c>
      <c r="C4" s="25" t="inlineStr">
        <is>
          <t>股票</t>
        </is>
      </c>
      <c r="D4" s="25" t="inlineStr">
        <is>
          <t>板块类型</t>
        </is>
      </c>
      <c r="E4" s="25" t="inlineStr">
        <is>
          <t>涨跌幅</t>
        </is>
      </c>
      <c r="F4" s="25" t="inlineStr">
        <is>
          <t>买点类型</t>
        </is>
      </c>
      <c r="G4" s="25" t="inlineStr">
        <is>
          <t>前一日阶段</t>
        </is>
      </c>
      <c r="H4" s="25" t="inlineStr">
        <is>
          <t>计划买入价</t>
        </is>
      </c>
      <c r="I4" s="25" t="inlineStr">
        <is>
          <t>止损价</t>
        </is>
      </c>
      <c r="J4" s="25" t="inlineStr">
        <is>
          <t>目标价</t>
        </is>
      </c>
      <c r="K4" s="25" t="inlineStr">
        <is>
          <t>计划风报比</t>
        </is>
      </c>
      <c r="L4" s="25" t="inlineStr">
        <is>
          <t>建议股数</t>
        </is>
      </c>
      <c r="M4" s="25" t="inlineStr">
        <is>
          <t>计划股数</t>
        </is>
      </c>
      <c r="N4" s="25" t="inlineStr">
        <is>
          <t>1R（元）</t>
        </is>
      </c>
      <c r="O4" s="25" t="inlineStr">
        <is>
          <t>次日跌停情景亏（元）</t>
        </is>
      </c>
      <c r="P4" s="25" t="inlineStr">
        <is>
          <t>失效条件 / 不做的情况</t>
        </is>
      </c>
      <c r="Q4" s="25" t="inlineStr">
        <is>
          <t>执行情况</t>
        </is>
      </c>
      <c r="R4" s="25" t="inlineStr">
        <is>
          <t>开仓日</t>
        </is>
      </c>
      <c r="S4" s="25" t="inlineStr">
        <is>
          <t>平仓日</t>
        </is>
      </c>
      <c r="T4" s="25" t="inlineStr">
        <is>
          <t>买入股数</t>
        </is>
      </c>
      <c r="U4" s="25" t="inlineStr">
        <is>
          <t>买入均价</t>
        </is>
      </c>
      <c r="V4" s="25" t="inlineStr">
        <is>
          <t>卖出股数</t>
        </is>
      </c>
      <c r="W4" s="25" t="inlineStr">
        <is>
          <t>卖出均价</t>
        </is>
      </c>
      <c r="X4" s="25" t="inlineStr">
        <is>
          <t>状态</t>
        </is>
      </c>
      <c r="Y4" s="25" t="inlineStr">
        <is>
          <t>费用（元）</t>
        </is>
      </c>
      <c r="Z4" s="25" t="inlineStr">
        <is>
          <t>净盈亏（元）</t>
        </is>
      </c>
      <c r="AA4" s="25" t="inlineStr">
        <is>
          <t>毛R</t>
        </is>
      </c>
      <c r="AB4" s="25" t="inlineStr">
        <is>
          <t>净R</t>
        </is>
      </c>
      <c r="AC4" s="25" t="inlineStr">
        <is>
          <t>进场偏差（元/股）</t>
        </is>
      </c>
      <c r="AD4" s="25" t="inlineStr">
        <is>
          <t>过程打分</t>
        </is>
      </c>
      <c r="AE4" s="25" t="inlineStr">
        <is>
          <t>偏差标签</t>
        </is>
      </c>
      <c r="AF4" s="25" t="inlineStr">
        <is>
          <t>备注（截图编号、下一步只改一处）</t>
        </is>
      </c>
      <c r="AG4" s="25" t="inlineStr">
        <is>
          <t>累计净R</t>
        </is>
      </c>
      <c r="AH4" s="25" t="inlineStr">
        <is>
          <t>离高点回撤</t>
        </is>
      </c>
    </row>
    <row r="5" ht="46" customHeight="1">
      <c r="A5" s="46" t="n">
        <v>1</v>
      </c>
      <c r="B5" s="31" t="n">
        <v>47549</v>
      </c>
      <c r="C5" s="32" t="inlineStr">
        <is>
          <t>示例股D</t>
        </is>
      </c>
      <c r="D5" s="27" t="inlineStr">
        <is>
          <t>主板</t>
        </is>
      </c>
      <c r="E5" s="47">
        <f>IF(D5="","",IFERROR(VLOOKUP(D5,'参数'!$B$21:$C$26,2,FALSE),""))</f>
        <v>0.1</v>
      </c>
      <c r="F5" s="27" t="inlineStr">
        <is>
          <t>低吸</t>
        </is>
      </c>
      <c r="G5" s="43" t="str">
        <f>IF(NOT(ISNUMBER(B5)),"",IFERROR(IF(B5-INDEX('例-每日复盘'!$A$5:$A$264,MATCH(B5-1,'例-每日复盘'!$A$5:$A$264,1))&gt;7,"",T(INDEX('例-每日复盘'!$AA$5:$AA$264,MATCH(B5-1,'例-每日复盘'!$A$5:$A$264,1)))),""))</f>
        <v>启动</v>
      </c>
      <c r="H5" s="48" t="n">
        <v>12.5</v>
      </c>
      <c r="I5" s="48" t="n">
        <v>12</v>
      </c>
      <c r="J5" s="48" t="n">
        <v>13.6</v>
      </c>
      <c r="K5" s="49">
        <f>IF(AND(ISNUMBER(H5),ISNUMBER(I5),ISNUMBER(J5)),IF(H5&gt;I5,(J5-H5)/(H5-I5),""),"")</f>
        <v>2.2</v>
      </c>
      <c r="L5" s="44">
        <f>IF(AND(ISNUMBER(H5),ISNUMBER(I5)),IF(H5&gt;I5,MIN(INT(ROUND('参数'!$C$7/(H5-I5)/100,6))*100,IF(ISNUMBER(E5),IF(H5-ROUND(ROUND(I5*(1-E5),4),2)&gt;0,INT(ROUND('参数'!$C$8/(H5-ROUND(ROUND(I5*(1-E5),4),2))/100,6))*100,0),INT(ROUND('参数'!$C$7/(H5-I5)/100,6))*100)),""),"")</f>
        <v>1400</v>
      </c>
      <c r="M5" s="17" t="n">
        <v>1400</v>
      </c>
      <c r="N5" s="20">
        <f>IF(AND(ISNUMBER(H5),ISNUMBER(I5),ISNUMBER(M5)),IF(AND(H5&gt;I5,M5&gt;0),(H5-I5)*M5,""),"")</f>
        <v>700</v>
      </c>
      <c r="O5" s="20">
        <f>IF(ISNUMBER(N5),IF(ISNUMBER(E5),(H5-ROUND(ROUND(I5*(1-E5),4),2))*M5,"不设限"),"")</f>
        <v>2380</v>
      </c>
      <c r="P5" s="32" t="inlineStr">
        <is>
          <t>收盘跌破 12.00，或板块A 当天涨停少于 3 家就不买</t>
        </is>
      </c>
      <c r="Q5" s="27" t="inlineStr">
        <is>
          <t>已执行</t>
        </is>
      </c>
      <c r="R5" s="42">
        <f>IF(N(T5)&gt;0,SUMPRODUCT(LARGE(('例-成交明细'!$A$5:$A$804=A5)*('例-成交明细'!$C$5:$C$804="买")*'例-成交明细'!$B$5:$B$804,COUNTIFS('例-成交明细'!$A$5:$A$804,A5,'例-成交明细'!$C$5:$C$804,"买"))),"")</f>
        <v>47549.0</v>
      </c>
      <c r="S5" s="42">
        <f>IF(AND(N(T5)&gt;0,N(V5)&gt;=N(T5)),SUMPRODUCT(MAX(('例-成交明细'!$A$5:$A$804=A5)*('例-成交明细'!$C$5:$C$804="卖")*'例-成交明细'!$B$5:$B$804)),"")</f>
        <v>47555.0</v>
      </c>
      <c r="T5" s="44">
        <f>IF(A5="","",SUMIFS('例-成交明细'!$E$5:$E$804,'例-成交明细'!$A$5:$A$804,A5,'例-成交明细'!$C$5:$C$804,"买"))</f>
        <v>1400</v>
      </c>
      <c r="U5" s="50">
        <f>IF(N(T5)&gt;0,SUMIFS('例-成交明细'!$F$5:$F$804,'例-成交明细'!$A$5:$A$804,A5,'例-成交明细'!$C$5:$C$804,"买")/T5,"")</f>
        <v>12.48</v>
      </c>
      <c r="V5" s="44">
        <f>IF(A5="","",SUMIFS('例-成交明细'!$E$5:$E$804,'例-成交明细'!$A$5:$A$804,A5,'例-成交明细'!$C$5:$C$804,"卖"))</f>
        <v>1400</v>
      </c>
      <c r="W5" s="50">
        <f>IF(N(V5)&gt;0,SUMIFS('例-成交明细'!$F$5:$F$804,'例-成交明细'!$A$5:$A$804,A5,'例-成交明细'!$C$5:$C$804,"卖")/V5,"")</f>
        <v>13.41</v>
      </c>
      <c r="X5" s="36" t="str">
        <f>IF(A5="","",IF(Q5&lt;&gt;"已执行",IF(Q5="","未填执行情况",Q5),IF(N(T5)=0,"待录成交",IF(N(V5)&gt;N(T5),"卖出多于买入",IF(N(V5)&lt;N(T5),"持仓中","已平仓")))))</f>
        <v>已平仓</v>
      </c>
      <c r="Y5" s="51">
        <f>IF(N(T5)=0,"",SUMIFS('例-成交明细'!$K$5:$K$804,'例-成交明细'!$A$5:$A$804,A5))</f>
        <v>24.75</v>
      </c>
      <c r="Z5" s="52">
        <f>IF(X5&lt;&gt;"已平仓","",SUMIFS('例-成交明细'!$F$5:$F$804,'例-成交明细'!$A$5:$A$804,A5,'例-成交明细'!$C$5:$C$804,"卖")-SUMIFS('例-成交明细'!$F$5:$F$804,'例-成交明细'!$A$5:$A$804,A5,'例-成交明细'!$C$5:$C$804,"买")-Y5)</f>
        <v>1277.25</v>
      </c>
      <c r="AA5" s="53">
        <f>IF(AND(X5="已平仓",ISNUMBER(N5)),(Z5+Y5)/N5,"")</f>
        <v>1.86</v>
      </c>
      <c r="AB5" s="53">
        <f>IF(AND(X5="已平仓",ISNUMBER(N5)),Z5/N5,"")</f>
        <v>1.82464285714286</v>
      </c>
      <c r="AC5" s="54">
        <f>IF(AND(ISNUMBER(U5),ISNUMBER(H5)),U5-H5,"")</f>
        <v>-0.0199999999999996</v>
      </c>
      <c r="AD5" s="27" t="inlineStr">
        <is>
          <t>A</t>
        </is>
      </c>
      <c r="AE5" s="27" t="inlineStr">
        <is>
          <t>无</t>
        </is>
      </c>
      <c r="AF5" s="32" t="inlineStr">
        <is>
          <t>截图 0307-D。到目标卖一半，分歧日卖剩下一半，照做了</t>
        </is>
      </c>
      <c r="AG5" s="53">
        <f>IF(A5="","",SUM(AB$5:AB5))</f>
        <v>1.82464285714286</v>
      </c>
      <c r="AH5" s="55">
        <f>IF(A5="","",MAX(0,MAX(AG$5:AG5))-AG5)</f>
        <v>0</v>
      </c>
    </row>
    <row r="6" ht="32" customHeight="1">
      <c r="A6" s="46" t="n">
        <v>2</v>
      </c>
      <c r="B6" s="31" t="n">
        <v>47550</v>
      </c>
      <c r="C6" s="32" t="inlineStr">
        <is>
          <t>示例股A</t>
        </is>
      </c>
      <c r="D6" s="27" t="inlineStr">
        <is>
          <t>主板</t>
        </is>
      </c>
      <c r="E6" s="47">
        <f>IF(D6="","",IFERROR(VLOOKUP(D6,'参数'!$B$21:$C$26,2,FALSE),""))</f>
        <v>0.1</v>
      </c>
      <c r="F6" s="27" t="inlineStr">
        <is>
          <t>打板</t>
        </is>
      </c>
      <c r="G6" s="43" t="str">
        <f>IF(NOT(ISNUMBER(B6)),"",IFERROR(IF(B6-INDEX('例-每日复盘'!$A$5:$A$264,MATCH(B6-1,'例-每日复盘'!$A$5:$A$264,1))&gt;7,"",T(INDEX('例-每日复盘'!$AA$5:$AA$264,MATCH(B6-1,'例-每日复盘'!$A$5:$A$264,1)))),""))</f>
        <v>启动</v>
      </c>
      <c r="H6" s="48" t="n">
        <v>20.35</v>
      </c>
      <c r="I6" s="48" t="n">
        <v>19.3</v>
      </c>
      <c r="J6" s="48" t="n">
        <v>22.39</v>
      </c>
      <c r="K6" s="49">
        <f>IF(AND(ISNUMBER(H6),ISNUMBER(I6),ISNUMBER(J6)),IF(H6&gt;I6,(J6-H6)/(H6-I6),""),"")</f>
        <v>1.94285714285714</v>
      </c>
      <c r="L6" s="44">
        <f>IF(AND(ISNUMBER(H6),ISNUMBER(I6)),IF(H6&gt;I6,MIN(INT(ROUND('参数'!$C$7/(H6-I6)/100,6))*100,IF(ISNUMBER(E6),IF(H6-ROUND(ROUND(I6*(1-E6),4),2)&gt;0,INT(ROUND('参数'!$C$8/(H6-ROUND(ROUND(I6*(1-E6),4),2))/100,6))*100,0),INT(ROUND('参数'!$C$7/(H6-I6)/100,6))*100)),""),"")</f>
        <v>800</v>
      </c>
      <c r="M6" s="17" t="n">
        <v>800</v>
      </c>
      <c r="N6" s="20">
        <f>IF(AND(ISNUMBER(H6),ISNUMBER(I6),ISNUMBER(M6)),IF(AND(H6&gt;I6,M6&gt;0),(H6-I6)*M6,""),"")</f>
        <v>840.000000000001</v>
      </c>
      <c r="O6" s="20">
        <f>IF(ISNUMBER(N6),IF(ISNUMBER(E6),(H6-ROUND(ROUND(I6*(1-E6),4),2))*M6,"不设限"),"")</f>
        <v>2384</v>
      </c>
      <c r="P6" s="32" t="inlineStr">
        <is>
          <t>封单不够或 10:30 以后才封板就不排</t>
        </is>
      </c>
      <c r="Q6" s="27" t="inlineStr">
        <is>
          <t>未成交</t>
        </is>
      </c>
      <c r="R6" s="42" t="str">
        <f>IF(N(T6)&gt;0,SUMPRODUCT(LARGE(('例-成交明细'!$A$5:$A$804=A6)*('例-成交明细'!$C$5:$C$804="买")*'例-成交明细'!$B$5:$B$804,COUNTIFS('例-成交明细'!$A$5:$A$804,A6,'例-成交明细'!$C$5:$C$804,"买"))),"")</f>
        <v/>
      </c>
      <c r="S6" s="42" t="str">
        <f>IF(AND(N(T6)&gt;0,N(V6)&gt;=N(T6)),SUMPRODUCT(MAX(('例-成交明细'!$A$5:$A$804=A6)*('例-成交明细'!$C$5:$C$804="卖")*'例-成交明细'!$B$5:$B$804)),"")</f>
        <v/>
      </c>
      <c r="T6" s="44">
        <f>IF(A6="","",SUMIFS('例-成交明细'!$E$5:$E$804,'例-成交明细'!$A$5:$A$804,A6,'例-成交明细'!$C$5:$C$804,"买"))</f>
        <v>0</v>
      </c>
      <c r="U6" s="50" t="str">
        <f>IF(N(T6)&gt;0,SUMIFS('例-成交明细'!$F$5:$F$804,'例-成交明细'!$A$5:$A$804,A6,'例-成交明细'!$C$5:$C$804,"买")/T6,"")</f>
        <v/>
      </c>
      <c r="V6" s="44">
        <f>IF(A6="","",SUMIFS('例-成交明细'!$E$5:$E$804,'例-成交明细'!$A$5:$A$804,A6,'例-成交明细'!$C$5:$C$804,"卖"))</f>
        <v>0</v>
      </c>
      <c r="W6" s="50" t="str">
        <f>IF(N(V6)&gt;0,SUMIFS('例-成交明细'!$F$5:$F$804,'例-成交明细'!$A$5:$A$804,A6,'例-成交明细'!$C$5:$C$804,"卖")/V6,"")</f>
        <v/>
      </c>
      <c r="X6" s="36" t="str">
        <f>IF(A6="","",IF(Q6&lt;&gt;"已执行",IF(Q6="","未填执行情况",Q6),IF(N(T6)=0,"待录成交",IF(N(V6)&gt;N(T6),"卖出多于买入",IF(N(V6)&lt;N(T6),"持仓中","已平仓")))))</f>
        <v>未成交</v>
      </c>
      <c r="Y6" s="51" t="str">
        <f>IF(N(T6)=0,"",SUMIFS('例-成交明细'!$K$5:$K$804,'例-成交明细'!$A$5:$A$804,A6))</f>
        <v/>
      </c>
      <c r="Z6" s="52" t="str">
        <f>IF(X6&lt;&gt;"已平仓","",SUMIFS('例-成交明细'!$F$5:$F$804,'例-成交明细'!$A$5:$A$804,A6,'例-成交明细'!$C$5:$C$804,"卖")-SUMIFS('例-成交明细'!$F$5:$F$804,'例-成交明细'!$A$5:$A$804,A6,'例-成交明细'!$C$5:$C$804,"买")-Y6)</f>
        <v/>
      </c>
      <c r="AA6" s="53" t="str">
        <f>IF(AND(X6="已平仓",ISNUMBER(N6)),(Z6+Y6)/N6,"")</f>
        <v/>
      </c>
      <c r="AB6" s="53" t="str">
        <f>IF(AND(X6="已平仓",ISNUMBER(N6)),Z6/N6,"")</f>
        <v/>
      </c>
      <c r="AC6" s="54" t="str">
        <f>IF(AND(ISNUMBER(U6),ISNUMBER(H6)),U6-H6,"")</f>
        <v/>
      </c>
      <c r="AD6" s="27" t="n"/>
      <c r="AE6" s="27" t="n"/>
      <c r="AF6" s="32" t="inlineStr">
        <is>
          <t>涨停价排队没成交，按计划撤单，没去追别的</t>
        </is>
      </c>
      <c r="AG6" s="53">
        <f>IF(A6="","",SUM(AB$5:AB6))</f>
        <v>1.82464285714286</v>
      </c>
      <c r="AH6" s="55">
        <f>IF(A6="","",MAX(0,MAX(AG$5:AG6))-AG6)</f>
        <v>0</v>
      </c>
    </row>
    <row r="7" ht="46" customHeight="1">
      <c r="A7" s="46" t="n">
        <v>3</v>
      </c>
      <c r="B7" s="31" t="n">
        <v>47553</v>
      </c>
      <c r="C7" s="32" t="inlineStr">
        <is>
          <t>示例股E</t>
        </is>
      </c>
      <c r="D7" s="27" t="inlineStr">
        <is>
          <t>创业板</t>
        </is>
      </c>
      <c r="E7" s="47">
        <f>IF(D7="","",IFERROR(VLOOKUP(D7,'参数'!$B$21:$C$26,2,FALSE),""))</f>
        <v>0.2</v>
      </c>
      <c r="F7" s="27" t="inlineStr">
        <is>
          <t>半路</t>
        </is>
      </c>
      <c r="G7" s="43" t="str">
        <f>IF(NOT(ISNUMBER(B7)),"",IFERROR(IF(B7-INDEX('例-每日复盘'!$A$5:$A$264,MATCH(B7-1,'例-每日复盘'!$A$5:$A$264,1))&gt;7,"",T(INDEX('例-每日复盘'!$AA$5:$AA$264,MATCH(B7-1,'例-每日复盘'!$A$5:$A$264,1)))),""))</f>
        <v>发酵</v>
      </c>
      <c r="H7" s="48" t="n">
        <v>30</v>
      </c>
      <c r="I7" s="48" t="n">
        <v>28.8</v>
      </c>
      <c r="J7" s="48" t="n">
        <v>33</v>
      </c>
      <c r="K7" s="49">
        <f>IF(AND(ISNUMBER(H7),ISNUMBER(I7),ISNUMBER(J7)),IF(H7&gt;I7,(J7-H7)/(H7-I7),""),"")</f>
        <v>2.5</v>
      </c>
      <c r="L7" s="44">
        <f>IF(AND(ISNUMBER(H7),ISNUMBER(I7)),IF(H7&gt;I7,MIN(INT(ROUND('参数'!$C$7/(H7-I7)/100,6))*100,IF(ISNUMBER(E7),IF(H7-ROUND(ROUND(I7*(1-E7),4),2)&gt;0,INT(ROUND('参数'!$C$8/(H7-ROUND(ROUND(I7*(1-E7),4),2))/100,6))*100,0),INT(ROUND('参数'!$C$7/(H7-I7)/100,6))*100)),""),"")</f>
        <v>300</v>
      </c>
      <c r="M7" s="17" t="n">
        <v>300</v>
      </c>
      <c r="N7" s="20">
        <f>IF(AND(ISNUMBER(H7),ISNUMBER(I7),ISNUMBER(M7)),IF(AND(H7&gt;I7,M7&gt;0),(H7-I7)*M7,""),"")</f>
        <v>360</v>
      </c>
      <c r="O7" s="20">
        <f>IF(ISNUMBER(N7),IF(ISNUMBER(E7),(H7-ROUND(ROUND(I7*(1-E7),4),2))*M7,"不设限"),"")</f>
        <v>2088</v>
      </c>
      <c r="P7" s="32" t="inlineStr">
        <is>
          <t>放量越过前高才买；收盘跌破 28.80，次日开盘走</t>
        </is>
      </c>
      <c r="Q7" s="27" t="inlineStr">
        <is>
          <t>已执行</t>
        </is>
      </c>
      <c r="R7" s="42">
        <f>IF(N(T7)&gt;0,SUMPRODUCT(LARGE(('例-成交明细'!$A$5:$A$804=A7)*('例-成交明细'!$C$5:$C$804="买")*'例-成交明细'!$B$5:$B$804,COUNTIFS('例-成交明细'!$A$5:$A$804,A7,'例-成交明细'!$C$5:$C$804,"买"))),"")</f>
        <v>47553.0</v>
      </c>
      <c r="S7" s="42">
        <f>IF(AND(N(T7)&gt;0,N(V7)&gt;=N(T7)),SUMPRODUCT(MAX(('例-成交明细'!$A$5:$A$804=A7)*('例-成交明细'!$C$5:$C$804="卖")*'例-成交明细'!$B$5:$B$804)),"")</f>
        <v>47554.0</v>
      </c>
      <c r="T7" s="44">
        <f>IF(A7="","",SUMIFS('例-成交明细'!$E$5:$E$804,'例-成交明细'!$A$5:$A$804,A7,'例-成交明细'!$C$5:$C$804,"买"))</f>
        <v>300</v>
      </c>
      <c r="U7" s="50">
        <f>IF(N(T7)&gt;0,SUMIFS('例-成交明细'!$F$5:$F$804,'例-成交明细'!$A$5:$A$804,A7,'例-成交明细'!$C$5:$C$804,"买")/T7,"")</f>
        <v>30.05</v>
      </c>
      <c r="V7" s="44">
        <f>IF(A7="","",SUMIFS('例-成交明细'!$E$5:$E$804,'例-成交明细'!$A$5:$A$804,A7,'例-成交明细'!$C$5:$C$804,"卖"))</f>
        <v>300</v>
      </c>
      <c r="W7" s="50">
        <f>IF(N(V7)&gt;0,SUMIFS('例-成交明细'!$F$5:$F$804,'例-成交明细'!$A$5:$A$804,A7,'例-成交明细'!$C$5:$C$804,"卖")/V7,"")</f>
        <v>28.7</v>
      </c>
      <c r="X7" s="36" t="str">
        <f>IF(A7="","",IF(Q7&lt;&gt;"已执行",IF(Q7="","未填执行情况",Q7),IF(N(T7)=0,"待录成交",IF(N(V7)&gt;N(T7),"卖出多于买入",IF(N(V7)&lt;N(T7),"持仓中","已平仓")))))</f>
        <v>已平仓</v>
      </c>
      <c r="Y7" s="51">
        <f>IF(N(T7)=0,"",SUMIFS('例-成交明细'!$K$5:$K$804,'例-成交明细'!$A$5:$A$804,A7))</f>
        <v>14.49</v>
      </c>
      <c r="Z7" s="52">
        <f>IF(X7&lt;&gt;"已平仓","",SUMIFS('例-成交明细'!$F$5:$F$804,'例-成交明细'!$A$5:$A$804,A7,'例-成交明细'!$C$5:$C$804,"卖")-SUMIFS('例-成交明细'!$F$5:$F$804,'例-成交明细'!$A$5:$A$804,A7,'例-成交明细'!$C$5:$C$804,"买")-Y7)</f>
        <v>-419.49</v>
      </c>
      <c r="AA7" s="53">
        <f>IF(AND(X7="已平仓",ISNUMBER(N7)),(Z7+Y7)/N7,"")</f>
        <v>-1.125</v>
      </c>
      <c r="AB7" s="53">
        <f>IF(AND(X7="已平仓",ISNUMBER(N7)),Z7/N7,"")</f>
        <v>-1.16525</v>
      </c>
      <c r="AC7" s="54">
        <f>IF(AND(ISNUMBER(U7),ISNUMBER(H7)),U7-H7,"")</f>
        <v>0.0500000000000007</v>
      </c>
      <c r="AD7" s="27" t="inlineStr">
        <is>
          <t>A</t>
        </is>
      </c>
      <c r="AE7" s="27" t="inlineStr">
        <is>
          <t>无</t>
        </is>
      </c>
      <c r="AF7" s="32" t="inlineStr">
        <is>
          <t>截图 0311-E。第二天开盘跌破止损，按计划卖了</t>
        </is>
      </c>
      <c r="AG7" s="53">
        <f>IF(A7="","",SUM(AB$5:AB7))</f>
        <v>0.659392857142856</v>
      </c>
      <c r="AH7" s="55">
        <f>IF(A7="","",MAX(0,MAX(AG$5:AG7))-AG7)</f>
        <v>1.16525</v>
      </c>
    </row>
    <row r="8" ht="46" customHeight="1">
      <c r="A8" s="46" t="n">
        <v>4</v>
      </c>
      <c r="B8" s="31" t="n">
        <v>47554</v>
      </c>
      <c r="C8" s="32" t="inlineStr">
        <is>
          <t>示例股F</t>
        </is>
      </c>
      <c r="D8" s="27" t="inlineStr">
        <is>
          <t>主板</t>
        </is>
      </c>
      <c r="E8" s="47">
        <f>IF(D8="","",IFERROR(VLOOKUP(D8,'参数'!$B$21:$C$26,2,FALSE),""))</f>
        <v>0.1</v>
      </c>
      <c r="F8" s="27" t="inlineStr">
        <is>
          <t>半路</t>
        </is>
      </c>
      <c r="G8" s="43" t="str">
        <f>IF(NOT(ISNUMBER(B8)),"",IFERROR(IF(B8-INDEX('例-每日复盘'!$A$5:$A$264,MATCH(B8-1,'例-每日复盘'!$A$5:$A$264,1))&gt;7,"",T(INDEX('例-每日复盘'!$AA$5:$AA$264,MATCH(B8-1,'例-每日复盘'!$A$5:$A$264,1)))),""))</f>
        <v>发酵</v>
      </c>
      <c r="H8" s="48" t="n">
        <v>15</v>
      </c>
      <c r="I8" s="48" t="n">
        <v>14.4</v>
      </c>
      <c r="J8" s="48" t="n">
        <v>16.5</v>
      </c>
      <c r="K8" s="49">
        <f>IF(AND(ISNUMBER(H8),ISNUMBER(I8),ISNUMBER(J8)),IF(H8&gt;I8,(J8-H8)/(H8-I8),""),"")</f>
        <v>2.5</v>
      </c>
      <c r="L8" s="44">
        <f>IF(AND(ISNUMBER(H8),ISNUMBER(I8)),IF(H8&gt;I8,MIN(INT(ROUND('参数'!$C$7/(H8-I8)/100,6))*100,IF(ISNUMBER(E8),IF(H8-ROUND(ROUND(I8*(1-E8),4),2)&gt;0,INT(ROUND('参数'!$C$8/(H8-ROUND(ROUND(I8*(1-E8),4),2))/100,6))*100,0),INT(ROUND('参数'!$C$7/(H8-I8)/100,6))*100)),""),"")</f>
        <v>1200</v>
      </c>
      <c r="M8" s="17" t="n">
        <v>1200</v>
      </c>
      <c r="N8" s="20">
        <f>IF(AND(ISNUMBER(H8),ISNUMBER(I8),ISNUMBER(M8)),IF(AND(H8&gt;I8,M8&gt;0),(H8-I8)*M8,""),"")</f>
        <v>720</v>
      </c>
      <c r="O8" s="20">
        <f>IF(ISNUMBER(N8),IF(ISNUMBER(E8),(H8-ROUND(ROUND(I8*(1-E8),4),2))*M8,"不设限"),"")</f>
        <v>2448</v>
      </c>
      <c r="P8" s="32" t="inlineStr">
        <is>
          <t>追价上限 15.10，超过就放弃</t>
        </is>
      </c>
      <c r="Q8" s="27" t="inlineStr">
        <is>
          <t>已执行</t>
        </is>
      </c>
      <c r="R8" s="42">
        <f>IF(N(T8)&gt;0,SUMPRODUCT(LARGE(('例-成交明细'!$A$5:$A$804=A8)*('例-成交明细'!$C$5:$C$804="买")*'例-成交明细'!$B$5:$B$804,COUNTIFS('例-成交明细'!$A$5:$A$804,A8,'例-成交明细'!$C$5:$C$804,"买"))),"")</f>
        <v>47554.0</v>
      </c>
      <c r="S8" s="42">
        <f>IF(AND(N(T8)&gt;0,N(V8)&gt;=N(T8)),SUMPRODUCT(MAX(('例-成交明细'!$A$5:$A$804=A8)*('例-成交明细'!$C$5:$C$804="卖")*'例-成交明细'!$B$5:$B$804)),"")</f>
        <v>47555.0</v>
      </c>
      <c r="T8" s="44">
        <f>IF(A8="","",SUMIFS('例-成交明细'!$E$5:$E$804,'例-成交明细'!$A$5:$A$804,A8,'例-成交明细'!$C$5:$C$804,"买"))</f>
        <v>1200</v>
      </c>
      <c r="U8" s="50">
        <f>IF(N(T8)&gt;0,SUMIFS('例-成交明细'!$F$5:$F$804,'例-成交明细'!$A$5:$A$804,A8,'例-成交明细'!$C$5:$C$804,"买")/T8,"")</f>
        <v>15.42</v>
      </c>
      <c r="V8" s="44">
        <f>IF(A8="","",SUMIFS('例-成交明细'!$E$5:$E$804,'例-成交明细'!$A$5:$A$804,A8,'例-成交明细'!$C$5:$C$804,"卖"))</f>
        <v>1200</v>
      </c>
      <c r="W8" s="50">
        <f>IF(N(V8)&gt;0,SUMIFS('例-成交明细'!$F$5:$F$804,'例-成交明细'!$A$5:$A$804,A8,'例-成交明细'!$C$5:$C$804,"卖")/V8,"")</f>
        <v>16.1</v>
      </c>
      <c r="X8" s="36" t="str">
        <f>IF(A8="","",IF(Q8&lt;&gt;"已执行",IF(Q8="","未填执行情况",Q8),IF(N(T8)=0,"待录成交",IF(N(V8)&gt;N(T8),"卖出多于买入",IF(N(V8)&lt;N(T8),"持仓中","已平仓")))))</f>
        <v>已平仓</v>
      </c>
      <c r="Y8" s="51">
        <f>IF(N(T8)=0,"",SUMIFS('例-成交明细'!$K$5:$K$804,'例-成交明细'!$A$5:$A$804,A8))</f>
        <v>20.05</v>
      </c>
      <c r="Z8" s="52">
        <f>IF(X8&lt;&gt;"已平仓","",SUMIFS('例-成交明细'!$F$5:$F$804,'例-成交明细'!$A$5:$A$804,A8,'例-成交明细'!$C$5:$C$804,"卖")-SUMIFS('例-成交明细'!$F$5:$F$804,'例-成交明细'!$A$5:$A$804,A8,'例-成交明细'!$C$5:$C$804,"买")-Y8)</f>
        <v>795.95</v>
      </c>
      <c r="AA8" s="53">
        <f>IF(AND(X8="已平仓",ISNUMBER(N8)),(Z8+Y8)/N8,"")</f>
        <v>1.13333333333333</v>
      </c>
      <c r="AB8" s="53">
        <f>IF(AND(X8="已平仓",ISNUMBER(N8)),Z8/N8,"")</f>
        <v>1.10548611111111</v>
      </c>
      <c r="AC8" s="54">
        <f>IF(AND(ISNUMBER(U8),ISNUMBER(H8)),U8-H8,"")</f>
        <v>0.42</v>
      </c>
      <c r="AD8" s="27" t="inlineStr">
        <is>
          <t>C</t>
        </is>
      </c>
      <c r="AE8" s="27" t="inlineStr">
        <is>
          <t>追单</t>
        </is>
      </c>
      <c r="AF8" s="32" t="inlineStr">
        <is>
          <t>截图 0312-F。超过追价上限还买了，赚了也是 C。下一步：挂单价写死，超过就撤</t>
        </is>
      </c>
      <c r="AG8" s="53">
        <f>IF(A8="","",SUM(AB$5:AB8))</f>
        <v>1.76487896825397</v>
      </c>
      <c r="AH8" s="55">
        <f>IF(A8="","",MAX(0,MAX(AG$5:AG8))-AG8)</f>
        <v>0.059763888888889</v>
      </c>
    </row>
    <row r="9" ht="32" customHeight="1">
      <c r="A9" s="46" t="n">
        <v>5</v>
      </c>
      <c r="B9" s="31" t="n">
        <v>47555</v>
      </c>
      <c r="C9" s="32" t="inlineStr">
        <is>
          <t>示例股G</t>
        </is>
      </c>
      <c r="D9" s="27" t="inlineStr">
        <is>
          <t>主板</t>
        </is>
      </c>
      <c r="E9" s="47">
        <f>IF(D9="","",IFERROR(VLOOKUP(D9,'参数'!$B$21:$C$26,2,FALSE),""))</f>
        <v>0.1</v>
      </c>
      <c r="F9" s="27" t="inlineStr">
        <is>
          <t>低吸</t>
        </is>
      </c>
      <c r="G9" s="43" t="str">
        <f>IF(NOT(ISNUMBER(B9)),"",IFERROR(IF(B9-INDEX('例-每日复盘'!$A$5:$A$264,MATCH(B9-1,'例-每日复盘'!$A$5:$A$264,1))&gt;7,"",T(INDEX('例-每日复盘'!$AA$5:$AA$264,MATCH(B9-1,'例-每日复盘'!$A$5:$A$264,1)))),""))</f>
        <v>高潮</v>
      </c>
      <c r="H9" s="48" t="n">
        <v>8.800000000000001</v>
      </c>
      <c r="I9" s="48" t="n">
        <v>8.449999999999999</v>
      </c>
      <c r="J9" s="48" t="n">
        <v>9.6</v>
      </c>
      <c r="K9" s="49">
        <f>IF(AND(ISNUMBER(H9),ISNUMBER(I9),ISNUMBER(J9)),IF(H9&gt;I9,(J9-H9)/(H9-I9),""),"")</f>
        <v>2.28571428571427</v>
      </c>
      <c r="L9" s="44">
        <f>IF(AND(ISNUMBER(H9),ISNUMBER(I9)),IF(H9&gt;I9,MIN(INT(ROUND('参数'!$C$7/(H9-I9)/100,6))*100,IF(ISNUMBER(E9),IF(H9-ROUND(ROUND(I9*(1-E9),4),2)&gt;0,INT(ROUND('参数'!$C$8/(H9-ROUND(ROUND(I9*(1-E9),4),2))/100,6))*100,0),INT(ROUND('参数'!$C$7/(H9-I9)/100,6))*100)),""),"")</f>
        <v>2100</v>
      </c>
      <c r="M9" s="17" t="n">
        <v>2100</v>
      </c>
      <c r="N9" s="20">
        <f>IF(AND(ISNUMBER(H9),ISNUMBER(I9),ISNUMBER(M9)),IF(AND(H9&gt;I9,M9&gt;0),(H9-I9)*M9,""),"")</f>
        <v>735.000000000003</v>
      </c>
      <c r="O9" s="20">
        <f>IF(ISNUMBER(N9),IF(ISNUMBER(E9),(H9-ROUND(ROUND(I9*(1-E9),4),2))*M9,"不设限"),"")</f>
        <v>2499</v>
      </c>
      <c r="P9" s="32" t="inlineStr">
        <is>
          <t>分歧日不开新仓</t>
        </is>
      </c>
      <c r="Q9" s="27" t="inlineStr">
        <is>
          <t>主动放弃</t>
        </is>
      </c>
      <c r="R9" s="42" t="str">
        <f>IF(N(T9)&gt;0,SUMPRODUCT(LARGE(('例-成交明细'!$A$5:$A$804=A9)*('例-成交明细'!$C$5:$C$804="买")*'例-成交明细'!$B$5:$B$804,COUNTIFS('例-成交明细'!$A$5:$A$804,A9,'例-成交明细'!$C$5:$C$804,"买"))),"")</f>
        <v/>
      </c>
      <c r="S9" s="42" t="str">
        <f>IF(AND(N(T9)&gt;0,N(V9)&gt;=N(T9)),SUMPRODUCT(MAX(('例-成交明细'!$A$5:$A$804=A9)*('例-成交明细'!$C$5:$C$804="卖")*'例-成交明细'!$B$5:$B$804)),"")</f>
        <v/>
      </c>
      <c r="T9" s="44">
        <f>IF(A9="","",SUMIFS('例-成交明细'!$E$5:$E$804,'例-成交明细'!$A$5:$A$804,A9,'例-成交明细'!$C$5:$C$804,"买"))</f>
        <v>0</v>
      </c>
      <c r="U9" s="50" t="str">
        <f>IF(N(T9)&gt;0,SUMIFS('例-成交明细'!$F$5:$F$804,'例-成交明细'!$A$5:$A$804,A9,'例-成交明细'!$C$5:$C$804,"买")/T9,"")</f>
        <v/>
      </c>
      <c r="V9" s="44">
        <f>IF(A9="","",SUMIFS('例-成交明细'!$E$5:$E$804,'例-成交明细'!$A$5:$A$804,A9,'例-成交明细'!$C$5:$C$804,"卖"))</f>
        <v>0</v>
      </c>
      <c r="W9" s="50" t="str">
        <f>IF(N(V9)&gt;0,SUMIFS('例-成交明细'!$F$5:$F$804,'例-成交明细'!$A$5:$A$804,A9,'例-成交明细'!$C$5:$C$804,"卖")/V9,"")</f>
        <v/>
      </c>
      <c r="X9" s="36" t="str">
        <f>IF(A9="","",IF(Q9&lt;&gt;"已执行",IF(Q9="","未填执行情况",Q9),IF(N(T9)=0,"待录成交",IF(N(V9)&gt;N(T9),"卖出多于买入",IF(N(V9)&lt;N(T9),"持仓中","已平仓")))))</f>
        <v>主动放弃</v>
      </c>
      <c r="Y9" s="51" t="str">
        <f>IF(N(T9)=0,"",SUMIFS('例-成交明细'!$K$5:$K$804,'例-成交明细'!$A$5:$A$804,A9))</f>
        <v/>
      </c>
      <c r="Z9" s="52" t="str">
        <f>IF(X9&lt;&gt;"已平仓","",SUMIFS('例-成交明细'!$F$5:$F$804,'例-成交明细'!$A$5:$A$804,A9,'例-成交明细'!$C$5:$C$804,"卖")-SUMIFS('例-成交明细'!$F$5:$F$804,'例-成交明细'!$A$5:$A$804,A9,'例-成交明细'!$C$5:$C$804,"买")-Y9)</f>
        <v/>
      </c>
      <c r="AA9" s="53" t="str">
        <f>IF(AND(X9="已平仓",ISNUMBER(N9)),(Z9+Y9)/N9,"")</f>
        <v/>
      </c>
      <c r="AB9" s="53" t="str">
        <f>IF(AND(X9="已平仓",ISNUMBER(N9)),Z9/N9,"")</f>
        <v/>
      </c>
      <c r="AC9" s="54" t="str">
        <f>IF(AND(ISNUMBER(U9),ISNUMBER(H9)),U9-H9,"")</f>
        <v/>
      </c>
      <c r="AD9" s="27" t="n"/>
      <c r="AE9" s="27" t="n"/>
      <c r="AF9" s="32" t="inlineStr">
        <is>
          <t>盘前写了计划，开盘确认分歧，按规则放弃</t>
        </is>
      </c>
      <c r="AG9" s="53">
        <f>IF(A9="","",SUM(AB$5:AB9))</f>
        <v>1.76487896825397</v>
      </c>
      <c r="AH9" s="55">
        <f>IF(A9="","",MAX(0,MAX(AG$5:AG9))-AG9)</f>
        <v>0.059763888888889</v>
      </c>
    </row>
    <row r="10" ht="32" customHeight="1">
      <c r="A10" s="46" t="n">
        <v>6</v>
      </c>
      <c r="B10" s="31" t="n">
        <v>47554</v>
      </c>
      <c r="C10" s="32" t="inlineStr">
        <is>
          <t>示例股H</t>
        </is>
      </c>
      <c r="D10" s="27" t="inlineStr">
        <is>
          <t>主板</t>
        </is>
      </c>
      <c r="E10" s="47">
        <f>IF(D10="","",IFERROR(VLOOKUP(D10,'参数'!$B$21:$C$26,2,FALSE),""))</f>
        <v>0.1</v>
      </c>
      <c r="F10" s="27" t="inlineStr">
        <is>
          <t>尾盘</t>
        </is>
      </c>
      <c r="G10" s="43" t="str">
        <f>IF(NOT(ISNUMBER(B10)),"",IFERROR(IF(B10-INDEX('例-每日复盘'!$A$5:$A$264,MATCH(B10-1,'例-每日复盘'!$A$5:$A$264,1))&gt;7,"",T(INDEX('例-每日复盘'!$AA$5:$AA$264,MATCH(B10-1,'例-每日复盘'!$A$5:$A$264,1)))),""))</f>
        <v>发酵</v>
      </c>
      <c r="H10" s="48" t="n">
        <v>6.2</v>
      </c>
      <c r="I10" s="48" t="n">
        <v>5.95</v>
      </c>
      <c r="J10" s="48" t="n">
        <v>6.8</v>
      </c>
      <c r="K10" s="49">
        <f>IF(AND(ISNUMBER(H10),ISNUMBER(I10),ISNUMBER(J10)),IF(H10&gt;I10,(J10-H10)/(H10-I10),""),"")</f>
        <v>2.4</v>
      </c>
      <c r="L10" s="44">
        <f>IF(AND(ISNUMBER(H10),ISNUMBER(I10)),IF(H10&gt;I10,MIN(INT(ROUND('参数'!$C$7/(H10-I10)/100,6))*100,IF(ISNUMBER(E10),IF(H10-ROUND(ROUND(I10*(1-E10),4),2)&gt;0,INT(ROUND('参数'!$C$8/(H10-ROUND(ROUND(I10*(1-E10),4),2))/100,6))*100,0),INT(ROUND('参数'!$C$7/(H10-I10)/100,6))*100)),""),"")</f>
        <v>2900</v>
      </c>
      <c r="M10" s="17" t="n">
        <v>2900</v>
      </c>
      <c r="N10" s="20">
        <f>IF(AND(ISNUMBER(H10),ISNUMBER(I10),ISNUMBER(M10)),IF(AND(H10&gt;I10,M10&gt;0),(H10-I10)*M10,""),"")</f>
        <v>725</v>
      </c>
      <c r="O10" s="20">
        <f>IF(ISNUMBER(N10),IF(ISNUMBER(E10),(H10-ROUND(ROUND(I10*(1-E10),4),2))*M10,"不设限"),"")</f>
        <v>2436</v>
      </c>
      <c r="P10" s="32" t="inlineStr">
        <is>
          <t>尾盘涨幅 3%～5% 才买</t>
        </is>
      </c>
      <c r="Q10" s="27" t="inlineStr">
        <is>
          <t>漏单</t>
        </is>
      </c>
      <c r="R10" s="42" t="str">
        <f>IF(N(T10)&gt;0,SUMPRODUCT(LARGE(('例-成交明细'!$A$5:$A$804=A10)*('例-成交明细'!$C$5:$C$804="买")*'例-成交明细'!$B$5:$B$804,COUNTIFS('例-成交明细'!$A$5:$A$804,A10,'例-成交明细'!$C$5:$C$804,"买"))),"")</f>
        <v/>
      </c>
      <c r="S10" s="42" t="str">
        <f>IF(AND(N(T10)&gt;0,N(V10)&gt;=N(T10)),SUMPRODUCT(MAX(('例-成交明细'!$A$5:$A$804=A10)*('例-成交明细'!$C$5:$C$804="卖")*'例-成交明细'!$B$5:$B$804)),"")</f>
        <v/>
      </c>
      <c r="T10" s="44">
        <f>IF(A10="","",SUMIFS('例-成交明细'!$E$5:$E$804,'例-成交明细'!$A$5:$A$804,A10,'例-成交明细'!$C$5:$C$804,"买"))</f>
        <v>0</v>
      </c>
      <c r="U10" s="50" t="str">
        <f>IF(N(T10)&gt;0,SUMIFS('例-成交明细'!$F$5:$F$804,'例-成交明细'!$A$5:$A$804,A10,'例-成交明细'!$C$5:$C$804,"买")/T10,"")</f>
        <v/>
      </c>
      <c r="V10" s="44">
        <f>IF(A10="","",SUMIFS('例-成交明细'!$E$5:$E$804,'例-成交明细'!$A$5:$A$804,A10,'例-成交明细'!$C$5:$C$804,"卖"))</f>
        <v>0</v>
      </c>
      <c r="W10" s="50" t="str">
        <f>IF(N(V10)&gt;0,SUMIFS('例-成交明细'!$F$5:$F$804,'例-成交明细'!$A$5:$A$804,A10,'例-成交明细'!$C$5:$C$804,"卖")/V10,"")</f>
        <v/>
      </c>
      <c r="X10" s="36" t="str">
        <f>IF(A10="","",IF(Q10&lt;&gt;"已执行",IF(Q10="","未填执行情况",Q10),IF(N(T10)=0,"待录成交",IF(N(V10)&gt;N(T10),"卖出多于买入",IF(N(V10)&lt;N(T10),"持仓中","已平仓")))))</f>
        <v>漏单</v>
      </c>
      <c r="Y10" s="51" t="str">
        <f>IF(N(T10)=0,"",SUMIFS('例-成交明细'!$K$5:$K$804,'例-成交明细'!$A$5:$A$804,A10))</f>
        <v/>
      </c>
      <c r="Z10" s="52" t="str">
        <f>IF(X10&lt;&gt;"已平仓","",SUMIFS('例-成交明细'!$F$5:$F$804,'例-成交明细'!$A$5:$A$804,A10,'例-成交明细'!$C$5:$C$804,"卖")-SUMIFS('例-成交明细'!$F$5:$F$804,'例-成交明细'!$A$5:$A$804,A10,'例-成交明细'!$C$5:$C$804,"买")-Y10)</f>
        <v/>
      </c>
      <c r="AA10" s="53" t="str">
        <f>IF(AND(X10="已平仓",ISNUMBER(N10)),(Z10+Y10)/N10,"")</f>
        <v/>
      </c>
      <c r="AB10" s="53" t="str">
        <f>IF(AND(X10="已平仓",ISNUMBER(N10)),Z10/N10,"")</f>
        <v/>
      </c>
      <c r="AC10" s="54" t="str">
        <f>IF(AND(ISNUMBER(U10),ISNUMBER(H10)),U10-H10,"")</f>
        <v/>
      </c>
      <c r="AD10" s="27" t="n"/>
      <c r="AE10" s="27" t="n"/>
      <c r="AF10" s="32" t="inlineStr">
        <is>
          <t>14:50 开会没看到，记漏单。下周设提醒</t>
        </is>
      </c>
      <c r="AG10" s="53">
        <f>IF(A10="","",SUM(AB$5:AB10))</f>
        <v>1.76487896825397</v>
      </c>
      <c r="AH10" s="55">
        <f>IF(A10="","",MAX(0,MAX(AG$5:AG10))-AG10)</f>
        <v>0.059763888888889</v>
      </c>
    </row>
    <row r="11" ht="60" customHeight="1">
      <c r="A11" s="46" t="n">
        <v>7</v>
      </c>
      <c r="B11" s="31" t="n">
        <v>47554</v>
      </c>
      <c r="C11" s="32" t="inlineStr">
        <is>
          <t>示例股J</t>
        </is>
      </c>
      <c r="D11" s="27" t="inlineStr">
        <is>
          <t>主板</t>
        </is>
      </c>
      <c r="E11" s="47">
        <f>IF(D11="","",IFERROR(VLOOKUP(D11,'参数'!$B$21:$C$26,2,FALSE),""))</f>
        <v>0.1</v>
      </c>
      <c r="F11" s="27" t="inlineStr">
        <is>
          <t>打板</t>
        </is>
      </c>
      <c r="G11" s="43" t="str">
        <f>IF(NOT(ISNUMBER(B11)),"",IFERROR(IF(B11-INDEX('例-每日复盘'!$A$5:$A$264,MATCH(B11-1,'例-每日复盘'!$A$5:$A$264,1))&gt;7,"",T(INDEX('例-每日复盘'!$AA$5:$AA$264,MATCH(B11-1,'例-每日复盘'!$A$5:$A$264,1)))),""))</f>
        <v>发酵</v>
      </c>
      <c r="H11" s="48" t="n">
        <v>11</v>
      </c>
      <c r="I11" s="48" t="n">
        <v>10.45</v>
      </c>
      <c r="J11" s="48" t="n">
        <v>12.1</v>
      </c>
      <c r="K11" s="49">
        <f>IF(AND(ISNUMBER(H11),ISNUMBER(I11),ISNUMBER(J11)),IF(H11&gt;I11,(J11-H11)/(H11-I11),""),"")</f>
        <v>2</v>
      </c>
      <c r="L11" s="44">
        <f>IF(AND(ISNUMBER(H11),ISNUMBER(I11)),IF(H11&gt;I11,MIN(INT(ROUND('参数'!$C$7/(H11-I11)/100,6))*100,IF(ISNUMBER(E11),IF(H11-ROUND(ROUND(I11*(1-E11),4),2)&gt;0,INT(ROUND('参数'!$C$8/(H11-ROUND(ROUND(I11*(1-E11),4),2))/100,6))*100,0),INT(ROUND('参数'!$C$7/(H11-I11)/100,6))*100)),""),"")</f>
        <v>1500</v>
      </c>
      <c r="M11" s="17" t="n">
        <v>1500</v>
      </c>
      <c r="N11" s="20">
        <f>IF(AND(ISNUMBER(H11),ISNUMBER(I11),ISNUMBER(M11)),IF(AND(H11&gt;I11,M11&gt;0),(H11-I11)*M11,""),"")</f>
        <v>825.000000000001</v>
      </c>
      <c r="O11" s="20">
        <f>IF(ISNUMBER(N11),IF(ISNUMBER(E11),(H11-ROUND(ROUND(I11*(1-E11),4),2))*M11,"不设限"),"")</f>
        <v>2385</v>
      </c>
      <c r="P11" s="32" t="inlineStr">
        <is>
          <t>收盘跌破 10.45，次日开盘卖</t>
        </is>
      </c>
      <c r="Q11" s="27" t="inlineStr">
        <is>
          <t>已执行</t>
        </is>
      </c>
      <c r="R11" s="42">
        <f>IF(N(T11)&gt;0,SUMPRODUCT(LARGE(('例-成交明细'!$A$5:$A$804=A11)*('例-成交明细'!$C$5:$C$804="买")*'例-成交明细'!$B$5:$B$804,COUNTIFS('例-成交明细'!$A$5:$A$804,A11,'例-成交明细'!$C$5:$C$804,"买"))),"")</f>
        <v>47554.0</v>
      </c>
      <c r="S11" s="42">
        <f>IF(AND(N(T11)&gt;0,N(V11)&gt;=N(T11)),SUMPRODUCT(MAX(('例-成交明细'!$A$5:$A$804=A11)*('例-成交明细'!$C$5:$C$804="卖")*'例-成交明细'!$B$5:$B$804)),"")</f>
        <v>47557.0</v>
      </c>
      <c r="T11" s="44">
        <f>IF(A11="","",SUMIFS('例-成交明细'!$E$5:$E$804,'例-成交明细'!$A$5:$A$804,A11,'例-成交明细'!$C$5:$C$804,"买"))</f>
        <v>1500</v>
      </c>
      <c r="U11" s="50">
        <f>IF(N(T11)&gt;0,SUMIFS('例-成交明细'!$F$5:$F$804,'例-成交明细'!$A$5:$A$804,A11,'例-成交明细'!$C$5:$C$804,"买")/T11,"")</f>
        <v>11</v>
      </c>
      <c r="V11" s="44">
        <f>IF(A11="","",SUMIFS('例-成交明细'!$E$5:$E$804,'例-成交明细'!$A$5:$A$804,A11,'例-成交明细'!$C$5:$C$804,"卖"))</f>
        <v>1500</v>
      </c>
      <c r="W11" s="50">
        <f>IF(N(V11)&gt;0,SUMIFS('例-成交明细'!$F$5:$F$804,'例-成交明细'!$A$5:$A$804,A11,'例-成交明细'!$C$5:$C$804,"卖")/V11,"")</f>
        <v>9.3</v>
      </c>
      <c r="X11" s="36" t="str">
        <f>IF(A11="","",IF(Q11&lt;&gt;"已执行",IF(Q11="","未填执行情况",Q11),IF(N(T11)=0,"待录成交",IF(N(V11)&gt;N(T11),"卖出多于买入",IF(N(V11)&lt;N(T11),"持仓中","已平仓")))))</f>
        <v>已平仓</v>
      </c>
      <c r="Y11" s="51">
        <f>IF(N(T11)=0,"",SUMIFS('例-成交明细'!$K$5:$K$804,'例-成交明细'!$A$5:$A$804,A11))</f>
        <v>17.29</v>
      </c>
      <c r="Z11" s="52">
        <f>IF(X11&lt;&gt;"已平仓","",SUMIFS('例-成交明细'!$F$5:$F$804,'例-成交明细'!$A$5:$A$804,A11,'例-成交明细'!$C$5:$C$804,"卖")-SUMIFS('例-成交明细'!$F$5:$F$804,'例-成交明细'!$A$5:$A$804,A11,'例-成交明细'!$C$5:$C$804,"买")-Y11)</f>
        <v>-2567.29</v>
      </c>
      <c r="AA11" s="53">
        <f>IF(AND(X11="已平仓",ISNUMBER(N11)),(Z11+Y11)/N11,"")</f>
        <v>-3.09090909090909</v>
      </c>
      <c r="AB11" s="53">
        <f>IF(AND(X11="已平仓",ISNUMBER(N11)),Z11/N11,"")</f>
        <v>-3.11186666666666</v>
      </c>
      <c r="AC11" s="54">
        <f>IF(AND(ISNUMBER(U11),ISNUMBER(H11)),U11-H11,"")</f>
        <v>0</v>
      </c>
      <c r="AD11" s="27" t="inlineStr">
        <is>
          <t>C</t>
        </is>
      </c>
      <c r="AE11" s="27" t="inlineStr">
        <is>
          <t>扛单</t>
        </is>
      </c>
      <c r="AF11" s="32" t="inlineStr">
        <is>
          <t>截图 0312-J。13 日收在 10.40 没卖，14 日一字跌停卖不出，15 日才走。下一步：收盘破止损，第二天开盘就卖</t>
        </is>
      </c>
      <c r="AG11" s="53">
        <f>IF(A11="","",SUM(AB$5:AB11))</f>
        <v>-1.34698769841269</v>
      </c>
      <c r="AH11" s="55">
        <f>IF(A11="","",MAX(0,MAX(AG$5:AG11))-AG11)</f>
        <v>3.17163055555555</v>
      </c>
    </row>
    <row r="12" ht="32" customHeight="1">
      <c r="A12" s="46" t="n">
        <v>8</v>
      </c>
      <c r="B12" s="31" t="n">
        <v>47553</v>
      </c>
      <c r="C12" s="32" t="inlineStr">
        <is>
          <t>示例股L</t>
        </is>
      </c>
      <c r="D12" s="27" t="inlineStr">
        <is>
          <t>主板</t>
        </is>
      </c>
      <c r="E12" s="47">
        <f>IF(D12="","",IFERROR(VLOOKUP(D12,'参数'!$B$21:$C$26,2,FALSE),""))</f>
        <v>0.1</v>
      </c>
      <c r="F12" s="27" t="inlineStr">
        <is>
          <t>趋势回踩</t>
        </is>
      </c>
      <c r="G12" s="43" t="str">
        <f>IF(NOT(ISNUMBER(B12)),"",IFERROR(IF(B12-INDEX('例-每日复盘'!$A$5:$A$264,MATCH(B12-1,'例-每日复盘'!$A$5:$A$264,1))&gt;7,"",T(INDEX('例-每日复盘'!$AA$5:$AA$264,MATCH(B12-1,'例-每日复盘'!$A$5:$A$264,1)))),""))</f>
        <v>发酵</v>
      </c>
      <c r="H12" s="48" t="n">
        <v>8</v>
      </c>
      <c r="I12" s="48" t="n">
        <v>7.6</v>
      </c>
      <c r="J12" s="48" t="n">
        <v>8.800000000000001</v>
      </c>
      <c r="K12" s="49">
        <f>IF(AND(ISNUMBER(H12),ISNUMBER(I12),ISNUMBER(J12)),IF(H12&gt;I12,(J12-H12)/(H12-I12),""),"")</f>
        <v>2</v>
      </c>
      <c r="L12" s="44">
        <f>IF(AND(ISNUMBER(H12),ISNUMBER(I12)),IF(H12&gt;I12,MIN(INT(ROUND('参数'!$C$7/(H12-I12)/100,6))*100,IF(ISNUMBER(E12),IF(H12-ROUND(ROUND(I12*(1-E12),4),2)&gt;0,INT(ROUND('参数'!$C$8/(H12-ROUND(ROUND(I12*(1-E12),4),2))/100,6))*100,0),INT(ROUND('参数'!$C$7/(H12-I12)/100,6))*100)),""),"")</f>
        <v>2100</v>
      </c>
      <c r="M12" s="17" t="n">
        <v>2000</v>
      </c>
      <c r="N12" s="20">
        <f>IF(AND(ISNUMBER(H12),ISNUMBER(I12),ISNUMBER(M12)),IF(AND(H12&gt;I12,M12&gt;0),(H12-I12)*M12,""),"")</f>
        <v>800.000000000001</v>
      </c>
      <c r="O12" s="20">
        <f>IF(ISNUMBER(N12),IF(ISNUMBER(E12),(H12-ROUND(ROUND(I12*(1-E12),4),2))*M12,"不设限"),"")</f>
        <v>2320</v>
      </c>
      <c r="P12" s="32" t="inlineStr">
        <is>
          <t>回踩不破 20 日均线才买第二笔</t>
        </is>
      </c>
      <c r="Q12" s="27" t="inlineStr">
        <is>
          <t>已执行</t>
        </is>
      </c>
      <c r="R12" s="42">
        <f>IF(N(T12)&gt;0,SUMPRODUCT(LARGE(('例-成交明细'!$A$5:$A$804=A12)*('例-成交明细'!$C$5:$C$804="买")*'例-成交明细'!$B$5:$B$804,COUNTIFS('例-成交明细'!$A$5:$A$804,A12,'例-成交明细'!$C$5:$C$804,"买"))),"")</f>
        <v>47553.0</v>
      </c>
      <c r="S12" s="42" t="str">
        <f>IF(AND(N(T12)&gt;0,N(V12)&gt;=N(T12)),SUMPRODUCT(MAX(('例-成交明细'!$A$5:$A$804=A12)*('例-成交明细'!$C$5:$C$804="卖")*'例-成交明细'!$B$5:$B$804)),"")</f>
        <v/>
      </c>
      <c r="T12" s="44">
        <f>IF(A12="","",SUMIFS('例-成交明细'!$E$5:$E$804,'例-成交明细'!$A$5:$A$804,A12,'例-成交明细'!$C$5:$C$804,"买"))</f>
        <v>2000</v>
      </c>
      <c r="U12" s="50">
        <f>IF(N(T12)&gt;0,SUMIFS('例-成交明细'!$F$5:$F$804,'例-成交明细'!$A$5:$A$804,A12,'例-成交明细'!$C$5:$C$804,"买")/T12,"")</f>
        <v>7.99</v>
      </c>
      <c r="V12" s="44">
        <f>IF(A12="","",SUMIFS('例-成交明细'!$E$5:$E$804,'例-成交明细'!$A$5:$A$804,A12,'例-成交明细'!$C$5:$C$804,"卖"))</f>
        <v>1000</v>
      </c>
      <c r="W12" s="50">
        <f>IF(N(V12)&gt;0,SUMIFS('例-成交明细'!$F$5:$F$804,'例-成交明细'!$A$5:$A$804,A12,'例-成交明细'!$C$5:$C$804,"卖")/V12,"")</f>
        <v>8.45</v>
      </c>
      <c r="X12" s="36" t="str">
        <f>IF(A12="","",IF(Q12&lt;&gt;"已执行",IF(Q12="","未填执行情况",Q12),IF(N(T12)=0,"待录成交",IF(N(V12)&gt;N(T12),"卖出多于买入",IF(N(V12)&lt;N(T12),"持仓中","已平仓")))))</f>
        <v>持仓中</v>
      </c>
      <c r="Y12" s="51">
        <f>IF(N(T12)=0,"",SUMIFS('例-成交明细'!$K$5:$K$804,'例-成交明细'!$A$5:$A$804,A12))</f>
        <v>19.47</v>
      </c>
      <c r="Z12" s="52" t="str">
        <f>IF(X12&lt;&gt;"已平仓","",SUMIFS('例-成交明细'!$F$5:$F$804,'例-成交明细'!$A$5:$A$804,A12,'例-成交明细'!$C$5:$C$804,"卖")-SUMIFS('例-成交明细'!$F$5:$F$804,'例-成交明细'!$A$5:$A$804,A12,'例-成交明细'!$C$5:$C$804,"买")-Y12)</f>
        <v/>
      </c>
      <c r="AA12" s="53" t="str">
        <f>IF(AND(X12="已平仓",ISNUMBER(N12)),(Z12+Y12)/N12,"")</f>
        <v/>
      </c>
      <c r="AB12" s="53" t="str">
        <f>IF(AND(X12="已平仓",ISNUMBER(N12)),Z12/N12,"")</f>
        <v/>
      </c>
      <c r="AC12" s="54">
        <f>IF(AND(ISNUMBER(U12),ISNUMBER(H12)),U12-H12,"")</f>
        <v>-0.00999999999999979</v>
      </c>
      <c r="AD12" s="27" t="n"/>
      <c r="AE12" s="27" t="n"/>
      <c r="AF12" s="32" t="inlineStr">
        <is>
          <t>分两笔买；到 8.45 先卖一半，剩下的拿着，平仓后再打分</t>
        </is>
      </c>
      <c r="AG12" s="53">
        <f>IF(A12="","",SUM(AB$5:AB12))</f>
        <v>-1.34698769841269</v>
      </c>
      <c r="AH12" s="55">
        <f>IF(A12="","",MAX(0,MAX(AG$5:AG12))-AG12)</f>
        <v>3.17163055555555</v>
      </c>
    </row>
    <row r="13">
      <c r="A13" s="46" t="n"/>
      <c r="B13" s="31" t="n"/>
      <c r="C13" s="32" t="n"/>
      <c r="D13" s="27" t="n"/>
      <c r="E13" s="47" t="str">
        <f>IF(D13="","",IFERROR(VLOOKUP(D13,'参数'!$B$21:$C$26,2,FALSE),""))</f>
        <v/>
      </c>
      <c r="F13" s="27" t="n"/>
      <c r="G13" s="43" t="str">
        <f>IF(NOT(ISNUMBER(B13)),"",IFERROR(IF(B13-INDEX('例-每日复盘'!$A$5:$A$264,MATCH(B13-1,'例-每日复盘'!$A$5:$A$264,1))&gt;7,"",T(INDEX('例-每日复盘'!$AA$5:$AA$264,MATCH(B13-1,'例-每日复盘'!$A$5:$A$264,1)))),""))</f>
        <v/>
      </c>
      <c r="H13" s="48" t="n"/>
      <c r="I13" s="48" t="n"/>
      <c r="J13" s="48" t="n"/>
      <c r="K13" s="49" t="str">
        <f>IF(AND(ISNUMBER(H13),ISNUMBER(I13),ISNUMBER(J13)),IF(H13&gt;I13,(J13-H13)/(H13-I13),""),"")</f>
        <v/>
      </c>
      <c r="L13" s="44" t="str">
        <f>IF(AND(ISNUMBER(H13),ISNUMBER(I13)),IF(H13&gt;I13,MIN(INT(ROUND('参数'!$C$7/(H13-I13)/100,6))*100,IF(ISNUMBER(E13),IF(H13-ROUND(ROUND(I13*(1-E13),4),2)&gt;0,INT(ROUND('参数'!$C$8/(H13-ROUND(ROUND(I13*(1-E13),4),2))/100,6))*100,0),INT(ROUND('参数'!$C$7/(H13-I13)/100,6))*100)),""),"")</f>
        <v/>
      </c>
      <c r="M13" s="17" t="n"/>
      <c r="N13" s="20" t="str">
        <f>IF(AND(ISNUMBER(H13),ISNUMBER(I13),ISNUMBER(M13)),IF(AND(H13&gt;I13,M13&gt;0),(H13-I13)*M13,""),"")</f>
        <v/>
      </c>
      <c r="O13" s="20" t="str">
        <f>IF(ISNUMBER(N13),IF(ISNUMBER(E13),(H13-ROUND(ROUND(I13*(1-E13),4),2))*M13,"不设限"),"")</f>
        <v/>
      </c>
      <c r="P13" s="32" t="n"/>
      <c r="Q13" s="27" t="n"/>
      <c r="R13" s="42" t="str">
        <f>IF(N(T13)&gt;0,SUMPRODUCT(LARGE(('例-成交明细'!$A$5:$A$804=A13)*('例-成交明细'!$C$5:$C$804="买")*'例-成交明细'!$B$5:$B$804,COUNTIFS('例-成交明细'!$A$5:$A$804,A13,'例-成交明细'!$C$5:$C$804,"买"))),"")</f>
        <v/>
      </c>
      <c r="S13" s="42" t="str">
        <f>IF(AND(N(T13)&gt;0,N(V13)&gt;=N(T13)),SUMPRODUCT(MAX(('例-成交明细'!$A$5:$A$804=A13)*('例-成交明细'!$C$5:$C$804="卖")*'例-成交明细'!$B$5:$B$804)),"")</f>
        <v/>
      </c>
      <c r="T13" s="44" t="str">
        <f>IF(A13="","",SUMIFS('例-成交明细'!$E$5:$E$804,'例-成交明细'!$A$5:$A$804,A13,'例-成交明细'!$C$5:$C$804,"买"))</f>
        <v/>
      </c>
      <c r="U13" s="50" t="str">
        <f>IF(N(T13)&gt;0,SUMIFS('例-成交明细'!$F$5:$F$804,'例-成交明细'!$A$5:$A$804,A13,'例-成交明细'!$C$5:$C$804,"买")/T13,"")</f>
        <v/>
      </c>
      <c r="V13" s="44" t="str">
        <f>IF(A13="","",SUMIFS('例-成交明细'!$E$5:$E$804,'例-成交明细'!$A$5:$A$804,A13,'例-成交明细'!$C$5:$C$804,"卖"))</f>
        <v/>
      </c>
      <c r="W13" s="50" t="str">
        <f>IF(N(V13)&gt;0,SUMIFS('例-成交明细'!$F$5:$F$804,'例-成交明细'!$A$5:$A$804,A13,'例-成交明细'!$C$5:$C$804,"卖")/V13,"")</f>
        <v/>
      </c>
      <c r="X13" s="36" t="str">
        <f>IF(A13="","",IF(Q13&lt;&gt;"已执行",IF(Q13="","未填执行情况",Q13),IF(N(T13)=0,"待录成交",IF(N(V13)&gt;N(T13),"卖出多于买入",IF(N(V13)&lt;N(T13),"持仓中","已平仓")))))</f>
        <v/>
      </c>
      <c r="Y13" s="51" t="str">
        <f>IF(N(T13)=0,"",SUMIFS('例-成交明细'!$K$5:$K$804,'例-成交明细'!$A$5:$A$804,A13))</f>
        <v/>
      </c>
      <c r="Z13" s="52" t="str">
        <f>IF(X13&lt;&gt;"已平仓","",SUMIFS('例-成交明细'!$F$5:$F$804,'例-成交明细'!$A$5:$A$804,A13,'例-成交明细'!$C$5:$C$804,"卖")-SUMIFS('例-成交明细'!$F$5:$F$804,'例-成交明细'!$A$5:$A$804,A13,'例-成交明细'!$C$5:$C$804,"买")-Y13)</f>
        <v/>
      </c>
      <c r="AA13" s="53" t="str">
        <f>IF(AND(X13="已平仓",ISNUMBER(N13)),(Z13+Y13)/N13,"")</f>
        <v/>
      </c>
      <c r="AB13" s="53" t="str">
        <f>IF(AND(X13="已平仓",ISNUMBER(N13)),Z13/N13,"")</f>
        <v/>
      </c>
      <c r="AC13" s="54" t="str">
        <f>IF(AND(ISNUMBER(U13),ISNUMBER(H13)),U13-H13,"")</f>
        <v/>
      </c>
      <c r="AD13" s="27" t="n"/>
      <c r="AE13" s="27" t="n"/>
      <c r="AF13" s="32" t="n"/>
      <c r="AG13" s="53" t="str">
        <f>IF(A13="","",SUM(AB$5:AB13))</f>
        <v/>
      </c>
      <c r="AH13" s="55" t="str">
        <f>IF(A13="","",MAX(0,MAX(AG$5:AG13))-AG13)</f>
        <v/>
      </c>
    </row>
    <row r="14">
      <c r="A14" s="46" t="n"/>
      <c r="B14" s="31" t="n"/>
      <c r="C14" s="32" t="n"/>
      <c r="D14" s="27" t="n"/>
      <c r="E14" s="47" t="str">
        <f>IF(D14="","",IFERROR(VLOOKUP(D14,'参数'!$B$21:$C$26,2,FALSE),""))</f>
        <v/>
      </c>
      <c r="F14" s="27" t="n"/>
      <c r="G14" s="43" t="str">
        <f>IF(NOT(ISNUMBER(B14)),"",IFERROR(IF(B14-INDEX('例-每日复盘'!$A$5:$A$264,MATCH(B14-1,'例-每日复盘'!$A$5:$A$264,1))&gt;7,"",T(INDEX('例-每日复盘'!$AA$5:$AA$264,MATCH(B14-1,'例-每日复盘'!$A$5:$A$264,1)))),""))</f>
        <v/>
      </c>
      <c r="H14" s="48" t="n"/>
      <c r="I14" s="48" t="n"/>
      <c r="J14" s="48" t="n"/>
      <c r="K14" s="49" t="str">
        <f>IF(AND(ISNUMBER(H14),ISNUMBER(I14),ISNUMBER(J14)),IF(H14&gt;I14,(J14-H14)/(H14-I14),""),"")</f>
        <v/>
      </c>
      <c r="L14" s="44" t="str">
        <f>IF(AND(ISNUMBER(H14),ISNUMBER(I14)),IF(H14&gt;I14,MIN(INT(ROUND('参数'!$C$7/(H14-I14)/100,6))*100,IF(ISNUMBER(E14),IF(H14-ROUND(ROUND(I14*(1-E14),4),2)&gt;0,INT(ROUND('参数'!$C$8/(H14-ROUND(ROUND(I14*(1-E14),4),2))/100,6))*100,0),INT(ROUND('参数'!$C$7/(H14-I14)/100,6))*100)),""),"")</f>
        <v/>
      </c>
      <c r="M14" s="17" t="n"/>
      <c r="N14" s="20" t="str">
        <f>IF(AND(ISNUMBER(H14),ISNUMBER(I14),ISNUMBER(M14)),IF(AND(H14&gt;I14,M14&gt;0),(H14-I14)*M14,""),"")</f>
        <v/>
      </c>
      <c r="O14" s="20" t="str">
        <f>IF(ISNUMBER(N14),IF(ISNUMBER(E14),(H14-ROUND(ROUND(I14*(1-E14),4),2))*M14,"不设限"),"")</f>
        <v/>
      </c>
      <c r="P14" s="32" t="n"/>
      <c r="Q14" s="27" t="n"/>
      <c r="R14" s="42" t="str">
        <f>IF(N(T14)&gt;0,SUMPRODUCT(LARGE(('例-成交明细'!$A$5:$A$804=A14)*('例-成交明细'!$C$5:$C$804="买")*'例-成交明细'!$B$5:$B$804,COUNTIFS('例-成交明细'!$A$5:$A$804,A14,'例-成交明细'!$C$5:$C$804,"买"))),"")</f>
        <v/>
      </c>
      <c r="S14" s="42" t="str">
        <f>IF(AND(N(T14)&gt;0,N(V14)&gt;=N(T14)),SUMPRODUCT(MAX(('例-成交明细'!$A$5:$A$804=A14)*('例-成交明细'!$C$5:$C$804="卖")*'例-成交明细'!$B$5:$B$804)),"")</f>
        <v/>
      </c>
      <c r="T14" s="44" t="str">
        <f>IF(A14="","",SUMIFS('例-成交明细'!$E$5:$E$804,'例-成交明细'!$A$5:$A$804,A14,'例-成交明细'!$C$5:$C$804,"买"))</f>
        <v/>
      </c>
      <c r="U14" s="50" t="str">
        <f>IF(N(T14)&gt;0,SUMIFS('例-成交明细'!$F$5:$F$804,'例-成交明细'!$A$5:$A$804,A14,'例-成交明细'!$C$5:$C$804,"买")/T14,"")</f>
        <v/>
      </c>
      <c r="V14" s="44" t="str">
        <f>IF(A14="","",SUMIFS('例-成交明细'!$E$5:$E$804,'例-成交明细'!$A$5:$A$804,A14,'例-成交明细'!$C$5:$C$804,"卖"))</f>
        <v/>
      </c>
      <c r="W14" s="50" t="str">
        <f>IF(N(V14)&gt;0,SUMIFS('例-成交明细'!$F$5:$F$804,'例-成交明细'!$A$5:$A$804,A14,'例-成交明细'!$C$5:$C$804,"卖")/V14,"")</f>
        <v/>
      </c>
      <c r="X14" s="36" t="str">
        <f>IF(A14="","",IF(Q14&lt;&gt;"已执行",IF(Q14="","未填执行情况",Q14),IF(N(T14)=0,"待录成交",IF(N(V14)&gt;N(T14),"卖出多于买入",IF(N(V14)&lt;N(T14),"持仓中","已平仓")))))</f>
        <v/>
      </c>
      <c r="Y14" s="51" t="str">
        <f>IF(N(T14)=0,"",SUMIFS('例-成交明细'!$K$5:$K$804,'例-成交明细'!$A$5:$A$804,A14))</f>
        <v/>
      </c>
      <c r="Z14" s="52" t="str">
        <f>IF(X14&lt;&gt;"已平仓","",SUMIFS('例-成交明细'!$F$5:$F$804,'例-成交明细'!$A$5:$A$804,A14,'例-成交明细'!$C$5:$C$804,"卖")-SUMIFS('例-成交明细'!$F$5:$F$804,'例-成交明细'!$A$5:$A$804,A14,'例-成交明细'!$C$5:$C$804,"买")-Y14)</f>
        <v/>
      </c>
      <c r="AA14" s="53" t="str">
        <f>IF(AND(X14="已平仓",ISNUMBER(N14)),(Z14+Y14)/N14,"")</f>
        <v/>
      </c>
      <c r="AB14" s="53" t="str">
        <f>IF(AND(X14="已平仓",ISNUMBER(N14)),Z14/N14,"")</f>
        <v/>
      </c>
      <c r="AC14" s="54" t="str">
        <f>IF(AND(ISNUMBER(U14),ISNUMBER(H14)),U14-H14,"")</f>
        <v/>
      </c>
      <c r="AD14" s="27" t="n"/>
      <c r="AE14" s="27" t="n"/>
      <c r="AF14" s="32" t="n"/>
      <c r="AG14" s="53" t="str">
        <f>IF(A14="","",SUM(AB$5:AB14))</f>
        <v/>
      </c>
      <c r="AH14" s="55" t="str">
        <f>IF(A14="","",MAX(0,MAX(AG$5:AG14))-AG14)</f>
        <v/>
      </c>
    </row>
    <row r="15">
      <c r="A15" s="46" t="n"/>
      <c r="B15" s="31" t="n"/>
      <c r="C15" s="32" t="n"/>
      <c r="D15" s="27" t="n"/>
      <c r="E15" s="47" t="str">
        <f>IF(D15="","",IFERROR(VLOOKUP(D15,'参数'!$B$21:$C$26,2,FALSE),""))</f>
        <v/>
      </c>
      <c r="F15" s="27" t="n"/>
      <c r="G15" s="43" t="str">
        <f>IF(NOT(ISNUMBER(B15)),"",IFERROR(IF(B15-INDEX('例-每日复盘'!$A$5:$A$264,MATCH(B15-1,'例-每日复盘'!$A$5:$A$264,1))&gt;7,"",T(INDEX('例-每日复盘'!$AA$5:$AA$264,MATCH(B15-1,'例-每日复盘'!$A$5:$A$264,1)))),""))</f>
        <v/>
      </c>
      <c r="H15" s="48" t="n"/>
      <c r="I15" s="48" t="n"/>
      <c r="J15" s="48" t="n"/>
      <c r="K15" s="49" t="str">
        <f>IF(AND(ISNUMBER(H15),ISNUMBER(I15),ISNUMBER(J15)),IF(H15&gt;I15,(J15-H15)/(H15-I15),""),"")</f>
        <v/>
      </c>
      <c r="L15" s="44" t="str">
        <f>IF(AND(ISNUMBER(H15),ISNUMBER(I15)),IF(H15&gt;I15,MIN(INT(ROUND('参数'!$C$7/(H15-I15)/100,6))*100,IF(ISNUMBER(E15),IF(H15-ROUND(ROUND(I15*(1-E15),4),2)&gt;0,INT(ROUND('参数'!$C$8/(H15-ROUND(ROUND(I15*(1-E15),4),2))/100,6))*100,0),INT(ROUND('参数'!$C$7/(H15-I15)/100,6))*100)),""),"")</f>
        <v/>
      </c>
      <c r="M15" s="17" t="n"/>
      <c r="N15" s="20" t="str">
        <f>IF(AND(ISNUMBER(H15),ISNUMBER(I15),ISNUMBER(M15)),IF(AND(H15&gt;I15,M15&gt;0),(H15-I15)*M15,""),"")</f>
        <v/>
      </c>
      <c r="O15" s="20" t="str">
        <f>IF(ISNUMBER(N15),IF(ISNUMBER(E15),(H15-ROUND(ROUND(I15*(1-E15),4),2))*M15,"不设限"),"")</f>
        <v/>
      </c>
      <c r="P15" s="32" t="n"/>
      <c r="Q15" s="27" t="n"/>
      <c r="R15" s="42" t="str">
        <f>IF(N(T15)&gt;0,SUMPRODUCT(LARGE(('例-成交明细'!$A$5:$A$804=A15)*('例-成交明细'!$C$5:$C$804="买")*'例-成交明细'!$B$5:$B$804,COUNTIFS('例-成交明细'!$A$5:$A$804,A15,'例-成交明细'!$C$5:$C$804,"买"))),"")</f>
        <v/>
      </c>
      <c r="S15" s="42" t="str">
        <f>IF(AND(N(T15)&gt;0,N(V15)&gt;=N(T15)),SUMPRODUCT(MAX(('例-成交明细'!$A$5:$A$804=A15)*('例-成交明细'!$C$5:$C$804="卖")*'例-成交明细'!$B$5:$B$804)),"")</f>
        <v/>
      </c>
      <c r="T15" s="44" t="str">
        <f>IF(A15="","",SUMIFS('例-成交明细'!$E$5:$E$804,'例-成交明细'!$A$5:$A$804,A15,'例-成交明细'!$C$5:$C$804,"买"))</f>
        <v/>
      </c>
      <c r="U15" s="50" t="str">
        <f>IF(N(T15)&gt;0,SUMIFS('例-成交明细'!$F$5:$F$804,'例-成交明细'!$A$5:$A$804,A15,'例-成交明细'!$C$5:$C$804,"买")/T15,"")</f>
        <v/>
      </c>
      <c r="V15" s="44" t="str">
        <f>IF(A15="","",SUMIFS('例-成交明细'!$E$5:$E$804,'例-成交明细'!$A$5:$A$804,A15,'例-成交明细'!$C$5:$C$804,"卖"))</f>
        <v/>
      </c>
      <c r="W15" s="50" t="str">
        <f>IF(N(V15)&gt;0,SUMIFS('例-成交明细'!$F$5:$F$804,'例-成交明细'!$A$5:$A$804,A15,'例-成交明细'!$C$5:$C$804,"卖")/V15,"")</f>
        <v/>
      </c>
      <c r="X15" s="36" t="str">
        <f>IF(A15="","",IF(Q15&lt;&gt;"已执行",IF(Q15="","未填执行情况",Q15),IF(N(T15)=0,"待录成交",IF(N(V15)&gt;N(T15),"卖出多于买入",IF(N(V15)&lt;N(T15),"持仓中","已平仓")))))</f>
        <v/>
      </c>
      <c r="Y15" s="51" t="str">
        <f>IF(N(T15)=0,"",SUMIFS('例-成交明细'!$K$5:$K$804,'例-成交明细'!$A$5:$A$804,A15))</f>
        <v/>
      </c>
      <c r="Z15" s="52" t="str">
        <f>IF(X15&lt;&gt;"已平仓","",SUMIFS('例-成交明细'!$F$5:$F$804,'例-成交明细'!$A$5:$A$804,A15,'例-成交明细'!$C$5:$C$804,"卖")-SUMIFS('例-成交明细'!$F$5:$F$804,'例-成交明细'!$A$5:$A$804,A15,'例-成交明细'!$C$5:$C$804,"买")-Y15)</f>
        <v/>
      </c>
      <c r="AA15" s="53" t="str">
        <f>IF(AND(X15="已平仓",ISNUMBER(N15)),(Z15+Y15)/N15,"")</f>
        <v/>
      </c>
      <c r="AB15" s="53" t="str">
        <f>IF(AND(X15="已平仓",ISNUMBER(N15)),Z15/N15,"")</f>
        <v/>
      </c>
      <c r="AC15" s="54" t="str">
        <f>IF(AND(ISNUMBER(U15),ISNUMBER(H15)),U15-H15,"")</f>
        <v/>
      </c>
      <c r="AD15" s="27" t="n"/>
      <c r="AE15" s="27" t="n"/>
      <c r="AF15" s="32" t="n"/>
      <c r="AG15" s="53" t="str">
        <f>IF(A15="","",SUM(AB$5:AB15))</f>
        <v/>
      </c>
      <c r="AH15" s="55" t="str">
        <f>IF(A15="","",MAX(0,MAX(AG$5:AG15))-AG15)</f>
        <v/>
      </c>
    </row>
    <row r="16">
      <c r="A16" s="46" t="n"/>
      <c r="B16" s="31" t="n"/>
      <c r="C16" s="32" t="n"/>
      <c r="D16" s="27" t="n"/>
      <c r="E16" s="47" t="str">
        <f>IF(D16="","",IFERROR(VLOOKUP(D16,'参数'!$B$21:$C$26,2,FALSE),""))</f>
        <v/>
      </c>
      <c r="F16" s="27" t="n"/>
      <c r="G16" s="43" t="str">
        <f>IF(NOT(ISNUMBER(B16)),"",IFERROR(IF(B16-INDEX('例-每日复盘'!$A$5:$A$264,MATCH(B16-1,'例-每日复盘'!$A$5:$A$264,1))&gt;7,"",T(INDEX('例-每日复盘'!$AA$5:$AA$264,MATCH(B16-1,'例-每日复盘'!$A$5:$A$264,1)))),""))</f>
        <v/>
      </c>
      <c r="H16" s="48" t="n"/>
      <c r="I16" s="48" t="n"/>
      <c r="J16" s="48" t="n"/>
      <c r="K16" s="49" t="str">
        <f>IF(AND(ISNUMBER(H16),ISNUMBER(I16),ISNUMBER(J16)),IF(H16&gt;I16,(J16-H16)/(H16-I16),""),"")</f>
        <v/>
      </c>
      <c r="L16" s="44" t="str">
        <f>IF(AND(ISNUMBER(H16),ISNUMBER(I16)),IF(H16&gt;I16,MIN(INT(ROUND('参数'!$C$7/(H16-I16)/100,6))*100,IF(ISNUMBER(E16),IF(H16-ROUND(ROUND(I16*(1-E16),4),2)&gt;0,INT(ROUND('参数'!$C$8/(H16-ROUND(ROUND(I16*(1-E16),4),2))/100,6))*100,0),INT(ROUND('参数'!$C$7/(H16-I16)/100,6))*100)),""),"")</f>
        <v/>
      </c>
      <c r="M16" s="17" t="n"/>
      <c r="N16" s="20" t="str">
        <f>IF(AND(ISNUMBER(H16),ISNUMBER(I16),ISNUMBER(M16)),IF(AND(H16&gt;I16,M16&gt;0),(H16-I16)*M16,""),"")</f>
        <v/>
      </c>
      <c r="O16" s="20" t="str">
        <f>IF(ISNUMBER(N16),IF(ISNUMBER(E16),(H16-ROUND(ROUND(I16*(1-E16),4),2))*M16,"不设限"),"")</f>
        <v/>
      </c>
      <c r="P16" s="32" t="n"/>
      <c r="Q16" s="27" t="n"/>
      <c r="R16" s="42" t="str">
        <f>IF(N(T16)&gt;0,SUMPRODUCT(LARGE(('例-成交明细'!$A$5:$A$804=A16)*('例-成交明细'!$C$5:$C$804="买")*'例-成交明细'!$B$5:$B$804,COUNTIFS('例-成交明细'!$A$5:$A$804,A16,'例-成交明细'!$C$5:$C$804,"买"))),"")</f>
        <v/>
      </c>
      <c r="S16" s="42" t="str">
        <f>IF(AND(N(T16)&gt;0,N(V16)&gt;=N(T16)),SUMPRODUCT(MAX(('例-成交明细'!$A$5:$A$804=A16)*('例-成交明细'!$C$5:$C$804="卖")*'例-成交明细'!$B$5:$B$804)),"")</f>
        <v/>
      </c>
      <c r="T16" s="44" t="str">
        <f>IF(A16="","",SUMIFS('例-成交明细'!$E$5:$E$804,'例-成交明细'!$A$5:$A$804,A16,'例-成交明细'!$C$5:$C$804,"买"))</f>
        <v/>
      </c>
      <c r="U16" s="50" t="str">
        <f>IF(N(T16)&gt;0,SUMIFS('例-成交明细'!$F$5:$F$804,'例-成交明细'!$A$5:$A$804,A16,'例-成交明细'!$C$5:$C$804,"买")/T16,"")</f>
        <v/>
      </c>
      <c r="V16" s="44" t="str">
        <f>IF(A16="","",SUMIFS('例-成交明细'!$E$5:$E$804,'例-成交明细'!$A$5:$A$804,A16,'例-成交明细'!$C$5:$C$804,"卖"))</f>
        <v/>
      </c>
      <c r="W16" s="50" t="str">
        <f>IF(N(V16)&gt;0,SUMIFS('例-成交明细'!$F$5:$F$804,'例-成交明细'!$A$5:$A$804,A16,'例-成交明细'!$C$5:$C$804,"卖")/V16,"")</f>
        <v/>
      </c>
      <c r="X16" s="36" t="str">
        <f>IF(A16="","",IF(Q16&lt;&gt;"已执行",IF(Q16="","未填执行情况",Q16),IF(N(T16)=0,"待录成交",IF(N(V16)&gt;N(T16),"卖出多于买入",IF(N(V16)&lt;N(T16),"持仓中","已平仓")))))</f>
        <v/>
      </c>
      <c r="Y16" s="51" t="str">
        <f>IF(N(T16)=0,"",SUMIFS('例-成交明细'!$K$5:$K$804,'例-成交明细'!$A$5:$A$804,A16))</f>
        <v/>
      </c>
      <c r="Z16" s="52" t="str">
        <f>IF(X16&lt;&gt;"已平仓","",SUMIFS('例-成交明细'!$F$5:$F$804,'例-成交明细'!$A$5:$A$804,A16,'例-成交明细'!$C$5:$C$804,"卖")-SUMIFS('例-成交明细'!$F$5:$F$804,'例-成交明细'!$A$5:$A$804,A16,'例-成交明细'!$C$5:$C$804,"买")-Y16)</f>
        <v/>
      </c>
      <c r="AA16" s="53" t="str">
        <f>IF(AND(X16="已平仓",ISNUMBER(N16)),(Z16+Y16)/N16,"")</f>
        <v/>
      </c>
      <c r="AB16" s="53" t="str">
        <f>IF(AND(X16="已平仓",ISNUMBER(N16)),Z16/N16,"")</f>
        <v/>
      </c>
      <c r="AC16" s="54" t="str">
        <f>IF(AND(ISNUMBER(U16),ISNUMBER(H16)),U16-H16,"")</f>
        <v/>
      </c>
      <c r="AD16" s="27" t="n"/>
      <c r="AE16" s="27" t="n"/>
      <c r="AF16" s="32" t="n"/>
      <c r="AG16" s="53" t="str">
        <f>IF(A16="","",SUM(AB$5:AB16))</f>
        <v/>
      </c>
      <c r="AH16" s="55" t="str">
        <f>IF(A16="","",MAX(0,MAX(AG$5:AG16))-AG16)</f>
        <v/>
      </c>
    </row>
    <row r="17">
      <c r="A17" s="46" t="n"/>
      <c r="B17" s="31" t="n"/>
      <c r="C17" s="32" t="n"/>
      <c r="D17" s="27" t="n"/>
      <c r="E17" s="47" t="str">
        <f>IF(D17="","",IFERROR(VLOOKUP(D17,'参数'!$B$21:$C$26,2,FALSE),""))</f>
        <v/>
      </c>
      <c r="F17" s="27" t="n"/>
      <c r="G17" s="43" t="str">
        <f>IF(NOT(ISNUMBER(B17)),"",IFERROR(IF(B17-INDEX('例-每日复盘'!$A$5:$A$264,MATCH(B17-1,'例-每日复盘'!$A$5:$A$264,1))&gt;7,"",T(INDEX('例-每日复盘'!$AA$5:$AA$264,MATCH(B17-1,'例-每日复盘'!$A$5:$A$264,1)))),""))</f>
        <v/>
      </c>
      <c r="H17" s="48" t="n"/>
      <c r="I17" s="48" t="n"/>
      <c r="J17" s="48" t="n"/>
      <c r="K17" s="49" t="str">
        <f>IF(AND(ISNUMBER(H17),ISNUMBER(I17),ISNUMBER(J17)),IF(H17&gt;I17,(J17-H17)/(H17-I17),""),"")</f>
        <v/>
      </c>
      <c r="L17" s="44" t="str">
        <f>IF(AND(ISNUMBER(H17),ISNUMBER(I17)),IF(H17&gt;I17,MIN(INT(ROUND('参数'!$C$7/(H17-I17)/100,6))*100,IF(ISNUMBER(E17),IF(H17-ROUND(ROUND(I17*(1-E17),4),2)&gt;0,INT(ROUND('参数'!$C$8/(H17-ROUND(ROUND(I17*(1-E17),4),2))/100,6))*100,0),INT(ROUND('参数'!$C$7/(H17-I17)/100,6))*100)),""),"")</f>
        <v/>
      </c>
      <c r="M17" s="17" t="n"/>
      <c r="N17" s="20" t="str">
        <f>IF(AND(ISNUMBER(H17),ISNUMBER(I17),ISNUMBER(M17)),IF(AND(H17&gt;I17,M17&gt;0),(H17-I17)*M17,""),"")</f>
        <v/>
      </c>
      <c r="O17" s="20" t="str">
        <f>IF(ISNUMBER(N17),IF(ISNUMBER(E17),(H17-ROUND(ROUND(I17*(1-E17),4),2))*M17,"不设限"),"")</f>
        <v/>
      </c>
      <c r="P17" s="32" t="n"/>
      <c r="Q17" s="27" t="n"/>
      <c r="R17" s="42" t="str">
        <f>IF(N(T17)&gt;0,SUMPRODUCT(LARGE(('例-成交明细'!$A$5:$A$804=A17)*('例-成交明细'!$C$5:$C$804="买")*'例-成交明细'!$B$5:$B$804,COUNTIFS('例-成交明细'!$A$5:$A$804,A17,'例-成交明细'!$C$5:$C$804,"买"))),"")</f>
        <v/>
      </c>
      <c r="S17" s="42" t="str">
        <f>IF(AND(N(T17)&gt;0,N(V17)&gt;=N(T17)),SUMPRODUCT(MAX(('例-成交明细'!$A$5:$A$804=A17)*('例-成交明细'!$C$5:$C$804="卖")*'例-成交明细'!$B$5:$B$804)),"")</f>
        <v/>
      </c>
      <c r="T17" s="44" t="str">
        <f>IF(A17="","",SUMIFS('例-成交明细'!$E$5:$E$804,'例-成交明细'!$A$5:$A$804,A17,'例-成交明细'!$C$5:$C$804,"买"))</f>
        <v/>
      </c>
      <c r="U17" s="50" t="str">
        <f>IF(N(T17)&gt;0,SUMIFS('例-成交明细'!$F$5:$F$804,'例-成交明细'!$A$5:$A$804,A17,'例-成交明细'!$C$5:$C$804,"买")/T17,"")</f>
        <v/>
      </c>
      <c r="V17" s="44" t="str">
        <f>IF(A17="","",SUMIFS('例-成交明细'!$E$5:$E$804,'例-成交明细'!$A$5:$A$804,A17,'例-成交明细'!$C$5:$C$804,"卖"))</f>
        <v/>
      </c>
      <c r="W17" s="50" t="str">
        <f>IF(N(V17)&gt;0,SUMIFS('例-成交明细'!$F$5:$F$804,'例-成交明细'!$A$5:$A$804,A17,'例-成交明细'!$C$5:$C$804,"卖")/V17,"")</f>
        <v/>
      </c>
      <c r="X17" s="36" t="str">
        <f>IF(A17="","",IF(Q17&lt;&gt;"已执行",IF(Q17="","未填执行情况",Q17),IF(N(T17)=0,"待录成交",IF(N(V17)&gt;N(T17),"卖出多于买入",IF(N(V17)&lt;N(T17),"持仓中","已平仓")))))</f>
        <v/>
      </c>
      <c r="Y17" s="51" t="str">
        <f>IF(N(T17)=0,"",SUMIFS('例-成交明细'!$K$5:$K$804,'例-成交明细'!$A$5:$A$804,A17))</f>
        <v/>
      </c>
      <c r="Z17" s="52" t="str">
        <f>IF(X17&lt;&gt;"已平仓","",SUMIFS('例-成交明细'!$F$5:$F$804,'例-成交明细'!$A$5:$A$804,A17,'例-成交明细'!$C$5:$C$804,"卖")-SUMIFS('例-成交明细'!$F$5:$F$804,'例-成交明细'!$A$5:$A$804,A17,'例-成交明细'!$C$5:$C$804,"买")-Y17)</f>
        <v/>
      </c>
      <c r="AA17" s="53" t="str">
        <f>IF(AND(X17="已平仓",ISNUMBER(N17)),(Z17+Y17)/N17,"")</f>
        <v/>
      </c>
      <c r="AB17" s="53" t="str">
        <f>IF(AND(X17="已平仓",ISNUMBER(N17)),Z17/N17,"")</f>
        <v/>
      </c>
      <c r="AC17" s="54" t="str">
        <f>IF(AND(ISNUMBER(U17),ISNUMBER(H17)),U17-H17,"")</f>
        <v/>
      </c>
      <c r="AD17" s="27" t="n"/>
      <c r="AE17" s="27" t="n"/>
      <c r="AF17" s="32" t="n"/>
      <c r="AG17" s="53" t="str">
        <f>IF(A17="","",SUM(AB$5:AB17))</f>
        <v/>
      </c>
      <c r="AH17" s="55" t="str">
        <f>IF(A17="","",MAX(0,MAX(AG$5:AG17))-AG17)</f>
        <v/>
      </c>
    </row>
    <row r="18">
      <c r="A18" s="46" t="n"/>
      <c r="B18" s="31" t="n"/>
      <c r="C18" s="32" t="n"/>
      <c r="D18" s="27" t="n"/>
      <c r="E18" s="47" t="str">
        <f>IF(D18="","",IFERROR(VLOOKUP(D18,'参数'!$B$21:$C$26,2,FALSE),""))</f>
        <v/>
      </c>
      <c r="F18" s="27" t="n"/>
      <c r="G18" s="43" t="str">
        <f>IF(NOT(ISNUMBER(B18)),"",IFERROR(IF(B18-INDEX('例-每日复盘'!$A$5:$A$264,MATCH(B18-1,'例-每日复盘'!$A$5:$A$264,1))&gt;7,"",T(INDEX('例-每日复盘'!$AA$5:$AA$264,MATCH(B18-1,'例-每日复盘'!$A$5:$A$264,1)))),""))</f>
        <v/>
      </c>
      <c r="H18" s="48" t="n"/>
      <c r="I18" s="48" t="n"/>
      <c r="J18" s="48" t="n"/>
      <c r="K18" s="49" t="str">
        <f>IF(AND(ISNUMBER(H18),ISNUMBER(I18),ISNUMBER(J18)),IF(H18&gt;I18,(J18-H18)/(H18-I18),""),"")</f>
        <v/>
      </c>
      <c r="L18" s="44" t="str">
        <f>IF(AND(ISNUMBER(H18),ISNUMBER(I18)),IF(H18&gt;I18,MIN(INT(ROUND('参数'!$C$7/(H18-I18)/100,6))*100,IF(ISNUMBER(E18),IF(H18-ROUND(ROUND(I18*(1-E18),4),2)&gt;0,INT(ROUND('参数'!$C$8/(H18-ROUND(ROUND(I18*(1-E18),4),2))/100,6))*100,0),INT(ROUND('参数'!$C$7/(H18-I18)/100,6))*100)),""),"")</f>
        <v/>
      </c>
      <c r="M18" s="17" t="n"/>
      <c r="N18" s="20" t="str">
        <f>IF(AND(ISNUMBER(H18),ISNUMBER(I18),ISNUMBER(M18)),IF(AND(H18&gt;I18,M18&gt;0),(H18-I18)*M18,""),"")</f>
        <v/>
      </c>
      <c r="O18" s="20" t="str">
        <f>IF(ISNUMBER(N18),IF(ISNUMBER(E18),(H18-ROUND(ROUND(I18*(1-E18),4),2))*M18,"不设限"),"")</f>
        <v/>
      </c>
      <c r="P18" s="32" t="n"/>
      <c r="Q18" s="27" t="n"/>
      <c r="R18" s="42" t="str">
        <f>IF(N(T18)&gt;0,SUMPRODUCT(LARGE(('例-成交明细'!$A$5:$A$804=A18)*('例-成交明细'!$C$5:$C$804="买")*'例-成交明细'!$B$5:$B$804,COUNTIFS('例-成交明细'!$A$5:$A$804,A18,'例-成交明细'!$C$5:$C$804,"买"))),"")</f>
        <v/>
      </c>
      <c r="S18" s="42" t="str">
        <f>IF(AND(N(T18)&gt;0,N(V18)&gt;=N(T18)),SUMPRODUCT(MAX(('例-成交明细'!$A$5:$A$804=A18)*('例-成交明细'!$C$5:$C$804="卖")*'例-成交明细'!$B$5:$B$804)),"")</f>
        <v/>
      </c>
      <c r="T18" s="44" t="str">
        <f>IF(A18="","",SUMIFS('例-成交明细'!$E$5:$E$804,'例-成交明细'!$A$5:$A$804,A18,'例-成交明细'!$C$5:$C$804,"买"))</f>
        <v/>
      </c>
      <c r="U18" s="50" t="str">
        <f>IF(N(T18)&gt;0,SUMIFS('例-成交明细'!$F$5:$F$804,'例-成交明细'!$A$5:$A$804,A18,'例-成交明细'!$C$5:$C$804,"买")/T18,"")</f>
        <v/>
      </c>
      <c r="V18" s="44" t="str">
        <f>IF(A18="","",SUMIFS('例-成交明细'!$E$5:$E$804,'例-成交明细'!$A$5:$A$804,A18,'例-成交明细'!$C$5:$C$804,"卖"))</f>
        <v/>
      </c>
      <c r="W18" s="50" t="str">
        <f>IF(N(V18)&gt;0,SUMIFS('例-成交明细'!$F$5:$F$804,'例-成交明细'!$A$5:$A$804,A18,'例-成交明细'!$C$5:$C$804,"卖")/V18,"")</f>
        <v/>
      </c>
      <c r="X18" s="36" t="str">
        <f>IF(A18="","",IF(Q18&lt;&gt;"已执行",IF(Q18="","未填执行情况",Q18),IF(N(T18)=0,"待录成交",IF(N(V18)&gt;N(T18),"卖出多于买入",IF(N(V18)&lt;N(T18),"持仓中","已平仓")))))</f>
        <v/>
      </c>
      <c r="Y18" s="51" t="str">
        <f>IF(N(T18)=0,"",SUMIFS('例-成交明细'!$K$5:$K$804,'例-成交明细'!$A$5:$A$804,A18))</f>
        <v/>
      </c>
      <c r="Z18" s="52" t="str">
        <f>IF(X18&lt;&gt;"已平仓","",SUMIFS('例-成交明细'!$F$5:$F$804,'例-成交明细'!$A$5:$A$804,A18,'例-成交明细'!$C$5:$C$804,"卖")-SUMIFS('例-成交明细'!$F$5:$F$804,'例-成交明细'!$A$5:$A$804,A18,'例-成交明细'!$C$5:$C$804,"买")-Y18)</f>
        <v/>
      </c>
      <c r="AA18" s="53" t="str">
        <f>IF(AND(X18="已平仓",ISNUMBER(N18)),(Z18+Y18)/N18,"")</f>
        <v/>
      </c>
      <c r="AB18" s="53" t="str">
        <f>IF(AND(X18="已平仓",ISNUMBER(N18)),Z18/N18,"")</f>
        <v/>
      </c>
      <c r="AC18" s="54" t="str">
        <f>IF(AND(ISNUMBER(U18),ISNUMBER(H18)),U18-H18,"")</f>
        <v/>
      </c>
      <c r="AD18" s="27" t="n"/>
      <c r="AE18" s="27" t="n"/>
      <c r="AF18" s="32" t="n"/>
      <c r="AG18" s="53" t="str">
        <f>IF(A18="","",SUM(AB$5:AB18))</f>
        <v/>
      </c>
      <c r="AH18" s="55" t="str">
        <f>IF(A18="","",MAX(0,MAX(AG$5:AG18))-AG18)</f>
        <v/>
      </c>
    </row>
    <row r="19">
      <c r="A19" s="46" t="n"/>
      <c r="B19" s="31" t="n"/>
      <c r="C19" s="32" t="n"/>
      <c r="D19" s="27" t="n"/>
      <c r="E19" s="47" t="str">
        <f>IF(D19="","",IFERROR(VLOOKUP(D19,'参数'!$B$21:$C$26,2,FALSE),""))</f>
        <v/>
      </c>
      <c r="F19" s="27" t="n"/>
      <c r="G19" s="43" t="str">
        <f>IF(NOT(ISNUMBER(B19)),"",IFERROR(IF(B19-INDEX('例-每日复盘'!$A$5:$A$264,MATCH(B19-1,'例-每日复盘'!$A$5:$A$264,1))&gt;7,"",T(INDEX('例-每日复盘'!$AA$5:$AA$264,MATCH(B19-1,'例-每日复盘'!$A$5:$A$264,1)))),""))</f>
        <v/>
      </c>
      <c r="H19" s="48" t="n"/>
      <c r="I19" s="48" t="n"/>
      <c r="J19" s="48" t="n"/>
      <c r="K19" s="49" t="str">
        <f>IF(AND(ISNUMBER(H19),ISNUMBER(I19),ISNUMBER(J19)),IF(H19&gt;I19,(J19-H19)/(H19-I19),""),"")</f>
        <v/>
      </c>
      <c r="L19" s="44" t="str">
        <f>IF(AND(ISNUMBER(H19),ISNUMBER(I19)),IF(H19&gt;I19,MIN(INT(ROUND('参数'!$C$7/(H19-I19)/100,6))*100,IF(ISNUMBER(E19),IF(H19-ROUND(ROUND(I19*(1-E19),4),2)&gt;0,INT(ROUND('参数'!$C$8/(H19-ROUND(ROUND(I19*(1-E19),4),2))/100,6))*100,0),INT(ROUND('参数'!$C$7/(H19-I19)/100,6))*100)),""),"")</f>
        <v/>
      </c>
      <c r="M19" s="17" t="n"/>
      <c r="N19" s="20" t="str">
        <f>IF(AND(ISNUMBER(H19),ISNUMBER(I19),ISNUMBER(M19)),IF(AND(H19&gt;I19,M19&gt;0),(H19-I19)*M19,""),"")</f>
        <v/>
      </c>
      <c r="O19" s="20" t="str">
        <f>IF(ISNUMBER(N19),IF(ISNUMBER(E19),(H19-ROUND(ROUND(I19*(1-E19),4),2))*M19,"不设限"),"")</f>
        <v/>
      </c>
      <c r="P19" s="32" t="n"/>
      <c r="Q19" s="27" t="n"/>
      <c r="R19" s="42" t="str">
        <f>IF(N(T19)&gt;0,SUMPRODUCT(LARGE(('例-成交明细'!$A$5:$A$804=A19)*('例-成交明细'!$C$5:$C$804="买")*'例-成交明细'!$B$5:$B$804,COUNTIFS('例-成交明细'!$A$5:$A$804,A19,'例-成交明细'!$C$5:$C$804,"买"))),"")</f>
        <v/>
      </c>
      <c r="S19" s="42" t="str">
        <f>IF(AND(N(T19)&gt;0,N(V19)&gt;=N(T19)),SUMPRODUCT(MAX(('例-成交明细'!$A$5:$A$804=A19)*('例-成交明细'!$C$5:$C$804="卖")*'例-成交明细'!$B$5:$B$804)),"")</f>
        <v/>
      </c>
      <c r="T19" s="44" t="str">
        <f>IF(A19="","",SUMIFS('例-成交明细'!$E$5:$E$804,'例-成交明细'!$A$5:$A$804,A19,'例-成交明细'!$C$5:$C$804,"买"))</f>
        <v/>
      </c>
      <c r="U19" s="50" t="str">
        <f>IF(N(T19)&gt;0,SUMIFS('例-成交明细'!$F$5:$F$804,'例-成交明细'!$A$5:$A$804,A19,'例-成交明细'!$C$5:$C$804,"买")/T19,"")</f>
        <v/>
      </c>
      <c r="V19" s="44" t="str">
        <f>IF(A19="","",SUMIFS('例-成交明细'!$E$5:$E$804,'例-成交明细'!$A$5:$A$804,A19,'例-成交明细'!$C$5:$C$804,"卖"))</f>
        <v/>
      </c>
      <c r="W19" s="50" t="str">
        <f>IF(N(V19)&gt;0,SUMIFS('例-成交明细'!$F$5:$F$804,'例-成交明细'!$A$5:$A$804,A19,'例-成交明细'!$C$5:$C$804,"卖")/V19,"")</f>
        <v/>
      </c>
      <c r="X19" s="36" t="str">
        <f>IF(A19="","",IF(Q19&lt;&gt;"已执行",IF(Q19="","未填执行情况",Q19),IF(N(T19)=0,"待录成交",IF(N(V19)&gt;N(T19),"卖出多于买入",IF(N(V19)&lt;N(T19),"持仓中","已平仓")))))</f>
        <v/>
      </c>
      <c r="Y19" s="51" t="str">
        <f>IF(N(T19)=0,"",SUMIFS('例-成交明细'!$K$5:$K$804,'例-成交明细'!$A$5:$A$804,A19))</f>
        <v/>
      </c>
      <c r="Z19" s="52" t="str">
        <f>IF(X19&lt;&gt;"已平仓","",SUMIFS('例-成交明细'!$F$5:$F$804,'例-成交明细'!$A$5:$A$804,A19,'例-成交明细'!$C$5:$C$804,"卖")-SUMIFS('例-成交明细'!$F$5:$F$804,'例-成交明细'!$A$5:$A$804,A19,'例-成交明细'!$C$5:$C$804,"买")-Y19)</f>
        <v/>
      </c>
      <c r="AA19" s="53" t="str">
        <f>IF(AND(X19="已平仓",ISNUMBER(N19)),(Z19+Y19)/N19,"")</f>
        <v/>
      </c>
      <c r="AB19" s="53" t="str">
        <f>IF(AND(X19="已平仓",ISNUMBER(N19)),Z19/N19,"")</f>
        <v/>
      </c>
      <c r="AC19" s="54" t="str">
        <f>IF(AND(ISNUMBER(U19),ISNUMBER(H19)),U19-H19,"")</f>
        <v/>
      </c>
      <c r="AD19" s="27" t="n"/>
      <c r="AE19" s="27" t="n"/>
      <c r="AF19" s="32" t="n"/>
      <c r="AG19" s="53" t="str">
        <f>IF(A19="","",SUM(AB$5:AB19))</f>
        <v/>
      </c>
      <c r="AH19" s="55" t="str">
        <f>IF(A19="","",MAX(0,MAX(AG$5:AG19))-AG19)</f>
        <v/>
      </c>
    </row>
    <row r="20">
      <c r="A20" s="46" t="n"/>
      <c r="B20" s="31" t="n"/>
      <c r="C20" s="32" t="n"/>
      <c r="D20" s="27" t="n"/>
      <c r="E20" s="47" t="str">
        <f>IF(D20="","",IFERROR(VLOOKUP(D20,'参数'!$B$21:$C$26,2,FALSE),""))</f>
        <v/>
      </c>
      <c r="F20" s="27" t="n"/>
      <c r="G20" s="43" t="str">
        <f>IF(NOT(ISNUMBER(B20)),"",IFERROR(IF(B20-INDEX('例-每日复盘'!$A$5:$A$264,MATCH(B20-1,'例-每日复盘'!$A$5:$A$264,1))&gt;7,"",T(INDEX('例-每日复盘'!$AA$5:$AA$264,MATCH(B20-1,'例-每日复盘'!$A$5:$A$264,1)))),""))</f>
        <v/>
      </c>
      <c r="H20" s="48" t="n"/>
      <c r="I20" s="48" t="n"/>
      <c r="J20" s="48" t="n"/>
      <c r="K20" s="49" t="str">
        <f>IF(AND(ISNUMBER(H20),ISNUMBER(I20),ISNUMBER(J20)),IF(H20&gt;I20,(J20-H20)/(H20-I20),""),"")</f>
        <v/>
      </c>
      <c r="L20" s="44" t="str">
        <f>IF(AND(ISNUMBER(H20),ISNUMBER(I20)),IF(H20&gt;I20,MIN(INT(ROUND('参数'!$C$7/(H20-I20)/100,6))*100,IF(ISNUMBER(E20),IF(H20-ROUND(ROUND(I20*(1-E20),4),2)&gt;0,INT(ROUND('参数'!$C$8/(H20-ROUND(ROUND(I20*(1-E20),4),2))/100,6))*100,0),INT(ROUND('参数'!$C$7/(H20-I20)/100,6))*100)),""),"")</f>
        <v/>
      </c>
      <c r="M20" s="17" t="n"/>
      <c r="N20" s="20" t="str">
        <f>IF(AND(ISNUMBER(H20),ISNUMBER(I20),ISNUMBER(M20)),IF(AND(H20&gt;I20,M20&gt;0),(H20-I20)*M20,""),"")</f>
        <v/>
      </c>
      <c r="O20" s="20" t="str">
        <f>IF(ISNUMBER(N20),IF(ISNUMBER(E20),(H20-ROUND(ROUND(I20*(1-E20),4),2))*M20,"不设限"),"")</f>
        <v/>
      </c>
      <c r="P20" s="32" t="n"/>
      <c r="Q20" s="27" t="n"/>
      <c r="R20" s="42" t="str">
        <f>IF(N(T20)&gt;0,SUMPRODUCT(LARGE(('例-成交明细'!$A$5:$A$804=A20)*('例-成交明细'!$C$5:$C$804="买")*'例-成交明细'!$B$5:$B$804,COUNTIFS('例-成交明细'!$A$5:$A$804,A20,'例-成交明细'!$C$5:$C$804,"买"))),"")</f>
        <v/>
      </c>
      <c r="S20" s="42" t="str">
        <f>IF(AND(N(T20)&gt;0,N(V20)&gt;=N(T20)),SUMPRODUCT(MAX(('例-成交明细'!$A$5:$A$804=A20)*('例-成交明细'!$C$5:$C$804="卖")*'例-成交明细'!$B$5:$B$804)),"")</f>
        <v/>
      </c>
      <c r="T20" s="44" t="str">
        <f>IF(A20="","",SUMIFS('例-成交明细'!$E$5:$E$804,'例-成交明细'!$A$5:$A$804,A20,'例-成交明细'!$C$5:$C$804,"买"))</f>
        <v/>
      </c>
      <c r="U20" s="50" t="str">
        <f>IF(N(T20)&gt;0,SUMIFS('例-成交明细'!$F$5:$F$804,'例-成交明细'!$A$5:$A$804,A20,'例-成交明细'!$C$5:$C$804,"买")/T20,"")</f>
        <v/>
      </c>
      <c r="V20" s="44" t="str">
        <f>IF(A20="","",SUMIFS('例-成交明细'!$E$5:$E$804,'例-成交明细'!$A$5:$A$804,A20,'例-成交明细'!$C$5:$C$804,"卖"))</f>
        <v/>
      </c>
      <c r="W20" s="50" t="str">
        <f>IF(N(V20)&gt;0,SUMIFS('例-成交明细'!$F$5:$F$804,'例-成交明细'!$A$5:$A$804,A20,'例-成交明细'!$C$5:$C$804,"卖")/V20,"")</f>
        <v/>
      </c>
      <c r="X20" s="36" t="str">
        <f>IF(A20="","",IF(Q20&lt;&gt;"已执行",IF(Q20="","未填执行情况",Q20),IF(N(T20)=0,"待录成交",IF(N(V20)&gt;N(T20),"卖出多于买入",IF(N(V20)&lt;N(T20),"持仓中","已平仓")))))</f>
        <v/>
      </c>
      <c r="Y20" s="51" t="str">
        <f>IF(N(T20)=0,"",SUMIFS('例-成交明细'!$K$5:$K$804,'例-成交明细'!$A$5:$A$804,A20))</f>
        <v/>
      </c>
      <c r="Z20" s="52" t="str">
        <f>IF(X20&lt;&gt;"已平仓","",SUMIFS('例-成交明细'!$F$5:$F$804,'例-成交明细'!$A$5:$A$804,A20,'例-成交明细'!$C$5:$C$804,"卖")-SUMIFS('例-成交明细'!$F$5:$F$804,'例-成交明细'!$A$5:$A$804,A20,'例-成交明细'!$C$5:$C$804,"买")-Y20)</f>
        <v/>
      </c>
      <c r="AA20" s="53" t="str">
        <f>IF(AND(X20="已平仓",ISNUMBER(N20)),(Z20+Y20)/N20,"")</f>
        <v/>
      </c>
      <c r="AB20" s="53" t="str">
        <f>IF(AND(X20="已平仓",ISNUMBER(N20)),Z20/N20,"")</f>
        <v/>
      </c>
      <c r="AC20" s="54" t="str">
        <f>IF(AND(ISNUMBER(U20),ISNUMBER(H20)),U20-H20,"")</f>
        <v/>
      </c>
      <c r="AD20" s="27" t="n"/>
      <c r="AE20" s="27" t="n"/>
      <c r="AF20" s="32" t="n"/>
      <c r="AG20" s="53" t="str">
        <f>IF(A20="","",SUM(AB$5:AB20))</f>
        <v/>
      </c>
      <c r="AH20" s="55" t="str">
        <f>IF(A20="","",MAX(0,MAX(AG$5:AG20))-AG20)</f>
        <v/>
      </c>
    </row>
    <row r="21">
      <c r="A21" s="46" t="n"/>
      <c r="B21" s="31" t="n"/>
      <c r="C21" s="32" t="n"/>
      <c r="D21" s="27" t="n"/>
      <c r="E21" s="47" t="str">
        <f>IF(D21="","",IFERROR(VLOOKUP(D21,'参数'!$B$21:$C$26,2,FALSE),""))</f>
        <v/>
      </c>
      <c r="F21" s="27" t="n"/>
      <c r="G21" s="43" t="str">
        <f>IF(NOT(ISNUMBER(B21)),"",IFERROR(IF(B21-INDEX('例-每日复盘'!$A$5:$A$264,MATCH(B21-1,'例-每日复盘'!$A$5:$A$264,1))&gt;7,"",T(INDEX('例-每日复盘'!$AA$5:$AA$264,MATCH(B21-1,'例-每日复盘'!$A$5:$A$264,1)))),""))</f>
        <v/>
      </c>
      <c r="H21" s="48" t="n"/>
      <c r="I21" s="48" t="n"/>
      <c r="J21" s="48" t="n"/>
      <c r="K21" s="49" t="str">
        <f>IF(AND(ISNUMBER(H21),ISNUMBER(I21),ISNUMBER(J21)),IF(H21&gt;I21,(J21-H21)/(H21-I21),""),"")</f>
        <v/>
      </c>
      <c r="L21" s="44" t="str">
        <f>IF(AND(ISNUMBER(H21),ISNUMBER(I21)),IF(H21&gt;I21,MIN(INT(ROUND('参数'!$C$7/(H21-I21)/100,6))*100,IF(ISNUMBER(E21),IF(H21-ROUND(ROUND(I21*(1-E21),4),2)&gt;0,INT(ROUND('参数'!$C$8/(H21-ROUND(ROUND(I21*(1-E21),4),2))/100,6))*100,0),INT(ROUND('参数'!$C$7/(H21-I21)/100,6))*100)),""),"")</f>
        <v/>
      </c>
      <c r="M21" s="17" t="n"/>
      <c r="N21" s="20" t="str">
        <f>IF(AND(ISNUMBER(H21),ISNUMBER(I21),ISNUMBER(M21)),IF(AND(H21&gt;I21,M21&gt;0),(H21-I21)*M21,""),"")</f>
        <v/>
      </c>
      <c r="O21" s="20" t="str">
        <f>IF(ISNUMBER(N21),IF(ISNUMBER(E21),(H21-ROUND(ROUND(I21*(1-E21),4),2))*M21,"不设限"),"")</f>
        <v/>
      </c>
      <c r="P21" s="32" t="n"/>
      <c r="Q21" s="27" t="n"/>
      <c r="R21" s="42" t="str">
        <f>IF(N(T21)&gt;0,SUMPRODUCT(LARGE(('例-成交明细'!$A$5:$A$804=A21)*('例-成交明细'!$C$5:$C$804="买")*'例-成交明细'!$B$5:$B$804,COUNTIFS('例-成交明细'!$A$5:$A$804,A21,'例-成交明细'!$C$5:$C$804,"买"))),"")</f>
        <v/>
      </c>
      <c r="S21" s="42" t="str">
        <f>IF(AND(N(T21)&gt;0,N(V21)&gt;=N(T21)),SUMPRODUCT(MAX(('例-成交明细'!$A$5:$A$804=A21)*('例-成交明细'!$C$5:$C$804="卖")*'例-成交明细'!$B$5:$B$804)),"")</f>
        <v/>
      </c>
      <c r="T21" s="44" t="str">
        <f>IF(A21="","",SUMIFS('例-成交明细'!$E$5:$E$804,'例-成交明细'!$A$5:$A$804,A21,'例-成交明细'!$C$5:$C$804,"买"))</f>
        <v/>
      </c>
      <c r="U21" s="50" t="str">
        <f>IF(N(T21)&gt;0,SUMIFS('例-成交明细'!$F$5:$F$804,'例-成交明细'!$A$5:$A$804,A21,'例-成交明细'!$C$5:$C$804,"买")/T21,"")</f>
        <v/>
      </c>
      <c r="V21" s="44" t="str">
        <f>IF(A21="","",SUMIFS('例-成交明细'!$E$5:$E$804,'例-成交明细'!$A$5:$A$804,A21,'例-成交明细'!$C$5:$C$804,"卖"))</f>
        <v/>
      </c>
      <c r="W21" s="50" t="str">
        <f>IF(N(V21)&gt;0,SUMIFS('例-成交明细'!$F$5:$F$804,'例-成交明细'!$A$5:$A$804,A21,'例-成交明细'!$C$5:$C$804,"卖")/V21,"")</f>
        <v/>
      </c>
      <c r="X21" s="36" t="str">
        <f>IF(A21="","",IF(Q21&lt;&gt;"已执行",IF(Q21="","未填执行情况",Q21),IF(N(T21)=0,"待录成交",IF(N(V21)&gt;N(T21),"卖出多于买入",IF(N(V21)&lt;N(T21),"持仓中","已平仓")))))</f>
        <v/>
      </c>
      <c r="Y21" s="51" t="str">
        <f>IF(N(T21)=0,"",SUMIFS('例-成交明细'!$K$5:$K$804,'例-成交明细'!$A$5:$A$804,A21))</f>
        <v/>
      </c>
      <c r="Z21" s="52" t="str">
        <f>IF(X21&lt;&gt;"已平仓","",SUMIFS('例-成交明细'!$F$5:$F$804,'例-成交明细'!$A$5:$A$804,A21,'例-成交明细'!$C$5:$C$804,"卖")-SUMIFS('例-成交明细'!$F$5:$F$804,'例-成交明细'!$A$5:$A$804,A21,'例-成交明细'!$C$5:$C$804,"买")-Y21)</f>
        <v/>
      </c>
      <c r="AA21" s="53" t="str">
        <f>IF(AND(X21="已平仓",ISNUMBER(N21)),(Z21+Y21)/N21,"")</f>
        <v/>
      </c>
      <c r="AB21" s="53" t="str">
        <f>IF(AND(X21="已平仓",ISNUMBER(N21)),Z21/N21,"")</f>
        <v/>
      </c>
      <c r="AC21" s="54" t="str">
        <f>IF(AND(ISNUMBER(U21),ISNUMBER(H21)),U21-H21,"")</f>
        <v/>
      </c>
      <c r="AD21" s="27" t="n"/>
      <c r="AE21" s="27" t="n"/>
      <c r="AF21" s="32" t="n"/>
      <c r="AG21" s="53" t="str">
        <f>IF(A21="","",SUM(AB$5:AB21))</f>
        <v/>
      </c>
      <c r="AH21" s="55" t="str">
        <f>IF(A21="","",MAX(0,MAX(AG$5:AG21))-AG21)</f>
        <v/>
      </c>
    </row>
    <row r="22">
      <c r="A22" s="46" t="n"/>
      <c r="B22" s="31" t="n"/>
      <c r="C22" s="32" t="n"/>
      <c r="D22" s="27" t="n"/>
      <c r="E22" s="47" t="str">
        <f>IF(D22="","",IFERROR(VLOOKUP(D22,'参数'!$B$21:$C$26,2,FALSE),""))</f>
        <v/>
      </c>
      <c r="F22" s="27" t="n"/>
      <c r="G22" s="43" t="str">
        <f>IF(NOT(ISNUMBER(B22)),"",IFERROR(IF(B22-INDEX('例-每日复盘'!$A$5:$A$264,MATCH(B22-1,'例-每日复盘'!$A$5:$A$264,1))&gt;7,"",T(INDEX('例-每日复盘'!$AA$5:$AA$264,MATCH(B22-1,'例-每日复盘'!$A$5:$A$264,1)))),""))</f>
        <v/>
      </c>
      <c r="H22" s="48" t="n"/>
      <c r="I22" s="48" t="n"/>
      <c r="J22" s="48" t="n"/>
      <c r="K22" s="49" t="str">
        <f>IF(AND(ISNUMBER(H22),ISNUMBER(I22),ISNUMBER(J22)),IF(H22&gt;I22,(J22-H22)/(H22-I22),""),"")</f>
        <v/>
      </c>
      <c r="L22" s="44" t="str">
        <f>IF(AND(ISNUMBER(H22),ISNUMBER(I22)),IF(H22&gt;I22,MIN(INT(ROUND('参数'!$C$7/(H22-I22)/100,6))*100,IF(ISNUMBER(E22),IF(H22-ROUND(ROUND(I22*(1-E22),4),2)&gt;0,INT(ROUND('参数'!$C$8/(H22-ROUND(ROUND(I22*(1-E22),4),2))/100,6))*100,0),INT(ROUND('参数'!$C$7/(H22-I22)/100,6))*100)),""),"")</f>
        <v/>
      </c>
      <c r="M22" s="17" t="n"/>
      <c r="N22" s="20" t="str">
        <f>IF(AND(ISNUMBER(H22),ISNUMBER(I22),ISNUMBER(M22)),IF(AND(H22&gt;I22,M22&gt;0),(H22-I22)*M22,""),"")</f>
        <v/>
      </c>
      <c r="O22" s="20" t="str">
        <f>IF(ISNUMBER(N22),IF(ISNUMBER(E22),(H22-ROUND(ROUND(I22*(1-E22),4),2))*M22,"不设限"),"")</f>
        <v/>
      </c>
      <c r="P22" s="32" t="n"/>
      <c r="Q22" s="27" t="n"/>
      <c r="R22" s="42" t="str">
        <f>IF(N(T22)&gt;0,SUMPRODUCT(LARGE(('例-成交明细'!$A$5:$A$804=A22)*('例-成交明细'!$C$5:$C$804="买")*'例-成交明细'!$B$5:$B$804,COUNTIFS('例-成交明细'!$A$5:$A$804,A22,'例-成交明细'!$C$5:$C$804,"买"))),"")</f>
        <v/>
      </c>
      <c r="S22" s="42" t="str">
        <f>IF(AND(N(T22)&gt;0,N(V22)&gt;=N(T22)),SUMPRODUCT(MAX(('例-成交明细'!$A$5:$A$804=A22)*('例-成交明细'!$C$5:$C$804="卖")*'例-成交明细'!$B$5:$B$804)),"")</f>
        <v/>
      </c>
      <c r="T22" s="44" t="str">
        <f>IF(A22="","",SUMIFS('例-成交明细'!$E$5:$E$804,'例-成交明细'!$A$5:$A$804,A22,'例-成交明细'!$C$5:$C$804,"买"))</f>
        <v/>
      </c>
      <c r="U22" s="50" t="str">
        <f>IF(N(T22)&gt;0,SUMIFS('例-成交明细'!$F$5:$F$804,'例-成交明细'!$A$5:$A$804,A22,'例-成交明细'!$C$5:$C$804,"买")/T22,"")</f>
        <v/>
      </c>
      <c r="V22" s="44" t="str">
        <f>IF(A22="","",SUMIFS('例-成交明细'!$E$5:$E$804,'例-成交明细'!$A$5:$A$804,A22,'例-成交明细'!$C$5:$C$804,"卖"))</f>
        <v/>
      </c>
      <c r="W22" s="50" t="str">
        <f>IF(N(V22)&gt;0,SUMIFS('例-成交明细'!$F$5:$F$804,'例-成交明细'!$A$5:$A$804,A22,'例-成交明细'!$C$5:$C$804,"卖")/V22,"")</f>
        <v/>
      </c>
      <c r="X22" s="36" t="str">
        <f>IF(A22="","",IF(Q22&lt;&gt;"已执行",IF(Q22="","未填执行情况",Q22),IF(N(T22)=0,"待录成交",IF(N(V22)&gt;N(T22),"卖出多于买入",IF(N(V22)&lt;N(T22),"持仓中","已平仓")))))</f>
        <v/>
      </c>
      <c r="Y22" s="51" t="str">
        <f>IF(N(T22)=0,"",SUMIFS('例-成交明细'!$K$5:$K$804,'例-成交明细'!$A$5:$A$804,A22))</f>
        <v/>
      </c>
      <c r="Z22" s="52" t="str">
        <f>IF(X22&lt;&gt;"已平仓","",SUMIFS('例-成交明细'!$F$5:$F$804,'例-成交明细'!$A$5:$A$804,A22,'例-成交明细'!$C$5:$C$804,"卖")-SUMIFS('例-成交明细'!$F$5:$F$804,'例-成交明细'!$A$5:$A$804,A22,'例-成交明细'!$C$5:$C$804,"买")-Y22)</f>
        <v/>
      </c>
      <c r="AA22" s="53" t="str">
        <f>IF(AND(X22="已平仓",ISNUMBER(N22)),(Z22+Y22)/N22,"")</f>
        <v/>
      </c>
      <c r="AB22" s="53" t="str">
        <f>IF(AND(X22="已平仓",ISNUMBER(N22)),Z22/N22,"")</f>
        <v/>
      </c>
      <c r="AC22" s="54" t="str">
        <f>IF(AND(ISNUMBER(U22),ISNUMBER(H22)),U22-H22,"")</f>
        <v/>
      </c>
      <c r="AD22" s="27" t="n"/>
      <c r="AE22" s="27" t="n"/>
      <c r="AF22" s="32" t="n"/>
      <c r="AG22" s="53" t="str">
        <f>IF(A22="","",SUM(AB$5:AB22))</f>
        <v/>
      </c>
      <c r="AH22" s="55" t="str">
        <f>IF(A22="","",MAX(0,MAX(AG$5:AG22))-AG22)</f>
        <v/>
      </c>
    </row>
    <row r="23">
      <c r="A23" s="46" t="n"/>
      <c r="B23" s="31" t="n"/>
      <c r="C23" s="32" t="n"/>
      <c r="D23" s="27" t="n"/>
      <c r="E23" s="47" t="str">
        <f>IF(D23="","",IFERROR(VLOOKUP(D23,'参数'!$B$21:$C$26,2,FALSE),""))</f>
        <v/>
      </c>
      <c r="F23" s="27" t="n"/>
      <c r="G23" s="43" t="str">
        <f>IF(NOT(ISNUMBER(B23)),"",IFERROR(IF(B23-INDEX('例-每日复盘'!$A$5:$A$264,MATCH(B23-1,'例-每日复盘'!$A$5:$A$264,1))&gt;7,"",T(INDEX('例-每日复盘'!$AA$5:$AA$264,MATCH(B23-1,'例-每日复盘'!$A$5:$A$264,1)))),""))</f>
        <v/>
      </c>
      <c r="H23" s="48" t="n"/>
      <c r="I23" s="48" t="n"/>
      <c r="J23" s="48" t="n"/>
      <c r="K23" s="49" t="str">
        <f>IF(AND(ISNUMBER(H23),ISNUMBER(I23),ISNUMBER(J23)),IF(H23&gt;I23,(J23-H23)/(H23-I23),""),"")</f>
        <v/>
      </c>
      <c r="L23" s="44" t="str">
        <f>IF(AND(ISNUMBER(H23),ISNUMBER(I23)),IF(H23&gt;I23,MIN(INT(ROUND('参数'!$C$7/(H23-I23)/100,6))*100,IF(ISNUMBER(E23),IF(H23-ROUND(ROUND(I23*(1-E23),4),2)&gt;0,INT(ROUND('参数'!$C$8/(H23-ROUND(ROUND(I23*(1-E23),4),2))/100,6))*100,0),INT(ROUND('参数'!$C$7/(H23-I23)/100,6))*100)),""),"")</f>
        <v/>
      </c>
      <c r="M23" s="17" t="n"/>
      <c r="N23" s="20" t="str">
        <f>IF(AND(ISNUMBER(H23),ISNUMBER(I23),ISNUMBER(M23)),IF(AND(H23&gt;I23,M23&gt;0),(H23-I23)*M23,""),"")</f>
        <v/>
      </c>
      <c r="O23" s="20" t="str">
        <f>IF(ISNUMBER(N23),IF(ISNUMBER(E23),(H23-ROUND(ROUND(I23*(1-E23),4),2))*M23,"不设限"),"")</f>
        <v/>
      </c>
      <c r="P23" s="32" t="n"/>
      <c r="Q23" s="27" t="n"/>
      <c r="R23" s="42" t="str">
        <f>IF(N(T23)&gt;0,SUMPRODUCT(LARGE(('例-成交明细'!$A$5:$A$804=A23)*('例-成交明细'!$C$5:$C$804="买")*'例-成交明细'!$B$5:$B$804,COUNTIFS('例-成交明细'!$A$5:$A$804,A23,'例-成交明细'!$C$5:$C$804,"买"))),"")</f>
        <v/>
      </c>
      <c r="S23" s="42" t="str">
        <f>IF(AND(N(T23)&gt;0,N(V23)&gt;=N(T23)),SUMPRODUCT(MAX(('例-成交明细'!$A$5:$A$804=A23)*('例-成交明细'!$C$5:$C$804="卖")*'例-成交明细'!$B$5:$B$804)),"")</f>
        <v/>
      </c>
      <c r="T23" s="44" t="str">
        <f>IF(A23="","",SUMIFS('例-成交明细'!$E$5:$E$804,'例-成交明细'!$A$5:$A$804,A23,'例-成交明细'!$C$5:$C$804,"买"))</f>
        <v/>
      </c>
      <c r="U23" s="50" t="str">
        <f>IF(N(T23)&gt;0,SUMIFS('例-成交明细'!$F$5:$F$804,'例-成交明细'!$A$5:$A$804,A23,'例-成交明细'!$C$5:$C$804,"买")/T23,"")</f>
        <v/>
      </c>
      <c r="V23" s="44" t="str">
        <f>IF(A23="","",SUMIFS('例-成交明细'!$E$5:$E$804,'例-成交明细'!$A$5:$A$804,A23,'例-成交明细'!$C$5:$C$804,"卖"))</f>
        <v/>
      </c>
      <c r="W23" s="50" t="str">
        <f>IF(N(V23)&gt;0,SUMIFS('例-成交明细'!$F$5:$F$804,'例-成交明细'!$A$5:$A$804,A23,'例-成交明细'!$C$5:$C$804,"卖")/V23,"")</f>
        <v/>
      </c>
      <c r="X23" s="36" t="str">
        <f>IF(A23="","",IF(Q23&lt;&gt;"已执行",IF(Q23="","未填执行情况",Q23),IF(N(T23)=0,"待录成交",IF(N(V23)&gt;N(T23),"卖出多于买入",IF(N(V23)&lt;N(T23),"持仓中","已平仓")))))</f>
        <v/>
      </c>
      <c r="Y23" s="51" t="str">
        <f>IF(N(T23)=0,"",SUMIFS('例-成交明细'!$K$5:$K$804,'例-成交明细'!$A$5:$A$804,A23))</f>
        <v/>
      </c>
      <c r="Z23" s="52" t="str">
        <f>IF(X23&lt;&gt;"已平仓","",SUMIFS('例-成交明细'!$F$5:$F$804,'例-成交明细'!$A$5:$A$804,A23,'例-成交明细'!$C$5:$C$804,"卖")-SUMIFS('例-成交明细'!$F$5:$F$804,'例-成交明细'!$A$5:$A$804,A23,'例-成交明细'!$C$5:$C$804,"买")-Y23)</f>
        <v/>
      </c>
      <c r="AA23" s="53" t="str">
        <f>IF(AND(X23="已平仓",ISNUMBER(N23)),(Z23+Y23)/N23,"")</f>
        <v/>
      </c>
      <c r="AB23" s="53" t="str">
        <f>IF(AND(X23="已平仓",ISNUMBER(N23)),Z23/N23,"")</f>
        <v/>
      </c>
      <c r="AC23" s="54" t="str">
        <f>IF(AND(ISNUMBER(U23),ISNUMBER(H23)),U23-H23,"")</f>
        <v/>
      </c>
      <c r="AD23" s="27" t="n"/>
      <c r="AE23" s="27" t="n"/>
      <c r="AF23" s="32" t="n"/>
      <c r="AG23" s="53" t="str">
        <f>IF(A23="","",SUM(AB$5:AB23))</f>
        <v/>
      </c>
      <c r="AH23" s="55" t="str">
        <f>IF(A23="","",MAX(0,MAX(AG$5:AG23))-AG23)</f>
        <v/>
      </c>
    </row>
    <row r="24">
      <c r="A24" s="46" t="n"/>
      <c r="B24" s="31" t="n"/>
      <c r="C24" s="32" t="n"/>
      <c r="D24" s="27" t="n"/>
      <c r="E24" s="47" t="str">
        <f>IF(D24="","",IFERROR(VLOOKUP(D24,'参数'!$B$21:$C$26,2,FALSE),""))</f>
        <v/>
      </c>
      <c r="F24" s="27" t="n"/>
      <c r="G24" s="43" t="str">
        <f>IF(NOT(ISNUMBER(B24)),"",IFERROR(IF(B24-INDEX('例-每日复盘'!$A$5:$A$264,MATCH(B24-1,'例-每日复盘'!$A$5:$A$264,1))&gt;7,"",T(INDEX('例-每日复盘'!$AA$5:$AA$264,MATCH(B24-1,'例-每日复盘'!$A$5:$A$264,1)))),""))</f>
        <v/>
      </c>
      <c r="H24" s="48" t="n"/>
      <c r="I24" s="48" t="n"/>
      <c r="J24" s="48" t="n"/>
      <c r="K24" s="49" t="str">
        <f>IF(AND(ISNUMBER(H24),ISNUMBER(I24),ISNUMBER(J24)),IF(H24&gt;I24,(J24-H24)/(H24-I24),""),"")</f>
        <v/>
      </c>
      <c r="L24" s="44" t="str">
        <f>IF(AND(ISNUMBER(H24),ISNUMBER(I24)),IF(H24&gt;I24,MIN(INT(ROUND('参数'!$C$7/(H24-I24)/100,6))*100,IF(ISNUMBER(E24),IF(H24-ROUND(ROUND(I24*(1-E24),4),2)&gt;0,INT(ROUND('参数'!$C$8/(H24-ROUND(ROUND(I24*(1-E24),4),2))/100,6))*100,0),INT(ROUND('参数'!$C$7/(H24-I24)/100,6))*100)),""),"")</f>
        <v/>
      </c>
      <c r="M24" s="17" t="n"/>
      <c r="N24" s="20" t="str">
        <f>IF(AND(ISNUMBER(H24),ISNUMBER(I24),ISNUMBER(M24)),IF(AND(H24&gt;I24,M24&gt;0),(H24-I24)*M24,""),"")</f>
        <v/>
      </c>
      <c r="O24" s="20" t="str">
        <f>IF(ISNUMBER(N24),IF(ISNUMBER(E24),(H24-ROUND(ROUND(I24*(1-E24),4),2))*M24,"不设限"),"")</f>
        <v/>
      </c>
      <c r="P24" s="32" t="n"/>
      <c r="Q24" s="27" t="n"/>
      <c r="R24" s="42" t="str">
        <f>IF(N(T24)&gt;0,SUMPRODUCT(LARGE(('例-成交明细'!$A$5:$A$804=A24)*('例-成交明细'!$C$5:$C$804="买")*'例-成交明细'!$B$5:$B$804,COUNTIFS('例-成交明细'!$A$5:$A$804,A24,'例-成交明细'!$C$5:$C$804,"买"))),"")</f>
        <v/>
      </c>
      <c r="S24" s="42" t="str">
        <f>IF(AND(N(T24)&gt;0,N(V24)&gt;=N(T24)),SUMPRODUCT(MAX(('例-成交明细'!$A$5:$A$804=A24)*('例-成交明细'!$C$5:$C$804="卖")*'例-成交明细'!$B$5:$B$804)),"")</f>
        <v/>
      </c>
      <c r="T24" s="44" t="str">
        <f>IF(A24="","",SUMIFS('例-成交明细'!$E$5:$E$804,'例-成交明细'!$A$5:$A$804,A24,'例-成交明细'!$C$5:$C$804,"买"))</f>
        <v/>
      </c>
      <c r="U24" s="50" t="str">
        <f>IF(N(T24)&gt;0,SUMIFS('例-成交明细'!$F$5:$F$804,'例-成交明细'!$A$5:$A$804,A24,'例-成交明细'!$C$5:$C$804,"买")/T24,"")</f>
        <v/>
      </c>
      <c r="V24" s="44" t="str">
        <f>IF(A24="","",SUMIFS('例-成交明细'!$E$5:$E$804,'例-成交明细'!$A$5:$A$804,A24,'例-成交明细'!$C$5:$C$804,"卖"))</f>
        <v/>
      </c>
      <c r="W24" s="50" t="str">
        <f>IF(N(V24)&gt;0,SUMIFS('例-成交明细'!$F$5:$F$804,'例-成交明细'!$A$5:$A$804,A24,'例-成交明细'!$C$5:$C$804,"卖")/V24,"")</f>
        <v/>
      </c>
      <c r="X24" s="36" t="str">
        <f>IF(A24="","",IF(Q24&lt;&gt;"已执行",IF(Q24="","未填执行情况",Q24),IF(N(T24)=0,"待录成交",IF(N(V24)&gt;N(T24),"卖出多于买入",IF(N(V24)&lt;N(T24),"持仓中","已平仓")))))</f>
        <v/>
      </c>
      <c r="Y24" s="51" t="str">
        <f>IF(N(T24)=0,"",SUMIFS('例-成交明细'!$K$5:$K$804,'例-成交明细'!$A$5:$A$804,A24))</f>
        <v/>
      </c>
      <c r="Z24" s="52" t="str">
        <f>IF(X24&lt;&gt;"已平仓","",SUMIFS('例-成交明细'!$F$5:$F$804,'例-成交明细'!$A$5:$A$804,A24,'例-成交明细'!$C$5:$C$804,"卖")-SUMIFS('例-成交明细'!$F$5:$F$804,'例-成交明细'!$A$5:$A$804,A24,'例-成交明细'!$C$5:$C$804,"买")-Y24)</f>
        <v/>
      </c>
      <c r="AA24" s="53" t="str">
        <f>IF(AND(X24="已平仓",ISNUMBER(N24)),(Z24+Y24)/N24,"")</f>
        <v/>
      </c>
      <c r="AB24" s="53" t="str">
        <f>IF(AND(X24="已平仓",ISNUMBER(N24)),Z24/N24,"")</f>
        <v/>
      </c>
      <c r="AC24" s="54" t="str">
        <f>IF(AND(ISNUMBER(U24),ISNUMBER(H24)),U24-H24,"")</f>
        <v/>
      </c>
      <c r="AD24" s="27" t="n"/>
      <c r="AE24" s="27" t="n"/>
      <c r="AF24" s="32" t="n"/>
      <c r="AG24" s="53" t="str">
        <f>IF(A24="","",SUM(AB$5:AB24))</f>
        <v/>
      </c>
      <c r="AH24" s="55" t="str">
        <f>IF(A24="","",MAX(0,MAX(AG$5:AG24))-AG24)</f>
        <v/>
      </c>
    </row>
  </sheetData>
  <mergeCells count="9">
    <mergeCell ref="AF1:AH1"/>
    <mergeCell ref="AG3:AH3"/>
    <mergeCell ref="Q3:X3"/>
    <mergeCell ref="Y3:AC3"/>
    <mergeCell ref="A2:AH2"/>
    <mergeCell ref="A3:G3"/>
    <mergeCell ref="A1:AE1"/>
    <mergeCell ref="AD3:AF3"/>
    <mergeCell ref="H3:P3"/>
  </mergeCells>
  <conditionalFormatting sqref="Z5:Z2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AA5:AA24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AB5:AB24">
    <cfRule type="cellIs" priority="5" operator="greaterThan" dxfId="0">
      <formula>0</formula>
    </cfRule>
    <cfRule type="cellIs" priority="6" operator="lessThan" dxfId="1">
      <formula>0</formula>
    </cfRule>
  </conditionalFormatting>
  <conditionalFormatting sqref="AG5:AG24">
    <cfRule type="cellIs" priority="7" operator="greaterThan" dxfId="0">
      <formula>0</formula>
    </cfRule>
    <cfRule type="cellIs" priority="8" operator="lessThan" dxfId="1">
      <formula>0</formula>
    </cfRule>
  </conditionalFormatting>
  <conditionalFormatting sqref="X5:X24">
    <cfRule type="cellIs" priority="9" operator="equal" dxfId="6">
      <formula>"持仓中"</formula>
    </cfRule>
    <cfRule type="expression" priority="10" dxfId="7">
      <formula>OR($X5="待录成交",$X5="卖出多于买入",$X5="未填执行情况")</formula>
    </cfRule>
  </conditionalFormatting>
  <conditionalFormatting sqref="L5:L24">
    <cfRule type="cellIs" priority="11" operator="equal" dxfId="7">
      <formula>0</formula>
    </cfRule>
  </conditionalFormatting>
  <conditionalFormatting sqref="M5:M24">
    <cfRule type="expression" priority="12" dxfId="4">
      <formula>AND(ISNUMBER($M5),ISNUMBER($L5),$M5&gt;$L5)</formula>
    </cfRule>
  </conditionalFormatting>
  <conditionalFormatting sqref="AD5:AE24">
    <cfRule type="expression" priority="13" dxfId="8">
      <formula>AND(OR($AD5="C",$AD5="D"),N($AB5)&gt;0)</formula>
    </cfRule>
  </conditionalFormatting>
  <conditionalFormatting sqref="AC5:AC24">
    <cfRule type="expression" priority="14" dxfId="4">
      <formula>AND(ISNUMBER($AC5),$AC5&gt;$H5*0.01)</formula>
    </cfRule>
  </conditionalFormatting>
  <dataValidations count="8">
    <dataValidation sqref="A5:A24" showDropDown="0" showInputMessage="1" showErrorMessage="1" allowBlank="1" errorTitle="格式不对" error="编号请用数字（1、2、3…），成交明细里填同一个数字。" promptTitle="怎么填" prompt="用数字编号，成交明细里填同一个数字。" type="whole" errorStyle="stop" operator="greaterThanOrEqual">
      <formula1>1</formula1>
    </dataValidation>
    <dataValidation sqref="B5:B2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D5:D24" showDropDown="0" showInputMessage="1" showErrorMessage="1" allowBlank="1" errorTitle="不在选项里" error="请从下拉里选；要加新选项，先去参数页的下拉选项里加。" promptTitle="怎么填" prompt="板块不同，涨跌幅限制不同，次日跌停情景按它算。" type="list" errorStyle="stop">
      <formula1>'参数'!$B$21:$B$26</formula1>
    </dataValidation>
    <dataValidation sqref="F5:F24" showDropDown="0" showInputMessage="0" showErrorMessage="1" allowBlank="1" errorTitle="不在选项里" error="请从下拉里选；要加新选项，先去参数页的下拉选项里加。" type="list" errorStyle="warning">
      <formula1>'参数'!$B$43:$B$54</formula1>
    </dataValidation>
    <dataValidation sqref="M5:M24" showDropDown="0" showInputMessage="1" showErrorMessage="1" allowBlank="1" errorTitle="格式不对" error="A股按手买，计划股数请填 100 的整数倍。" promptTitle="怎么填" prompt="按手填：100 的整数倍。可以比建议股数少，不要比它多。" type="custom" errorStyle="stop">
      <formula1>MOD(M5,100)=0</formula1>
    </dataValidation>
    <dataValidation sqref="Q5:Q24" showDropDown="0" showInputMessage="1" showErrorMessage="1" allowBlank="1" errorTitle="不在选项里" error="请从下拉里选；要加新选项，先去参数页的下拉选项里加。" promptTitle="怎么填" prompt="已执行：有成交。未成交：挂了没成交。主动放弃：按规则不做。漏单：该做没做。" type="list" errorStyle="stop">
      <formula1>'参数'!$C$43:$C$54</formula1>
    </dataValidation>
    <dataValidation sqref="AD5:AD24" showDropDown="0" showInputMessage="1" showErrorMessage="1" allowBlank="1" errorTitle="不在选项里" error="请从下拉里选；要加新选项，先去参数页的下拉选项里加。" promptTitle="怎么填" prompt="A 完全照计划；B 小偏差；C 违反一条规则；D 没有计划就下单。只看过程，不看赚亏。" type="list" errorStyle="stop">
      <formula1>'参数'!$D$43:$D$54</formula1>
    </dataValidation>
    <dataValidation sqref="AE5:AE24" showDropDown="0" showInputMessage="0" showErrorMessage="1" allowBlank="1" errorTitle="不在选项里" error="请从下拉里选；要加新选项，先去参数页的下拉选项里加。" type="list" errorStyle="warning">
      <formula1>'参数'!$E$43:$E$54</formula1>
    </dataValidation>
  </dataValidations>
  <printOptions horizontalCentered="1"/>
  <pageMargins left="0.35" right="0.35" top="0.45" bottom="0.6" header="0.2" footer="0.25"/>
  <pageSetup orientation="landscape" paperSize="9" scale="70"/>
  <headerFooter>
    <oddHeader/>
    <oddFooter>&amp;L&amp;"Microsoft YaHei"&amp;8 TradeLearn · XtradingTime 交易内训&amp;C&amp;"Microsoft YaHei"&amp;8 trade1469.com/templates/a-share-review/?src=tpl-ashare&amp;R&amp;"Microsoft YaHei"&amp;8 第 &amp;P 页，共 &amp;N 页</oddFooter>
    <evenHeader/>
    <evenFooter>&amp;L&amp;"Microsoft YaHei"&amp;8 TradeLearn · XtradingTime 交易内训&amp;C&amp;"Microsoft YaHei"&amp;8 trade1469.com/templates/a-share-review/?src=tpl-ashare&amp;R&amp;"Microsoft YaHei"&amp;8 第 &amp;P 页，共 &amp;N 页</evenFooter>
    <firstHeader/>
    <firstFooter/>
  </headerFooter>
  <colBreaks count="1" manualBreakCount="1">
    <brk id="16" min="0" max="16383" man="1"/>
  </colBreaks>
</worksheet>
</file>

<file path=xl/worksheets/sheet11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O31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0.5" customWidth="1" min="2" max="2"/>
    <col width="5" customWidth="1" min="3" max="3"/>
    <col width="7.5" customWidth="1" min="4" max="4"/>
    <col width="7.5" customWidth="1" min="5" max="5"/>
    <col width="10" customWidth="1" min="6" max="6"/>
    <col width="8" customWidth="1" min="7" max="7"/>
    <col width="8.5" customWidth="1" min="8" max="8"/>
    <col width="8.5" customWidth="1" min="9" max="9"/>
    <col width="10" customWidth="1" min="10" max="10"/>
    <col width="8" customWidth="1" min="11" max="11"/>
    <col width="10" customWidth="1" min="12" max="12"/>
    <col width="10.5" customWidth="1" min="13" max="13"/>
    <col width="10" customWidth="1" min="14" max="14"/>
    <col width="20" customWidth="1" min="15" max="15"/>
  </cols>
  <sheetData>
    <row r="1" ht="30" customHeight="1">
      <c r="A1" s="13" t="inlineStr">
        <is>
          <t>示例 · A股成交明细：每成交一笔记一行</t>
        </is>
      </c>
      <c r="M1" s="14" t="inlineStr">
        <is>
          <t>TradeLearn · XtradingTime 交易内训</t>
        </is>
      </c>
    </row>
    <row r="2" ht="20" customHeight="1">
      <c r="A2" s="63" t="inlineStr">
        <is>
          <t>虚构示例，仅演示填法：成交价格和股数全部虚构。</t>
        </is>
      </c>
    </row>
    <row r="3" ht="18" customHeight="1">
      <c r="A3" s="33" t="inlineStr">
        <is>
          <t>成交（照成交单抄）</t>
        </is>
      </c>
      <c r="B3" s="33" t="n"/>
      <c r="C3" s="33" t="n"/>
      <c r="D3" s="33" t="n"/>
      <c r="E3" s="33" t="n"/>
      <c r="F3" s="33" t="inlineStr">
        <is>
          <t>金额与费用</t>
        </is>
      </c>
      <c r="G3" s="33" t="n"/>
      <c r="H3" s="33" t="n"/>
      <c r="I3" s="33" t="n"/>
      <c r="J3" s="33" t="n"/>
      <c r="K3" s="33" t="n"/>
      <c r="L3" s="33" t="inlineStr">
        <is>
          <t>自动核对</t>
        </is>
      </c>
      <c r="M3" s="33" t="n"/>
      <c r="N3" s="33" t="n"/>
      <c r="O3" s="33" t="inlineStr">
        <is>
          <t>备注</t>
        </is>
      </c>
    </row>
    <row r="4" ht="41.8" customHeight="1">
      <c r="A4" s="25" t="inlineStr">
        <is>
          <t>交易编号</t>
        </is>
      </c>
      <c r="B4" s="25" t="inlineStr">
        <is>
          <t>成交日期</t>
        </is>
      </c>
      <c r="C4" s="25" t="inlineStr">
        <is>
          <t>方向</t>
        </is>
      </c>
      <c r="D4" s="25" t="inlineStr">
        <is>
          <t>成交价</t>
        </is>
      </c>
      <c r="E4" s="25" t="inlineStr">
        <is>
          <t>股数</t>
        </is>
      </c>
      <c r="F4" s="25" t="inlineStr">
        <is>
          <t>成交金额</t>
        </is>
      </c>
      <c r="G4" s="25" t="inlineStr">
        <is>
          <t>佣金估算</t>
        </is>
      </c>
      <c r="H4" s="25" t="inlineStr">
        <is>
          <t>印花税估算</t>
        </is>
      </c>
      <c r="I4" s="25" t="inlineStr">
        <is>
          <t>过户费估算</t>
        </is>
      </c>
      <c r="J4" s="25" t="inlineStr">
        <is>
          <t>实际费用（成交单有就填）</t>
        </is>
      </c>
      <c r="K4" s="25" t="inlineStr">
        <is>
          <t>计入费用</t>
        </is>
      </c>
      <c r="L4" s="25" t="inlineStr">
        <is>
          <t>股票</t>
        </is>
      </c>
      <c r="M4" s="25" t="inlineStr">
        <is>
          <t>最早可卖日</t>
        </is>
      </c>
      <c r="N4" s="25" t="inlineStr">
        <is>
          <t>T+1 检查</t>
        </is>
      </c>
      <c r="O4" s="25" t="inlineStr">
        <is>
          <t>备注</t>
        </is>
      </c>
    </row>
    <row r="5" ht="18" customHeight="1">
      <c r="A5" s="46" t="n">
        <v>1</v>
      </c>
      <c r="B5" s="31" t="n">
        <v>47549</v>
      </c>
      <c r="C5" s="27" t="inlineStr">
        <is>
          <t>买</t>
        </is>
      </c>
      <c r="D5" s="56" t="n">
        <v>12.48</v>
      </c>
      <c r="E5" s="17" t="n">
        <v>1400</v>
      </c>
      <c r="F5" s="20">
        <f>IF(AND(ISNUMBER(D5),ISNUMBER(E5)),D5*E5,"")</f>
        <v>17472</v>
      </c>
      <c r="G5" s="51">
        <f>IF(ISNUMBER(F5),ROUND(MAX(F5*'参数'!$C$12,'参数'!$C$13),2),"")</f>
        <v>5</v>
      </c>
      <c r="H5" s="51">
        <f>IF(ISNUMBER(F5),IF(C5="卖",ROUND(F5*'参数'!$C$14,2),0),"")</f>
        <v>0</v>
      </c>
      <c r="I5" s="51">
        <f>IF(ISNUMBER(F5),ROUND(F5*'参数'!$C$15,2),"")</f>
        <v>0.17</v>
      </c>
      <c r="J5" s="21" t="n"/>
      <c r="K5" s="20">
        <f>IF(ISNUMBER(J5),J5,IF(ISNUMBER(F5),G5+H5+I5+ROUND(F5*'参数'!$C$16,2),""))</f>
        <v>5.17</v>
      </c>
      <c r="L5" s="43" t="str">
        <f>IF(A5="","",IFERROR(T(INDEX('例-交易记录'!$C$5:$C$304,MATCH(A5,'例-交易记录'!$A$5:$A$304,0))),"编号没找到"))</f>
        <v>示例股D</v>
      </c>
      <c r="M5" s="57">
        <f>IF(AND(C5="买",ISNUMBER(B5)),WORKDAY(B5,1,'参数'!$B$58:$B$80),"")</f>
        <v>47550.0</v>
      </c>
      <c r="N5" s="36" t="str">
        <f>IF(C5&lt;&gt;"卖","",IF(AND(ISNUMBER(B5),A5&lt;&gt;""),IF(SUMIFS($E$5:$E$804,$A$5:$A$804,A5,$C$5:$C$804,"卖",$B$5:$B$804,"&lt;="&amp;B5)&gt;SUMIFS($E$5:$E$804,$A$5:$A$804,A5,$C$5:$C$804,"买",$B$5:$B$804,"&lt;"&amp;B5),"超出可卖股数","OK"),""))</f>
        <v/>
      </c>
      <c r="O5" s="32" t="inlineStr">
        <is>
          <t>低吸，计划内</t>
        </is>
      </c>
    </row>
    <row r="6" ht="18" customHeight="1">
      <c r="A6" s="46" t="n">
        <v>3</v>
      </c>
      <c r="B6" s="31" t="n">
        <v>47553</v>
      </c>
      <c r="C6" s="27" t="inlineStr">
        <is>
          <t>买</t>
        </is>
      </c>
      <c r="D6" s="56" t="n">
        <v>30.05</v>
      </c>
      <c r="E6" s="17" t="n">
        <v>300</v>
      </c>
      <c r="F6" s="20">
        <f>IF(AND(ISNUMBER(D6),ISNUMBER(E6)),D6*E6,"")</f>
        <v>9015</v>
      </c>
      <c r="G6" s="51">
        <f>IF(ISNUMBER(F6),ROUND(MAX(F6*'参数'!$C$12,'参数'!$C$13),2),"")</f>
        <v>5</v>
      </c>
      <c r="H6" s="51">
        <f>IF(ISNUMBER(F6),IF(C6="卖",ROUND(F6*'参数'!$C$14,2),0),"")</f>
        <v>0</v>
      </c>
      <c r="I6" s="51">
        <f>IF(ISNUMBER(F6),ROUND(F6*'参数'!$C$15,2),"")</f>
        <v>0.09</v>
      </c>
      <c r="J6" s="21" t="n"/>
      <c r="K6" s="20">
        <f>IF(ISNUMBER(J6),J6,IF(ISNUMBER(F6),G6+H6+I6+ROUND(F6*'参数'!$C$16,2),""))</f>
        <v>5.09</v>
      </c>
      <c r="L6" s="43" t="str">
        <f>IF(A6="","",IFERROR(T(INDEX('例-交易记录'!$C$5:$C$304,MATCH(A6,'例-交易记录'!$A$5:$A$304,0))),"编号没找到"))</f>
        <v>示例股E</v>
      </c>
      <c r="M6" s="57">
        <f>IF(AND(C6="买",ISNUMBER(B6)),WORKDAY(B6,1,'参数'!$B$58:$B$80),"")</f>
        <v>47554.0</v>
      </c>
      <c r="N6" s="36" t="str">
        <f>IF(C6&lt;&gt;"卖","",IF(AND(ISNUMBER(B6),A6&lt;&gt;""),IF(SUMIFS($E$5:$E$804,$A$5:$A$804,A6,$C$5:$C$804,"卖",$B$5:$B$804,"&lt;="&amp;B6)&gt;SUMIFS($E$5:$E$804,$A$5:$A$804,A6,$C$5:$C$804,"买",$B$5:$B$804,"&lt;"&amp;B6),"超出可卖股数","OK"),""))</f>
        <v/>
      </c>
      <c r="O6" s="32" t="inlineStr">
        <is>
          <t>放量越过前高</t>
        </is>
      </c>
    </row>
    <row r="7" ht="18" customHeight="1">
      <c r="A7" s="46" t="n">
        <v>8</v>
      </c>
      <c r="B7" s="31" t="n">
        <v>47553</v>
      </c>
      <c r="C7" s="27" t="inlineStr">
        <is>
          <t>买</t>
        </is>
      </c>
      <c r="D7" s="56" t="n">
        <v>8.02</v>
      </c>
      <c r="E7" s="17" t="n">
        <v>1000</v>
      </c>
      <c r="F7" s="20">
        <f>IF(AND(ISNUMBER(D7),ISNUMBER(E7)),D7*E7,"")</f>
        <v>8020</v>
      </c>
      <c r="G7" s="51">
        <f>IF(ISNUMBER(F7),ROUND(MAX(F7*'参数'!$C$12,'参数'!$C$13),2),"")</f>
        <v>5</v>
      </c>
      <c r="H7" s="51">
        <f>IF(ISNUMBER(F7),IF(C7="卖",ROUND(F7*'参数'!$C$14,2),0),"")</f>
        <v>0</v>
      </c>
      <c r="I7" s="51">
        <f>IF(ISNUMBER(F7),ROUND(F7*'参数'!$C$15,2),"")</f>
        <v>0.08</v>
      </c>
      <c r="J7" s="21" t="n"/>
      <c r="K7" s="20">
        <f>IF(ISNUMBER(J7),J7,IF(ISNUMBER(F7),G7+H7+I7+ROUND(F7*'参数'!$C$16,2),""))</f>
        <v>5.08</v>
      </c>
      <c r="L7" s="43" t="str">
        <f>IF(A7="","",IFERROR(T(INDEX('例-交易记录'!$C$5:$C$304,MATCH(A7,'例-交易记录'!$A$5:$A$304,0))),"编号没找到"))</f>
        <v>示例股L</v>
      </c>
      <c r="M7" s="57">
        <f>IF(AND(C7="买",ISNUMBER(B7)),WORKDAY(B7,1,'参数'!$B$58:$B$80),"")</f>
        <v>47554.0</v>
      </c>
      <c r="N7" s="36" t="str">
        <f>IF(C7&lt;&gt;"卖","",IF(AND(ISNUMBER(B7),A7&lt;&gt;""),IF(SUMIFS($E$5:$E$804,$A$5:$A$804,A7,$C$5:$C$804,"卖",$B$5:$B$804,"&lt;="&amp;B7)&gt;SUMIFS($E$5:$E$804,$A$5:$A$804,A7,$C$5:$C$804,"买",$B$5:$B$804,"&lt;"&amp;B7),"超出可卖股数","OK"),""))</f>
        <v/>
      </c>
      <c r="O7" s="32" t="inlineStr">
        <is>
          <t>第一笔</t>
        </is>
      </c>
    </row>
    <row r="8" ht="18" customHeight="1">
      <c r="A8" s="46" t="n">
        <v>1</v>
      </c>
      <c r="B8" s="31" t="n">
        <v>47554</v>
      </c>
      <c r="C8" s="27" t="inlineStr">
        <is>
          <t>卖</t>
        </is>
      </c>
      <c r="D8" s="56" t="n">
        <v>13.62</v>
      </c>
      <c r="E8" s="17" t="n">
        <v>700</v>
      </c>
      <c r="F8" s="20">
        <f>IF(AND(ISNUMBER(D8),ISNUMBER(E8)),D8*E8,"")</f>
        <v>9534</v>
      </c>
      <c r="G8" s="51">
        <f>IF(ISNUMBER(F8),ROUND(MAX(F8*'参数'!$C$12,'参数'!$C$13),2),"")</f>
        <v>5</v>
      </c>
      <c r="H8" s="51">
        <f>IF(ISNUMBER(F8),IF(C8="卖",ROUND(F8*'参数'!$C$14,2),0),"")</f>
        <v>4.77</v>
      </c>
      <c r="I8" s="51">
        <f>IF(ISNUMBER(F8),ROUND(F8*'参数'!$C$15,2),"")</f>
        <v>0.1</v>
      </c>
      <c r="J8" s="21" t="n"/>
      <c r="K8" s="20">
        <f>IF(ISNUMBER(J8),J8,IF(ISNUMBER(F8),G8+H8+I8+ROUND(F8*'参数'!$C$16,2),""))</f>
        <v>9.87</v>
      </c>
      <c r="L8" s="43" t="str">
        <f>IF(A8="","",IFERROR(T(INDEX('例-交易记录'!$C$5:$C$304,MATCH(A8,'例-交易记录'!$A$5:$A$304,0))),"编号没找到"))</f>
        <v>示例股D</v>
      </c>
      <c r="M8" s="57" t="str">
        <f>IF(AND(C8="买",ISNUMBER(B8)),WORKDAY(B8,1,'参数'!$B$58:$B$80),"")</f>
        <v/>
      </c>
      <c r="N8" s="36" t="str">
        <f>IF(C8&lt;&gt;"卖","",IF(AND(ISNUMBER(B8),A8&lt;&gt;""),IF(SUMIFS($E$5:$E$804,$A$5:$A$804,A8,$C$5:$C$804,"卖",$B$5:$B$804,"&lt;="&amp;B8)&gt;SUMIFS($E$5:$E$804,$A$5:$A$804,A8,$C$5:$C$804,"买",$B$5:$B$804,"&lt;"&amp;B8),"超出可卖股数","OK"),""))</f>
        <v>OK</v>
      </c>
      <c r="O8" s="32" t="inlineStr">
        <is>
          <t>到目标，先卖一半</t>
        </is>
      </c>
    </row>
    <row r="9" ht="18" customHeight="1">
      <c r="A9" s="46" t="n">
        <v>4</v>
      </c>
      <c r="B9" s="31" t="n">
        <v>47554</v>
      </c>
      <c r="C9" s="27" t="inlineStr">
        <is>
          <t>买</t>
        </is>
      </c>
      <c r="D9" s="56" t="n">
        <v>15.42</v>
      </c>
      <c r="E9" s="17" t="n">
        <v>1200</v>
      </c>
      <c r="F9" s="20">
        <f>IF(AND(ISNUMBER(D9),ISNUMBER(E9)),D9*E9,"")</f>
        <v>18504</v>
      </c>
      <c r="G9" s="51">
        <f>IF(ISNUMBER(F9),ROUND(MAX(F9*'参数'!$C$12,'参数'!$C$13),2),"")</f>
        <v>5</v>
      </c>
      <c r="H9" s="51">
        <f>IF(ISNUMBER(F9),IF(C9="卖",ROUND(F9*'参数'!$C$14,2),0),"")</f>
        <v>0</v>
      </c>
      <c r="I9" s="51">
        <f>IF(ISNUMBER(F9),ROUND(F9*'参数'!$C$15,2),"")</f>
        <v>0.19</v>
      </c>
      <c r="J9" s="21" t="n"/>
      <c r="K9" s="20">
        <f>IF(ISNUMBER(J9),J9,IF(ISNUMBER(F9),G9+H9+I9+ROUND(F9*'参数'!$C$16,2),""))</f>
        <v>5.19</v>
      </c>
      <c r="L9" s="43" t="str">
        <f>IF(A9="","",IFERROR(T(INDEX('例-交易记录'!$C$5:$C$304,MATCH(A9,'例-交易记录'!$A$5:$A$304,0))),"编号没找到"))</f>
        <v>示例股F</v>
      </c>
      <c r="M9" s="57">
        <f>IF(AND(C9="买",ISNUMBER(B9)),WORKDAY(B9,1,'参数'!$B$58:$B$80),"")</f>
        <v>47555.0</v>
      </c>
      <c r="N9" s="36" t="str">
        <f>IF(C9&lt;&gt;"卖","",IF(AND(ISNUMBER(B9),A9&lt;&gt;""),IF(SUMIFS($E$5:$E$804,$A$5:$A$804,A9,$C$5:$C$804,"卖",$B$5:$B$804,"&lt;="&amp;B9)&gt;SUMIFS($E$5:$E$804,$A$5:$A$804,A9,$C$5:$C$804,"买",$B$5:$B$804,"&lt;"&amp;B9),"超出可卖股数","OK"),""))</f>
        <v/>
      </c>
      <c r="O9" s="32" t="inlineStr">
        <is>
          <t>超过追价上限</t>
        </is>
      </c>
    </row>
    <row r="10" ht="18" customHeight="1">
      <c r="A10" s="46" t="n">
        <v>7</v>
      </c>
      <c r="B10" s="31" t="n">
        <v>47554</v>
      </c>
      <c r="C10" s="27" t="inlineStr">
        <is>
          <t>买</t>
        </is>
      </c>
      <c r="D10" s="56" t="n">
        <v>11</v>
      </c>
      <c r="E10" s="17" t="n">
        <v>1500</v>
      </c>
      <c r="F10" s="20">
        <f>IF(AND(ISNUMBER(D10),ISNUMBER(E10)),D10*E10,"")</f>
        <v>16500</v>
      </c>
      <c r="G10" s="51">
        <f>IF(ISNUMBER(F10),ROUND(MAX(F10*'参数'!$C$12,'参数'!$C$13),2),"")</f>
        <v>5</v>
      </c>
      <c r="H10" s="51">
        <f>IF(ISNUMBER(F10),IF(C10="卖",ROUND(F10*'参数'!$C$14,2),0),"")</f>
        <v>0</v>
      </c>
      <c r="I10" s="51">
        <f>IF(ISNUMBER(F10),ROUND(F10*'参数'!$C$15,2),"")</f>
        <v>0.17</v>
      </c>
      <c r="J10" s="21" t="n"/>
      <c r="K10" s="20">
        <f>IF(ISNUMBER(J10),J10,IF(ISNUMBER(F10),G10+H10+I10+ROUND(F10*'参数'!$C$16,2),""))</f>
        <v>5.17</v>
      </c>
      <c r="L10" s="43" t="str">
        <f>IF(A10="","",IFERROR(T(INDEX('例-交易记录'!$C$5:$C$304,MATCH(A10,'例-交易记录'!$A$5:$A$304,0))),"编号没找到"))</f>
        <v>示例股J</v>
      </c>
      <c r="M10" s="57">
        <f>IF(AND(C10="买",ISNUMBER(B10)),WORKDAY(B10,1,'参数'!$B$58:$B$80),"")</f>
        <v>47555.0</v>
      </c>
      <c r="N10" s="36" t="str">
        <f>IF(C10&lt;&gt;"卖","",IF(AND(ISNUMBER(B10),A10&lt;&gt;""),IF(SUMIFS($E$5:$E$804,$A$5:$A$804,A10,$C$5:$C$804,"卖",$B$5:$B$804,"&lt;="&amp;B10)&gt;SUMIFS($E$5:$E$804,$A$5:$A$804,A10,$C$5:$C$804,"买",$B$5:$B$804,"&lt;"&amp;B10),"超出可卖股数","OK"),""))</f>
        <v/>
      </c>
      <c r="O10" s="32" t="inlineStr">
        <is>
          <t>打板排到了</t>
        </is>
      </c>
    </row>
    <row r="11" ht="32" customHeight="1">
      <c r="A11" s="46" t="n">
        <v>8</v>
      </c>
      <c r="B11" s="31" t="n">
        <v>47554</v>
      </c>
      <c r="C11" s="27" t="inlineStr">
        <is>
          <t>买</t>
        </is>
      </c>
      <c r="D11" s="56" t="n">
        <v>7.96</v>
      </c>
      <c r="E11" s="17" t="n">
        <v>1000</v>
      </c>
      <c r="F11" s="20">
        <f>IF(AND(ISNUMBER(D11),ISNUMBER(E11)),D11*E11,"")</f>
        <v>7960</v>
      </c>
      <c r="G11" s="51">
        <f>IF(ISNUMBER(F11),ROUND(MAX(F11*'参数'!$C$12,'参数'!$C$13),2),"")</f>
        <v>5</v>
      </c>
      <c r="H11" s="51">
        <f>IF(ISNUMBER(F11),IF(C11="卖",ROUND(F11*'参数'!$C$14,2),0),"")</f>
        <v>0</v>
      </c>
      <c r="I11" s="51">
        <f>IF(ISNUMBER(F11),ROUND(F11*'参数'!$C$15,2),"")</f>
        <v>0.08</v>
      </c>
      <c r="J11" s="21" t="n"/>
      <c r="K11" s="20">
        <f>IF(ISNUMBER(J11),J11,IF(ISNUMBER(F11),G11+H11+I11+ROUND(F11*'参数'!$C$16,2),""))</f>
        <v>5.08</v>
      </c>
      <c r="L11" s="43" t="str">
        <f>IF(A11="","",IFERROR(T(INDEX('例-交易记录'!$C$5:$C$304,MATCH(A11,'例-交易记录'!$A$5:$A$304,0))),"编号没找到"))</f>
        <v>示例股L</v>
      </c>
      <c r="M11" s="57">
        <f>IF(AND(C11="买",ISNUMBER(B11)),WORKDAY(B11,1,'参数'!$B$58:$B$80),"")</f>
        <v>47555.0</v>
      </c>
      <c r="N11" s="36" t="str">
        <f>IF(C11&lt;&gt;"卖","",IF(AND(ISNUMBER(B11),A11&lt;&gt;""),IF(SUMIFS($E$5:$E$804,$A$5:$A$804,A11,$C$5:$C$804,"卖",$B$5:$B$804,"&lt;="&amp;B11)&gt;SUMIFS($E$5:$E$804,$A$5:$A$804,A11,$C$5:$C$804,"买",$B$5:$B$804,"&lt;"&amp;B11),"超出可卖股数","OK"),""))</f>
        <v/>
      </c>
      <c r="O11" s="32" t="inlineStr">
        <is>
          <t>第二笔，回踩没破 20 日均线</t>
        </is>
      </c>
    </row>
    <row r="12" ht="18" customHeight="1">
      <c r="A12" s="46" t="n">
        <v>3</v>
      </c>
      <c r="B12" s="31" t="n">
        <v>47554</v>
      </c>
      <c r="C12" s="27" t="inlineStr">
        <is>
          <t>卖</t>
        </is>
      </c>
      <c r="D12" s="56" t="n">
        <v>28.7</v>
      </c>
      <c r="E12" s="17" t="n">
        <v>300</v>
      </c>
      <c r="F12" s="20">
        <f>IF(AND(ISNUMBER(D12),ISNUMBER(E12)),D12*E12,"")</f>
        <v>8610</v>
      </c>
      <c r="G12" s="51">
        <f>IF(ISNUMBER(F12),ROUND(MAX(F12*'参数'!$C$12,'参数'!$C$13),2),"")</f>
        <v>5</v>
      </c>
      <c r="H12" s="51">
        <f>IF(ISNUMBER(F12),IF(C12="卖",ROUND(F12*'参数'!$C$14,2),0),"")</f>
        <v>4.31</v>
      </c>
      <c r="I12" s="51">
        <f>IF(ISNUMBER(F12),ROUND(F12*'参数'!$C$15,2),"")</f>
        <v>0.09</v>
      </c>
      <c r="J12" s="21" t="n"/>
      <c r="K12" s="20">
        <f>IF(ISNUMBER(J12),J12,IF(ISNUMBER(F12),G12+H12+I12+ROUND(F12*'参数'!$C$16,2),""))</f>
        <v>9.4</v>
      </c>
      <c r="L12" s="43" t="str">
        <f>IF(A12="","",IFERROR(T(INDEX('例-交易记录'!$C$5:$C$304,MATCH(A12,'例-交易记录'!$A$5:$A$304,0))),"编号没找到"))</f>
        <v>示例股E</v>
      </c>
      <c r="M12" s="57" t="str">
        <f>IF(AND(C12="买",ISNUMBER(B12)),WORKDAY(B12,1,'参数'!$B$58:$B$80),"")</f>
        <v/>
      </c>
      <c r="N12" s="36" t="str">
        <f>IF(C12&lt;&gt;"卖","",IF(AND(ISNUMBER(B12),A12&lt;&gt;""),IF(SUMIFS($E$5:$E$804,$A$5:$A$804,A12,$C$5:$C$804,"卖",$B$5:$B$804,"&lt;="&amp;B12)&gt;SUMIFS($E$5:$E$804,$A$5:$A$804,A12,$C$5:$C$804,"买",$B$5:$B$804,"&lt;"&amp;B12),"超出可卖股数","OK"),""))</f>
        <v>OK</v>
      </c>
      <c r="O12" s="32" t="inlineStr">
        <is>
          <t>开盘跌破止损</t>
        </is>
      </c>
    </row>
    <row r="13" ht="18" customHeight="1">
      <c r="A13" s="46" t="n">
        <v>1</v>
      </c>
      <c r="B13" s="31" t="n">
        <v>47555</v>
      </c>
      <c r="C13" s="27" t="inlineStr">
        <is>
          <t>卖</t>
        </is>
      </c>
      <c r="D13" s="56" t="n">
        <v>13.2</v>
      </c>
      <c r="E13" s="17" t="n">
        <v>700</v>
      </c>
      <c r="F13" s="20">
        <f>IF(AND(ISNUMBER(D13),ISNUMBER(E13)),D13*E13,"")</f>
        <v>9240</v>
      </c>
      <c r="G13" s="51">
        <f>IF(ISNUMBER(F13),ROUND(MAX(F13*'参数'!$C$12,'参数'!$C$13),2),"")</f>
        <v>5</v>
      </c>
      <c r="H13" s="51">
        <f>IF(ISNUMBER(F13),IF(C13="卖",ROUND(F13*'参数'!$C$14,2),0),"")</f>
        <v>4.62</v>
      </c>
      <c r="I13" s="51">
        <f>IF(ISNUMBER(F13),ROUND(F13*'参数'!$C$15,2),"")</f>
        <v>0.09</v>
      </c>
      <c r="J13" s="21" t="n"/>
      <c r="K13" s="20">
        <f>IF(ISNUMBER(J13),J13,IF(ISNUMBER(F13),G13+H13+I13+ROUND(F13*'参数'!$C$16,2),""))</f>
        <v>9.71</v>
      </c>
      <c r="L13" s="43" t="str">
        <f>IF(A13="","",IFERROR(T(INDEX('例-交易记录'!$C$5:$C$304,MATCH(A13,'例-交易记录'!$A$5:$A$304,0))),"编号没找到"))</f>
        <v>示例股D</v>
      </c>
      <c r="M13" s="57" t="str">
        <f>IF(AND(C13="买",ISNUMBER(B13)),WORKDAY(B13,1,'参数'!$B$58:$B$80),"")</f>
        <v/>
      </c>
      <c r="N13" s="36" t="str">
        <f>IF(C13&lt;&gt;"卖","",IF(AND(ISNUMBER(B13),A13&lt;&gt;""),IF(SUMIFS($E$5:$E$804,$A$5:$A$804,A13,$C$5:$C$804,"卖",$B$5:$B$804,"&lt;="&amp;B13)&gt;SUMIFS($E$5:$E$804,$A$5:$A$804,A13,$C$5:$C$804,"买",$B$5:$B$804,"&lt;"&amp;B13),"超出可卖股数","OK"),""))</f>
        <v>OK</v>
      </c>
      <c r="O13" s="32" t="inlineStr">
        <is>
          <t>分歧日卖剩下一半</t>
        </is>
      </c>
    </row>
    <row r="14" ht="32" customHeight="1">
      <c r="A14" s="46" t="n">
        <v>4</v>
      </c>
      <c r="B14" s="31" t="n">
        <v>47555</v>
      </c>
      <c r="C14" s="27" t="inlineStr">
        <is>
          <t>卖</t>
        </is>
      </c>
      <c r="D14" s="56" t="n">
        <v>16.1</v>
      </c>
      <c r="E14" s="17" t="n">
        <v>1200</v>
      </c>
      <c r="F14" s="20">
        <f>IF(AND(ISNUMBER(D14),ISNUMBER(E14)),D14*E14,"")</f>
        <v>19320</v>
      </c>
      <c r="G14" s="51">
        <f>IF(ISNUMBER(F14),ROUND(MAX(F14*'参数'!$C$12,'参数'!$C$13),2),"")</f>
        <v>5</v>
      </c>
      <c r="H14" s="51">
        <f>IF(ISNUMBER(F14),IF(C14="卖",ROUND(F14*'参数'!$C$14,2),0),"")</f>
        <v>9.66</v>
      </c>
      <c r="I14" s="51">
        <f>IF(ISNUMBER(F14),ROUND(F14*'参数'!$C$15,2),"")</f>
        <v>0.19</v>
      </c>
      <c r="J14" s="21" t="n">
        <v>14.86</v>
      </c>
      <c r="K14" s="20">
        <f>IF(ISNUMBER(J14),J14,IF(ISNUMBER(F14),G14+H14+I14+ROUND(F14*'参数'!$C$16,2),""))</f>
        <v>14.86</v>
      </c>
      <c r="L14" s="43" t="str">
        <f>IF(A14="","",IFERROR(T(INDEX('例-交易记录'!$C$5:$C$304,MATCH(A14,'例-交易记录'!$A$5:$A$304,0))),"编号没找到"))</f>
        <v>示例股F</v>
      </c>
      <c r="M14" s="57" t="str">
        <f>IF(AND(C14="买",ISNUMBER(B14)),WORKDAY(B14,1,'参数'!$B$58:$B$80),"")</f>
        <v/>
      </c>
      <c r="N14" s="36" t="str">
        <f>IF(C14&lt;&gt;"卖","",IF(AND(ISNUMBER(B14),A14&lt;&gt;""),IF(SUMIFS($E$5:$E$804,$A$5:$A$804,A14,$C$5:$C$804,"卖",$B$5:$B$804,"&lt;="&amp;B14)&gt;SUMIFS($E$5:$E$804,$A$5:$A$804,A14,$C$5:$C$804,"买",$B$5:$B$804,"&lt;"&amp;B14),"超出可卖股数","OK"),""))</f>
        <v>OK</v>
      </c>
      <c r="O14" s="32" t="inlineStr">
        <is>
          <t>开盘冲高卖出；费用按成交单实际数填</t>
        </is>
      </c>
    </row>
    <row r="15" ht="18" customHeight="1">
      <c r="A15" s="46" t="n">
        <v>7</v>
      </c>
      <c r="B15" s="31" t="n">
        <v>47557</v>
      </c>
      <c r="C15" s="27" t="inlineStr">
        <is>
          <t>卖</t>
        </is>
      </c>
      <c r="D15" s="56" t="n">
        <v>9.300000000000001</v>
      </c>
      <c r="E15" s="17" t="n">
        <v>1500</v>
      </c>
      <c r="F15" s="20">
        <f>IF(AND(ISNUMBER(D15),ISNUMBER(E15)),D15*E15,"")</f>
        <v>13950</v>
      </c>
      <c r="G15" s="51">
        <f>IF(ISNUMBER(F15),ROUND(MAX(F15*'参数'!$C$12,'参数'!$C$13),2),"")</f>
        <v>5</v>
      </c>
      <c r="H15" s="51">
        <f>IF(ISNUMBER(F15),IF(C15="卖",ROUND(F15*'参数'!$C$14,2),0),"")</f>
        <v>6.98</v>
      </c>
      <c r="I15" s="51">
        <f>IF(ISNUMBER(F15),ROUND(F15*'参数'!$C$15,2),"")</f>
        <v>0.14</v>
      </c>
      <c r="J15" s="21" t="n"/>
      <c r="K15" s="20">
        <f>IF(ISNUMBER(J15),J15,IF(ISNUMBER(F15),G15+H15+I15+ROUND(F15*'参数'!$C$16,2),""))</f>
        <v>12.12</v>
      </c>
      <c r="L15" s="43" t="str">
        <f>IF(A15="","",IFERROR(T(INDEX('例-交易记录'!$C$5:$C$304,MATCH(A15,'例-交易记录'!$A$5:$A$304,0))),"编号没找到"))</f>
        <v>示例股J</v>
      </c>
      <c r="M15" s="57" t="str">
        <f>IF(AND(C15="买",ISNUMBER(B15)),WORKDAY(B15,1,'参数'!$B$58:$B$80),"")</f>
        <v/>
      </c>
      <c r="N15" s="36" t="str">
        <f>IF(C15&lt;&gt;"卖","",IF(AND(ISNUMBER(B15),A15&lt;&gt;""),IF(SUMIFS($E$5:$E$804,$A$5:$A$804,A15,$C$5:$C$804,"卖",$B$5:$B$804,"&lt;="&amp;B15)&gt;SUMIFS($E$5:$E$804,$A$5:$A$804,A15,$C$5:$C$804,"买",$B$5:$B$804,"&lt;"&amp;B15),"超出可卖股数","OK"),""))</f>
        <v>OK</v>
      </c>
      <c r="O15" s="32" t="inlineStr">
        <is>
          <t>14 日一字跌停没卖出</t>
        </is>
      </c>
    </row>
    <row r="16" ht="18" customHeight="1">
      <c r="A16" s="46" t="n">
        <v>8</v>
      </c>
      <c r="B16" s="31" t="n">
        <v>47557</v>
      </c>
      <c r="C16" s="27" t="inlineStr">
        <is>
          <t>卖</t>
        </is>
      </c>
      <c r="D16" s="56" t="n">
        <v>8.449999999999999</v>
      </c>
      <c r="E16" s="17" t="n">
        <v>1000</v>
      </c>
      <c r="F16" s="20">
        <f>IF(AND(ISNUMBER(D16),ISNUMBER(E16)),D16*E16,"")</f>
        <v>8450</v>
      </c>
      <c r="G16" s="51">
        <f>IF(ISNUMBER(F16),ROUND(MAX(F16*'参数'!$C$12,'参数'!$C$13),2),"")</f>
        <v>5</v>
      </c>
      <c r="H16" s="51">
        <f>IF(ISNUMBER(F16),IF(C16="卖",ROUND(F16*'参数'!$C$14,2),0),"")</f>
        <v>4.23</v>
      </c>
      <c r="I16" s="51">
        <f>IF(ISNUMBER(F16),ROUND(F16*'参数'!$C$15,2),"")</f>
        <v>0.08</v>
      </c>
      <c r="J16" s="21" t="n"/>
      <c r="K16" s="20">
        <f>IF(ISNUMBER(J16),J16,IF(ISNUMBER(F16),G16+H16+I16+ROUND(F16*'参数'!$C$16,2),""))</f>
        <v>9.31</v>
      </c>
      <c r="L16" s="43" t="str">
        <f>IF(A16="","",IFERROR(T(INDEX('例-交易记录'!$C$5:$C$304,MATCH(A16,'例-交易记录'!$A$5:$A$304,0))),"编号没找到"))</f>
        <v>示例股L</v>
      </c>
      <c r="M16" s="57" t="str">
        <f>IF(AND(C16="买",ISNUMBER(B16)),WORKDAY(B16,1,'参数'!$B$58:$B$80),"")</f>
        <v/>
      </c>
      <c r="N16" s="36" t="str">
        <f>IF(C16&lt;&gt;"卖","",IF(AND(ISNUMBER(B16),A16&lt;&gt;""),IF(SUMIFS($E$5:$E$804,$A$5:$A$804,A16,$C$5:$C$804,"卖",$B$5:$B$804,"&lt;="&amp;B16)&gt;SUMIFS($E$5:$E$804,$A$5:$A$804,A16,$C$5:$C$804,"买",$B$5:$B$804,"&lt;"&amp;B16),"超出可卖股数","OK"),""))</f>
        <v>OK</v>
      </c>
      <c r="O16" s="32" t="inlineStr">
        <is>
          <t>先卖一半</t>
        </is>
      </c>
    </row>
    <row r="17">
      <c r="A17" s="46" t="n"/>
      <c r="B17" s="31" t="n"/>
      <c r="C17" s="27" t="n"/>
      <c r="D17" s="56" t="n"/>
      <c r="E17" s="17" t="n"/>
      <c r="F17" s="20" t="str">
        <f>IF(AND(ISNUMBER(D17),ISNUMBER(E17)),D17*E17,"")</f>
        <v/>
      </c>
      <c r="G17" s="51" t="str">
        <f>IF(ISNUMBER(F17),ROUND(MAX(F17*'参数'!$C$12,'参数'!$C$13),2),"")</f>
        <v/>
      </c>
      <c r="H17" s="51" t="str">
        <f>IF(ISNUMBER(F17),IF(C17="卖",ROUND(F17*'参数'!$C$14,2),0),"")</f>
        <v/>
      </c>
      <c r="I17" s="51" t="str">
        <f>IF(ISNUMBER(F17),ROUND(F17*'参数'!$C$15,2),"")</f>
        <v/>
      </c>
      <c r="J17" s="21" t="n"/>
      <c r="K17" s="20" t="str">
        <f>IF(ISNUMBER(J17),J17,IF(ISNUMBER(F17),G17+H17+I17+ROUND(F17*'参数'!$C$16,2),""))</f>
        <v/>
      </c>
      <c r="L17" s="43" t="str">
        <f>IF(A17="","",IFERROR(T(INDEX('例-交易记录'!$C$5:$C$304,MATCH(A17,'例-交易记录'!$A$5:$A$304,0))),"编号没找到"))</f>
        <v/>
      </c>
      <c r="M17" s="57" t="str">
        <f>IF(AND(C17="买",ISNUMBER(B17)),WORKDAY(B17,1,'参数'!$B$58:$B$80),"")</f>
        <v/>
      </c>
      <c r="N17" s="36" t="str">
        <f>IF(C17&lt;&gt;"卖","",IF(AND(ISNUMBER(B17),A17&lt;&gt;""),IF(SUMIFS($E$5:$E$804,$A$5:$A$804,A17,$C$5:$C$804,"卖",$B$5:$B$804,"&lt;="&amp;B17)&gt;SUMIFS($E$5:$E$804,$A$5:$A$804,A17,$C$5:$C$804,"买",$B$5:$B$804,"&lt;"&amp;B17),"超出可卖股数","OK"),""))</f>
        <v/>
      </c>
      <c r="O17" s="32" t="n"/>
    </row>
    <row r="18">
      <c r="A18" s="46" t="n"/>
      <c r="B18" s="31" t="n"/>
      <c r="C18" s="27" t="n"/>
      <c r="D18" s="56" t="n"/>
      <c r="E18" s="17" t="n"/>
      <c r="F18" s="20" t="str">
        <f>IF(AND(ISNUMBER(D18),ISNUMBER(E18)),D18*E18,"")</f>
        <v/>
      </c>
      <c r="G18" s="51" t="str">
        <f>IF(ISNUMBER(F18),ROUND(MAX(F18*'参数'!$C$12,'参数'!$C$13),2),"")</f>
        <v/>
      </c>
      <c r="H18" s="51" t="str">
        <f>IF(ISNUMBER(F18),IF(C18="卖",ROUND(F18*'参数'!$C$14,2),0),"")</f>
        <v/>
      </c>
      <c r="I18" s="51" t="str">
        <f>IF(ISNUMBER(F18),ROUND(F18*'参数'!$C$15,2),"")</f>
        <v/>
      </c>
      <c r="J18" s="21" t="n"/>
      <c r="K18" s="20" t="str">
        <f>IF(ISNUMBER(J18),J18,IF(ISNUMBER(F18),G18+H18+I18+ROUND(F18*'参数'!$C$16,2),""))</f>
        <v/>
      </c>
      <c r="L18" s="43" t="str">
        <f>IF(A18="","",IFERROR(T(INDEX('例-交易记录'!$C$5:$C$304,MATCH(A18,'例-交易记录'!$A$5:$A$304,0))),"编号没找到"))</f>
        <v/>
      </c>
      <c r="M18" s="57" t="str">
        <f>IF(AND(C18="买",ISNUMBER(B18)),WORKDAY(B18,1,'参数'!$B$58:$B$80),"")</f>
        <v/>
      </c>
      <c r="N18" s="36" t="str">
        <f>IF(C18&lt;&gt;"卖","",IF(AND(ISNUMBER(B18),A18&lt;&gt;""),IF(SUMIFS($E$5:$E$804,$A$5:$A$804,A18,$C$5:$C$804,"卖",$B$5:$B$804,"&lt;="&amp;B18)&gt;SUMIFS($E$5:$E$804,$A$5:$A$804,A18,$C$5:$C$804,"买",$B$5:$B$804,"&lt;"&amp;B18),"超出可卖股数","OK"),""))</f>
        <v/>
      </c>
      <c r="O18" s="32" t="n"/>
    </row>
    <row r="19">
      <c r="A19" s="46" t="n"/>
      <c r="B19" s="31" t="n"/>
      <c r="C19" s="27" t="n"/>
      <c r="D19" s="56" t="n"/>
      <c r="E19" s="17" t="n"/>
      <c r="F19" s="20" t="str">
        <f>IF(AND(ISNUMBER(D19),ISNUMBER(E19)),D19*E19,"")</f>
        <v/>
      </c>
      <c r="G19" s="51" t="str">
        <f>IF(ISNUMBER(F19),ROUND(MAX(F19*'参数'!$C$12,'参数'!$C$13),2),"")</f>
        <v/>
      </c>
      <c r="H19" s="51" t="str">
        <f>IF(ISNUMBER(F19),IF(C19="卖",ROUND(F19*'参数'!$C$14,2),0),"")</f>
        <v/>
      </c>
      <c r="I19" s="51" t="str">
        <f>IF(ISNUMBER(F19),ROUND(F19*'参数'!$C$15,2),"")</f>
        <v/>
      </c>
      <c r="J19" s="21" t="n"/>
      <c r="K19" s="20" t="str">
        <f>IF(ISNUMBER(J19),J19,IF(ISNUMBER(F19),G19+H19+I19+ROUND(F19*'参数'!$C$16,2),""))</f>
        <v/>
      </c>
      <c r="L19" s="43" t="str">
        <f>IF(A19="","",IFERROR(T(INDEX('例-交易记录'!$C$5:$C$304,MATCH(A19,'例-交易记录'!$A$5:$A$304,0))),"编号没找到"))</f>
        <v/>
      </c>
      <c r="M19" s="57" t="str">
        <f>IF(AND(C19="买",ISNUMBER(B19)),WORKDAY(B19,1,'参数'!$B$58:$B$80),"")</f>
        <v/>
      </c>
      <c r="N19" s="36" t="str">
        <f>IF(C19&lt;&gt;"卖","",IF(AND(ISNUMBER(B19),A19&lt;&gt;""),IF(SUMIFS($E$5:$E$804,$A$5:$A$804,A19,$C$5:$C$804,"卖",$B$5:$B$804,"&lt;="&amp;B19)&gt;SUMIFS($E$5:$E$804,$A$5:$A$804,A19,$C$5:$C$804,"买",$B$5:$B$804,"&lt;"&amp;B19),"超出可卖股数","OK"),""))</f>
        <v/>
      </c>
      <c r="O19" s="32" t="n"/>
    </row>
    <row r="20">
      <c r="A20" s="46" t="n"/>
      <c r="B20" s="31" t="n"/>
      <c r="C20" s="27" t="n"/>
      <c r="D20" s="56" t="n"/>
      <c r="E20" s="17" t="n"/>
      <c r="F20" s="20" t="str">
        <f>IF(AND(ISNUMBER(D20),ISNUMBER(E20)),D20*E20,"")</f>
        <v/>
      </c>
      <c r="G20" s="51" t="str">
        <f>IF(ISNUMBER(F20),ROUND(MAX(F20*'参数'!$C$12,'参数'!$C$13),2),"")</f>
        <v/>
      </c>
      <c r="H20" s="51" t="str">
        <f>IF(ISNUMBER(F20),IF(C20="卖",ROUND(F20*'参数'!$C$14,2),0),"")</f>
        <v/>
      </c>
      <c r="I20" s="51" t="str">
        <f>IF(ISNUMBER(F20),ROUND(F20*'参数'!$C$15,2),"")</f>
        <v/>
      </c>
      <c r="J20" s="21" t="n"/>
      <c r="K20" s="20" t="str">
        <f>IF(ISNUMBER(J20),J20,IF(ISNUMBER(F20),G20+H20+I20+ROUND(F20*'参数'!$C$16,2),""))</f>
        <v/>
      </c>
      <c r="L20" s="43" t="str">
        <f>IF(A20="","",IFERROR(T(INDEX('例-交易记录'!$C$5:$C$304,MATCH(A20,'例-交易记录'!$A$5:$A$304,0))),"编号没找到"))</f>
        <v/>
      </c>
      <c r="M20" s="57" t="str">
        <f>IF(AND(C20="买",ISNUMBER(B20)),WORKDAY(B20,1,'参数'!$B$58:$B$80),"")</f>
        <v/>
      </c>
      <c r="N20" s="36" t="str">
        <f>IF(C20&lt;&gt;"卖","",IF(AND(ISNUMBER(B20),A20&lt;&gt;""),IF(SUMIFS($E$5:$E$804,$A$5:$A$804,A20,$C$5:$C$804,"卖",$B$5:$B$804,"&lt;="&amp;B20)&gt;SUMIFS($E$5:$E$804,$A$5:$A$804,A20,$C$5:$C$804,"买",$B$5:$B$804,"&lt;"&amp;B20),"超出可卖股数","OK"),""))</f>
        <v/>
      </c>
      <c r="O20" s="32" t="n"/>
    </row>
    <row r="21">
      <c r="A21" s="46" t="n"/>
      <c r="B21" s="31" t="n"/>
      <c r="C21" s="27" t="n"/>
      <c r="D21" s="56" t="n"/>
      <c r="E21" s="17" t="n"/>
      <c r="F21" s="20" t="str">
        <f>IF(AND(ISNUMBER(D21),ISNUMBER(E21)),D21*E21,"")</f>
        <v/>
      </c>
      <c r="G21" s="51" t="str">
        <f>IF(ISNUMBER(F21),ROUND(MAX(F21*'参数'!$C$12,'参数'!$C$13),2),"")</f>
        <v/>
      </c>
      <c r="H21" s="51" t="str">
        <f>IF(ISNUMBER(F21),IF(C21="卖",ROUND(F21*'参数'!$C$14,2),0),"")</f>
        <v/>
      </c>
      <c r="I21" s="51" t="str">
        <f>IF(ISNUMBER(F21),ROUND(F21*'参数'!$C$15,2),"")</f>
        <v/>
      </c>
      <c r="J21" s="21" t="n"/>
      <c r="K21" s="20" t="str">
        <f>IF(ISNUMBER(J21),J21,IF(ISNUMBER(F21),G21+H21+I21+ROUND(F21*'参数'!$C$16,2),""))</f>
        <v/>
      </c>
      <c r="L21" s="43" t="str">
        <f>IF(A21="","",IFERROR(T(INDEX('例-交易记录'!$C$5:$C$304,MATCH(A21,'例-交易记录'!$A$5:$A$304,0))),"编号没找到"))</f>
        <v/>
      </c>
      <c r="M21" s="57" t="str">
        <f>IF(AND(C21="买",ISNUMBER(B21)),WORKDAY(B21,1,'参数'!$B$58:$B$80),"")</f>
        <v/>
      </c>
      <c r="N21" s="36" t="str">
        <f>IF(C21&lt;&gt;"卖","",IF(AND(ISNUMBER(B21),A21&lt;&gt;""),IF(SUMIFS($E$5:$E$804,$A$5:$A$804,A21,$C$5:$C$804,"卖",$B$5:$B$804,"&lt;="&amp;B21)&gt;SUMIFS($E$5:$E$804,$A$5:$A$804,A21,$C$5:$C$804,"买",$B$5:$B$804,"&lt;"&amp;B21),"超出可卖股数","OK"),""))</f>
        <v/>
      </c>
      <c r="O21" s="32" t="n"/>
    </row>
    <row r="22">
      <c r="A22" s="46" t="n"/>
      <c r="B22" s="31" t="n"/>
      <c r="C22" s="27" t="n"/>
      <c r="D22" s="56" t="n"/>
      <c r="E22" s="17" t="n"/>
      <c r="F22" s="20" t="str">
        <f>IF(AND(ISNUMBER(D22),ISNUMBER(E22)),D22*E22,"")</f>
        <v/>
      </c>
      <c r="G22" s="51" t="str">
        <f>IF(ISNUMBER(F22),ROUND(MAX(F22*'参数'!$C$12,'参数'!$C$13),2),"")</f>
        <v/>
      </c>
      <c r="H22" s="51" t="str">
        <f>IF(ISNUMBER(F22),IF(C22="卖",ROUND(F22*'参数'!$C$14,2),0),"")</f>
        <v/>
      </c>
      <c r="I22" s="51" t="str">
        <f>IF(ISNUMBER(F22),ROUND(F22*'参数'!$C$15,2),"")</f>
        <v/>
      </c>
      <c r="J22" s="21" t="n"/>
      <c r="K22" s="20" t="str">
        <f>IF(ISNUMBER(J22),J22,IF(ISNUMBER(F22),G22+H22+I22+ROUND(F22*'参数'!$C$16,2),""))</f>
        <v/>
      </c>
      <c r="L22" s="43" t="str">
        <f>IF(A22="","",IFERROR(T(INDEX('例-交易记录'!$C$5:$C$304,MATCH(A22,'例-交易记录'!$A$5:$A$304,0))),"编号没找到"))</f>
        <v/>
      </c>
      <c r="M22" s="57" t="str">
        <f>IF(AND(C22="买",ISNUMBER(B22)),WORKDAY(B22,1,'参数'!$B$58:$B$80),"")</f>
        <v/>
      </c>
      <c r="N22" s="36" t="str">
        <f>IF(C22&lt;&gt;"卖","",IF(AND(ISNUMBER(B22),A22&lt;&gt;""),IF(SUMIFS($E$5:$E$804,$A$5:$A$804,A22,$C$5:$C$804,"卖",$B$5:$B$804,"&lt;="&amp;B22)&gt;SUMIFS($E$5:$E$804,$A$5:$A$804,A22,$C$5:$C$804,"买",$B$5:$B$804,"&lt;"&amp;B22),"超出可卖股数","OK"),""))</f>
        <v/>
      </c>
      <c r="O22" s="32" t="n"/>
    </row>
    <row r="23">
      <c r="A23" s="46" t="n"/>
      <c r="B23" s="31" t="n"/>
      <c r="C23" s="27" t="n"/>
      <c r="D23" s="56" t="n"/>
      <c r="E23" s="17" t="n"/>
      <c r="F23" s="20" t="str">
        <f>IF(AND(ISNUMBER(D23),ISNUMBER(E23)),D23*E23,"")</f>
        <v/>
      </c>
      <c r="G23" s="51" t="str">
        <f>IF(ISNUMBER(F23),ROUND(MAX(F23*'参数'!$C$12,'参数'!$C$13),2),"")</f>
        <v/>
      </c>
      <c r="H23" s="51" t="str">
        <f>IF(ISNUMBER(F23),IF(C23="卖",ROUND(F23*'参数'!$C$14,2),0),"")</f>
        <v/>
      </c>
      <c r="I23" s="51" t="str">
        <f>IF(ISNUMBER(F23),ROUND(F23*'参数'!$C$15,2),"")</f>
        <v/>
      </c>
      <c r="J23" s="21" t="n"/>
      <c r="K23" s="20" t="str">
        <f>IF(ISNUMBER(J23),J23,IF(ISNUMBER(F23),G23+H23+I23+ROUND(F23*'参数'!$C$16,2),""))</f>
        <v/>
      </c>
      <c r="L23" s="43" t="str">
        <f>IF(A23="","",IFERROR(T(INDEX('例-交易记录'!$C$5:$C$304,MATCH(A23,'例-交易记录'!$A$5:$A$304,0))),"编号没找到"))</f>
        <v/>
      </c>
      <c r="M23" s="57" t="str">
        <f>IF(AND(C23="买",ISNUMBER(B23)),WORKDAY(B23,1,'参数'!$B$58:$B$80),"")</f>
        <v/>
      </c>
      <c r="N23" s="36" t="str">
        <f>IF(C23&lt;&gt;"卖","",IF(AND(ISNUMBER(B23),A23&lt;&gt;""),IF(SUMIFS($E$5:$E$804,$A$5:$A$804,A23,$C$5:$C$804,"卖",$B$5:$B$804,"&lt;="&amp;B23)&gt;SUMIFS($E$5:$E$804,$A$5:$A$804,A23,$C$5:$C$804,"买",$B$5:$B$804,"&lt;"&amp;B23),"超出可卖股数","OK"),""))</f>
        <v/>
      </c>
      <c r="O23" s="32" t="n"/>
    </row>
    <row r="24">
      <c r="A24" s="46" t="n"/>
      <c r="B24" s="31" t="n"/>
      <c r="C24" s="27" t="n"/>
      <c r="D24" s="56" t="n"/>
      <c r="E24" s="17" t="n"/>
      <c r="F24" s="20" t="str">
        <f>IF(AND(ISNUMBER(D24),ISNUMBER(E24)),D24*E24,"")</f>
        <v/>
      </c>
      <c r="G24" s="51" t="str">
        <f>IF(ISNUMBER(F24),ROUND(MAX(F24*'参数'!$C$12,'参数'!$C$13),2),"")</f>
        <v/>
      </c>
      <c r="H24" s="51" t="str">
        <f>IF(ISNUMBER(F24),IF(C24="卖",ROUND(F24*'参数'!$C$14,2),0),"")</f>
        <v/>
      </c>
      <c r="I24" s="51" t="str">
        <f>IF(ISNUMBER(F24),ROUND(F24*'参数'!$C$15,2),"")</f>
        <v/>
      </c>
      <c r="J24" s="21" t="n"/>
      <c r="K24" s="20" t="str">
        <f>IF(ISNUMBER(J24),J24,IF(ISNUMBER(F24),G24+H24+I24+ROUND(F24*'参数'!$C$16,2),""))</f>
        <v/>
      </c>
      <c r="L24" s="43" t="str">
        <f>IF(A24="","",IFERROR(T(INDEX('例-交易记录'!$C$5:$C$304,MATCH(A24,'例-交易记录'!$A$5:$A$304,0))),"编号没找到"))</f>
        <v/>
      </c>
      <c r="M24" s="57" t="str">
        <f>IF(AND(C24="买",ISNUMBER(B24)),WORKDAY(B24,1,'参数'!$B$58:$B$80),"")</f>
        <v/>
      </c>
      <c r="N24" s="36" t="str">
        <f>IF(C24&lt;&gt;"卖","",IF(AND(ISNUMBER(B24),A24&lt;&gt;""),IF(SUMIFS($E$5:$E$804,$A$5:$A$804,A24,$C$5:$C$804,"卖",$B$5:$B$804,"&lt;="&amp;B24)&gt;SUMIFS($E$5:$E$804,$A$5:$A$804,A24,$C$5:$C$804,"买",$B$5:$B$804,"&lt;"&amp;B24),"超出可卖股数","OK"),""))</f>
        <v/>
      </c>
      <c r="O24" s="32" t="n"/>
    </row>
    <row r="25">
      <c r="A25" s="46" t="n"/>
      <c r="B25" s="31" t="n"/>
      <c r="C25" s="27" t="n"/>
      <c r="D25" s="56" t="n"/>
      <c r="E25" s="17" t="n"/>
      <c r="F25" s="20" t="str">
        <f>IF(AND(ISNUMBER(D25),ISNUMBER(E25)),D25*E25,"")</f>
        <v/>
      </c>
      <c r="G25" s="51" t="str">
        <f>IF(ISNUMBER(F25),ROUND(MAX(F25*'参数'!$C$12,'参数'!$C$13),2),"")</f>
        <v/>
      </c>
      <c r="H25" s="51" t="str">
        <f>IF(ISNUMBER(F25),IF(C25="卖",ROUND(F25*'参数'!$C$14,2),0),"")</f>
        <v/>
      </c>
      <c r="I25" s="51" t="str">
        <f>IF(ISNUMBER(F25),ROUND(F25*'参数'!$C$15,2),"")</f>
        <v/>
      </c>
      <c r="J25" s="21" t="n"/>
      <c r="K25" s="20" t="str">
        <f>IF(ISNUMBER(J25),J25,IF(ISNUMBER(F25),G25+H25+I25+ROUND(F25*'参数'!$C$16,2),""))</f>
        <v/>
      </c>
      <c r="L25" s="43" t="str">
        <f>IF(A25="","",IFERROR(T(INDEX('例-交易记录'!$C$5:$C$304,MATCH(A25,'例-交易记录'!$A$5:$A$304,0))),"编号没找到"))</f>
        <v/>
      </c>
      <c r="M25" s="57" t="str">
        <f>IF(AND(C25="买",ISNUMBER(B25)),WORKDAY(B25,1,'参数'!$B$58:$B$80),"")</f>
        <v/>
      </c>
      <c r="N25" s="36" t="str">
        <f>IF(C25&lt;&gt;"卖","",IF(AND(ISNUMBER(B25),A25&lt;&gt;""),IF(SUMIFS($E$5:$E$804,$A$5:$A$804,A25,$C$5:$C$804,"卖",$B$5:$B$804,"&lt;="&amp;B25)&gt;SUMIFS($E$5:$E$804,$A$5:$A$804,A25,$C$5:$C$804,"买",$B$5:$B$804,"&lt;"&amp;B25),"超出可卖股数","OK"),""))</f>
        <v/>
      </c>
      <c r="O25" s="32" t="n"/>
    </row>
    <row r="26">
      <c r="A26" s="46" t="n"/>
      <c r="B26" s="31" t="n"/>
      <c r="C26" s="27" t="n"/>
      <c r="D26" s="56" t="n"/>
      <c r="E26" s="17" t="n"/>
      <c r="F26" s="20" t="str">
        <f>IF(AND(ISNUMBER(D26),ISNUMBER(E26)),D26*E26,"")</f>
        <v/>
      </c>
      <c r="G26" s="51" t="str">
        <f>IF(ISNUMBER(F26),ROUND(MAX(F26*'参数'!$C$12,'参数'!$C$13),2),"")</f>
        <v/>
      </c>
      <c r="H26" s="51" t="str">
        <f>IF(ISNUMBER(F26),IF(C26="卖",ROUND(F26*'参数'!$C$14,2),0),"")</f>
        <v/>
      </c>
      <c r="I26" s="51" t="str">
        <f>IF(ISNUMBER(F26),ROUND(F26*'参数'!$C$15,2),"")</f>
        <v/>
      </c>
      <c r="J26" s="21" t="n"/>
      <c r="K26" s="20" t="str">
        <f>IF(ISNUMBER(J26),J26,IF(ISNUMBER(F26),G26+H26+I26+ROUND(F26*'参数'!$C$16,2),""))</f>
        <v/>
      </c>
      <c r="L26" s="43" t="str">
        <f>IF(A26="","",IFERROR(T(INDEX('例-交易记录'!$C$5:$C$304,MATCH(A26,'例-交易记录'!$A$5:$A$304,0))),"编号没找到"))</f>
        <v/>
      </c>
      <c r="M26" s="57" t="str">
        <f>IF(AND(C26="买",ISNUMBER(B26)),WORKDAY(B26,1,'参数'!$B$58:$B$80),"")</f>
        <v/>
      </c>
      <c r="N26" s="36" t="str">
        <f>IF(C26&lt;&gt;"卖","",IF(AND(ISNUMBER(B26),A26&lt;&gt;""),IF(SUMIFS($E$5:$E$804,$A$5:$A$804,A26,$C$5:$C$804,"卖",$B$5:$B$804,"&lt;="&amp;B26)&gt;SUMIFS($E$5:$E$804,$A$5:$A$804,A26,$C$5:$C$804,"买",$B$5:$B$804,"&lt;"&amp;B26),"超出可卖股数","OK"),""))</f>
        <v/>
      </c>
      <c r="O26" s="32" t="n"/>
    </row>
    <row r="27">
      <c r="A27" s="46" t="n"/>
      <c r="B27" s="31" t="n"/>
      <c r="C27" s="27" t="n"/>
      <c r="D27" s="56" t="n"/>
      <c r="E27" s="17" t="n"/>
      <c r="F27" s="20" t="str">
        <f>IF(AND(ISNUMBER(D27),ISNUMBER(E27)),D27*E27,"")</f>
        <v/>
      </c>
      <c r="G27" s="51" t="str">
        <f>IF(ISNUMBER(F27),ROUND(MAX(F27*'参数'!$C$12,'参数'!$C$13),2),"")</f>
        <v/>
      </c>
      <c r="H27" s="51" t="str">
        <f>IF(ISNUMBER(F27),IF(C27="卖",ROUND(F27*'参数'!$C$14,2),0),"")</f>
        <v/>
      </c>
      <c r="I27" s="51" t="str">
        <f>IF(ISNUMBER(F27),ROUND(F27*'参数'!$C$15,2),"")</f>
        <v/>
      </c>
      <c r="J27" s="21" t="n"/>
      <c r="K27" s="20" t="str">
        <f>IF(ISNUMBER(J27),J27,IF(ISNUMBER(F27),G27+H27+I27+ROUND(F27*'参数'!$C$16,2),""))</f>
        <v/>
      </c>
      <c r="L27" s="43" t="str">
        <f>IF(A27="","",IFERROR(T(INDEX('例-交易记录'!$C$5:$C$304,MATCH(A27,'例-交易记录'!$A$5:$A$304,0))),"编号没找到"))</f>
        <v/>
      </c>
      <c r="M27" s="57" t="str">
        <f>IF(AND(C27="买",ISNUMBER(B27)),WORKDAY(B27,1,'参数'!$B$58:$B$80),"")</f>
        <v/>
      </c>
      <c r="N27" s="36" t="str">
        <f>IF(C27&lt;&gt;"卖","",IF(AND(ISNUMBER(B27),A27&lt;&gt;""),IF(SUMIFS($E$5:$E$804,$A$5:$A$804,A27,$C$5:$C$804,"卖",$B$5:$B$804,"&lt;="&amp;B27)&gt;SUMIFS($E$5:$E$804,$A$5:$A$804,A27,$C$5:$C$804,"买",$B$5:$B$804,"&lt;"&amp;B27),"超出可卖股数","OK"),""))</f>
        <v/>
      </c>
      <c r="O27" s="32" t="n"/>
    </row>
    <row r="28">
      <c r="A28" s="46" t="n"/>
      <c r="B28" s="31" t="n"/>
      <c r="C28" s="27" t="n"/>
      <c r="D28" s="56" t="n"/>
      <c r="E28" s="17" t="n"/>
      <c r="F28" s="20" t="str">
        <f>IF(AND(ISNUMBER(D28),ISNUMBER(E28)),D28*E28,"")</f>
        <v/>
      </c>
      <c r="G28" s="51" t="str">
        <f>IF(ISNUMBER(F28),ROUND(MAX(F28*'参数'!$C$12,'参数'!$C$13),2),"")</f>
        <v/>
      </c>
      <c r="H28" s="51" t="str">
        <f>IF(ISNUMBER(F28),IF(C28="卖",ROUND(F28*'参数'!$C$14,2),0),"")</f>
        <v/>
      </c>
      <c r="I28" s="51" t="str">
        <f>IF(ISNUMBER(F28),ROUND(F28*'参数'!$C$15,2),"")</f>
        <v/>
      </c>
      <c r="J28" s="21" t="n"/>
      <c r="K28" s="20" t="str">
        <f>IF(ISNUMBER(J28),J28,IF(ISNUMBER(F28),G28+H28+I28+ROUND(F28*'参数'!$C$16,2),""))</f>
        <v/>
      </c>
      <c r="L28" s="43" t="str">
        <f>IF(A28="","",IFERROR(T(INDEX('例-交易记录'!$C$5:$C$304,MATCH(A28,'例-交易记录'!$A$5:$A$304,0))),"编号没找到"))</f>
        <v/>
      </c>
      <c r="M28" s="57" t="str">
        <f>IF(AND(C28="买",ISNUMBER(B28)),WORKDAY(B28,1,'参数'!$B$58:$B$80),"")</f>
        <v/>
      </c>
      <c r="N28" s="36" t="str">
        <f>IF(C28&lt;&gt;"卖","",IF(AND(ISNUMBER(B28),A28&lt;&gt;""),IF(SUMIFS($E$5:$E$804,$A$5:$A$804,A28,$C$5:$C$804,"卖",$B$5:$B$804,"&lt;="&amp;B28)&gt;SUMIFS($E$5:$E$804,$A$5:$A$804,A28,$C$5:$C$804,"买",$B$5:$B$804,"&lt;"&amp;B28),"超出可卖股数","OK"),""))</f>
        <v/>
      </c>
      <c r="O28" s="32" t="n"/>
    </row>
    <row r="29">
      <c r="A29" s="46" t="n"/>
      <c r="B29" s="31" t="n"/>
      <c r="C29" s="27" t="n"/>
      <c r="D29" s="56" t="n"/>
      <c r="E29" s="17" t="n"/>
      <c r="F29" s="20" t="str">
        <f>IF(AND(ISNUMBER(D29),ISNUMBER(E29)),D29*E29,"")</f>
        <v/>
      </c>
      <c r="G29" s="51" t="str">
        <f>IF(ISNUMBER(F29),ROUND(MAX(F29*'参数'!$C$12,'参数'!$C$13),2),"")</f>
        <v/>
      </c>
      <c r="H29" s="51" t="str">
        <f>IF(ISNUMBER(F29),IF(C29="卖",ROUND(F29*'参数'!$C$14,2),0),"")</f>
        <v/>
      </c>
      <c r="I29" s="51" t="str">
        <f>IF(ISNUMBER(F29),ROUND(F29*'参数'!$C$15,2),"")</f>
        <v/>
      </c>
      <c r="J29" s="21" t="n"/>
      <c r="K29" s="20" t="str">
        <f>IF(ISNUMBER(J29),J29,IF(ISNUMBER(F29),G29+H29+I29+ROUND(F29*'参数'!$C$16,2),""))</f>
        <v/>
      </c>
      <c r="L29" s="43" t="str">
        <f>IF(A29="","",IFERROR(T(INDEX('例-交易记录'!$C$5:$C$304,MATCH(A29,'例-交易记录'!$A$5:$A$304,0))),"编号没找到"))</f>
        <v/>
      </c>
      <c r="M29" s="57" t="str">
        <f>IF(AND(C29="买",ISNUMBER(B29)),WORKDAY(B29,1,'参数'!$B$58:$B$80),"")</f>
        <v/>
      </c>
      <c r="N29" s="36" t="str">
        <f>IF(C29&lt;&gt;"卖","",IF(AND(ISNUMBER(B29),A29&lt;&gt;""),IF(SUMIFS($E$5:$E$804,$A$5:$A$804,A29,$C$5:$C$804,"卖",$B$5:$B$804,"&lt;="&amp;B29)&gt;SUMIFS($E$5:$E$804,$A$5:$A$804,A29,$C$5:$C$804,"买",$B$5:$B$804,"&lt;"&amp;B29),"超出可卖股数","OK"),""))</f>
        <v/>
      </c>
      <c r="O29" s="32" t="n"/>
    </row>
    <row r="30">
      <c r="A30" s="46" t="n"/>
      <c r="B30" s="31" t="n"/>
      <c r="C30" s="27" t="n"/>
      <c r="D30" s="56" t="n"/>
      <c r="E30" s="17" t="n"/>
      <c r="F30" s="20" t="str">
        <f>IF(AND(ISNUMBER(D30),ISNUMBER(E30)),D30*E30,"")</f>
        <v/>
      </c>
      <c r="G30" s="51" t="str">
        <f>IF(ISNUMBER(F30),ROUND(MAX(F30*'参数'!$C$12,'参数'!$C$13),2),"")</f>
        <v/>
      </c>
      <c r="H30" s="51" t="str">
        <f>IF(ISNUMBER(F30),IF(C30="卖",ROUND(F30*'参数'!$C$14,2),0),"")</f>
        <v/>
      </c>
      <c r="I30" s="51" t="str">
        <f>IF(ISNUMBER(F30),ROUND(F30*'参数'!$C$15,2),"")</f>
        <v/>
      </c>
      <c r="J30" s="21" t="n"/>
      <c r="K30" s="20" t="str">
        <f>IF(ISNUMBER(J30),J30,IF(ISNUMBER(F30),G30+H30+I30+ROUND(F30*'参数'!$C$16,2),""))</f>
        <v/>
      </c>
      <c r="L30" s="43" t="str">
        <f>IF(A30="","",IFERROR(T(INDEX('例-交易记录'!$C$5:$C$304,MATCH(A30,'例-交易记录'!$A$5:$A$304,0))),"编号没找到"))</f>
        <v/>
      </c>
      <c r="M30" s="57" t="str">
        <f>IF(AND(C30="买",ISNUMBER(B30)),WORKDAY(B30,1,'参数'!$B$58:$B$80),"")</f>
        <v/>
      </c>
      <c r="N30" s="36" t="str">
        <f>IF(C30&lt;&gt;"卖","",IF(AND(ISNUMBER(B30),A30&lt;&gt;""),IF(SUMIFS($E$5:$E$804,$A$5:$A$804,A30,$C$5:$C$804,"卖",$B$5:$B$804,"&lt;="&amp;B30)&gt;SUMIFS($E$5:$E$804,$A$5:$A$804,A30,$C$5:$C$804,"买",$B$5:$B$804,"&lt;"&amp;B30),"超出可卖股数","OK"),""))</f>
        <v/>
      </c>
      <c r="O30" s="32" t="n"/>
    </row>
    <row r="31">
      <c r="A31" s="46" t="n"/>
      <c r="B31" s="31" t="n"/>
      <c r="C31" s="27" t="n"/>
      <c r="D31" s="56" t="n"/>
      <c r="E31" s="17" t="n"/>
      <c r="F31" s="20" t="str">
        <f>IF(AND(ISNUMBER(D31),ISNUMBER(E31)),D31*E31,"")</f>
        <v/>
      </c>
      <c r="G31" s="51" t="str">
        <f>IF(ISNUMBER(F31),ROUND(MAX(F31*'参数'!$C$12,'参数'!$C$13),2),"")</f>
        <v/>
      </c>
      <c r="H31" s="51" t="str">
        <f>IF(ISNUMBER(F31),IF(C31="卖",ROUND(F31*'参数'!$C$14,2),0),"")</f>
        <v/>
      </c>
      <c r="I31" s="51" t="str">
        <f>IF(ISNUMBER(F31),ROUND(F31*'参数'!$C$15,2),"")</f>
        <v/>
      </c>
      <c r="J31" s="21" t="n"/>
      <c r="K31" s="20" t="str">
        <f>IF(ISNUMBER(J31),J31,IF(ISNUMBER(F31),G31+H31+I31+ROUND(F31*'参数'!$C$16,2),""))</f>
        <v/>
      </c>
      <c r="L31" s="43" t="str">
        <f>IF(A31="","",IFERROR(T(INDEX('例-交易记录'!$C$5:$C$304,MATCH(A31,'例-交易记录'!$A$5:$A$304,0))),"编号没找到"))</f>
        <v/>
      </c>
      <c r="M31" s="57" t="str">
        <f>IF(AND(C31="买",ISNUMBER(B31)),WORKDAY(B31,1,'参数'!$B$58:$B$80),"")</f>
        <v/>
      </c>
      <c r="N31" s="36" t="str">
        <f>IF(C31&lt;&gt;"卖","",IF(AND(ISNUMBER(B31),A31&lt;&gt;""),IF(SUMIFS($E$5:$E$804,$A$5:$A$804,A31,$C$5:$C$804,"卖",$B$5:$B$804,"&lt;="&amp;B31)&gt;SUMIFS($E$5:$E$804,$A$5:$A$804,A31,$C$5:$C$804,"买",$B$5:$B$804,"&lt;"&amp;B31),"超出可卖股数","OK"),""))</f>
        <v/>
      </c>
      <c r="O31" s="32" t="n"/>
    </row>
  </sheetData>
  <mergeCells count="6">
    <mergeCell ref="A2:O2"/>
    <mergeCell ref="A1:L1"/>
    <mergeCell ref="M1:O1"/>
    <mergeCell ref="L3:N3"/>
    <mergeCell ref="F3:K3"/>
    <mergeCell ref="A3:E3"/>
  </mergeCells>
  <conditionalFormatting sqref="N5:N31">
    <cfRule type="cellIs" priority="1" operator="equal" dxfId="7">
      <formula>"超出可卖股数"</formula>
    </cfRule>
  </conditionalFormatting>
  <conditionalFormatting sqref="L5:L31">
    <cfRule type="cellIs" priority="2" operator="equal" dxfId="7">
      <formula>"编号没找到"</formula>
    </cfRule>
  </conditionalFormatting>
  <dataValidations count="3">
    <dataValidation sqref="A5:A31" showDropDown="0" showInputMessage="0" showErrorMessage="1" allowBlank="1" errorTitle="格式不对" error="编号请用数字，和交易记录里的编号一致。" type="whole" errorStyle="stop" operator="greaterThanOrEqual">
      <formula1>1</formula1>
    </dataValidation>
    <dataValidation sqref="B5:B31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C5:C31" showDropDown="0" showInputMessage="0" showErrorMessage="1" allowBlank="1" errorTitle="不在选项里" error="请从下拉里选；要加新选项，先去参数页的下拉选项里加。" type="list" errorStyle="stop">
      <formula1>'参数'!$H$43:$H$54</formula1>
    </dataValidation>
  </dataValidation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trade1469.com/templates/a-share-review/?src=tpl-ashare&amp;R&amp;"Microsoft YaHei"&amp;8 第 &amp;P 页，共 &amp;N 页</oddFooter>
    <evenHeader/>
    <evenFooter>&amp;L&amp;"Microsoft YaHei"&amp;8 TradeLearn · XtradingTime 交易内训&amp;C&amp;"Microsoft YaHei"&amp;8 trade1469.com/templates/a-share-review/?src=tpl-ashare&amp;R&amp;"Microsoft YaHei"&amp;8 第 &amp;P 页，共 &amp;N 页</evenFooter>
    <firstHeader/>
    <firstFooter/>
  </headerFooter>
</worksheet>
</file>

<file path=xl/worksheets/sheet12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L8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6" customWidth="1" min="10" max="10"/>
    <col hidden="1" width="6" customWidth="1" min="12" max="12"/>
  </cols>
  <sheetData>
    <row r="1" ht="30" customHeight="1">
      <c r="A1" s="13" t="inlineStr">
        <is>
          <t>示例 · 周复盘：先看过程，再看成绩</t>
        </is>
      </c>
      <c r="H1" s="14" t="inlineStr">
        <is>
          <t>TradeLearn · XtradingTime 交易内训</t>
        </is>
      </c>
    </row>
    <row r="2" ht="20" customHeight="1">
      <c r="A2" s="63" t="inlineStr">
        <is>
          <t>虚构示例，仅演示填法：统计来自示例页的虚构交易。</t>
        </is>
      </c>
    </row>
    <row r="4">
      <c r="B4" s="58" t="inlineStr">
        <is>
          <t>统计区间：开始日期</t>
        </is>
      </c>
      <c r="C4" s="31" t="n">
        <v>47553</v>
      </c>
      <c r="D4" s="59" t="inlineStr">
        <is>
          <t>结束日期</t>
        </is>
      </c>
      <c r="E4" s="31" t="n">
        <v>47557</v>
      </c>
      <c r="F4" s="19" t="inlineStr">
        <is>
          <t>一周就填周一和周五；月复盘就填月初和月底。</t>
        </is>
      </c>
      <c r="G4" s="19" t="n"/>
      <c r="H4" s="19" t="n"/>
      <c r="I4" s="19" t="n"/>
      <c r="J4" s="19" t="n"/>
    </row>
    <row r="6">
      <c r="B6" s="15" t="inlineStr">
        <is>
          <t>1. 这几天的市场（区间里的前 5 个交易日）</t>
        </is>
      </c>
    </row>
    <row r="7">
      <c r="B7" s="25" t="inlineStr">
        <is>
          <t>日期</t>
        </is>
      </c>
      <c r="C7" s="25" t="inlineStr">
        <is>
          <t>星期</t>
        </is>
      </c>
      <c r="D7" s="25" t="inlineStr">
        <is>
          <t>我的判断</t>
        </is>
      </c>
      <c r="E7" s="25" t="inlineStr">
        <is>
          <t>规则建议</t>
        </is>
      </c>
      <c r="F7" s="25" t="inlineStr">
        <is>
          <t>涨停家数</t>
        </is>
      </c>
      <c r="G7" s="25" t="inlineStr">
        <is>
          <t>炸板率</t>
        </is>
      </c>
      <c r="H7" s="25" t="inlineStr">
        <is>
          <t>最高连板</t>
        </is>
      </c>
      <c r="I7" s="25" t="inlineStr">
        <is>
          <t>当日平仓净R</t>
        </is>
      </c>
      <c r="J7" s="25" t="inlineStr">
        <is>
          <t>今天做了什么</t>
        </is>
      </c>
    </row>
    <row r="8" ht="26" customHeight="1">
      <c r="B8" s="57">
        <f>IF(ISNUMBER($C$4),WORKDAY($C$4-1,1,'参数'!$B$58:$B$80),"")</f>
        <v>47553.0</v>
      </c>
      <c r="C8" s="36" t="str">
        <f>IF(ISNUMBER(B8),"周"&amp;CHOOSE(WEEKDAY(B8,2),"一","二","三","四","五","六","日"),"")</f>
        <v>周一</v>
      </c>
      <c r="D8" s="43" t="str">
        <f>IF(ISNUMBER($B8),IFERROR(T(VLOOKUP($B8,'例-每日复盘'!$A$5:$AA$264,27,FALSE)),"未记"),"")</f>
        <v>发酵</v>
      </c>
      <c r="E8" s="60" t="str">
        <f>IF(ISNUMBER($B8),IFERROR(T(VLOOKUP($B8,'例-每日复盘'!$A$5:$AA$264,26,FALSE)),"未记"),"")</f>
        <v>先填阈值</v>
      </c>
      <c r="F8" s="44">
        <f>IF(ISNUMBER($B8),IFERROR(VLOOKUP($B8,'例-每日复盘'!$A$5:$AA$264,10,FALSE),"未记"),"")</f>
        <v>92</v>
      </c>
      <c r="G8" s="47">
        <f>IF(ISNUMBER($B8),IFERROR(VLOOKUP($B8,'例-每日复盘'!$A$5:$AA$264,14,FALSE),"未记"),"")</f>
        <v>0.233333333333333</v>
      </c>
      <c r="H8" s="44">
        <f>IF(ISNUMBER($B8),IFERROR(VLOOKUP($B8,'例-每日复盘'!$A$5:$AA$264,18,FALSE),"未记"),"")</f>
        <v>6</v>
      </c>
      <c r="I8" s="45" t="str">
        <f>IF(ISNUMBER($B8),IFERROR(VLOOKUP($B8,'例-主线与计划'!$A$5:$S$264,15,FALSE),""),"")</f>
        <v/>
      </c>
      <c r="J8" s="43" t="str">
        <f>IF(ISNUMBER($B8),IFERROR(T(VLOOKUP($B8,'例-主线与计划'!$A$5:$S$264,14,FALSE)),""),"")</f>
        <v>有成交</v>
      </c>
    </row>
    <row r="9" ht="26" customHeight="1">
      <c r="B9" s="57">
        <f>IF(ISNUMBER(B8),IF(WORKDAY(B8,1,'参数'!$B$58:$B$80)&lt;=$E$4,WORKDAY(B8,1,'参数'!$B$58:$B$80),""),"")</f>
        <v>47554.0</v>
      </c>
      <c r="C9" s="36" t="str">
        <f>IF(ISNUMBER(B9),"周"&amp;CHOOSE(WEEKDAY(B9,2),"一","二","三","四","五","六","日"),"")</f>
        <v>周二</v>
      </c>
      <c r="D9" s="43" t="str">
        <f>IF(ISNUMBER($B9),IFERROR(T(VLOOKUP($B9,'例-每日复盘'!$A$5:$AA$264,27,FALSE)),"未记"),"")</f>
        <v>高潮</v>
      </c>
      <c r="E9" s="60" t="str">
        <f>IF(ISNUMBER($B9),IFERROR(T(VLOOKUP($B9,'例-每日复盘'!$A$5:$AA$264,26,FALSE)),"未记"),"")</f>
        <v>先填阈值</v>
      </c>
      <c r="F9" s="44">
        <f>IF(ISNUMBER($B9),IFERROR(VLOOKUP($B9,'例-每日复盘'!$A$5:$AA$264,10,FALSE),"未记"),"")</f>
        <v>118</v>
      </c>
      <c r="G9" s="47">
        <f>IF(ISNUMBER($B9),IFERROR(VLOOKUP($B9,'例-每日复盘'!$A$5:$AA$264,14,FALSE),"未记"),"")</f>
        <v>0.22</v>
      </c>
      <c r="H9" s="44">
        <f>IF(ISNUMBER($B9),IFERROR(VLOOKUP($B9,'例-每日复盘'!$A$5:$AA$264,18,FALSE),"未记"),"")</f>
        <v>7</v>
      </c>
      <c r="I9" s="45">
        <f>IF(ISNUMBER($B9),IFERROR(VLOOKUP($B9,'例-主线与计划'!$A$5:$S$264,15,FALSE),""),"")</f>
        <v>-1.16525</v>
      </c>
      <c r="J9" s="43" t="str">
        <f>IF(ISNUMBER($B9),IFERROR(T(VLOOKUP($B9,'例-主线与计划'!$A$5:$S$264,14,FALSE)),""),"")</f>
        <v>有成交</v>
      </c>
    </row>
    <row r="10" ht="26" customHeight="1">
      <c r="B10" s="57">
        <f>IF(ISNUMBER(B9),IF(WORKDAY(B9,1,'参数'!$B$58:$B$80)&lt;=$E$4,WORKDAY(B9,1,'参数'!$B$58:$B$80),""),"")</f>
        <v>47555.0</v>
      </c>
      <c r="C10" s="36" t="str">
        <f>IF(ISNUMBER(B10),"周"&amp;CHOOSE(WEEKDAY(B10,2),"一","二","三","四","五","六","日"),"")</f>
        <v>周三</v>
      </c>
      <c r="D10" s="43" t="str">
        <f>IF(ISNUMBER($B10),IFERROR(T(VLOOKUP($B10,'例-每日复盘'!$A$5:$AA$264,27,FALSE)),"未记"),"")</f>
        <v>分歧</v>
      </c>
      <c r="E10" s="60" t="str">
        <f>IF(ISNUMBER($B10),IFERROR(T(VLOOKUP($B10,'例-每日复盘'!$A$5:$AA$264,26,FALSE)),"未记"),"")</f>
        <v>先填阈值</v>
      </c>
      <c r="F10" s="44">
        <f>IF(ISNUMBER($B10),IFERROR(VLOOKUP($B10,'例-每日复盘'!$A$5:$AA$264,10,FALSE),"未记"),"")</f>
        <v>84</v>
      </c>
      <c r="G10" s="47">
        <f>IF(ISNUMBER($B10),IFERROR(VLOOKUP($B10,'例-每日复盘'!$A$5:$AA$264,14,FALSE),"未记"),"")</f>
        <v>0.377777777777778</v>
      </c>
      <c r="H10" s="44">
        <f>IF(ISNUMBER($B10),IFERROR(VLOOKUP($B10,'例-每日复盘'!$A$5:$AA$264,18,FALSE),"未记"),"")</f>
        <v>8</v>
      </c>
      <c r="I10" s="45">
        <f>IF(ISNUMBER($B10),IFERROR(VLOOKUP($B10,'例-主线与计划'!$A$5:$S$264,15,FALSE),""),"")</f>
        <v>2.93012896825397</v>
      </c>
      <c r="J10" s="43" t="str">
        <f>IF(ISNUMBER($B10),IFERROR(T(VLOOKUP($B10,'例-主线与计划'!$A$5:$S$264,14,FALSE)),""),"")</f>
        <v>有成交</v>
      </c>
    </row>
    <row r="11" ht="26" customHeight="1">
      <c r="B11" s="57">
        <f>IF(ISNUMBER(B10),IF(WORKDAY(B10,1,'参数'!$B$58:$B$80)&lt;=$E$4,WORKDAY(B10,1,'参数'!$B$58:$B$80),""),"")</f>
        <v>47556.0</v>
      </c>
      <c r="C11" s="36" t="str">
        <f>IF(ISNUMBER(B11),"周"&amp;CHOOSE(WEEKDAY(B11,2),"一","二","三","四","五","六","日"),"")</f>
        <v>周四</v>
      </c>
      <c r="D11" s="43" t="str">
        <f>IF(ISNUMBER($B11),IFERROR(T(VLOOKUP($B11,'例-每日复盘'!$A$5:$AA$264,27,FALSE)),"未记"),"")</f>
        <v>退潮</v>
      </c>
      <c r="E11" s="60" t="str">
        <f>IF(ISNUMBER($B11),IFERROR(T(VLOOKUP($B11,'例-每日复盘'!$A$5:$AA$264,26,FALSE)),"未记"),"")</f>
        <v>先填阈值</v>
      </c>
      <c r="F11" s="44">
        <f>IF(ISNUMBER($B11),IFERROR(VLOOKUP($B11,'例-每日复盘'!$A$5:$AA$264,10,FALSE),"未记"),"")</f>
        <v>46</v>
      </c>
      <c r="G11" s="47">
        <f>IF(ISNUMBER($B11),IFERROR(VLOOKUP($B11,'例-每日复盘'!$A$5:$AA$264,14,FALSE),"未记"),"")</f>
        <v>0.458823529411765</v>
      </c>
      <c r="H11" s="44">
        <f>IF(ISNUMBER($B11),IFERROR(VLOOKUP($B11,'例-每日复盘'!$A$5:$AA$264,18,FALSE),"未记"),"")</f>
        <v>5</v>
      </c>
      <c r="I11" s="45" t="str">
        <f>IF(ISNUMBER($B11),IFERROR(VLOOKUP($B11,'例-主线与计划'!$A$5:$S$264,15,FALSE),""),"")</f>
        <v/>
      </c>
      <c r="J11" s="43" t="str">
        <f>IF(ISNUMBER($B11),IFERROR(T(VLOOKUP($B11,'例-主线与计划'!$A$5:$S$264,14,FALSE)),""),"")</f>
        <v>挂单没成交</v>
      </c>
    </row>
    <row r="12" ht="26" customHeight="1">
      <c r="B12" s="57">
        <f>IF(ISNUMBER(B11),IF(WORKDAY(B11,1,'参数'!$B$58:$B$80)&lt;=$E$4,WORKDAY(B11,1,'参数'!$B$58:$B$80),""),"")</f>
        <v>47557.0</v>
      </c>
      <c r="C12" s="36" t="str">
        <f>IF(ISNUMBER(B12),"周"&amp;CHOOSE(WEEKDAY(B12,2),"一","二","三","四","五","六","日"),"")</f>
        <v>周五</v>
      </c>
      <c r="D12" s="43" t="str">
        <f>IF(ISNUMBER($B12),IFERROR(T(VLOOKUP($B12,'例-每日复盘'!$A$5:$AA$264,27,FALSE)),"未记"),"")</f>
        <v>冰点</v>
      </c>
      <c r="E12" s="60" t="str">
        <f>IF(ISNUMBER($B12),IFERROR(T(VLOOKUP($B12,'例-每日复盘'!$A$5:$AA$264,26,FALSE)),"未记"),"")</f>
        <v>先填阈值</v>
      </c>
      <c r="F12" s="44">
        <f>IF(ISNUMBER($B12),IFERROR(VLOOKUP($B12,'例-每日复盘'!$A$5:$AA$264,10,FALSE),"未记"),"")</f>
        <v>22</v>
      </c>
      <c r="G12" s="47">
        <f>IF(ISNUMBER($B12),IFERROR(VLOOKUP($B12,'例-每日复盘'!$A$5:$AA$264,14,FALSE),"未记"),"")</f>
        <v>0.541666666666667</v>
      </c>
      <c r="H12" s="44">
        <f>IF(ISNUMBER($B12),IFERROR(VLOOKUP($B12,'例-每日复盘'!$A$5:$AA$264,18,FALSE),"未记"),"")</f>
        <v>3</v>
      </c>
      <c r="I12" s="45">
        <f>IF(ISNUMBER($B12),IFERROR(VLOOKUP($B12,'例-主线与计划'!$A$5:$S$264,15,FALSE),""),"")</f>
        <v>-3.11186666666666</v>
      </c>
      <c r="J12" s="43" t="str">
        <f>IF(ISNUMBER($B12),IFERROR(T(VLOOKUP($B12,'例-主线与计划'!$A$5:$S$264,14,FALSE)),""),"")</f>
        <v>有成交</v>
      </c>
    </row>
    <row r="14">
      <c r="B14" s="15" t="inlineStr">
        <is>
          <t>2. 成绩与执行</t>
        </is>
      </c>
    </row>
    <row r="15">
      <c r="B15" s="25" t="inlineStr">
        <is>
          <t>指标</t>
        </is>
      </c>
      <c r="C15" s="25" t="inlineStr">
        <is>
          <t>本区间</t>
        </is>
      </c>
      <c r="D15" s="25" t="inlineStr">
        <is>
          <t>全部记录</t>
        </is>
      </c>
      <c r="E15" s="25" t="inlineStr">
        <is>
          <t>怎么看</t>
        </is>
      </c>
      <c r="F15" s="25" t="n"/>
      <c r="G15" s="25" t="n"/>
      <c r="H15" s="25" t="n"/>
      <c r="I15" s="25" t="n"/>
      <c r="J15" s="25" t="n"/>
    </row>
    <row r="16">
      <c r="B16" s="16" t="inlineStr">
        <is>
          <t>写了计划的笔数</t>
        </is>
      </c>
      <c r="C16" s="44">
        <f>IF(AND(ISNUMBER($C$4),ISNUMBER($E$4)),COUNTIFS('例-交易记录'!$B$5:$B$304,"&gt;="&amp;$C$4,'例-交易记录'!$B$5:$B$304,"&lt;="&amp;$E$4),"")</f>
        <v>6</v>
      </c>
      <c r="D16" s="44">
        <f>COUNT('例-交易记录'!$B$5:$B$304)</f>
        <v>8</v>
      </c>
      <c r="E16" s="19" t="inlineStr">
        <is>
          <t>按计划日期算。计划少不一定是坏事，没机会就不做。</t>
        </is>
      </c>
      <c r="F16" s="19" t="n"/>
      <c r="G16" s="19" t="n"/>
      <c r="H16" s="19" t="n"/>
      <c r="I16" s="19" t="n"/>
      <c r="J16" s="19" t="n"/>
    </row>
    <row r="17">
      <c r="B17" s="16" t="inlineStr">
        <is>
          <t>其中已执行</t>
        </is>
      </c>
      <c r="C17" s="44">
        <f>IF(AND(ISNUMBER($C$4),ISNUMBER($E$4)),COUNTIFS('例-交易记录'!$B$5:$B$304,"&gt;="&amp;$C$4,'例-交易记录'!$B$5:$B$304,"&lt;="&amp;$E$4,'例-交易记录'!$Q$5:$Q$304,"已执行"),"")</f>
        <v>4</v>
      </c>
      <c r="D17" s="44">
        <f>COUNTIF('例-交易记录'!$Q$5:$Q$304,"已执行")</f>
        <v>5</v>
      </c>
      <c r="E17" s="19" t="inlineStr"/>
      <c r="F17" s="19" t="n"/>
      <c r="G17" s="19" t="n"/>
      <c r="H17" s="19" t="n"/>
      <c r="I17" s="19" t="n"/>
      <c r="J17" s="19" t="n"/>
    </row>
    <row r="18">
      <c r="B18" s="16" t="inlineStr">
        <is>
          <t>未成交</t>
        </is>
      </c>
      <c r="C18" s="44">
        <f>IF(AND(ISNUMBER($C$4),ISNUMBER($E$4)),COUNTIFS('例-交易记录'!$B$5:$B$304,"&gt;="&amp;$C$4,'例-交易记录'!$B$5:$B$304,"&lt;="&amp;$E$4,'例-交易记录'!$Q$5:$Q$304,"未成交"),"")</f>
        <v>0</v>
      </c>
      <c r="D18" s="44">
        <f>COUNTIF('例-交易记录'!$Q$5:$Q$304,"未成交")</f>
        <v>1</v>
      </c>
      <c r="E18" s="19" t="inlineStr">
        <is>
          <t>挂了没成交，不算胜率，也不算错。</t>
        </is>
      </c>
      <c r="F18" s="19" t="n"/>
      <c r="G18" s="19" t="n"/>
      <c r="H18" s="19" t="n"/>
      <c r="I18" s="19" t="n"/>
      <c r="J18" s="19" t="n"/>
    </row>
    <row r="19">
      <c r="B19" s="16" t="inlineStr">
        <is>
          <t>主动放弃</t>
        </is>
      </c>
      <c r="C19" s="44">
        <f>IF(AND(ISNUMBER($C$4),ISNUMBER($E$4)),COUNTIFS('例-交易记录'!$B$5:$B$304,"&gt;="&amp;$C$4,'例-交易记录'!$B$5:$B$304,"&lt;="&amp;$E$4,'例-交易记录'!$Q$5:$Q$304,"主动放弃"),"")</f>
        <v>1</v>
      </c>
      <c r="D19" s="44">
        <f>COUNTIF('例-交易记录'!$Q$5:$Q$304,"主动放弃")</f>
        <v>1</v>
      </c>
      <c r="E19" s="19" t="inlineStr">
        <is>
          <t>按规则不做，也是执行。</t>
        </is>
      </c>
      <c r="F19" s="19" t="n"/>
      <c r="G19" s="19" t="n"/>
      <c r="H19" s="19" t="n"/>
      <c r="I19" s="19" t="n"/>
      <c r="J19" s="19" t="n"/>
    </row>
    <row r="20">
      <c r="B20" s="16" t="inlineStr">
        <is>
          <t>漏单</t>
        </is>
      </c>
      <c r="C20" s="44">
        <f>IF(AND(ISNUMBER($C$4),ISNUMBER($E$4)),COUNTIFS('例-交易记录'!$B$5:$B$304,"&gt;="&amp;$C$4,'例-交易记录'!$B$5:$B$304,"&lt;="&amp;$E$4,'例-交易记录'!$Q$5:$Q$304,"漏单"),"")</f>
        <v>1</v>
      </c>
      <c r="D20" s="44">
        <f>COUNTIF('例-交易记录'!$Q$5:$Q$304,"漏单")</f>
        <v>1</v>
      </c>
      <c r="E20" s="19" t="inlineStr">
        <is>
          <t>该做没做。多了先修提醒和流程，别先改信号。</t>
        </is>
      </c>
      <c r="F20" s="19" t="n"/>
      <c r="G20" s="19" t="n"/>
      <c r="H20" s="19" t="n"/>
      <c r="I20" s="19" t="n"/>
      <c r="J20" s="19" t="n"/>
    </row>
    <row r="21">
      <c r="B21" s="16" t="inlineStr">
        <is>
          <t>已平仓笔数</t>
        </is>
      </c>
      <c r="C21" s="44">
        <f>IF(AND(ISNUMBER($C$4),ISNUMBER($E$4)),COUNTIFS('例-交易记录'!$S$5:$S$304,"&gt;="&amp;$C$4,'例-交易记录'!$S$5:$S$304,"&lt;="&amp;$E$4,'例-交易记录'!$X$5:$X$304,"已平仓"),"")</f>
        <v>4</v>
      </c>
      <c r="D21" s="44">
        <f>COUNTIF('例-交易记录'!$X$5:$X$304,"已平仓")</f>
        <v>4</v>
      </c>
      <c r="E21" s="19" t="inlineStr">
        <is>
          <t>下面的成绩只算这些。持仓中的不算。</t>
        </is>
      </c>
      <c r="F21" s="19" t="n"/>
      <c r="G21" s="19" t="n"/>
      <c r="H21" s="19" t="n"/>
      <c r="I21" s="19" t="n"/>
      <c r="J21" s="19" t="n"/>
    </row>
    <row r="22">
      <c r="B22" s="16" t="inlineStr">
        <is>
          <t>盈利笔数</t>
        </is>
      </c>
      <c r="C22" s="44">
        <f>IF(AND(ISNUMBER($C$4),ISNUMBER($E$4)),COUNTIFS('例-交易记录'!$S$5:$S$304,"&gt;="&amp;$C$4,'例-交易记录'!$S$5:$S$304,"&lt;="&amp;$E$4,'例-交易记录'!$X$5:$X$304,"已平仓",'例-交易记录'!$AB$5:$AB$304,"&gt;0"),"")</f>
        <v>2</v>
      </c>
      <c r="D22" s="44">
        <f>COUNTIFS('例-交易记录'!$X$5:$X$304,"已平仓",'例-交易记录'!$AB$5:$AB$304,"&gt;0")</f>
        <v>2</v>
      </c>
      <c r="E22" s="19" t="inlineStr">
        <is>
          <t>按净R算，扣完费用还赚才算盈利。</t>
        </is>
      </c>
      <c r="F22" s="19" t="n"/>
      <c r="G22" s="19" t="n"/>
      <c r="H22" s="19" t="n"/>
      <c r="I22" s="19" t="n"/>
      <c r="J22" s="19" t="n"/>
    </row>
    <row r="23">
      <c r="B23" s="16" t="inlineStr">
        <is>
          <t>亏损笔数</t>
        </is>
      </c>
      <c r="C23" s="44">
        <f>IF(AND(ISNUMBER($C$4),ISNUMBER($E$4)),COUNTIFS('例-交易记录'!$S$5:$S$304,"&gt;="&amp;$C$4,'例-交易记录'!$S$5:$S$304,"&lt;="&amp;$E$4,'例-交易记录'!$X$5:$X$304,"已平仓",'例-交易记录'!$AB$5:$AB$304,"&lt;0"),"")</f>
        <v>2</v>
      </c>
      <c r="D23" s="44">
        <f>COUNTIFS('例-交易记录'!$X$5:$X$304,"已平仓",'例-交易记录'!$AB$5:$AB$304,"&lt;0")</f>
        <v>2</v>
      </c>
      <c r="E23" s="19" t="inlineStr"/>
      <c r="F23" s="19" t="n"/>
      <c r="G23" s="19" t="n"/>
      <c r="H23" s="19" t="n"/>
      <c r="I23" s="19" t="n"/>
      <c r="J23" s="19" t="n"/>
    </row>
    <row r="24">
      <c r="B24" s="16" t="inlineStr">
        <is>
          <t>胜率</t>
        </is>
      </c>
      <c r="C24" s="47">
        <f>IF(AND(ISNUMBER($C$4),ISNUMBER($E$4)),IF(N(C21)&gt;0,C22/C21,""),"")</f>
        <v>0.5</v>
      </c>
      <c r="D24" s="47">
        <f>IF(N(D21)&gt;0,D22/D21,"")</f>
        <v>0.5</v>
      </c>
      <c r="E24" s="19" t="inlineStr">
        <is>
          <t>只看胜率会被骗，要和下面两行一起看。</t>
        </is>
      </c>
      <c r="F24" s="19" t="n"/>
      <c r="G24" s="19" t="n"/>
      <c r="H24" s="19" t="n"/>
      <c r="I24" s="19" t="n"/>
      <c r="J24" s="19" t="n"/>
    </row>
    <row r="25">
      <c r="B25" s="16" t="inlineStr">
        <is>
          <t>平均盈利（R）</t>
        </is>
      </c>
      <c r="C25" s="45">
        <f>IF(AND(ISNUMBER($C$4),ISNUMBER($E$4)),IF(N(C22)&gt;0,SUMIFS('例-交易记录'!$AB$5:$AB$304,'例-交易记录'!$S$5:$S$304,"&gt;="&amp;$C$4,'例-交易记录'!$S$5:$S$304,"&lt;="&amp;$E$4,'例-交易记录'!$X$5:$X$304,"已平仓",'例-交易记录'!$AB$5:$AB$304,"&gt;0")/C22,""),"")</f>
        <v>1.46506448412698</v>
      </c>
      <c r="D25" s="45">
        <f>IF(N(D22)&gt;0,SUMIFS('例-交易记录'!$AB$5:$AB$304,'例-交易记录'!$X$5:$X$304,"已平仓",'例-交易记录'!$AB$5:$AB$304,"&gt;0")/D22,"")</f>
        <v>1.46506448412698</v>
      </c>
      <c r="E25" s="19" t="inlineStr"/>
      <c r="F25" s="19" t="n"/>
      <c r="G25" s="19" t="n"/>
      <c r="H25" s="19" t="n"/>
      <c r="I25" s="19" t="n"/>
      <c r="J25" s="19" t="n"/>
    </row>
    <row r="26">
      <c r="B26" s="16" t="inlineStr">
        <is>
          <t>平均亏损（R）</t>
        </is>
      </c>
      <c r="C26" s="45">
        <f>IF(AND(ISNUMBER($C$4),ISNUMBER($E$4)),IF(N(C23)&gt;0,SUMIFS('例-交易记录'!$AB$5:$AB$304,'例-交易记录'!$S$5:$S$304,"&gt;="&amp;$C$4,'例-交易记录'!$S$5:$S$304,"&lt;="&amp;$E$4,'例-交易记录'!$X$5:$X$304,"已平仓",'例-交易记录'!$AB$5:$AB$304,"&lt;0")/C23,""),"")</f>
        <v>-2.13855833333333</v>
      </c>
      <c r="D26" s="45">
        <f>IF(N(D23)&gt;0,SUMIFS('例-交易记录'!$AB$5:$AB$304,'例-交易记录'!$X$5:$X$304,"已平仓",'例-交易记录'!$AB$5:$AB$304,"&lt;0")/D23,"")</f>
        <v>-2.13855833333333</v>
      </c>
      <c r="E26" s="19" t="inlineStr">
        <is>
          <t>平均亏损超过 1R，说明止损常被跳空或扛单打穿。</t>
        </is>
      </c>
      <c r="F26" s="19" t="n"/>
      <c r="G26" s="19" t="n"/>
      <c r="H26" s="19" t="n"/>
      <c r="I26" s="19" t="n"/>
      <c r="J26" s="19" t="n"/>
    </row>
    <row r="27">
      <c r="B27" s="16" t="inlineStr">
        <is>
          <t>每笔平均净R（期望）</t>
        </is>
      </c>
      <c r="C27" s="45">
        <f>IF(AND(ISNUMBER($C$4),ISNUMBER($E$4)),IF(N(C21)&gt;0,SUMIFS('例-交易记录'!$AB$5:$AB$304,'例-交易记录'!$S$5:$S$304,"&gt;="&amp;$C$4,'例-交易记录'!$S$5:$S$304,"&lt;="&amp;$E$4,'例-交易记录'!$X$5:$X$304,"已平仓")/C21,""),"")</f>
        <v>-0.336746924603173</v>
      </c>
      <c r="D27" s="45">
        <f>IF(N(D21)&gt;0,SUMIFS('例-交易记录'!$AB$5:$AB$304,'例-交易记录'!$X$5:$X$304,"已平仓")/D21,"")</f>
        <v>-0.336746924603173</v>
      </c>
      <c r="E27" s="19" t="inlineStr">
        <is>
          <t>最重要的一个数。笔数少时只当参考。</t>
        </is>
      </c>
      <c r="F27" s="19" t="n"/>
      <c r="G27" s="19" t="n"/>
      <c r="H27" s="19" t="n"/>
      <c r="I27" s="19" t="n"/>
      <c r="J27" s="19" t="n"/>
    </row>
    <row r="28">
      <c r="B28" s="16" t="inlineStr">
        <is>
          <t>合计毛R（不扣费用）</t>
        </is>
      </c>
      <c r="C28" s="45">
        <f>IF(AND(ISNUMBER($C$4),ISNUMBER($E$4)),IF(N(C21)&gt;0,SUMIFS('例-交易记录'!$AA$5:$AA$304,'例-交易记录'!$S$5:$S$304,"&gt;="&amp;$C$4,'例-交易记录'!$S$5:$S$304,"&lt;="&amp;$E$4,'例-交易记录'!$X$5:$X$304,"已平仓"),""),"")</f>
        <v>-1.22257575757575</v>
      </c>
      <c r="D28" s="45">
        <f>IF(N(D21)&gt;0,SUMIFS('例-交易记录'!$AA$5:$AA$304,'例-交易记录'!$X$5:$X$304,"已平仓"),"")</f>
        <v>-1.22257575757575</v>
      </c>
      <c r="E28" s="19" t="inlineStr"/>
      <c r="F28" s="19" t="n"/>
      <c r="G28" s="19" t="n"/>
      <c r="H28" s="19" t="n"/>
      <c r="I28" s="19" t="n"/>
      <c r="J28" s="19" t="n"/>
    </row>
    <row r="29">
      <c r="B29" s="16" t="inlineStr">
        <is>
          <t>合计净R（扣完费用）</t>
        </is>
      </c>
      <c r="C29" s="45">
        <f>IF(AND(ISNUMBER($C$4),ISNUMBER($E$4)),IF(N(C21)&gt;0,SUMIFS('例-交易记录'!$AB$5:$AB$304,'例-交易记录'!$S$5:$S$304,"&gt;="&amp;$C$4,'例-交易记录'!$S$5:$S$304,"&lt;="&amp;$E$4,'例-交易记录'!$X$5:$X$304,"已平仓"),""),"")</f>
        <v>-1.34698769841269</v>
      </c>
      <c r="D29" s="45">
        <f>IF(N(D21)&gt;0,SUMIFS('例-交易记录'!$AB$5:$AB$304,'例-交易记录'!$X$5:$X$304,"已平仓"),"")</f>
        <v>-1.34698769841269</v>
      </c>
      <c r="E29" s="19" t="inlineStr"/>
      <c r="F29" s="19" t="n"/>
      <c r="G29" s="19" t="n"/>
      <c r="H29" s="19" t="n"/>
      <c r="I29" s="19" t="n"/>
      <c r="J29" s="19" t="n"/>
    </row>
    <row r="30">
      <c r="B30" s="16" t="inlineStr">
        <is>
          <t>费用吃掉的R</t>
        </is>
      </c>
      <c r="C30" s="61">
        <f>IF(AND(ISNUMBER($C$4),ISNUMBER($E$4)),IF(N(C21)&gt;0,C28-C29,""),"")</f>
        <v>0.124411940836941</v>
      </c>
      <c r="D30" s="61">
        <f>IF(N(D21)&gt;0,D28-D29,"")</f>
        <v>0.124411940836941</v>
      </c>
      <c r="E30" s="19" t="inlineStr">
        <is>
          <t>短线做得越勤，这一行越大。</t>
        </is>
      </c>
      <c r="F30" s="19" t="n"/>
      <c r="G30" s="19" t="n"/>
      <c r="H30" s="19" t="n"/>
      <c r="I30" s="19" t="n"/>
      <c r="J30" s="19" t="n"/>
    </row>
    <row r="31">
      <c r="B31" s="16" t="inlineStr">
        <is>
          <t>合计净盈亏（元）</t>
        </is>
      </c>
      <c r="C31" s="52">
        <f>IF(AND(ISNUMBER($C$4),ISNUMBER($E$4)),IF(N(C21)&gt;0,SUMIFS('例-交易记录'!$Z$5:$Z$304,'例-交易记录'!$S$5:$S$304,"&gt;="&amp;$C$4,'例-交易记录'!$S$5:$S$304,"&lt;="&amp;$E$4,'例-交易记录'!$X$5:$X$304,"已平仓"),""),"")</f>
        <v>-913.579999999998</v>
      </c>
      <c r="D31" s="52">
        <f>IF(N(D21)&gt;0,SUMIFS('例-交易记录'!$Z$5:$Z$304,'例-交易记录'!$X$5:$X$304,"已平仓"),"")</f>
        <v>-913.579999999998</v>
      </c>
      <c r="E31" s="19" t="inlineStr"/>
      <c r="F31" s="19" t="n"/>
      <c r="G31" s="19" t="n"/>
      <c r="H31" s="19" t="n"/>
      <c r="I31" s="19" t="n"/>
      <c r="J31" s="19" t="n"/>
    </row>
    <row r="32">
      <c r="B32" s="16" t="inlineStr">
        <is>
          <t>合计费用（元）</t>
        </is>
      </c>
      <c r="C32" s="51">
        <f>IF(AND(ISNUMBER($C$4),ISNUMBER($E$4)),IF(N(C21)&gt;0,SUMIFS('例-交易记录'!$Y$5:$Y$304,'例-交易记录'!$S$5:$S$304,"&gt;="&amp;$C$4,'例-交易记录'!$S$5:$S$304,"&lt;="&amp;$E$4,'例-交易记录'!$X$5:$X$304,"已平仓"),""),"")</f>
        <v>76.58</v>
      </c>
      <c r="D32" s="51">
        <f>IF(N(D21)&gt;0,SUMIFS('例-交易记录'!$Y$5:$Y$304,'例-交易记录'!$X$5:$X$304,"已平仓"),"")</f>
        <v>76.58</v>
      </c>
      <c r="E32" s="19" t="inlineStr">
        <is>
          <t>佣金、印花税、过户费合计。</t>
        </is>
      </c>
      <c r="F32" s="19" t="n"/>
      <c r="G32" s="19" t="n"/>
      <c r="H32" s="19" t="n"/>
      <c r="I32" s="19" t="n"/>
      <c r="J32" s="19" t="n"/>
    </row>
    <row r="33">
      <c r="B33" s="16" t="inlineStr">
        <is>
          <t>过程 A（完全照计划）</t>
        </is>
      </c>
      <c r="C33" s="44">
        <f>IF(AND(ISNUMBER($C$4),ISNUMBER($E$4)),COUNTIFS('例-交易记录'!$S$5:$S$304,"&gt;="&amp;$C$4,'例-交易记录'!$S$5:$S$304,"&lt;="&amp;$E$4,'例-交易记录'!$X$5:$X$304,"已平仓",'例-交易记录'!$AD$5:$AD$304,"A"),"")</f>
        <v>2</v>
      </c>
      <c r="D33" s="44">
        <f>COUNTIFS('例-交易记录'!$X$5:$X$304,"已平仓",'例-交易记录'!$AD$5:$AD$304,"A")</f>
        <v>2</v>
      </c>
      <c r="E33" s="19" t="inlineStr"/>
      <c r="F33" s="19" t="n"/>
      <c r="G33" s="19" t="n"/>
      <c r="H33" s="19" t="n"/>
      <c r="I33" s="19" t="n"/>
      <c r="J33" s="19" t="n"/>
    </row>
    <row r="34">
      <c r="B34" s="16" t="inlineStr">
        <is>
          <t>过程 B（小偏差）</t>
        </is>
      </c>
      <c r="C34" s="44">
        <f>IF(AND(ISNUMBER($C$4),ISNUMBER($E$4)),COUNTIFS('例-交易记录'!$S$5:$S$304,"&gt;="&amp;$C$4,'例-交易记录'!$S$5:$S$304,"&lt;="&amp;$E$4,'例-交易记录'!$X$5:$X$304,"已平仓",'例-交易记录'!$AD$5:$AD$304,"B"),"")</f>
        <v>0</v>
      </c>
      <c r="D34" s="44">
        <f>COUNTIFS('例-交易记录'!$X$5:$X$304,"已平仓",'例-交易记录'!$AD$5:$AD$304,"B")</f>
        <v>0</v>
      </c>
      <c r="E34" s="19" t="inlineStr"/>
      <c r="F34" s="19" t="n"/>
      <c r="G34" s="19" t="n"/>
      <c r="H34" s="19" t="n"/>
      <c r="I34" s="19" t="n"/>
      <c r="J34" s="19" t="n"/>
    </row>
    <row r="35">
      <c r="B35" s="16" t="inlineStr">
        <is>
          <t>过程 C（违反一条规则）</t>
        </is>
      </c>
      <c r="C35" s="44">
        <f>IF(AND(ISNUMBER($C$4),ISNUMBER($E$4)),COUNTIFS('例-交易记录'!$S$5:$S$304,"&gt;="&amp;$C$4,'例-交易记录'!$S$5:$S$304,"&lt;="&amp;$E$4,'例-交易记录'!$X$5:$X$304,"已平仓",'例-交易记录'!$AD$5:$AD$304,"C"),"")</f>
        <v>2</v>
      </c>
      <c r="D35" s="44">
        <f>COUNTIFS('例-交易记录'!$X$5:$X$304,"已平仓",'例-交易记录'!$AD$5:$AD$304,"C")</f>
        <v>2</v>
      </c>
      <c r="E35" s="19" t="inlineStr"/>
      <c r="F35" s="19" t="n"/>
      <c r="G35" s="19" t="n"/>
      <c r="H35" s="19" t="n"/>
      <c r="I35" s="19" t="n"/>
      <c r="J35" s="19" t="n"/>
    </row>
    <row r="36">
      <c r="B36" s="16" t="inlineStr">
        <is>
          <t>过程 D（没计划就下单）</t>
        </is>
      </c>
      <c r="C36" s="44">
        <f>IF(AND(ISNUMBER($C$4),ISNUMBER($E$4)),COUNTIFS('例-交易记录'!$S$5:$S$304,"&gt;="&amp;$C$4,'例-交易记录'!$S$5:$S$304,"&lt;="&amp;$E$4,'例-交易记录'!$X$5:$X$304,"已平仓",'例-交易记录'!$AD$5:$AD$304,"D"),"")</f>
        <v>0</v>
      </c>
      <c r="D36" s="44">
        <f>COUNTIFS('例-交易记录'!$X$5:$X$304,"已平仓",'例-交易记录'!$AD$5:$AD$304,"D")</f>
        <v>0</v>
      </c>
      <c r="E36" s="19" t="inlineStr"/>
      <c r="F36" s="19" t="n"/>
      <c r="G36" s="19" t="n"/>
      <c r="H36" s="19" t="n"/>
      <c r="I36" s="19" t="n"/>
      <c r="J36" s="19" t="n"/>
    </row>
    <row r="37">
      <c r="B37" s="16" t="inlineStr">
        <is>
          <t>A 档占比</t>
        </is>
      </c>
      <c r="C37" s="47">
        <f>IF(AND(ISNUMBER($C$4),ISNUMBER($E$4)),IF(N(C21)&gt;0,C33/C21,""),"")</f>
        <v>0.5</v>
      </c>
      <c r="D37" s="47">
        <f>IF(N(D21)&gt;0,D33/D21,"")</f>
        <v>0.5</v>
      </c>
      <c r="E37" s="19" t="inlineStr">
        <is>
          <t>这个比例在涨，说明执行在变好，哪怕这周亏了钱。</t>
        </is>
      </c>
      <c r="F37" s="19" t="n"/>
      <c r="G37" s="19" t="n"/>
      <c r="H37" s="19" t="n"/>
      <c r="I37" s="19" t="n"/>
      <c r="J37" s="19" t="n"/>
    </row>
    <row r="38">
      <c r="B38" s="16" t="inlineStr">
        <is>
          <t>赚了钱的坏交易（C/D 档却赚了）</t>
        </is>
      </c>
      <c r="C38" s="44">
        <f>IF(AND(ISNUMBER($C$4),ISNUMBER($E$4)),COUNTIFS('例-交易记录'!$S$5:$S$304,"&gt;="&amp;$C$4,'例-交易记录'!$S$5:$S$304,"&lt;="&amp;$E$4,'例-交易记录'!$X$5:$X$304,"已平仓",'例-交易记录'!$AD$5:$AD$304,"C",'例-交易记录'!$AB$5:$AB$304,"&gt;0")+COUNTIFS('例-交易记录'!$S$5:$S$304,"&gt;="&amp;$C$4,'例-交易记录'!$S$5:$S$304,"&lt;="&amp;$E$4,'例-交易记录'!$X$5:$X$304,"已平仓",'例-交易记录'!$AD$5:$AD$304,"D",'例-交易记录'!$AB$5:$AB$304,"&gt;0"),"")</f>
        <v>1</v>
      </c>
      <c r="D38" s="44">
        <f>COUNTIFS('例-交易记录'!$X$5:$X$304,"已平仓",'例-交易记录'!$AD$5:$AD$304,"C",'例-交易记录'!$AB$5:$AB$304,"&gt;0")+COUNTIFS('例-交易记录'!$X$5:$X$304,"已平仓",'例-交易记录'!$AD$5:$AD$304,"D",'例-交易记录'!$AB$5:$AB$304,"&gt;0")</f>
        <v>1</v>
      </c>
      <c r="E38" s="19" t="inlineStr">
        <is>
          <t>最需要复盘的一类：它会让你下次继续违规。</t>
        </is>
      </c>
      <c r="F38" s="19" t="n"/>
      <c r="G38" s="19" t="n"/>
      <c r="H38" s="19" t="n"/>
      <c r="I38" s="19" t="n"/>
      <c r="J38" s="19" t="n"/>
    </row>
    <row r="39">
      <c r="B39" s="16" t="inlineStr">
        <is>
          <t>照计划做的（A/B）每笔平均净R</t>
        </is>
      </c>
      <c r="C39" s="45">
        <f>IF(AND(ISNUMBER($C$4),ISNUMBER($E$4)),IF(N(C33)+N(C34)&gt;0,(SUMIFS('例-交易记录'!$AB$5:$AB$304,'例-交易记录'!$S$5:$S$304,"&gt;="&amp;$C$4,'例-交易记录'!$S$5:$S$304,"&lt;="&amp;$E$4,'例-交易记录'!$X$5:$X$304,"已平仓",'例-交易记录'!$AD$5:$AD$304,"A")+SUMIFS('例-交易记录'!$AB$5:$AB$304,'例-交易记录'!$S$5:$S$304,"&gt;="&amp;$C$4,'例-交易记录'!$S$5:$S$304,"&lt;="&amp;$E$4,'例-交易记录'!$X$5:$X$304,"已平仓",'例-交易记录'!$AD$5:$AD$304,"B"))/(C33+C34),""),"")</f>
        <v>0.329696428571428</v>
      </c>
      <c r="D39" s="45">
        <f>IF(N(D33)+N(D34)&gt;0,(SUMIFS('例-交易记录'!$AB$5:$AB$304,'例-交易记录'!$X$5:$X$304,"已平仓",'例-交易记录'!$AD$5:$AD$304,"A")+SUMIFS('例-交易记录'!$AB$5:$AB$304,'例-交易记录'!$X$5:$X$304,"已平仓",'例-交易记录'!$AD$5:$AD$304,"B"))/(D33+D34),"")</f>
        <v>0.329696428571428</v>
      </c>
      <c r="E39" s="19" t="inlineStr">
        <is>
          <t>和下一行比：规则本身赚不赚钱，先看照做的这些。</t>
        </is>
      </c>
      <c r="F39" s="19" t="n"/>
      <c r="G39" s="19" t="n"/>
      <c r="H39" s="19" t="n"/>
      <c r="I39" s="19" t="n"/>
      <c r="J39" s="19" t="n"/>
    </row>
    <row r="40">
      <c r="B40" s="16" t="inlineStr">
        <is>
          <t>违规的（C/D）每笔平均净R</t>
        </is>
      </c>
      <c r="C40" s="45">
        <f>IF(AND(ISNUMBER($C$4),ISNUMBER($E$4)),IF(N(C35)+N(C36)&gt;0,(SUMIFS('例-交易记录'!$AB$5:$AB$304,'例-交易记录'!$S$5:$S$304,"&gt;="&amp;$C$4,'例-交易记录'!$S$5:$S$304,"&lt;="&amp;$E$4,'例-交易记录'!$X$5:$X$304,"已平仓",'例-交易记录'!$AD$5:$AD$304,"C")+SUMIFS('例-交易记录'!$AB$5:$AB$304,'例-交易记录'!$S$5:$S$304,"&gt;="&amp;$C$4,'例-交易记录'!$S$5:$S$304,"&lt;="&amp;$E$4,'例-交易记录'!$X$5:$X$304,"已平仓",'例-交易记录'!$AD$5:$AD$304,"D"))/(C35+C36),""),"")</f>
        <v>-1.00319027777777</v>
      </c>
      <c r="D40" s="45">
        <f>IF(N(D35)+N(D36)&gt;0,(SUMIFS('例-交易记录'!$AB$5:$AB$304,'例-交易记录'!$X$5:$X$304,"已平仓",'例-交易记录'!$AD$5:$AD$304,"C")+SUMIFS('例-交易记录'!$AB$5:$AB$304,'例-交易记录'!$X$5:$X$304,"已平仓",'例-交易记录'!$AD$5:$AD$304,"D"))/(D35+D36),"")</f>
        <v>-1.00319027777777</v>
      </c>
      <c r="E40" s="19" t="inlineStr"/>
      <c r="F40" s="19" t="n"/>
      <c r="G40" s="19" t="n"/>
      <c r="H40" s="19" t="n"/>
      <c r="I40" s="19" t="n"/>
      <c r="J40" s="19" t="n"/>
    </row>
    <row r="41">
      <c r="B41" s="16" t="inlineStr">
        <is>
          <t>持仓中（现在）</t>
        </is>
      </c>
      <c r="C41" s="44">
        <f>IF(AND(ISNUMBER($C$4),ISNUMBER($E$4)),COUNTIF('例-交易记录'!$X$5:$X$304,"持仓中"),"")</f>
        <v>1</v>
      </c>
      <c r="D41" s="44">
        <f>COUNTIF('例-交易记录'!$X$5:$X$304,"持仓中")</f>
        <v>1</v>
      </c>
      <c r="E41" s="19" t="inlineStr">
        <is>
          <t>没平仓的不进成绩。</t>
        </is>
      </c>
      <c r="F41" s="19" t="n"/>
      <c r="G41" s="19" t="n"/>
      <c r="H41" s="19" t="n"/>
      <c r="I41" s="19" t="n"/>
      <c r="J41" s="19" t="n"/>
    </row>
    <row r="42">
      <c r="B42" s="16" t="inlineStr">
        <is>
          <t>最大回撤（R，全部记录）</t>
        </is>
      </c>
      <c r="C42" s="61" t="str">
        <f>""</f>
        <v/>
      </c>
      <c r="D42" s="61">
        <f>IF(COUNT('例-交易记录'!$AH$5:$AH$304)=0,"",MAX('例-交易记录'!$AH$5:$AH$304))</f>
        <v>3.17163055555555</v>
      </c>
      <c r="E42" s="19" t="inlineStr">
        <is>
          <t>按交易记录的先后顺序累计净R，从最高点往下最多回了几 R。</t>
        </is>
      </c>
      <c r="F42" s="19" t="n"/>
      <c r="G42" s="19" t="n"/>
      <c r="H42" s="19" t="n"/>
      <c r="I42" s="19" t="n"/>
      <c r="J42" s="19" t="n"/>
    </row>
    <row r="43">
      <c r="B43" s="16" t="inlineStr">
        <is>
          <t>最大单笔亏损（R，全部记录）</t>
        </is>
      </c>
      <c r="C43" s="45" t="str">
        <f>""</f>
        <v/>
      </c>
      <c r="D43" s="45">
        <f>IF(COUNT('例-交易记录'!$AB$5:$AB$304)=0,"",MIN('例-交易记录'!$AB$5:$AB$304))</f>
        <v>-3.11186666666666</v>
      </c>
      <c r="E43" s="19" t="inlineStr">
        <is>
          <t>超过 -2R 的单，逐笔回去看是跳空、跌停还是扛单。</t>
        </is>
      </c>
      <c r="F43" s="19" t="n"/>
      <c r="G43" s="19" t="n"/>
      <c r="H43" s="19" t="n"/>
      <c r="I43" s="19" t="n"/>
      <c r="J43" s="19" t="n"/>
    </row>
    <row r="45">
      <c r="B45" s="15" t="inlineStr">
        <is>
          <t>3. 偏差标签：最常犯的是哪一个</t>
        </is>
      </c>
    </row>
    <row r="46">
      <c r="B46" s="25" t="inlineStr">
        <is>
          <t>标签</t>
        </is>
      </c>
      <c r="C46" s="25" t="inlineStr">
        <is>
          <t>本区间笔数</t>
        </is>
      </c>
      <c r="D46" s="25" t="inlineStr">
        <is>
          <t>全部笔数</t>
        </is>
      </c>
      <c r="E46" s="25" t="inlineStr">
        <is>
          <t>全部合计净R</t>
        </is>
      </c>
      <c r="F46" s="25" t="inlineStr">
        <is>
          <t>提示</t>
        </is>
      </c>
    </row>
    <row r="47">
      <c r="B47" s="62" t="str">
        <f>T('参数'!$E$43)</f>
        <v>无</v>
      </c>
      <c r="C47" s="44">
        <f>IF(OR(B47="",NOT(AND(ISNUMBER($C$4),ISNUMBER($E$4)))),"",COUNTIFS('例-交易记录'!$S$5:$S$304,"&gt;="&amp;$C$4,'例-交易记录'!$S$5:$S$304,"&lt;="&amp;$E$4,'例-交易记录'!$X$5:$X$304,"已平仓",'例-交易记录'!$AE$5:$AE$304,B47))</f>
        <v>2</v>
      </c>
      <c r="D47" s="44">
        <f>IF(B47="","",COUNTIFS('例-交易记录'!$X$5:$X$304,"已平仓",'例-交易记录'!$AE$5:$AE$304,B47))</f>
        <v>2</v>
      </c>
      <c r="E47" s="45">
        <f>IF(B47="","",SUMIFS('例-交易记录'!$AB$5:$AB$304,'例-交易记录'!$X$5:$X$304,"已平仓",'例-交易记录'!$AE$5:$AE$304,B47))</f>
        <v>0.659392857142856</v>
      </c>
      <c r="F47" s="36" t="str">
        <f>IF(AND(B47&lt;&gt;"",B47&lt;&gt;"无",N(C47)&gt;0,N(C47)=MAX($L$47:$L$56)),"本区间最多","")</f>
        <v/>
      </c>
      <c r="L47" s="40">
        <f>IF(OR(B47="",B47="无"),0,N(C47))</f>
        <v>0</v>
      </c>
    </row>
    <row r="48">
      <c r="B48" s="62" t="str">
        <f>T('参数'!$E$44)</f>
        <v>追单</v>
      </c>
      <c r="C48" s="44">
        <f>IF(OR(B48="",NOT(AND(ISNUMBER($C$4),ISNUMBER($E$4)))),"",COUNTIFS('例-交易记录'!$S$5:$S$304,"&gt;="&amp;$C$4,'例-交易记录'!$S$5:$S$304,"&lt;="&amp;$E$4,'例-交易记录'!$X$5:$X$304,"已平仓",'例-交易记录'!$AE$5:$AE$304,B48))</f>
        <v>1</v>
      </c>
      <c r="D48" s="44">
        <f>IF(B48="","",COUNTIFS('例-交易记录'!$X$5:$X$304,"已平仓",'例-交易记录'!$AE$5:$AE$304,B48))</f>
        <v>1</v>
      </c>
      <c r="E48" s="45">
        <f>IF(B48="","",SUMIFS('例-交易记录'!$AB$5:$AB$304,'例-交易记录'!$X$5:$X$304,"已平仓",'例-交易记录'!$AE$5:$AE$304,B48))</f>
        <v>1.10548611111111</v>
      </c>
      <c r="F48" s="36" t="str">
        <f>IF(AND(B48&lt;&gt;"",B48&lt;&gt;"无",N(C48)&gt;0,N(C48)=MAX($L$47:$L$56)),"本区间最多","")</f>
        <v>本区间最多</v>
      </c>
      <c r="L48" s="40">
        <f>IF(OR(B48="",B48="无"),0,N(C48))</f>
        <v>1</v>
      </c>
    </row>
    <row r="49">
      <c r="B49" s="62" t="str">
        <f>T('参数'!$E$45)</f>
        <v>扛单</v>
      </c>
      <c r="C49" s="44">
        <f>IF(OR(B49="",NOT(AND(ISNUMBER($C$4),ISNUMBER($E$4)))),"",COUNTIFS('例-交易记录'!$S$5:$S$304,"&gt;="&amp;$C$4,'例-交易记录'!$S$5:$S$304,"&lt;="&amp;$E$4,'例-交易记录'!$X$5:$X$304,"已平仓",'例-交易记录'!$AE$5:$AE$304,B49))</f>
        <v>1</v>
      </c>
      <c r="D49" s="44">
        <f>IF(B49="","",COUNTIFS('例-交易记录'!$X$5:$X$304,"已平仓",'例-交易记录'!$AE$5:$AE$304,B49))</f>
        <v>1</v>
      </c>
      <c r="E49" s="45">
        <f>IF(B49="","",SUMIFS('例-交易记录'!$AB$5:$AB$304,'例-交易记录'!$X$5:$X$304,"已平仓",'例-交易记录'!$AE$5:$AE$304,B49))</f>
        <v>-3.11186666666666</v>
      </c>
      <c r="F49" s="36" t="str">
        <f>IF(AND(B49&lt;&gt;"",B49&lt;&gt;"无",N(C49)&gt;0,N(C49)=MAX($L$47:$L$56)),"本区间最多","")</f>
        <v>本区间最多</v>
      </c>
      <c r="L49" s="40">
        <f>IF(OR(B49="",B49="无"),0,N(C49))</f>
        <v>1</v>
      </c>
    </row>
    <row r="50">
      <c r="B50" s="62" t="str">
        <f>T('参数'!$E$46)</f>
        <v>提前跑</v>
      </c>
      <c r="C50" s="44">
        <f>IF(OR(B50="",NOT(AND(ISNUMBER($C$4),ISNUMBER($E$4)))),"",COUNTIFS('例-交易记录'!$S$5:$S$304,"&gt;="&amp;$C$4,'例-交易记录'!$S$5:$S$304,"&lt;="&amp;$E$4,'例-交易记录'!$X$5:$X$304,"已平仓",'例-交易记录'!$AE$5:$AE$304,B50))</f>
        <v>0</v>
      </c>
      <c r="D50" s="44">
        <f>IF(B50="","",COUNTIFS('例-交易记录'!$X$5:$X$304,"已平仓",'例-交易记录'!$AE$5:$AE$304,B50))</f>
        <v>0</v>
      </c>
      <c r="E50" s="45">
        <f>IF(B50="","",SUMIFS('例-交易记录'!$AB$5:$AB$304,'例-交易记录'!$X$5:$X$304,"已平仓",'例-交易记录'!$AE$5:$AE$304,B50))</f>
        <v>0</v>
      </c>
      <c r="F50" s="36" t="str">
        <f>IF(AND(B50&lt;&gt;"",B50&lt;&gt;"无",N(C50)&gt;0,N(C50)=MAX($L$47:$L$56)),"本区间最多","")</f>
        <v/>
      </c>
      <c r="L50" s="40">
        <f>IF(OR(B50="",B50="无"),0,N(C50))</f>
        <v>0</v>
      </c>
    </row>
    <row r="51">
      <c r="B51" s="62" t="str">
        <f>T('参数'!$E$47)</f>
        <v>加仓回本</v>
      </c>
      <c r="C51" s="44">
        <f>IF(OR(B51="",NOT(AND(ISNUMBER($C$4),ISNUMBER($E$4)))),"",COUNTIFS('例-交易记录'!$S$5:$S$304,"&gt;="&amp;$C$4,'例-交易记录'!$S$5:$S$304,"&lt;="&amp;$E$4,'例-交易记录'!$X$5:$X$304,"已平仓",'例-交易记录'!$AE$5:$AE$304,B51))</f>
        <v>0</v>
      </c>
      <c r="D51" s="44">
        <f>IF(B51="","",COUNTIFS('例-交易记录'!$X$5:$X$304,"已平仓",'例-交易记录'!$AE$5:$AE$304,B51))</f>
        <v>0</v>
      </c>
      <c r="E51" s="45">
        <f>IF(B51="","",SUMIFS('例-交易记录'!$AB$5:$AB$304,'例-交易记录'!$X$5:$X$304,"已平仓",'例-交易记录'!$AE$5:$AE$304,B51))</f>
        <v>0</v>
      </c>
      <c r="F51" s="36" t="str">
        <f>IF(AND(B51&lt;&gt;"",B51&lt;&gt;"无",N(C51)&gt;0,N(C51)=MAX($L$47:$L$56)),"本区间最多","")</f>
        <v/>
      </c>
      <c r="L51" s="40">
        <f>IF(OR(B51="",B51="无"),0,N(C51))</f>
        <v>0</v>
      </c>
    </row>
    <row r="52">
      <c r="B52" s="62" t="str">
        <f>T('参数'!$E$48)</f>
        <v>没计划</v>
      </c>
      <c r="C52" s="44">
        <f>IF(OR(B52="",NOT(AND(ISNUMBER($C$4),ISNUMBER($E$4)))),"",COUNTIFS('例-交易记录'!$S$5:$S$304,"&gt;="&amp;$C$4,'例-交易记录'!$S$5:$S$304,"&lt;="&amp;$E$4,'例-交易记录'!$X$5:$X$304,"已平仓",'例-交易记录'!$AE$5:$AE$304,B52))</f>
        <v>0</v>
      </c>
      <c r="D52" s="44">
        <f>IF(B52="","",COUNTIFS('例-交易记录'!$X$5:$X$304,"已平仓",'例-交易记录'!$AE$5:$AE$304,B52))</f>
        <v>0</v>
      </c>
      <c r="E52" s="45">
        <f>IF(B52="","",SUMIFS('例-交易记录'!$AB$5:$AB$304,'例-交易记录'!$X$5:$X$304,"已平仓",'例-交易记录'!$AE$5:$AE$304,B52))</f>
        <v>0</v>
      </c>
      <c r="F52" s="36" t="str">
        <f>IF(AND(B52&lt;&gt;"",B52&lt;&gt;"无",N(C52)&gt;0,N(C52)=MAX($L$47:$L$56)),"本区间最多","")</f>
        <v/>
      </c>
      <c r="L52" s="40">
        <f>IF(OR(B52="",B52="无"),0,N(C52))</f>
        <v>0</v>
      </c>
    </row>
    <row r="53">
      <c r="B53" s="62" t="str">
        <f>T('参数'!$E$49)</f>
        <v>超仓位</v>
      </c>
      <c r="C53" s="44">
        <f>IF(OR(B53="",NOT(AND(ISNUMBER($C$4),ISNUMBER($E$4)))),"",COUNTIFS('例-交易记录'!$S$5:$S$304,"&gt;="&amp;$C$4,'例-交易记录'!$S$5:$S$304,"&lt;="&amp;$E$4,'例-交易记录'!$X$5:$X$304,"已平仓",'例-交易记录'!$AE$5:$AE$304,B53))</f>
        <v>0</v>
      </c>
      <c r="D53" s="44">
        <f>IF(B53="","",COUNTIFS('例-交易记录'!$X$5:$X$304,"已平仓",'例-交易记录'!$AE$5:$AE$304,B53))</f>
        <v>0</v>
      </c>
      <c r="E53" s="45">
        <f>IF(B53="","",SUMIFS('例-交易记录'!$AB$5:$AB$304,'例-交易记录'!$X$5:$X$304,"已平仓",'例-交易记录'!$AE$5:$AE$304,B53))</f>
        <v>0</v>
      </c>
      <c r="F53" s="36" t="str">
        <f>IF(AND(B53&lt;&gt;"",B53&lt;&gt;"无",N(C53)&gt;0,N(C53)=MAX($L$47:$L$56)),"本区间最多","")</f>
        <v/>
      </c>
      <c r="L53" s="40">
        <f>IF(OR(B53="",B53="无"),0,N(C53))</f>
        <v>0</v>
      </c>
    </row>
    <row r="54">
      <c r="B54" s="62" t="str">
        <f>T('参数'!$E$50)</f>
        <v>止损挪远</v>
      </c>
      <c r="C54" s="44">
        <f>IF(OR(B54="",NOT(AND(ISNUMBER($C$4),ISNUMBER($E$4)))),"",COUNTIFS('例-交易记录'!$S$5:$S$304,"&gt;="&amp;$C$4,'例-交易记录'!$S$5:$S$304,"&lt;="&amp;$E$4,'例-交易记录'!$X$5:$X$304,"已平仓",'例-交易记录'!$AE$5:$AE$304,B54))</f>
        <v>0</v>
      </c>
      <c r="D54" s="44">
        <f>IF(B54="","",COUNTIFS('例-交易记录'!$X$5:$X$304,"已平仓",'例-交易记录'!$AE$5:$AE$304,B54))</f>
        <v>0</v>
      </c>
      <c r="E54" s="45">
        <f>IF(B54="","",SUMIFS('例-交易记录'!$AB$5:$AB$304,'例-交易记录'!$X$5:$X$304,"已平仓",'例-交易记录'!$AE$5:$AE$304,B54))</f>
        <v>0</v>
      </c>
      <c r="F54" s="36" t="str">
        <f>IF(AND(B54&lt;&gt;"",B54&lt;&gt;"无",N(C54)&gt;0,N(C54)=MAX($L$47:$L$56)),"本区间最多","")</f>
        <v/>
      </c>
      <c r="L54" s="40">
        <f>IF(OR(B54="",B54="无"),0,N(C54))</f>
        <v>0</v>
      </c>
    </row>
    <row r="55">
      <c r="B55" s="62" t="str">
        <f>T('参数'!$E$51)</f>
        <v>盘中改计划</v>
      </c>
      <c r="C55" s="44">
        <f>IF(OR(B55="",NOT(AND(ISNUMBER($C$4),ISNUMBER($E$4)))),"",COUNTIFS('例-交易记录'!$S$5:$S$304,"&gt;="&amp;$C$4,'例-交易记录'!$S$5:$S$304,"&lt;="&amp;$E$4,'例-交易记录'!$X$5:$X$304,"已平仓",'例-交易记录'!$AE$5:$AE$304,B55))</f>
        <v>0</v>
      </c>
      <c r="D55" s="44">
        <f>IF(B55="","",COUNTIFS('例-交易记录'!$X$5:$X$304,"已平仓",'例-交易记录'!$AE$5:$AE$304,B55))</f>
        <v>0</v>
      </c>
      <c r="E55" s="45">
        <f>IF(B55="","",SUMIFS('例-交易记录'!$AB$5:$AB$304,'例-交易记录'!$X$5:$X$304,"已平仓",'例-交易记录'!$AE$5:$AE$304,B55))</f>
        <v>0</v>
      </c>
      <c r="F55" s="36" t="str">
        <f>IF(AND(B55&lt;&gt;"",B55&lt;&gt;"无",N(C55)&gt;0,N(C55)=MAX($L$47:$L$56)),"本区间最多","")</f>
        <v/>
      </c>
      <c r="L55" s="40">
        <f>IF(OR(B55="",B55="无"),0,N(C55))</f>
        <v>0</v>
      </c>
    </row>
    <row r="56">
      <c r="B56" s="62" t="str">
        <f>T('参数'!$E$52)</f>
        <v>其他</v>
      </c>
      <c r="C56" s="44">
        <f>IF(OR(B56="",NOT(AND(ISNUMBER($C$4),ISNUMBER($E$4)))),"",COUNTIFS('例-交易记录'!$S$5:$S$304,"&gt;="&amp;$C$4,'例-交易记录'!$S$5:$S$304,"&lt;="&amp;$E$4,'例-交易记录'!$X$5:$X$304,"已平仓",'例-交易记录'!$AE$5:$AE$304,B56))</f>
        <v>0</v>
      </c>
      <c r="D56" s="44">
        <f>IF(B56="","",COUNTIFS('例-交易记录'!$X$5:$X$304,"已平仓",'例-交易记录'!$AE$5:$AE$304,B56))</f>
        <v>0</v>
      </c>
      <c r="E56" s="45">
        <f>IF(B56="","",SUMIFS('例-交易记录'!$AB$5:$AB$304,'例-交易记录'!$X$5:$X$304,"已平仓",'例-交易记录'!$AE$5:$AE$304,B56))</f>
        <v>0</v>
      </c>
      <c r="F56" s="36" t="str">
        <f>IF(AND(B56&lt;&gt;"",B56&lt;&gt;"无",N(C56)&gt;0,N(C56)=MAX($L$47:$L$56)),"本区间最多","")</f>
        <v/>
      </c>
      <c r="L56" s="40">
        <f>IF(OR(B56="",B56="无"),0,N(C56))</f>
        <v>0</v>
      </c>
    </row>
    <row r="58">
      <c r="B58" s="15" t="inlineStr">
        <is>
          <t>4. 分组看（全部已平仓记录；少于 10 笔只看不下结论）</t>
        </is>
      </c>
    </row>
    <row r="59">
      <c r="B59" s="25" t="inlineStr">
        <is>
          <t>买点类型</t>
        </is>
      </c>
      <c r="C59" s="25" t="inlineStr">
        <is>
          <t>笔数</t>
        </is>
      </c>
      <c r="D59" s="25" t="inlineStr">
        <is>
          <t>胜率</t>
        </is>
      </c>
      <c r="E59" s="25" t="inlineStr">
        <is>
          <t>每笔平均净R</t>
        </is>
      </c>
      <c r="F59" s="25" t="inlineStr">
        <is>
          <t>合计净R</t>
        </is>
      </c>
      <c r="G59" s="25" t="inlineStr">
        <is>
          <t>样本</t>
        </is>
      </c>
    </row>
    <row r="60">
      <c r="B60" s="62" t="str">
        <f>T('参数'!$B$43)</f>
        <v>打板</v>
      </c>
      <c r="C60" s="44">
        <f>IF(B60="","",COUNTIFS('例-交易记录'!$X$5:$X$304,"已平仓",'例-交易记录'!$F$5:$F$304,B60))</f>
        <v>1</v>
      </c>
      <c r="D60" s="47">
        <f>IF(N(C60)&gt;0,COUNTIFS('例-交易记录'!$X$5:$X$304,"已平仓",'例-交易记录'!$F$5:$F$304,B60,'例-交易记录'!$AB$5:$AB$304,"&gt;0")/C60,"")</f>
        <v>0</v>
      </c>
      <c r="E60" s="45">
        <f>IF(N(C60)&gt;0,SUMIFS('例-交易记录'!$AB$5:$AB$304,'例-交易记录'!$X$5:$X$304,"已平仓",'例-交易记录'!$F$5:$F$304,B60)/C60,"")</f>
        <v>-3.11186666666666</v>
      </c>
      <c r="F60" s="45">
        <f>IF(N(C60)&gt;0,SUMIFS('例-交易记录'!$AB$5:$AB$304,'例-交易记录'!$X$5:$X$304,"已平仓",'例-交易记录'!$F$5:$F$304,B60),"")</f>
        <v>-3.11186666666666</v>
      </c>
      <c r="G60" s="36" t="str">
        <f>IF(N(C60)=0,"",IF(C60&lt;10,"样本太少",""))</f>
        <v>样本太少</v>
      </c>
    </row>
    <row r="61">
      <c r="B61" s="62" t="str">
        <f>T('参数'!$B$44)</f>
        <v>半路</v>
      </c>
      <c r="C61" s="44">
        <f>IF(B61="","",COUNTIFS('例-交易记录'!$X$5:$X$304,"已平仓",'例-交易记录'!$F$5:$F$304,B61))</f>
        <v>2</v>
      </c>
      <c r="D61" s="47">
        <f>IF(N(C61)&gt;0,COUNTIFS('例-交易记录'!$X$5:$X$304,"已平仓",'例-交易记录'!$F$5:$F$304,B61,'例-交易记录'!$AB$5:$AB$304,"&gt;0")/C61,"")</f>
        <v>0.5</v>
      </c>
      <c r="E61" s="45">
        <f>IF(N(C61)&gt;0,SUMIFS('例-交易记录'!$AB$5:$AB$304,'例-交易记录'!$X$5:$X$304,"已平仓",'例-交易记录'!$F$5:$F$304,B61)/C61,"")</f>
        <v>-0.0298819444444445</v>
      </c>
      <c r="F61" s="45">
        <f>IF(N(C61)&gt;0,SUMIFS('例-交易记录'!$AB$5:$AB$304,'例-交易记录'!$X$5:$X$304,"已平仓",'例-交易记录'!$F$5:$F$304,B61),"")</f>
        <v>-0.059763888888889</v>
      </c>
      <c r="G61" s="36" t="str">
        <f>IF(N(C61)=0,"",IF(C61&lt;10,"样本太少",""))</f>
        <v>样本太少</v>
      </c>
    </row>
    <row r="62">
      <c r="B62" s="62" t="str">
        <f>T('参数'!$B$45)</f>
        <v>低吸</v>
      </c>
      <c r="C62" s="44">
        <f>IF(B62="","",COUNTIFS('例-交易记录'!$X$5:$X$304,"已平仓",'例-交易记录'!$F$5:$F$304,B62))</f>
        <v>1</v>
      </c>
      <c r="D62" s="47">
        <f>IF(N(C62)&gt;0,COUNTIFS('例-交易记录'!$X$5:$X$304,"已平仓",'例-交易记录'!$F$5:$F$304,B62,'例-交易记录'!$AB$5:$AB$304,"&gt;0")/C62,"")</f>
        <v>1</v>
      </c>
      <c r="E62" s="45">
        <f>IF(N(C62)&gt;0,SUMIFS('例-交易记录'!$AB$5:$AB$304,'例-交易记录'!$X$5:$X$304,"已平仓",'例-交易记录'!$F$5:$F$304,B62)/C62,"")</f>
        <v>1.82464285714286</v>
      </c>
      <c r="F62" s="45">
        <f>IF(N(C62)&gt;0,SUMIFS('例-交易记录'!$AB$5:$AB$304,'例-交易记录'!$X$5:$X$304,"已平仓",'例-交易记录'!$F$5:$F$304,B62),"")</f>
        <v>1.82464285714286</v>
      </c>
      <c r="G62" s="36" t="str">
        <f>IF(N(C62)=0,"",IF(C62&lt;10,"样本太少",""))</f>
        <v>样本太少</v>
      </c>
    </row>
    <row r="63">
      <c r="B63" s="62" t="str">
        <f>T('参数'!$B$46)</f>
        <v>尾盘</v>
      </c>
      <c r="C63" s="44">
        <f>IF(B63="","",COUNTIFS('例-交易记录'!$X$5:$X$304,"已平仓",'例-交易记录'!$F$5:$F$304,B63))</f>
        <v>0</v>
      </c>
      <c r="D63" s="47" t="str">
        <f>IF(N(C63)&gt;0,COUNTIFS('例-交易记录'!$X$5:$X$304,"已平仓",'例-交易记录'!$F$5:$F$304,B63,'例-交易记录'!$AB$5:$AB$304,"&gt;0")/C63,"")</f>
        <v/>
      </c>
      <c r="E63" s="45" t="str">
        <f>IF(N(C63)&gt;0,SUMIFS('例-交易记录'!$AB$5:$AB$304,'例-交易记录'!$X$5:$X$304,"已平仓",'例-交易记录'!$F$5:$F$304,B63)/C63,"")</f>
        <v/>
      </c>
      <c r="F63" s="45" t="str">
        <f>IF(N(C63)&gt;0,SUMIFS('例-交易记录'!$AB$5:$AB$304,'例-交易记录'!$X$5:$X$304,"已平仓",'例-交易记录'!$F$5:$F$304,B63),"")</f>
        <v/>
      </c>
      <c r="G63" s="36" t="str">
        <f>IF(N(C63)=0,"",IF(C63&lt;10,"样本太少",""))</f>
        <v/>
      </c>
    </row>
    <row r="64">
      <c r="B64" s="62" t="str">
        <f>T('参数'!$B$47)</f>
        <v>趋势回踩</v>
      </c>
      <c r="C64" s="44">
        <f>IF(B64="","",COUNTIFS('例-交易记录'!$X$5:$X$304,"已平仓",'例-交易记录'!$F$5:$F$304,B64))</f>
        <v>0</v>
      </c>
      <c r="D64" s="47" t="str">
        <f>IF(N(C64)&gt;0,COUNTIFS('例-交易记录'!$X$5:$X$304,"已平仓",'例-交易记录'!$F$5:$F$304,B64,'例-交易记录'!$AB$5:$AB$304,"&gt;0")/C64,"")</f>
        <v/>
      </c>
      <c r="E64" s="45" t="str">
        <f>IF(N(C64)&gt;0,SUMIFS('例-交易记录'!$AB$5:$AB$304,'例-交易记录'!$X$5:$X$304,"已平仓",'例-交易记录'!$F$5:$F$304,B64)/C64,"")</f>
        <v/>
      </c>
      <c r="F64" s="45" t="str">
        <f>IF(N(C64)&gt;0,SUMIFS('例-交易记录'!$AB$5:$AB$304,'例-交易记录'!$X$5:$X$304,"已平仓",'例-交易记录'!$F$5:$F$304,B64),"")</f>
        <v/>
      </c>
      <c r="G64" s="36" t="str">
        <f>IF(N(C64)=0,"",IF(C64&lt;10,"样本太少",""))</f>
        <v/>
      </c>
    </row>
    <row r="65">
      <c r="B65" s="62" t="str">
        <f>T('参数'!$B$48)</f>
        <v>其他</v>
      </c>
      <c r="C65" s="44">
        <f>IF(B65="","",COUNTIFS('例-交易记录'!$X$5:$X$304,"已平仓",'例-交易记录'!$F$5:$F$304,B65))</f>
        <v>0</v>
      </c>
      <c r="D65" s="47" t="str">
        <f>IF(N(C65)&gt;0,COUNTIFS('例-交易记录'!$X$5:$X$304,"已平仓",'例-交易记录'!$F$5:$F$304,B65,'例-交易记录'!$AB$5:$AB$304,"&gt;0")/C65,"")</f>
        <v/>
      </c>
      <c r="E65" s="45" t="str">
        <f>IF(N(C65)&gt;0,SUMIFS('例-交易记录'!$AB$5:$AB$304,'例-交易记录'!$X$5:$X$304,"已平仓",'例-交易记录'!$F$5:$F$304,B65)/C65,"")</f>
        <v/>
      </c>
      <c r="F65" s="45" t="str">
        <f>IF(N(C65)&gt;0,SUMIFS('例-交易记录'!$AB$5:$AB$304,'例-交易记录'!$X$5:$X$304,"已平仓",'例-交易记录'!$F$5:$F$304,B65),"")</f>
        <v/>
      </c>
      <c r="G65" s="36" t="str">
        <f>IF(N(C65)=0,"",IF(C65&lt;10,"样本太少",""))</f>
        <v/>
      </c>
    </row>
    <row r="67">
      <c r="B67" s="25" t="inlineStr">
        <is>
          <t>买入前一日的阶段</t>
        </is>
      </c>
      <c r="C67" s="25" t="inlineStr">
        <is>
          <t>笔数</t>
        </is>
      </c>
      <c r="D67" s="25" t="inlineStr">
        <is>
          <t>胜率</t>
        </is>
      </c>
      <c r="E67" s="25" t="inlineStr">
        <is>
          <t>每笔平均净R</t>
        </is>
      </c>
      <c r="F67" s="25" t="inlineStr">
        <is>
          <t>合计净R</t>
        </is>
      </c>
      <c r="G67" s="25" t="inlineStr">
        <is>
          <t>样本</t>
        </is>
      </c>
    </row>
    <row r="68">
      <c r="B68" s="62" t="str">
        <f>T('参数'!$F$43)</f>
        <v>冰点</v>
      </c>
      <c r="C68" s="44">
        <f>IF(B68="","",COUNTIFS('例-交易记录'!$X$5:$X$304,"已平仓",'例-交易记录'!$G$5:$G$304,B68))</f>
        <v>0</v>
      </c>
      <c r="D68" s="47" t="str">
        <f>IF(N(C68)&gt;0,COUNTIFS('例-交易记录'!$X$5:$X$304,"已平仓",'例-交易记录'!$G$5:$G$304,B68,'例-交易记录'!$AB$5:$AB$304,"&gt;0")/C68,"")</f>
        <v/>
      </c>
      <c r="E68" s="45" t="str">
        <f>IF(N(C68)&gt;0,SUMIFS('例-交易记录'!$AB$5:$AB$304,'例-交易记录'!$X$5:$X$304,"已平仓",'例-交易记录'!$G$5:$G$304,B68)/C68,"")</f>
        <v/>
      </c>
      <c r="F68" s="45" t="str">
        <f>IF(N(C68)&gt;0,SUMIFS('例-交易记录'!$AB$5:$AB$304,'例-交易记录'!$X$5:$X$304,"已平仓",'例-交易记录'!$G$5:$G$304,B68),"")</f>
        <v/>
      </c>
      <c r="G68" s="36" t="str">
        <f>IF(N(C68)=0,"",IF(C68&lt;10,"样本太少",""))</f>
        <v/>
      </c>
    </row>
    <row r="69">
      <c r="B69" s="62" t="str">
        <f>T('参数'!$F$44)</f>
        <v>启动</v>
      </c>
      <c r="C69" s="44">
        <f>IF(B69="","",COUNTIFS('例-交易记录'!$X$5:$X$304,"已平仓",'例-交易记录'!$G$5:$G$304,B69))</f>
        <v>1</v>
      </c>
      <c r="D69" s="47">
        <f>IF(N(C69)&gt;0,COUNTIFS('例-交易记录'!$X$5:$X$304,"已平仓",'例-交易记录'!$G$5:$G$304,B69,'例-交易记录'!$AB$5:$AB$304,"&gt;0")/C69,"")</f>
        <v>1</v>
      </c>
      <c r="E69" s="45">
        <f>IF(N(C69)&gt;0,SUMIFS('例-交易记录'!$AB$5:$AB$304,'例-交易记录'!$X$5:$X$304,"已平仓",'例-交易记录'!$G$5:$G$304,B69)/C69,"")</f>
        <v>1.82464285714286</v>
      </c>
      <c r="F69" s="45">
        <f>IF(N(C69)&gt;0,SUMIFS('例-交易记录'!$AB$5:$AB$304,'例-交易记录'!$X$5:$X$304,"已平仓",'例-交易记录'!$G$5:$G$304,B69),"")</f>
        <v>1.82464285714286</v>
      </c>
      <c r="G69" s="36" t="str">
        <f>IF(N(C69)=0,"",IF(C69&lt;10,"样本太少",""))</f>
        <v>样本太少</v>
      </c>
    </row>
    <row r="70">
      <c r="B70" s="62" t="str">
        <f>T('参数'!$F$45)</f>
        <v>发酵</v>
      </c>
      <c r="C70" s="44">
        <f>IF(B70="","",COUNTIFS('例-交易记录'!$X$5:$X$304,"已平仓",'例-交易记录'!$G$5:$G$304,B70))</f>
        <v>3</v>
      </c>
      <c r="D70" s="47">
        <f>IF(N(C70)&gt;0,COUNTIFS('例-交易记录'!$X$5:$X$304,"已平仓",'例-交易记录'!$G$5:$G$304,B70,'例-交易记录'!$AB$5:$AB$304,"&gt;0")/C70,"")</f>
        <v>0.333333333333333</v>
      </c>
      <c r="E70" s="45">
        <f>IF(N(C70)&gt;0,SUMIFS('例-交易记录'!$AB$5:$AB$304,'例-交易记录'!$X$5:$X$304,"已平仓",'例-交易记录'!$G$5:$G$304,B70)/C70,"")</f>
        <v>-1.05721018518518</v>
      </c>
      <c r="F70" s="45">
        <f>IF(N(C70)&gt;0,SUMIFS('例-交易记录'!$AB$5:$AB$304,'例-交易记录'!$X$5:$X$304,"已平仓",'例-交易记录'!$G$5:$G$304,B70),"")</f>
        <v>-3.17163055555555</v>
      </c>
      <c r="G70" s="36" t="str">
        <f>IF(N(C70)=0,"",IF(C70&lt;10,"样本太少",""))</f>
        <v>样本太少</v>
      </c>
    </row>
    <row r="71">
      <c r="B71" s="62" t="str">
        <f>T('参数'!$F$46)</f>
        <v>高潮</v>
      </c>
      <c r="C71" s="44">
        <f>IF(B71="","",COUNTIFS('例-交易记录'!$X$5:$X$304,"已平仓",'例-交易记录'!$G$5:$G$304,B71))</f>
        <v>0</v>
      </c>
      <c r="D71" s="47" t="str">
        <f>IF(N(C71)&gt;0,COUNTIFS('例-交易记录'!$X$5:$X$304,"已平仓",'例-交易记录'!$G$5:$G$304,B71,'例-交易记录'!$AB$5:$AB$304,"&gt;0")/C71,"")</f>
        <v/>
      </c>
      <c r="E71" s="45" t="str">
        <f>IF(N(C71)&gt;0,SUMIFS('例-交易记录'!$AB$5:$AB$304,'例-交易记录'!$X$5:$X$304,"已平仓",'例-交易记录'!$G$5:$G$304,B71)/C71,"")</f>
        <v/>
      </c>
      <c r="F71" s="45" t="str">
        <f>IF(N(C71)&gt;0,SUMIFS('例-交易记录'!$AB$5:$AB$304,'例-交易记录'!$X$5:$X$304,"已平仓",'例-交易记录'!$G$5:$G$304,B71),"")</f>
        <v/>
      </c>
      <c r="G71" s="36" t="str">
        <f>IF(N(C71)=0,"",IF(C71&lt;10,"样本太少",""))</f>
        <v/>
      </c>
    </row>
    <row r="72">
      <c r="B72" s="62" t="str">
        <f>T('参数'!$F$47)</f>
        <v>分歧</v>
      </c>
      <c r="C72" s="44">
        <f>IF(B72="","",COUNTIFS('例-交易记录'!$X$5:$X$304,"已平仓",'例-交易记录'!$G$5:$G$304,B72))</f>
        <v>0</v>
      </c>
      <c r="D72" s="47" t="str">
        <f>IF(N(C72)&gt;0,COUNTIFS('例-交易记录'!$X$5:$X$304,"已平仓",'例-交易记录'!$G$5:$G$304,B72,'例-交易记录'!$AB$5:$AB$304,"&gt;0")/C72,"")</f>
        <v/>
      </c>
      <c r="E72" s="45" t="str">
        <f>IF(N(C72)&gt;0,SUMIFS('例-交易记录'!$AB$5:$AB$304,'例-交易记录'!$X$5:$X$304,"已平仓",'例-交易记录'!$G$5:$G$304,B72)/C72,"")</f>
        <v/>
      </c>
      <c r="F72" s="45" t="str">
        <f>IF(N(C72)&gt;0,SUMIFS('例-交易记录'!$AB$5:$AB$304,'例-交易记录'!$X$5:$X$304,"已平仓",'例-交易记录'!$G$5:$G$304,B72),"")</f>
        <v/>
      </c>
      <c r="G72" s="36" t="str">
        <f>IF(N(C72)=0,"",IF(C72&lt;10,"样本太少",""))</f>
        <v/>
      </c>
    </row>
    <row r="73">
      <c r="B73" s="62" t="str">
        <f>T('参数'!$F$48)</f>
        <v>退潮</v>
      </c>
      <c r="C73" s="44">
        <f>IF(B73="","",COUNTIFS('例-交易记录'!$X$5:$X$304,"已平仓",'例-交易记录'!$G$5:$G$304,B73))</f>
        <v>0</v>
      </c>
      <c r="D73" s="47" t="str">
        <f>IF(N(C73)&gt;0,COUNTIFS('例-交易记录'!$X$5:$X$304,"已平仓",'例-交易记录'!$G$5:$G$304,B73,'例-交易记录'!$AB$5:$AB$304,"&gt;0")/C73,"")</f>
        <v/>
      </c>
      <c r="E73" s="45" t="str">
        <f>IF(N(C73)&gt;0,SUMIFS('例-交易记录'!$AB$5:$AB$304,'例-交易记录'!$X$5:$X$304,"已平仓",'例-交易记录'!$G$5:$G$304,B73)/C73,"")</f>
        <v/>
      </c>
      <c r="F73" s="45" t="str">
        <f>IF(N(C73)&gt;0,SUMIFS('例-交易记录'!$AB$5:$AB$304,'例-交易记录'!$X$5:$X$304,"已平仓",'例-交易记录'!$G$5:$G$304,B73),"")</f>
        <v/>
      </c>
      <c r="G73" s="36" t="str">
        <f>IF(N(C73)=0,"",IF(C73&lt;10,"样本太少",""))</f>
        <v/>
      </c>
    </row>
    <row r="74">
      <c r="B74" s="62" t="str">
        <f>T('参数'!$F$49)</f>
        <v>说不清</v>
      </c>
      <c r="C74" s="44">
        <f>IF(B74="","",COUNTIFS('例-交易记录'!$X$5:$X$304,"已平仓",'例-交易记录'!$G$5:$G$304,B74))</f>
        <v>0</v>
      </c>
      <c r="D74" s="47" t="str">
        <f>IF(N(C74)&gt;0,COUNTIFS('例-交易记录'!$X$5:$X$304,"已平仓",'例-交易记录'!$G$5:$G$304,B74,'例-交易记录'!$AB$5:$AB$304,"&gt;0")/C74,"")</f>
        <v/>
      </c>
      <c r="E74" s="45" t="str">
        <f>IF(N(C74)&gt;0,SUMIFS('例-交易记录'!$AB$5:$AB$304,'例-交易记录'!$X$5:$X$304,"已平仓",'例-交易记录'!$G$5:$G$304,B74)/C74,"")</f>
        <v/>
      </c>
      <c r="F74" s="45" t="str">
        <f>IF(N(C74)&gt;0,SUMIFS('例-交易记录'!$AB$5:$AB$304,'例-交易记录'!$X$5:$X$304,"已平仓",'例-交易记录'!$G$5:$G$304,B74),"")</f>
        <v/>
      </c>
      <c r="G74" s="36" t="str">
        <f>IF(N(C74)=0,"",IF(C74&lt;10,"样本太少",""))</f>
        <v/>
      </c>
    </row>
    <row r="76">
      <c r="B76" s="15" t="inlineStr">
        <is>
          <t>5. 下周只改一处</t>
        </is>
      </c>
    </row>
    <row r="77" ht="34" customHeight="1">
      <c r="B77" s="58" t="inlineStr">
        <is>
          <t>本区间最多的偏差是什么，发生在什么情况下</t>
        </is>
      </c>
      <c r="C77" s="32" t="inlineStr">
        <is>
          <t>两笔 C 档：12 日追单（超过追价上限还买，赚了 1.1R），12 日打板后扛单（13 日收盘破止损没卖，碰上一字跌停，亏 3.1R）。</t>
        </is>
      </c>
      <c r="D77" s="32" t="n"/>
      <c r="E77" s="32" t="n"/>
      <c r="F77" s="32" t="n"/>
      <c r="G77" s="32" t="n"/>
      <c r="H77" s="32" t="n"/>
      <c r="I77" s="32" t="n"/>
      <c r="J77" s="32" t="n"/>
    </row>
    <row r="78" ht="34" customHeight="1">
      <c r="B78" s="58" t="inlineStr">
        <is>
          <t>下周只练的一个动作（写成能检查的规则）</t>
        </is>
      </c>
      <c r="C78" s="32" t="inlineStr">
        <is>
          <t>收盘价低于止损价，第二天开盘集合竞价就挂卖单，不看分时、不等反弹。</t>
        </is>
      </c>
      <c r="D78" s="32" t="n"/>
      <c r="E78" s="32" t="n"/>
      <c r="F78" s="32" t="n"/>
      <c r="G78" s="32" t="n"/>
      <c r="H78" s="32" t="n"/>
      <c r="I78" s="32" t="n"/>
      <c r="J78" s="32" t="n"/>
    </row>
    <row r="79" ht="34" customHeight="1">
      <c r="B79" s="58" t="inlineStr">
        <is>
          <t>下周不做的情况</t>
        </is>
      </c>
      <c r="C79" s="32" t="inlineStr">
        <is>
          <t>分歧和退潮当天不开新仓；挂单价超过计划 1% 就撤单。</t>
        </is>
      </c>
      <c r="D79" s="32" t="n"/>
      <c r="E79" s="32" t="n"/>
      <c r="F79" s="32" t="n"/>
      <c r="G79" s="32" t="n"/>
      <c r="H79" s="32" t="n"/>
      <c r="I79" s="32" t="n"/>
      <c r="J79" s="32" t="n"/>
    </row>
    <row r="80" ht="34" customHeight="1">
      <c r="B80" s="58" t="inlineStr">
        <is>
          <t>上一次定的那一处，这次做到了吗</t>
        </is>
      </c>
      <c r="C80" s="32" t="inlineStr">
        <is>
          <t>上周定的是「写了计划才下单」：这周 6 个计划都写了，做到了；但有一笔超过追价上限，下周补上「挂单价写死」。</t>
        </is>
      </c>
      <c r="D80" s="32" t="n"/>
      <c r="E80" s="32" t="n"/>
      <c r="F80" s="32" t="n"/>
      <c r="G80" s="32" t="n"/>
      <c r="H80" s="32" t="n"/>
      <c r="I80" s="32" t="n"/>
      <c r="J80" s="32" t="n"/>
    </row>
  </sheetData>
  <mergeCells count="37">
    <mergeCell ref="C78:J78"/>
    <mergeCell ref="E19:J19"/>
    <mergeCell ref="E28:J28"/>
    <mergeCell ref="C77:J77"/>
    <mergeCell ref="E40:J40"/>
    <mergeCell ref="E31:J31"/>
    <mergeCell ref="F4:J4"/>
    <mergeCell ref="E34:J34"/>
    <mergeCell ref="E30:J30"/>
    <mergeCell ref="C79:J79"/>
    <mergeCell ref="E15:J15"/>
    <mergeCell ref="E36:J36"/>
    <mergeCell ref="E27:J27"/>
    <mergeCell ref="E26:J26"/>
    <mergeCell ref="C80:J80"/>
    <mergeCell ref="E25:J25"/>
    <mergeCell ref="E41:J41"/>
    <mergeCell ref="E16:J16"/>
    <mergeCell ref="E35:J35"/>
    <mergeCell ref="A1:G1"/>
    <mergeCell ref="E32:J32"/>
    <mergeCell ref="E22:J22"/>
    <mergeCell ref="E37:J37"/>
    <mergeCell ref="E18:J18"/>
    <mergeCell ref="E43:J43"/>
    <mergeCell ref="E21:J21"/>
    <mergeCell ref="H1:J1"/>
    <mergeCell ref="E33:J33"/>
    <mergeCell ref="E24:J24"/>
    <mergeCell ref="E42:J42"/>
    <mergeCell ref="E17:J17"/>
    <mergeCell ref="E23:J23"/>
    <mergeCell ref="E39:J39"/>
    <mergeCell ref="A2:J2"/>
    <mergeCell ref="E20:J20"/>
    <mergeCell ref="E38:J38"/>
    <mergeCell ref="E29:J29"/>
  </mergeCells>
  <conditionalFormatting sqref="C25:D27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28:D29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C31:D31">
    <cfRule type="cellIs" priority="5" operator="greaterThan" dxfId="0">
      <formula>0</formula>
    </cfRule>
    <cfRule type="cellIs" priority="6" operator="lessThan" dxfId="1">
      <formula>0</formula>
    </cfRule>
  </conditionalFormatting>
  <conditionalFormatting sqref="C39:D40">
    <cfRule type="cellIs" priority="7" operator="greaterThan" dxfId="0">
      <formula>0</formula>
    </cfRule>
    <cfRule type="cellIs" priority="8" operator="lessThan" dxfId="1">
      <formula>0</formula>
    </cfRule>
  </conditionalFormatting>
  <conditionalFormatting sqref="C43:D43">
    <cfRule type="cellIs" priority="9" operator="greaterThan" dxfId="0">
      <formula>0</formula>
    </cfRule>
    <cfRule type="cellIs" priority="10" operator="lessThan" dxfId="1">
      <formula>0</formula>
    </cfRule>
  </conditionalFormatting>
  <conditionalFormatting sqref="C38:D38">
    <cfRule type="cellIs" priority="11" operator="greaterThan" dxfId="8">
      <formula>0</formula>
    </cfRule>
  </conditionalFormatting>
  <conditionalFormatting sqref="F47:F56">
    <cfRule type="cellIs" priority="12" operator="equal" dxfId="8">
      <formula>"本区间最多"</formula>
    </cfRule>
  </conditionalFormatting>
  <conditionalFormatting sqref="E60:F65">
    <cfRule type="cellIs" priority="13" operator="greaterThan" dxfId="0">
      <formula>0</formula>
    </cfRule>
    <cfRule type="cellIs" priority="14" operator="lessThan" dxfId="1">
      <formula>0</formula>
    </cfRule>
  </conditionalFormatting>
  <conditionalFormatting sqref="E68:F74">
    <cfRule type="cellIs" priority="15" operator="greaterThan" dxfId="0">
      <formula>0</formula>
    </cfRule>
    <cfRule type="cellIs" priority="16" operator="lessThan" dxfId="1">
      <formula>0</formula>
    </cfRule>
  </conditionalFormatting>
  <dataValidations count="2">
    <dataValidation sqref="C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E4" showDropDown="0" showInputMessage="0" showErrorMessage="1" allowBlank="1" errorTitle="日期格式" error="请填日期，例如 2030-03-04。" type="date" errorStyle="stop" operator="greaterThan">
      <formula1>36526</formula1>
    </dataValidation>
  </dataValidations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trade1469.com/templates/a-share-review/?src=tpl-ashare&amp;R&amp;"Microsoft YaHei"&amp;8 第 &amp;P 页，共 &amp;N 页</oddFooter>
    <evenHeader/>
    <evenFooter>&amp;L&amp;"Microsoft YaHei"&amp;8 TradeLearn · XtradingTime 交易内训&amp;C&amp;"Microsoft YaHei"&amp;8 trade1469.com/templates/a-share-review/?src=tpl-ashare&amp;R&amp;"Microsoft YaHei"&amp;8 第 &amp;P 页，共 &amp;N 页</evenFooter>
    <firstHeader/>
    <firstFooter/>
  </headerFooter>
  <rowBreaks count="1" manualBreakCount="1">
    <brk id="57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TradeLearn · XtradingTime 交易内训</dc:creator>
  <dc:title xmlns:dc="http://purl.org/dc/elements/1.1/">A股复盘模板</dc:title>
  <dc:subject xmlns:dc="http://purl.org/dc/elements/1.1/">A股每日复盘、交易记录与周复盘</dc:subject>
  <dcterms:created xmlns:dcterms="http://purl.org/dc/terms/" xmlns:xsi="http://www.w3.org/2001/XMLSchema-instance" xsi:type="dcterms:W3CDTF">2026-10-13T00:00:00Z</dcterms:created>
  <dcterms:modified xmlns:dcterms="http://purl.org/dc/terms/" xmlns:xsi="http://www.w3.org/2001/XMLSchema-instance" xsi:type="dcterms:W3CDTF">2026-10-13T09:11:28Z</dcterms:modified>
  <cp:keywords>A股复盘模板, 交易日志, 复盘表格, 情绪周期, 净R</cp:keywords>
</cp:coreProperties>
</file>